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Ex1.xml" ContentType="application/vnd.ms-office.chartex+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charts/chartEx4.xml" ContentType="application/vnd.ms-office.chartex+xml"/>
  <Override PartName="/xl/charts/style30.xml" ContentType="application/vnd.ms-office.chartstyle+xml"/>
  <Override PartName="/xl/charts/colors30.xml" ContentType="application/vnd.ms-office.chartcolorstyle+xml"/>
  <Override PartName="/xl/charts/chartEx5.xml" ContentType="application/vnd.ms-office.chartex+xml"/>
  <Override PartName="/xl/charts/style31.xml" ContentType="application/vnd.ms-office.chartstyle+xml"/>
  <Override PartName="/xl/charts/colors31.xml" ContentType="application/vnd.ms-office.chartcolorstyle+xml"/>
  <Override PartName="/xl/charts/chartEx6.xml" ContentType="application/vnd.ms-office.chartex+xml"/>
  <Override PartName="/xl/charts/style32.xml" ContentType="application/vnd.ms-office.chartstyle+xml"/>
  <Override PartName="/xl/charts/colors32.xml" ContentType="application/vnd.ms-office.chartcolorstyle+xml"/>
  <Override PartName="/xl/drawings/drawing5.xml" ContentType="application/vnd.openxmlformats-officedocument.drawing+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Ex8.xml" ContentType="application/vnd.ms-office.chartex+xml"/>
  <Override PartName="/xl/charts/style34.xml" ContentType="application/vnd.ms-office.chartstyle+xml"/>
  <Override PartName="/xl/charts/colors34.xml" ContentType="application/vnd.ms-office.chartcolorstyle+xml"/>
  <Override PartName="/xl/charts/chartEx9.xml" ContentType="application/vnd.ms-office.chartex+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Ex10.xml" ContentType="application/vnd.ms-office.chartex+xml"/>
  <Override PartName="/xl/charts/style36.xml" ContentType="application/vnd.ms-office.chartstyle+xml"/>
  <Override PartName="/xl/charts/colors36.xml" ContentType="application/vnd.ms-office.chartcolorstyle+xml"/>
  <Override PartName="/xl/charts/chartEx11.xml" ContentType="application/vnd.ms-office.chartex+xml"/>
  <Override PartName="/xl/charts/style37.xml" ContentType="application/vnd.ms-office.chartstyle+xml"/>
  <Override PartName="/xl/charts/colors37.xml" ContentType="application/vnd.ms-office.chartcolorstyle+xml"/>
  <Override PartName="/xl/charts/chartEx12.xml" ContentType="application/vnd.ms-office.chartex+xml"/>
  <Override PartName="/xl/charts/style38.xml" ContentType="application/vnd.ms-office.chartstyle+xml"/>
  <Override PartName="/xl/charts/colors38.xml" ContentType="application/vnd.ms-office.chartcolorstyle+xml"/>
  <Override PartName="/xl/drawings/drawing7.xml" ContentType="application/vnd.openxmlformats-officedocument.drawing+xml"/>
  <Override PartName="/xl/charts/chartEx13.xml" ContentType="application/vnd.ms-office.chartex+xml"/>
  <Override PartName="/xl/charts/style39.xml" ContentType="application/vnd.ms-office.chartstyle+xml"/>
  <Override PartName="/xl/charts/colors39.xml" ContentType="application/vnd.ms-office.chartcolorstyle+xml"/>
  <Override PartName="/xl/charts/chartEx14.xml" ContentType="application/vnd.ms-office.chartex+xml"/>
  <Override PartName="/xl/charts/style40.xml" ContentType="application/vnd.ms-office.chartstyle+xml"/>
  <Override PartName="/xl/charts/colors40.xml" ContentType="application/vnd.ms-office.chartcolorstyle+xml"/>
  <Override PartName="/xl/charts/chartEx15.xml" ContentType="application/vnd.ms-office.chartex+xml"/>
  <Override PartName="/xl/charts/style41.xml" ContentType="application/vnd.ms-office.chartstyle+xml"/>
  <Override PartName="/xl/charts/colors41.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einos\Documents\Bachelor Arbeit\Wer\Announcement collection - 55 combinations\Analyzing 200 news\WHY\"/>
    </mc:Choice>
  </mc:AlternateContent>
  <xr:revisionPtr revIDLastSave="0" documentId="13_ncr:1_{BA0046B7-B883-4F2B-AEC1-0B00FCE94E1E}" xr6:coauthVersionLast="47" xr6:coauthVersionMax="47" xr10:uidLastSave="{00000000-0000-0000-0000-000000000000}"/>
  <bookViews>
    <workbookView xWindow="-110" yWindow="-110" windowWidth="19420" windowHeight="10300" activeTab="1" xr2:uid="{68A5F65B-87D2-4ACA-8CEF-CFB2DF905E34}"/>
  </bookViews>
  <sheets>
    <sheet name="ANNOUNCEMENTS" sheetId="1" r:id="rId1"/>
    <sheet name="Summary per Company and Use Cas" sheetId="131" r:id="rId2"/>
    <sheet name="Company Summary" sheetId="132" r:id="rId3"/>
    <sheet name="HardCopy Company summar" sheetId="133" r:id="rId4"/>
    <sheet name="EXCERPT LIVE" sheetId="93" state="hidden" r:id="rId5"/>
    <sheet name="Hardcopy" sheetId="130" state="hidden" r:id="rId6"/>
    <sheet name="SUMMARY SAV partnership" sheetId="43" r:id="rId7"/>
    <sheet name="SUMMARY ATV partnership" sheetId="90" r:id="rId8"/>
    <sheet name="Correlation Overview" sheetId="116" r:id="rId9"/>
    <sheet name="SUMMARY _ Ridepooling" sheetId="105" r:id="rId10"/>
    <sheet name="Ridepooling Correlation" sheetId="112" r:id="rId11"/>
    <sheet name="SUMMARY _ Ridehailing" sheetId="109" r:id="rId12"/>
    <sheet name="Ridehailing Correlation" sheetId="119" r:id="rId13"/>
    <sheet name="SUMMARY _ Trucking" sheetId="111" r:id="rId14"/>
    <sheet name="Trucking Correlation" sheetId="114" r:id="rId15"/>
    <sheet name="SUMMARY _ Last-Mile" sheetId="110" r:id="rId16"/>
    <sheet name="Last-Mile Correlation" sheetId="115" r:id="rId17"/>
    <sheet name="Correlation all" sheetId="126" r:id="rId18"/>
    <sheet name="Correlating all statistics " sheetId="125" r:id="rId19"/>
    <sheet name="Counts Industries" sheetId="3" r:id="rId20"/>
    <sheet name="Industries all mentioned partne" sheetId="15" r:id="rId21"/>
    <sheet name="CBIMPORT" sheetId="4" r:id="rId22"/>
    <sheet name="LDA Input" sheetId="118" r:id="rId23"/>
    <sheet name="LDA Coherence - Perpl" sheetId="134" r:id="rId24"/>
    <sheet name="Topics, LDA t=5" sheetId="135" r:id="rId25"/>
    <sheet name="GEPHI_NODES" sheetId="127" r:id="rId26"/>
    <sheet name="Node Preparation" sheetId="129" r:id="rId27"/>
  </sheets>
  <definedNames>
    <definedName name="_xlnm._FilterDatabase" localSheetId="0" hidden="1">ANNOUNCEMENTS!$A$1:$AG$180</definedName>
    <definedName name="_xlnm._FilterDatabase" localSheetId="21" hidden="1">CBIMPORT!$A$1:$AO$171</definedName>
    <definedName name="_xlnm._FilterDatabase" localSheetId="3" hidden="1">'HardCopy Company summar'!$A$1:$K$36</definedName>
    <definedName name="_xlnm._FilterDatabase" localSheetId="1" hidden="1">'Summary per Company and Use Cas'!$A$159:$BH$215</definedName>
    <definedName name="_xlchart.v1.0" hidden="1">'SUMMARY SAV partnership'!$AT$157:$AT$175</definedName>
    <definedName name="_xlchart.v1.1" hidden="1">'SUMMARY SAV partnership'!$BE$157:$BE$175</definedName>
    <definedName name="_xlchart.v1.10" hidden="1">'SUMMARY _ Trucking'!$BE$1:$BE$107</definedName>
    <definedName name="_xlchart.v1.11" hidden="1">'SUMMARY _ Trucking'!$AT$1:$AT$107</definedName>
    <definedName name="_xlchart.v1.12" hidden="1">'SUMMARY _ Last-Mile'!$AT$1:$AT$111</definedName>
    <definedName name="_xlchart.v1.13" hidden="1">'SUMMARY _ Last-Mile'!$AT$1:$AT$111</definedName>
    <definedName name="_xlchart.v1.14" hidden="1">'SUMMARY _ Last-Mile'!$BE$1:$BE$111</definedName>
    <definedName name="_xlchart.v1.2" hidden="1">'SUMMARY SAV partnership'!$AT$157:$AT$175</definedName>
    <definedName name="_xlchart.v1.3" hidden="1">'SUMMARY _ Ridepooling'!$AT$93:$AT$110</definedName>
    <definedName name="_xlchart.v1.4" hidden="1">'SUMMARY _ Ridepooling'!$BE$93:$BE$110</definedName>
    <definedName name="_xlchart.v1.5" hidden="1">'SUMMARY _ Ridepooling'!$AT$93:$AT$110</definedName>
    <definedName name="_xlchart.v1.6" hidden="1">'SUMMARY _ Ridehailing'!$AT$1:$AT$103</definedName>
    <definedName name="_xlchart.v1.7" hidden="1">'SUMMARY _ Ridehailing'!$BE$1:$BE$103</definedName>
    <definedName name="_xlchart.v1.8" hidden="1">'SUMMARY _ Ridehailing'!$AT$1:$AT$103</definedName>
    <definedName name="_xlchart.v1.9" hidden="1">'SUMMARY _ Trucking'!$AT$1:$AT$107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2" i="135" l="1"/>
  <c r="K42" i="135"/>
  <c r="J42" i="135"/>
  <c r="I42" i="135"/>
  <c r="H42" i="135"/>
  <c r="L41" i="135"/>
  <c r="K41" i="135"/>
  <c r="J41" i="135"/>
  <c r="I41" i="135"/>
  <c r="H41" i="135"/>
  <c r="L40" i="135"/>
  <c r="K40" i="135"/>
  <c r="J40" i="135"/>
  <c r="I40" i="135"/>
  <c r="H40" i="135"/>
  <c r="L39" i="135"/>
  <c r="K39" i="135"/>
  <c r="J39" i="135"/>
  <c r="I39" i="135"/>
  <c r="H39" i="135"/>
  <c r="L38" i="135"/>
  <c r="K38" i="135"/>
  <c r="J38" i="135"/>
  <c r="I38" i="135"/>
  <c r="H38" i="135"/>
  <c r="L37" i="135"/>
  <c r="K37" i="135"/>
  <c r="J37" i="135"/>
  <c r="I37" i="135"/>
  <c r="H37" i="135"/>
  <c r="L36" i="135"/>
  <c r="K36" i="135"/>
  <c r="J36" i="135"/>
  <c r="I36" i="135"/>
  <c r="H36" i="135"/>
  <c r="L35" i="135"/>
  <c r="K35" i="135"/>
  <c r="J35" i="135"/>
  <c r="I35" i="135"/>
  <c r="H35" i="135"/>
  <c r="L34" i="135"/>
  <c r="K34" i="135"/>
  <c r="J34" i="135"/>
  <c r="I34" i="135"/>
  <c r="H34" i="135"/>
  <c r="L33" i="135"/>
  <c r="K33" i="135"/>
  <c r="J33" i="135"/>
  <c r="I33" i="135"/>
  <c r="H33" i="135"/>
  <c r="L32" i="135"/>
  <c r="K32" i="135"/>
  <c r="J32" i="135"/>
  <c r="I32" i="135"/>
  <c r="H32" i="135"/>
  <c r="L31" i="135"/>
  <c r="K31" i="135"/>
  <c r="J31" i="135"/>
  <c r="I31" i="135"/>
  <c r="H31" i="135"/>
  <c r="L30" i="135"/>
  <c r="K30" i="135"/>
  <c r="J30" i="135"/>
  <c r="I30" i="135"/>
  <c r="H30" i="135"/>
  <c r="L29" i="135"/>
  <c r="K29" i="135"/>
  <c r="J29" i="135"/>
  <c r="I29" i="135"/>
  <c r="H29" i="135"/>
  <c r="L28" i="135"/>
  <c r="K28" i="135"/>
  <c r="J28" i="135"/>
  <c r="I28" i="135"/>
  <c r="H28" i="135"/>
  <c r="L27" i="135"/>
  <c r="K27" i="135"/>
  <c r="J27" i="135"/>
  <c r="I27" i="135"/>
  <c r="H27" i="135"/>
  <c r="L26" i="135"/>
  <c r="K26" i="135"/>
  <c r="J26" i="135"/>
  <c r="I26" i="135"/>
  <c r="H26" i="135"/>
  <c r="L25" i="135"/>
  <c r="K25" i="135"/>
  <c r="J25" i="135"/>
  <c r="I25" i="135"/>
  <c r="H25" i="135"/>
  <c r="L24" i="135"/>
  <c r="K24" i="135"/>
  <c r="J24" i="135"/>
  <c r="I24" i="135"/>
  <c r="H24" i="135"/>
  <c r="L23" i="135"/>
  <c r="K23" i="135"/>
  <c r="J23" i="135"/>
  <c r="I23" i="135"/>
  <c r="H23" i="135"/>
  <c r="L22" i="135"/>
  <c r="K22" i="135"/>
  <c r="J22" i="135"/>
  <c r="I22" i="135"/>
  <c r="H22" i="135"/>
  <c r="L21" i="135"/>
  <c r="K21" i="135"/>
  <c r="J21" i="135"/>
  <c r="I21" i="135"/>
  <c r="H21" i="135"/>
  <c r="L20" i="135"/>
  <c r="K20" i="135"/>
  <c r="J20" i="135"/>
  <c r="I20" i="135"/>
  <c r="H20" i="135"/>
  <c r="L19" i="135"/>
  <c r="K19" i="135"/>
  <c r="J19" i="135"/>
  <c r="I19" i="135"/>
  <c r="H19" i="135"/>
  <c r="L18" i="135"/>
  <c r="K18" i="135"/>
  <c r="J18" i="135"/>
  <c r="I18" i="135"/>
  <c r="H18" i="135"/>
  <c r="L17" i="135"/>
  <c r="K17" i="135"/>
  <c r="J17" i="135"/>
  <c r="I17" i="135"/>
  <c r="H17" i="135"/>
  <c r="L16" i="135"/>
  <c r="K16" i="135"/>
  <c r="J16" i="135"/>
  <c r="I16" i="135"/>
  <c r="H16" i="135"/>
  <c r="L15" i="135"/>
  <c r="K15" i="135"/>
  <c r="J15" i="135"/>
  <c r="I15" i="135"/>
  <c r="H15" i="135"/>
  <c r="L14" i="135"/>
  <c r="K14" i="135"/>
  <c r="J14" i="135"/>
  <c r="I14" i="135"/>
  <c r="H14" i="135"/>
  <c r="L13" i="135"/>
  <c r="K13" i="135"/>
  <c r="J13" i="135"/>
  <c r="I13" i="135"/>
  <c r="H13" i="135"/>
  <c r="L12" i="135"/>
  <c r="K12" i="135"/>
  <c r="J12" i="135"/>
  <c r="I12" i="135"/>
  <c r="H12" i="135"/>
  <c r="L11" i="135"/>
  <c r="K11" i="135"/>
  <c r="J11" i="135"/>
  <c r="I11" i="135"/>
  <c r="H11" i="135"/>
  <c r="L10" i="135"/>
  <c r="K10" i="135"/>
  <c r="J10" i="135"/>
  <c r="I10" i="135"/>
  <c r="H10" i="135"/>
  <c r="L9" i="135"/>
  <c r="K9" i="135"/>
  <c r="J9" i="135"/>
  <c r="I9" i="135"/>
  <c r="H9" i="135"/>
  <c r="L8" i="135"/>
  <c r="K8" i="135"/>
  <c r="J8" i="135"/>
  <c r="I8" i="135"/>
  <c r="H8" i="135"/>
  <c r="L7" i="135"/>
  <c r="K7" i="135"/>
  <c r="J7" i="135"/>
  <c r="I7" i="135"/>
  <c r="H7" i="135"/>
  <c r="L6" i="135"/>
  <c r="K6" i="135"/>
  <c r="J6" i="135"/>
  <c r="I6" i="135"/>
  <c r="H6" i="135"/>
  <c r="L5" i="135"/>
  <c r="K5" i="135"/>
  <c r="J5" i="135"/>
  <c r="I5" i="135"/>
  <c r="H5" i="135"/>
  <c r="L4" i="135"/>
  <c r="K4" i="135"/>
  <c r="J4" i="135"/>
  <c r="I4" i="135"/>
  <c r="H4" i="135"/>
  <c r="L3" i="135"/>
  <c r="K3" i="135"/>
  <c r="J3" i="135"/>
  <c r="I3" i="135"/>
  <c r="H3" i="135"/>
  <c r="B9" i="116"/>
  <c r="C9" i="116"/>
  <c r="D9" i="116"/>
  <c r="E9" i="116"/>
  <c r="F9" i="116"/>
  <c r="G9" i="116"/>
  <c r="H9" i="116"/>
  <c r="I9" i="116"/>
  <c r="J9" i="116"/>
  <c r="K9" i="116"/>
  <c r="L9" i="116"/>
  <c r="M9" i="116"/>
  <c r="N9" i="116"/>
  <c r="O9" i="116"/>
  <c r="P9" i="116"/>
  <c r="Q9" i="116"/>
  <c r="R9" i="116"/>
  <c r="S9" i="116"/>
  <c r="T9" i="116"/>
  <c r="U9" i="116"/>
  <c r="V9" i="116"/>
  <c r="W9" i="116"/>
  <c r="X9" i="116"/>
  <c r="Y9" i="116"/>
  <c r="B10" i="116"/>
  <c r="C10" i="116"/>
  <c r="D10" i="116"/>
  <c r="E10" i="116"/>
  <c r="F10" i="116"/>
  <c r="G10" i="116"/>
  <c r="H10" i="116"/>
  <c r="I10" i="116"/>
  <c r="J10" i="116"/>
  <c r="K10" i="116"/>
  <c r="L10" i="116"/>
  <c r="M10" i="116"/>
  <c r="N10" i="116"/>
  <c r="O10" i="116"/>
  <c r="P10" i="116"/>
  <c r="Q10" i="116"/>
  <c r="R10" i="116"/>
  <c r="S10" i="116"/>
  <c r="T10" i="116"/>
  <c r="U10" i="116"/>
  <c r="V10" i="116"/>
  <c r="W10" i="116"/>
  <c r="X10" i="116"/>
  <c r="Y10" i="116"/>
  <c r="B11" i="116"/>
  <c r="C11" i="116"/>
  <c r="D11" i="116"/>
  <c r="E11" i="116"/>
  <c r="F11" i="116"/>
  <c r="G11" i="116"/>
  <c r="H11" i="116"/>
  <c r="I11" i="116"/>
  <c r="J11" i="116"/>
  <c r="K11" i="116"/>
  <c r="L11" i="116"/>
  <c r="M11" i="116"/>
  <c r="N11" i="116"/>
  <c r="O11" i="116"/>
  <c r="P11" i="116"/>
  <c r="Q11" i="116"/>
  <c r="R11" i="116"/>
  <c r="S11" i="116"/>
  <c r="T11" i="116"/>
  <c r="U11" i="116"/>
  <c r="V11" i="116"/>
  <c r="W11" i="116"/>
  <c r="X11" i="116"/>
  <c r="Y11" i="116"/>
  <c r="BY2" i="105"/>
  <c r="CC2" i="105"/>
  <c r="BY3" i="105"/>
  <c r="CC3" i="105"/>
  <c r="BY4" i="105"/>
  <c r="CC4" i="105"/>
  <c r="BY5" i="105"/>
  <c r="CC5" i="105"/>
  <c r="J23" i="116"/>
  <c r="N23" i="116"/>
  <c r="O23" i="116"/>
  <c r="V93" i="131" a="1"/>
  <c r="V93" i="131" s="1"/>
  <c r="V83" i="131" a="1"/>
  <c r="V83" i="131" s="1"/>
  <c r="E95" i="131"/>
  <c r="F95" i="131"/>
  <c r="E94" i="131"/>
  <c r="F94" i="131"/>
  <c r="B93" i="131" a="1"/>
  <c r="B93" i="131" s="1"/>
  <c r="B95" i="131" s="1"/>
  <c r="B83" i="131" a="1"/>
  <c r="B83" i="131" s="1"/>
  <c r="A57" i="132"/>
  <c r="D94" i="131" l="1"/>
  <c r="D95" i="131"/>
  <c r="B94" i="131"/>
  <c r="C94" i="131"/>
  <c r="C95" i="131"/>
  <c r="K95" i="131" s="1"/>
  <c r="J94" i="131"/>
  <c r="J96" i="131" s="1"/>
  <c r="J95" i="131"/>
  <c r="H94" i="131"/>
  <c r="H96" i="131" s="1"/>
  <c r="H95" i="131"/>
  <c r="I94" i="131"/>
  <c r="I95" i="131"/>
  <c r="G94" i="131"/>
  <c r="G96" i="131" s="1"/>
  <c r="G95" i="131"/>
  <c r="D96" i="131"/>
  <c r="F96" i="131"/>
  <c r="I96" i="131"/>
  <c r="E96" i="131"/>
  <c r="C96" i="131"/>
  <c r="C21" i="116"/>
  <c r="D21" i="116"/>
  <c r="E21" i="116"/>
  <c r="F21" i="116"/>
  <c r="G21" i="116"/>
  <c r="H21" i="116"/>
  <c r="I21" i="116"/>
  <c r="J21" i="116"/>
  <c r="K21" i="116"/>
  <c r="L21" i="116"/>
  <c r="M21" i="116"/>
  <c r="N21" i="116"/>
  <c r="O21" i="116"/>
  <c r="P21" i="116"/>
  <c r="Q21" i="116"/>
  <c r="R21" i="116"/>
  <c r="S21" i="116"/>
  <c r="T21" i="116"/>
  <c r="U21" i="116"/>
  <c r="V21" i="116"/>
  <c r="W21" i="116"/>
  <c r="X21" i="116"/>
  <c r="Y21" i="116"/>
  <c r="Z21" i="116"/>
  <c r="AA21" i="116"/>
  <c r="AB21" i="116"/>
  <c r="AC21" i="116"/>
  <c r="C22" i="116"/>
  <c r="D22" i="116"/>
  <c r="E22" i="116"/>
  <c r="F22" i="116"/>
  <c r="G22" i="116"/>
  <c r="H22" i="116"/>
  <c r="I22" i="116"/>
  <c r="J22" i="116"/>
  <c r="K22" i="116"/>
  <c r="L22" i="116"/>
  <c r="M22" i="116"/>
  <c r="N22" i="116"/>
  <c r="O22" i="116"/>
  <c r="P22" i="116"/>
  <c r="Q22" i="116"/>
  <c r="R22" i="116"/>
  <c r="S22" i="116"/>
  <c r="T22" i="116"/>
  <c r="U22" i="116"/>
  <c r="V22" i="116"/>
  <c r="W22" i="116"/>
  <c r="X22" i="116"/>
  <c r="Y22" i="116"/>
  <c r="Z22" i="116"/>
  <c r="AA22" i="116"/>
  <c r="AB22" i="116"/>
  <c r="AC22" i="116"/>
  <c r="C23" i="116"/>
  <c r="D23" i="116"/>
  <c r="E23" i="116"/>
  <c r="F23" i="116"/>
  <c r="G23" i="116"/>
  <c r="H23" i="116"/>
  <c r="I23" i="116"/>
  <c r="K23" i="116"/>
  <c r="L23" i="116"/>
  <c r="M23" i="116"/>
  <c r="P23" i="116"/>
  <c r="Q23" i="116"/>
  <c r="R23" i="116"/>
  <c r="S23" i="116"/>
  <c r="T23" i="116"/>
  <c r="U23" i="116"/>
  <c r="V23" i="116"/>
  <c r="W23" i="116"/>
  <c r="X23" i="116"/>
  <c r="Y23" i="116"/>
  <c r="Z23" i="116"/>
  <c r="AA23" i="116"/>
  <c r="AB23" i="116"/>
  <c r="AC23" i="116"/>
  <c r="B22" i="116"/>
  <c r="B23" i="116"/>
  <c r="B21"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B18" i="116"/>
  <c r="B19" i="116"/>
  <c r="B17" i="116"/>
  <c r="C13" i="116"/>
  <c r="D13" i="116"/>
  <c r="E13" i="116"/>
  <c r="F13" i="116"/>
  <c r="G13" i="116"/>
  <c r="H13" i="116"/>
  <c r="I13" i="116"/>
  <c r="J13" i="116"/>
  <c r="K13" i="116"/>
  <c r="L13" i="116"/>
  <c r="M13" i="116"/>
  <c r="N13" i="116"/>
  <c r="O13" i="116"/>
  <c r="P13" i="116"/>
  <c r="Q13" i="116"/>
  <c r="R13" i="116"/>
  <c r="S13" i="116"/>
  <c r="T13" i="116"/>
  <c r="U13" i="116"/>
  <c r="V13" i="116"/>
  <c r="W13" i="116"/>
  <c r="X13" i="116"/>
  <c r="Y13" i="116"/>
  <c r="Z13" i="116"/>
  <c r="AA13" i="116"/>
  <c r="AB13" i="116"/>
  <c r="AC13" i="116"/>
  <c r="C14" i="116"/>
  <c r="D14" i="116"/>
  <c r="E14" i="116"/>
  <c r="F14" i="116"/>
  <c r="G14" i="116"/>
  <c r="H14" i="116"/>
  <c r="I14" i="116"/>
  <c r="J14" i="116"/>
  <c r="K14" i="116"/>
  <c r="L14" i="116"/>
  <c r="M14" i="116"/>
  <c r="N14" i="116"/>
  <c r="O14" i="116"/>
  <c r="P14" i="116"/>
  <c r="Q14" i="116"/>
  <c r="R14" i="116"/>
  <c r="S14" i="116"/>
  <c r="T14" i="116"/>
  <c r="U14" i="116"/>
  <c r="V14" i="116"/>
  <c r="W14" i="116"/>
  <c r="X14" i="116"/>
  <c r="Y14" i="116"/>
  <c r="Z14" i="116"/>
  <c r="AA14" i="116"/>
  <c r="AB14" i="116"/>
  <c r="AC14" i="116"/>
  <c r="C15" i="116"/>
  <c r="D15" i="116"/>
  <c r="E15" i="116"/>
  <c r="F15" i="116"/>
  <c r="G15" i="116"/>
  <c r="H15" i="116"/>
  <c r="I15" i="116"/>
  <c r="J15" i="116"/>
  <c r="K15" i="116"/>
  <c r="L15" i="116"/>
  <c r="M15" i="116"/>
  <c r="N15" i="116"/>
  <c r="O15" i="116"/>
  <c r="P15" i="116"/>
  <c r="Q15" i="116"/>
  <c r="R15" i="116"/>
  <c r="S15" i="116"/>
  <c r="T15" i="116"/>
  <c r="U15" i="116"/>
  <c r="V15" i="116"/>
  <c r="W15" i="116"/>
  <c r="X15" i="116"/>
  <c r="Y15" i="116"/>
  <c r="Z15" i="116"/>
  <c r="AA15" i="116"/>
  <c r="AB15" i="116"/>
  <c r="AC15" i="116"/>
  <c r="B14" i="116"/>
  <c r="B15" i="116"/>
  <c r="B13" i="116"/>
  <c r="Z9" i="116"/>
  <c r="AA9" i="116"/>
  <c r="AB9" i="116"/>
  <c r="AC9" i="116"/>
  <c r="H27" i="116"/>
  <c r="Z10" i="116"/>
  <c r="AA10" i="116"/>
  <c r="AB10" i="116"/>
  <c r="AC10" i="116"/>
  <c r="O28" i="116"/>
  <c r="Z11" i="116"/>
  <c r="AA11" i="116"/>
  <c r="AB11" i="116"/>
  <c r="AC11" i="116"/>
  <c r="P28" i="116" l="1"/>
  <c r="H28" i="116"/>
  <c r="K27" i="116"/>
  <c r="H26" i="116"/>
  <c r="K26" i="116"/>
  <c r="P27" i="116"/>
  <c r="K28" i="116"/>
  <c r="T26" i="116"/>
  <c r="O27" i="116"/>
  <c r="P26" i="116"/>
  <c r="O26" i="116"/>
  <c r="T28" i="116"/>
  <c r="T27" i="116"/>
  <c r="V94" i="131"/>
  <c r="K96" i="131"/>
  <c r="AC94" i="131"/>
  <c r="X94" i="131"/>
  <c r="AC95" i="131"/>
  <c r="Y94" i="131"/>
  <c r="Z95" i="131"/>
  <c r="B96" i="131"/>
  <c r="B97" i="131" s="1"/>
  <c r="AA95" i="131"/>
  <c r="AB94" i="131"/>
  <c r="AB95" i="131"/>
  <c r="Z94" i="131"/>
  <c r="AA94" i="131"/>
  <c r="AD95" i="131"/>
  <c r="K94" i="131"/>
  <c r="W95" i="131"/>
  <c r="AD94" i="131"/>
  <c r="V95" i="131"/>
  <c r="Y95" i="131"/>
  <c r="X95" i="131"/>
  <c r="W94" i="131"/>
  <c r="V28" i="116"/>
  <c r="N28" i="116"/>
  <c r="Y27" i="116"/>
  <c r="Q27" i="116"/>
  <c r="I27" i="116"/>
  <c r="Z27" i="116"/>
  <c r="L27" i="116"/>
  <c r="D27" i="116"/>
  <c r="W26" i="116"/>
  <c r="G26" i="116"/>
  <c r="F28" i="116"/>
  <c r="Z28" i="116"/>
  <c r="AB27" i="116"/>
  <c r="B28" i="116"/>
  <c r="W28" i="116"/>
  <c r="G28" i="116"/>
  <c r="R27" i="116"/>
  <c r="J27" i="116"/>
  <c r="AC26" i="116"/>
  <c r="AC28" i="116"/>
  <c r="U28" i="116"/>
  <c r="M28" i="116"/>
  <c r="E28" i="116"/>
  <c r="X27" i="116"/>
  <c r="AA26" i="116"/>
  <c r="S26" i="116"/>
  <c r="C26" i="116"/>
  <c r="B27" i="116"/>
  <c r="J26" i="116"/>
  <c r="R26" i="116"/>
  <c r="Z26" i="116"/>
  <c r="AB28" i="116"/>
  <c r="L28" i="116"/>
  <c r="W27" i="116"/>
  <c r="G27" i="116"/>
  <c r="B26" i="116"/>
  <c r="Q28" i="116"/>
  <c r="D28" i="116"/>
  <c r="Y28" i="116"/>
  <c r="I28" i="116"/>
  <c r="AA28" i="116"/>
  <c r="S28" i="116"/>
  <c r="C28" i="116"/>
  <c r="V27" i="116"/>
  <c r="N27" i="116"/>
  <c r="F27" i="116"/>
  <c r="Y26" i="116"/>
  <c r="Q26" i="116"/>
  <c r="I26" i="116"/>
  <c r="X28" i="116"/>
  <c r="AA27" i="116"/>
  <c r="S27" i="116"/>
  <c r="C27" i="116"/>
  <c r="V26" i="116"/>
  <c r="N26" i="116"/>
  <c r="F26" i="116"/>
  <c r="D26" i="116"/>
  <c r="L26" i="116"/>
  <c r="R28" i="116"/>
  <c r="J28" i="116"/>
  <c r="U27" i="116"/>
  <c r="M27" i="116"/>
  <c r="E27" i="116"/>
  <c r="X26" i="116"/>
  <c r="U26" i="116"/>
  <c r="C33" i="116" s="1"/>
  <c r="M26" i="116"/>
  <c r="E26" i="116"/>
  <c r="DJ32" i="15" a="1"/>
  <c r="DJ32" i="15" s="1"/>
  <c r="DH32" i="15" a="1"/>
  <c r="DH32" i="15" s="1"/>
  <c r="DJ6" i="15" a="1"/>
  <c r="DJ6" i="15" s="1"/>
  <c r="DH6" i="15" a="1"/>
  <c r="DH6" i="15" s="1"/>
  <c r="DH12" i="15" a="1"/>
  <c r="DH12" i="15" s="1"/>
  <c r="DJ11" i="15" a="1"/>
  <c r="DJ11" i="15" s="1"/>
  <c r="DH11" i="15" a="1"/>
  <c r="DH11" i="15" s="1"/>
  <c r="EE58" i="15"/>
  <c r="ED58" i="15"/>
  <c r="EC58" i="15"/>
  <c r="EB58" i="15"/>
  <c r="EA58" i="15"/>
  <c r="DZ58" i="15"/>
  <c r="DY58" i="15"/>
  <c r="DX58" i="15"/>
  <c r="DW58" i="15"/>
  <c r="DV58" i="15"/>
  <c r="DU58" i="15"/>
  <c r="DT58" i="15"/>
  <c r="DS58" i="15"/>
  <c r="DR58" i="15"/>
  <c r="DQ58" i="15"/>
  <c r="DP58" i="15"/>
  <c r="DO58" i="15"/>
  <c r="DN58" i="15"/>
  <c r="AL58" i="15"/>
  <c r="AK58" i="15"/>
  <c r="AJ58" i="15"/>
  <c r="AI58" i="15"/>
  <c r="AH58" i="15"/>
  <c r="AG58" i="15"/>
  <c r="AF58" i="15"/>
  <c r="AE58" i="15"/>
  <c r="AD58" i="15"/>
  <c r="AC58" i="15"/>
  <c r="AB58" i="15"/>
  <c r="AA58" i="15"/>
  <c r="Z58" i="15"/>
  <c r="Y58" i="15"/>
  <c r="X58" i="15"/>
  <c r="W58" i="15"/>
  <c r="V58" i="15"/>
  <c r="B215" i="131"/>
  <c r="C215" i="131"/>
  <c r="C214" i="131"/>
  <c r="EE57" i="15"/>
  <c r="ED57" i="15"/>
  <c r="EC57" i="15"/>
  <c r="EB57" i="15"/>
  <c r="EA57" i="15"/>
  <c r="DZ57" i="15"/>
  <c r="DY57" i="15"/>
  <c r="DX57" i="15"/>
  <c r="DW57" i="15"/>
  <c r="DV57" i="15"/>
  <c r="DU57" i="15"/>
  <c r="DT57" i="15"/>
  <c r="DS57" i="15"/>
  <c r="DR57" i="15"/>
  <c r="DQ57" i="15"/>
  <c r="DP57" i="15"/>
  <c r="DO57" i="15"/>
  <c r="DN57" i="15"/>
  <c r="AL57" i="15"/>
  <c r="AK57" i="15"/>
  <c r="AJ57" i="15"/>
  <c r="AI57" i="15"/>
  <c r="AH57" i="15"/>
  <c r="AG57" i="15"/>
  <c r="AF57" i="15"/>
  <c r="AE57" i="15"/>
  <c r="AD57" i="15"/>
  <c r="AC57" i="15"/>
  <c r="AB57" i="15"/>
  <c r="AA57" i="15"/>
  <c r="Z57" i="15"/>
  <c r="Y57" i="15"/>
  <c r="X57" i="15"/>
  <c r="W57" i="15"/>
  <c r="V57" i="15"/>
  <c r="EE56" i="15"/>
  <c r="ED56" i="15"/>
  <c r="EC56" i="15"/>
  <c r="EB56" i="15"/>
  <c r="EA56" i="15"/>
  <c r="DZ56" i="15"/>
  <c r="DY56" i="15"/>
  <c r="DX56" i="15"/>
  <c r="DW56" i="15"/>
  <c r="DV56" i="15"/>
  <c r="DU56" i="15"/>
  <c r="DT56" i="15"/>
  <c r="DS56" i="15"/>
  <c r="DR56" i="15"/>
  <c r="DQ56" i="15"/>
  <c r="DP56" i="15"/>
  <c r="DO56" i="15"/>
  <c r="DN56" i="15"/>
  <c r="AL56" i="15"/>
  <c r="AK56" i="15"/>
  <c r="AJ56" i="15"/>
  <c r="AI56" i="15"/>
  <c r="AH56" i="15"/>
  <c r="AG56" i="15"/>
  <c r="AF56" i="15"/>
  <c r="AE56" i="15"/>
  <c r="AD56" i="15"/>
  <c r="AC56" i="15"/>
  <c r="AB56" i="15"/>
  <c r="AA56" i="15"/>
  <c r="Z56" i="15"/>
  <c r="Y56" i="15"/>
  <c r="X56" i="15"/>
  <c r="W56" i="15"/>
  <c r="V56" i="15"/>
  <c r="EE55" i="15"/>
  <c r="ED55" i="15"/>
  <c r="EC55" i="15"/>
  <c r="EB55" i="15"/>
  <c r="EA55" i="15"/>
  <c r="DZ55" i="15"/>
  <c r="DY55" i="15"/>
  <c r="DX55" i="15"/>
  <c r="DW55" i="15"/>
  <c r="DV55" i="15"/>
  <c r="DU55" i="15"/>
  <c r="DT55" i="15"/>
  <c r="DS55" i="15"/>
  <c r="DR55" i="15"/>
  <c r="DQ55" i="15"/>
  <c r="DP55" i="15"/>
  <c r="DO55" i="15"/>
  <c r="DN55" i="15"/>
  <c r="AL55" i="15"/>
  <c r="AK55" i="15"/>
  <c r="AJ55" i="15"/>
  <c r="AI55" i="15"/>
  <c r="AH55" i="15"/>
  <c r="AG55" i="15"/>
  <c r="AF55" i="15"/>
  <c r="AE55" i="15"/>
  <c r="AD55" i="15"/>
  <c r="AC55" i="15"/>
  <c r="AB55" i="15"/>
  <c r="AA55" i="15"/>
  <c r="Z55" i="15"/>
  <c r="Y55" i="15"/>
  <c r="X55" i="15"/>
  <c r="W55" i="15"/>
  <c r="V55" i="15"/>
  <c r="EE54" i="15"/>
  <c r="ED54" i="15"/>
  <c r="EC54" i="15"/>
  <c r="EB54" i="15"/>
  <c r="EA54" i="15"/>
  <c r="DZ54" i="15"/>
  <c r="DY54" i="15"/>
  <c r="DX54" i="15"/>
  <c r="DW54" i="15"/>
  <c r="DV54" i="15"/>
  <c r="DU54" i="15"/>
  <c r="DT54" i="15"/>
  <c r="DS54" i="15"/>
  <c r="DR54" i="15"/>
  <c r="DQ54" i="15"/>
  <c r="DP54" i="15"/>
  <c r="DO54" i="15"/>
  <c r="DN54" i="15"/>
  <c r="AL54" i="15"/>
  <c r="AK54" i="15"/>
  <c r="AJ54" i="15"/>
  <c r="AI54" i="15"/>
  <c r="AH54" i="15"/>
  <c r="AG54" i="15"/>
  <c r="AF54" i="15"/>
  <c r="AE54" i="15"/>
  <c r="AD54" i="15"/>
  <c r="AC54" i="15"/>
  <c r="AB54" i="15"/>
  <c r="AA54" i="15"/>
  <c r="Z54" i="15"/>
  <c r="Y54" i="15"/>
  <c r="X54" i="15"/>
  <c r="W54" i="15"/>
  <c r="V54" i="15"/>
  <c r="EE53" i="15"/>
  <c r="ED53" i="15"/>
  <c r="EC53" i="15"/>
  <c r="EB53" i="15"/>
  <c r="EA53" i="15"/>
  <c r="DZ53" i="15"/>
  <c r="DY53" i="15"/>
  <c r="DX53" i="15"/>
  <c r="DW53" i="15"/>
  <c r="DV53" i="15"/>
  <c r="DU53" i="15"/>
  <c r="DT53" i="15"/>
  <c r="DS53" i="15"/>
  <c r="DR53" i="15"/>
  <c r="DQ53" i="15"/>
  <c r="DP53" i="15"/>
  <c r="DO53" i="15"/>
  <c r="DN53" i="15"/>
  <c r="AL53" i="15"/>
  <c r="AK53" i="15"/>
  <c r="AJ53" i="15"/>
  <c r="AI53" i="15"/>
  <c r="AH53" i="15"/>
  <c r="AG53" i="15"/>
  <c r="AF53" i="15"/>
  <c r="AE53" i="15"/>
  <c r="AD53" i="15"/>
  <c r="AC53" i="15"/>
  <c r="AB53" i="15"/>
  <c r="AA53" i="15"/>
  <c r="Z53" i="15"/>
  <c r="Y53" i="15"/>
  <c r="X53" i="15"/>
  <c r="W53" i="15"/>
  <c r="V53" i="15"/>
  <c r="EE52" i="15"/>
  <c r="ED52" i="15"/>
  <c r="EC52" i="15"/>
  <c r="EB52" i="15"/>
  <c r="EA52" i="15"/>
  <c r="DZ52" i="15"/>
  <c r="DY52" i="15"/>
  <c r="DX52" i="15"/>
  <c r="DW52" i="15"/>
  <c r="DV52" i="15"/>
  <c r="DU52" i="15"/>
  <c r="DT52" i="15"/>
  <c r="DS52" i="15"/>
  <c r="DR52" i="15"/>
  <c r="DQ52" i="15"/>
  <c r="DP52" i="15"/>
  <c r="DO52" i="15"/>
  <c r="DN52" i="15"/>
  <c r="AL52" i="15"/>
  <c r="AK52" i="15"/>
  <c r="AJ52" i="15"/>
  <c r="AI52" i="15"/>
  <c r="AH52" i="15"/>
  <c r="AG52" i="15"/>
  <c r="AF52" i="15"/>
  <c r="AE52" i="15"/>
  <c r="AD52" i="15"/>
  <c r="AC52" i="15"/>
  <c r="AB52" i="15"/>
  <c r="AA52" i="15"/>
  <c r="Z52" i="15"/>
  <c r="Y52" i="15"/>
  <c r="X52" i="15"/>
  <c r="W52" i="15"/>
  <c r="V52" i="15"/>
  <c r="EE51" i="15"/>
  <c r="ED51" i="15"/>
  <c r="EC51" i="15"/>
  <c r="EB51" i="15"/>
  <c r="EA51" i="15"/>
  <c r="DZ51" i="15"/>
  <c r="DY51" i="15"/>
  <c r="DX51" i="15"/>
  <c r="DW51" i="15"/>
  <c r="DV51" i="15"/>
  <c r="DU51" i="15"/>
  <c r="DT51" i="15"/>
  <c r="DS51" i="15"/>
  <c r="DR51" i="15"/>
  <c r="DQ51" i="15"/>
  <c r="DP51" i="15"/>
  <c r="DO51" i="15"/>
  <c r="DN51" i="15"/>
  <c r="AL51" i="15"/>
  <c r="AK51" i="15"/>
  <c r="AJ51" i="15"/>
  <c r="AI51" i="15"/>
  <c r="AH51" i="15"/>
  <c r="AG51" i="15"/>
  <c r="AF51" i="15"/>
  <c r="AE51" i="15"/>
  <c r="AD51" i="15"/>
  <c r="AC51" i="15"/>
  <c r="AB51" i="15"/>
  <c r="AA51" i="15"/>
  <c r="Z51" i="15"/>
  <c r="Y51" i="15"/>
  <c r="X51" i="15"/>
  <c r="W51" i="15"/>
  <c r="V51" i="15"/>
  <c r="EE50" i="15"/>
  <c r="ED50" i="15"/>
  <c r="EC50" i="15"/>
  <c r="EB50" i="15"/>
  <c r="EA50" i="15"/>
  <c r="DZ50" i="15"/>
  <c r="DY50" i="15"/>
  <c r="DX50" i="15"/>
  <c r="DW50" i="15"/>
  <c r="DV50" i="15"/>
  <c r="DU50" i="15"/>
  <c r="DT50" i="15"/>
  <c r="DS50" i="15"/>
  <c r="DR50" i="15"/>
  <c r="DQ50" i="15"/>
  <c r="DP50" i="15"/>
  <c r="DO50" i="15"/>
  <c r="DN50" i="15"/>
  <c r="AL50" i="15"/>
  <c r="AK50" i="15"/>
  <c r="AJ50" i="15"/>
  <c r="AI50" i="15"/>
  <c r="AH50" i="15"/>
  <c r="AG50" i="15"/>
  <c r="AF50" i="15"/>
  <c r="AE50" i="15"/>
  <c r="AD50" i="15"/>
  <c r="AC50" i="15"/>
  <c r="AB50" i="15"/>
  <c r="AA50" i="15"/>
  <c r="Z50" i="15"/>
  <c r="Y50" i="15"/>
  <c r="X50" i="15"/>
  <c r="W50" i="15"/>
  <c r="V50" i="15"/>
  <c r="EE49" i="15"/>
  <c r="ED49" i="15"/>
  <c r="EC49" i="15"/>
  <c r="EB49" i="15"/>
  <c r="EA49" i="15"/>
  <c r="DZ49" i="15"/>
  <c r="DY49" i="15"/>
  <c r="DX49" i="15"/>
  <c r="DW49" i="15"/>
  <c r="DV49" i="15"/>
  <c r="DU49" i="15"/>
  <c r="DT49" i="15"/>
  <c r="DS49" i="15"/>
  <c r="DR49" i="15"/>
  <c r="DQ49" i="15"/>
  <c r="DP49" i="15"/>
  <c r="DO49" i="15"/>
  <c r="DN49" i="15"/>
  <c r="AL49" i="15"/>
  <c r="AK49" i="15"/>
  <c r="AJ49" i="15"/>
  <c r="AI49" i="15"/>
  <c r="AH49" i="15"/>
  <c r="AG49" i="15"/>
  <c r="AF49" i="15"/>
  <c r="AE49" i="15"/>
  <c r="AD49" i="15"/>
  <c r="AC49" i="15"/>
  <c r="AB49" i="15"/>
  <c r="AA49" i="15"/>
  <c r="Z49" i="15"/>
  <c r="Y49" i="15"/>
  <c r="X49" i="15"/>
  <c r="W49" i="15"/>
  <c r="V49" i="15"/>
  <c r="EE48" i="15"/>
  <c r="ED48" i="15"/>
  <c r="EC48" i="15"/>
  <c r="EB48" i="15"/>
  <c r="EA48" i="15"/>
  <c r="DZ48" i="15"/>
  <c r="DY48" i="15"/>
  <c r="DX48" i="15"/>
  <c r="DW48" i="15"/>
  <c r="DV48" i="15"/>
  <c r="DU48" i="15"/>
  <c r="DT48" i="15"/>
  <c r="DS48" i="15"/>
  <c r="DR48" i="15"/>
  <c r="DQ48" i="15"/>
  <c r="DP48" i="15"/>
  <c r="DO48" i="15"/>
  <c r="DN48" i="15"/>
  <c r="AL48" i="15"/>
  <c r="AK48" i="15"/>
  <c r="AJ48" i="15"/>
  <c r="AI48" i="15"/>
  <c r="AH48" i="15"/>
  <c r="AG48" i="15"/>
  <c r="AF48" i="15"/>
  <c r="AE48" i="15"/>
  <c r="AD48" i="15"/>
  <c r="AC48" i="15"/>
  <c r="AB48" i="15"/>
  <c r="AA48" i="15"/>
  <c r="Z48" i="15"/>
  <c r="Y48" i="15"/>
  <c r="X48" i="15"/>
  <c r="W48" i="15"/>
  <c r="V48" i="15"/>
  <c r="EE47" i="15"/>
  <c r="ED47" i="15"/>
  <c r="EC47" i="15"/>
  <c r="EB47" i="15"/>
  <c r="EA47" i="15"/>
  <c r="DZ47" i="15"/>
  <c r="DY47" i="15"/>
  <c r="DX47" i="15"/>
  <c r="DW47" i="15"/>
  <c r="DV47" i="15"/>
  <c r="DU47" i="15"/>
  <c r="DT47" i="15"/>
  <c r="DS47" i="15"/>
  <c r="DR47" i="15"/>
  <c r="DQ47" i="15"/>
  <c r="DP47" i="15"/>
  <c r="DO47" i="15"/>
  <c r="DN47" i="15"/>
  <c r="AL47" i="15"/>
  <c r="AK47" i="15"/>
  <c r="AJ47" i="15"/>
  <c r="AI47" i="15"/>
  <c r="AH47" i="15"/>
  <c r="AG47" i="15"/>
  <c r="AF47" i="15"/>
  <c r="AE47" i="15"/>
  <c r="AD47" i="15"/>
  <c r="AC47" i="15"/>
  <c r="AB47" i="15"/>
  <c r="AA47" i="15"/>
  <c r="Z47" i="15"/>
  <c r="Y47" i="15"/>
  <c r="X47" i="15"/>
  <c r="W47" i="15"/>
  <c r="V47" i="15"/>
  <c r="EE46" i="15"/>
  <c r="ED46" i="15"/>
  <c r="EC46" i="15"/>
  <c r="EB46" i="15"/>
  <c r="EA46" i="15"/>
  <c r="DZ46" i="15"/>
  <c r="DY46" i="15"/>
  <c r="DX46" i="15"/>
  <c r="DW46" i="15"/>
  <c r="DV46" i="15"/>
  <c r="DU46" i="15"/>
  <c r="DT46" i="15"/>
  <c r="DS46" i="15"/>
  <c r="DR46" i="15"/>
  <c r="DQ46" i="15"/>
  <c r="DP46" i="15"/>
  <c r="DO46" i="15"/>
  <c r="DN46" i="15"/>
  <c r="AL46" i="15"/>
  <c r="AK46" i="15"/>
  <c r="AJ46" i="15"/>
  <c r="AI46" i="15"/>
  <c r="AH46" i="15"/>
  <c r="AG46" i="15"/>
  <c r="AF46" i="15"/>
  <c r="AE46" i="15"/>
  <c r="AD46" i="15"/>
  <c r="AC46" i="15"/>
  <c r="AB46" i="15"/>
  <c r="AA46" i="15"/>
  <c r="Z46" i="15"/>
  <c r="Y46" i="15"/>
  <c r="X46" i="15"/>
  <c r="W46" i="15"/>
  <c r="V46" i="15"/>
  <c r="V42" i="15"/>
  <c r="W42" i="15"/>
  <c r="X42" i="15"/>
  <c r="Y42" i="15"/>
  <c r="Z42" i="15"/>
  <c r="AA42" i="15"/>
  <c r="AB42" i="15"/>
  <c r="AC42" i="15"/>
  <c r="AD42" i="15"/>
  <c r="AE42" i="15"/>
  <c r="AF42" i="15"/>
  <c r="AG42" i="15"/>
  <c r="AH42" i="15"/>
  <c r="AI42" i="15"/>
  <c r="AJ42" i="15"/>
  <c r="AK42" i="15"/>
  <c r="AL42" i="15"/>
  <c r="DN42" i="15"/>
  <c r="DO42" i="15"/>
  <c r="DP42" i="15"/>
  <c r="DQ42" i="15"/>
  <c r="DR42" i="15"/>
  <c r="DS42" i="15"/>
  <c r="DT42" i="15"/>
  <c r="DU42" i="15"/>
  <c r="DV42" i="15"/>
  <c r="DW42" i="15"/>
  <c r="DX42" i="15"/>
  <c r="DY42" i="15"/>
  <c r="DZ42" i="15"/>
  <c r="EA42" i="15"/>
  <c r="EB42" i="15"/>
  <c r="EC42" i="15"/>
  <c r="ED42" i="15"/>
  <c r="EE42" i="15"/>
  <c r="V43" i="15"/>
  <c r="W43" i="15"/>
  <c r="X43" i="15"/>
  <c r="Y43" i="15"/>
  <c r="Z43" i="15"/>
  <c r="AA43" i="15"/>
  <c r="AB43" i="15"/>
  <c r="AC43" i="15"/>
  <c r="AD43" i="15"/>
  <c r="AE43" i="15"/>
  <c r="AF43" i="15"/>
  <c r="AG43" i="15"/>
  <c r="AH43" i="15"/>
  <c r="AI43" i="15"/>
  <c r="AJ43" i="15"/>
  <c r="AK43" i="15"/>
  <c r="AL43" i="15"/>
  <c r="DN43" i="15"/>
  <c r="DO43" i="15"/>
  <c r="DP43" i="15"/>
  <c r="DQ43" i="15"/>
  <c r="DR43" i="15"/>
  <c r="DS43" i="15"/>
  <c r="DT43" i="15"/>
  <c r="DU43" i="15"/>
  <c r="DV43" i="15"/>
  <c r="DW43" i="15"/>
  <c r="DX43" i="15"/>
  <c r="DY43" i="15"/>
  <c r="DZ43" i="15"/>
  <c r="EA43" i="15"/>
  <c r="EB43" i="15"/>
  <c r="EC43" i="15"/>
  <c r="ED43" i="15"/>
  <c r="EE43" i="15"/>
  <c r="V44" i="15"/>
  <c r="W44" i="15"/>
  <c r="X44" i="15"/>
  <c r="Y44" i="15"/>
  <c r="Z44" i="15"/>
  <c r="AA44" i="15"/>
  <c r="AB44" i="15"/>
  <c r="AC44" i="15"/>
  <c r="AD44" i="15"/>
  <c r="AE44" i="15"/>
  <c r="AF44" i="15"/>
  <c r="AG44" i="15"/>
  <c r="AH44" i="15"/>
  <c r="AI44" i="15"/>
  <c r="AJ44" i="15"/>
  <c r="AK44" i="15"/>
  <c r="AL44" i="15"/>
  <c r="DN44" i="15"/>
  <c r="DO44" i="15"/>
  <c r="DP44" i="15"/>
  <c r="DQ44" i="15"/>
  <c r="DR44" i="15"/>
  <c r="DS44" i="15"/>
  <c r="DT44" i="15"/>
  <c r="DU44" i="15"/>
  <c r="DV44" i="15"/>
  <c r="DW44" i="15"/>
  <c r="DX44" i="15"/>
  <c r="DY44" i="15"/>
  <c r="DZ44" i="15"/>
  <c r="EA44" i="15"/>
  <c r="EB44" i="15"/>
  <c r="EC44" i="15"/>
  <c r="ED44" i="15"/>
  <c r="EE44" i="15"/>
  <c r="V45" i="15"/>
  <c r="W45" i="15"/>
  <c r="X45" i="15"/>
  <c r="Y45" i="15"/>
  <c r="Z45" i="15"/>
  <c r="AA45" i="15"/>
  <c r="AB45" i="15"/>
  <c r="AC45" i="15"/>
  <c r="AD45" i="15"/>
  <c r="AE45" i="15"/>
  <c r="AF45" i="15"/>
  <c r="AG45" i="15"/>
  <c r="AH45" i="15"/>
  <c r="AI45" i="15"/>
  <c r="AJ45" i="15"/>
  <c r="AK45" i="15"/>
  <c r="AL45" i="15"/>
  <c r="DN45" i="15"/>
  <c r="DO45" i="15"/>
  <c r="DP45" i="15"/>
  <c r="DQ45" i="15"/>
  <c r="DR45" i="15"/>
  <c r="DS45" i="15"/>
  <c r="DT45" i="15"/>
  <c r="DU45" i="15"/>
  <c r="DV45" i="15"/>
  <c r="DW45" i="15"/>
  <c r="DX45" i="15"/>
  <c r="DY45" i="15"/>
  <c r="DZ45" i="15"/>
  <c r="EA45" i="15"/>
  <c r="EB45" i="15"/>
  <c r="EC45" i="15"/>
  <c r="ED45" i="15"/>
  <c r="EE45" i="15"/>
  <c r="V3" i="15"/>
  <c r="W3" i="15"/>
  <c r="X3" i="15"/>
  <c r="Y3" i="15"/>
  <c r="Z3" i="15"/>
  <c r="AA3" i="15"/>
  <c r="AB3" i="15"/>
  <c r="AC3" i="15"/>
  <c r="AD3" i="15"/>
  <c r="AE3" i="15"/>
  <c r="AF3" i="15"/>
  <c r="AG3" i="15"/>
  <c r="AH3" i="15"/>
  <c r="AI3" i="15"/>
  <c r="AJ3" i="15"/>
  <c r="AK3" i="15"/>
  <c r="AL3" i="15"/>
  <c r="V4" i="15"/>
  <c r="W4" i="15"/>
  <c r="X4" i="15"/>
  <c r="Y4" i="15"/>
  <c r="Z4" i="15"/>
  <c r="AA4" i="15"/>
  <c r="AB4" i="15"/>
  <c r="AC4" i="15"/>
  <c r="AD4" i="15"/>
  <c r="AE4" i="15"/>
  <c r="AF4" i="15"/>
  <c r="AG4" i="15"/>
  <c r="AH4" i="15"/>
  <c r="AI4" i="15"/>
  <c r="AJ4" i="15"/>
  <c r="AK4" i="15"/>
  <c r="AL4" i="15"/>
  <c r="V5" i="15"/>
  <c r="W5" i="15"/>
  <c r="X5" i="15"/>
  <c r="Y5" i="15"/>
  <c r="Z5" i="15"/>
  <c r="AA5" i="15"/>
  <c r="AB5" i="15"/>
  <c r="AC5" i="15"/>
  <c r="AD5" i="15"/>
  <c r="AE5" i="15"/>
  <c r="AF5" i="15"/>
  <c r="AG5" i="15"/>
  <c r="AH5" i="15"/>
  <c r="AI5" i="15"/>
  <c r="AJ5" i="15"/>
  <c r="AK5" i="15"/>
  <c r="AL5" i="15"/>
  <c r="V6" i="15"/>
  <c r="W6" i="15"/>
  <c r="X6" i="15"/>
  <c r="Y6" i="15"/>
  <c r="Z6" i="15"/>
  <c r="AA6" i="15"/>
  <c r="AB6" i="15"/>
  <c r="AC6" i="15"/>
  <c r="AD6" i="15"/>
  <c r="AE6" i="15"/>
  <c r="AF6" i="15"/>
  <c r="AG6" i="15"/>
  <c r="AH6" i="15"/>
  <c r="AI6" i="15"/>
  <c r="AJ6" i="15"/>
  <c r="AK6" i="15"/>
  <c r="AL6" i="15"/>
  <c r="V7" i="15"/>
  <c r="W7" i="15"/>
  <c r="X7" i="15"/>
  <c r="Y7" i="15"/>
  <c r="Z7" i="15"/>
  <c r="AA7" i="15"/>
  <c r="AB7" i="15"/>
  <c r="AC7" i="15"/>
  <c r="AD7" i="15"/>
  <c r="AE7" i="15"/>
  <c r="AF7" i="15"/>
  <c r="AG7" i="15"/>
  <c r="AH7" i="15"/>
  <c r="AI7" i="15"/>
  <c r="AJ7" i="15"/>
  <c r="AK7" i="15"/>
  <c r="AL7" i="15"/>
  <c r="V8" i="15"/>
  <c r="W8" i="15"/>
  <c r="X8" i="15"/>
  <c r="Y8" i="15"/>
  <c r="Z8" i="15"/>
  <c r="AA8" i="15"/>
  <c r="AB8" i="15"/>
  <c r="AC8" i="15"/>
  <c r="AD8" i="15"/>
  <c r="AE8" i="15"/>
  <c r="AF8" i="15"/>
  <c r="AG8" i="15"/>
  <c r="AH8" i="15"/>
  <c r="AI8" i="15"/>
  <c r="AJ8" i="15"/>
  <c r="AK8" i="15"/>
  <c r="AL8" i="15"/>
  <c r="V9" i="15"/>
  <c r="W9" i="15"/>
  <c r="X9" i="15"/>
  <c r="Y9" i="15"/>
  <c r="Z9" i="15"/>
  <c r="AA9" i="15"/>
  <c r="AB9" i="15"/>
  <c r="AC9" i="15"/>
  <c r="AD9" i="15"/>
  <c r="AE9" i="15"/>
  <c r="AF9" i="15"/>
  <c r="AG9" i="15"/>
  <c r="AH9" i="15"/>
  <c r="AI9" i="15"/>
  <c r="AJ9" i="15"/>
  <c r="AK9" i="15"/>
  <c r="AL9" i="15"/>
  <c r="V10" i="15"/>
  <c r="W10" i="15"/>
  <c r="X10" i="15"/>
  <c r="Y10" i="15"/>
  <c r="Z10" i="15"/>
  <c r="AA10" i="15"/>
  <c r="AB10" i="15"/>
  <c r="AC10" i="15"/>
  <c r="AD10" i="15"/>
  <c r="AE10" i="15"/>
  <c r="AF10" i="15"/>
  <c r="AG10" i="15"/>
  <c r="AH10" i="15"/>
  <c r="AI10" i="15"/>
  <c r="AJ10" i="15"/>
  <c r="AK10" i="15"/>
  <c r="AL10" i="15"/>
  <c r="V11" i="15"/>
  <c r="W11" i="15"/>
  <c r="X11" i="15"/>
  <c r="Y11" i="15"/>
  <c r="Z11" i="15"/>
  <c r="AA11" i="15"/>
  <c r="AB11" i="15"/>
  <c r="AC11" i="15"/>
  <c r="AD11" i="15"/>
  <c r="AE11" i="15"/>
  <c r="AF11" i="15"/>
  <c r="AG11" i="15"/>
  <c r="AH11" i="15"/>
  <c r="AI11" i="15"/>
  <c r="AJ11" i="15"/>
  <c r="AK11" i="15"/>
  <c r="AL11" i="15"/>
  <c r="V12" i="15"/>
  <c r="W12" i="15"/>
  <c r="X12" i="15"/>
  <c r="Y12" i="15"/>
  <c r="Z12" i="15"/>
  <c r="AA12" i="15"/>
  <c r="AB12" i="15"/>
  <c r="AC12" i="15"/>
  <c r="AD12" i="15"/>
  <c r="AE12" i="15"/>
  <c r="AF12" i="15"/>
  <c r="AG12" i="15"/>
  <c r="AH12" i="15"/>
  <c r="AI12" i="15"/>
  <c r="AJ12" i="15"/>
  <c r="AK12" i="15"/>
  <c r="AL12" i="15"/>
  <c r="V13" i="15"/>
  <c r="W13" i="15"/>
  <c r="X13" i="15"/>
  <c r="Y13" i="15"/>
  <c r="Z13" i="15"/>
  <c r="AA13" i="15"/>
  <c r="AB13" i="15"/>
  <c r="AC13" i="15"/>
  <c r="AD13" i="15"/>
  <c r="AE13" i="15"/>
  <c r="AF13" i="15"/>
  <c r="AG13" i="15"/>
  <c r="AH13" i="15"/>
  <c r="AI13" i="15"/>
  <c r="AJ13" i="15"/>
  <c r="AK13" i="15"/>
  <c r="AL13" i="15"/>
  <c r="V14" i="15"/>
  <c r="W14" i="15"/>
  <c r="X14" i="15"/>
  <c r="Y14" i="15"/>
  <c r="Z14" i="15"/>
  <c r="AA14" i="15"/>
  <c r="AB14" i="15"/>
  <c r="AC14" i="15"/>
  <c r="AD14" i="15"/>
  <c r="AE14" i="15"/>
  <c r="AF14" i="15"/>
  <c r="AG14" i="15"/>
  <c r="AH14" i="15"/>
  <c r="AI14" i="15"/>
  <c r="AJ14" i="15"/>
  <c r="AK14" i="15"/>
  <c r="AL14" i="15"/>
  <c r="V15" i="15"/>
  <c r="W15" i="15"/>
  <c r="X15" i="15"/>
  <c r="Y15" i="15"/>
  <c r="Z15" i="15"/>
  <c r="AA15" i="15"/>
  <c r="AB15" i="15"/>
  <c r="AC15" i="15"/>
  <c r="AD15" i="15"/>
  <c r="AE15" i="15"/>
  <c r="AF15" i="15"/>
  <c r="AG15" i="15"/>
  <c r="AH15" i="15"/>
  <c r="AI15" i="15"/>
  <c r="AJ15" i="15"/>
  <c r="AK15" i="15"/>
  <c r="AL15" i="15"/>
  <c r="V16" i="15"/>
  <c r="W16" i="15"/>
  <c r="X16" i="15"/>
  <c r="Y16" i="15"/>
  <c r="Z16" i="15"/>
  <c r="AA16" i="15"/>
  <c r="AB16" i="15"/>
  <c r="AC16" i="15"/>
  <c r="AD16" i="15"/>
  <c r="AE16" i="15"/>
  <c r="AF16" i="15"/>
  <c r="AG16" i="15"/>
  <c r="AH16" i="15"/>
  <c r="AI16" i="15"/>
  <c r="AJ16" i="15"/>
  <c r="AK16" i="15"/>
  <c r="AL16" i="15"/>
  <c r="V17" i="15"/>
  <c r="W17" i="15"/>
  <c r="X17" i="15"/>
  <c r="Y17" i="15"/>
  <c r="Z17" i="15"/>
  <c r="AA17" i="15"/>
  <c r="AB17" i="15"/>
  <c r="AC17" i="15"/>
  <c r="AD17" i="15"/>
  <c r="AE17" i="15"/>
  <c r="AF17" i="15"/>
  <c r="AG17" i="15"/>
  <c r="AH17" i="15"/>
  <c r="AI17" i="15"/>
  <c r="AJ17" i="15"/>
  <c r="AK17" i="15"/>
  <c r="AL17" i="15"/>
  <c r="V18" i="15"/>
  <c r="W18" i="15"/>
  <c r="X18" i="15"/>
  <c r="Y18" i="15"/>
  <c r="Z18" i="15"/>
  <c r="AA18" i="15"/>
  <c r="AB18" i="15"/>
  <c r="AC18" i="15"/>
  <c r="AD18" i="15"/>
  <c r="AE18" i="15"/>
  <c r="AF18" i="15"/>
  <c r="AG18" i="15"/>
  <c r="AH18" i="15"/>
  <c r="AI18" i="15"/>
  <c r="AJ18" i="15"/>
  <c r="AK18" i="15"/>
  <c r="AL18" i="15"/>
  <c r="V19" i="15"/>
  <c r="W19" i="15"/>
  <c r="X19" i="15"/>
  <c r="Y19" i="15"/>
  <c r="Z19" i="15"/>
  <c r="AA19" i="15"/>
  <c r="AB19" i="15"/>
  <c r="AC19" i="15"/>
  <c r="AD19" i="15"/>
  <c r="AE19" i="15"/>
  <c r="AF19" i="15"/>
  <c r="AG19" i="15"/>
  <c r="AH19" i="15"/>
  <c r="AI19" i="15"/>
  <c r="AJ19" i="15"/>
  <c r="AK19" i="15"/>
  <c r="AL19" i="15"/>
  <c r="V20" i="15"/>
  <c r="W20" i="15"/>
  <c r="X20" i="15"/>
  <c r="Y20" i="15"/>
  <c r="Z20" i="15"/>
  <c r="AA20" i="15"/>
  <c r="AB20" i="15"/>
  <c r="AC20" i="15"/>
  <c r="AD20" i="15"/>
  <c r="AE20" i="15"/>
  <c r="AF20" i="15"/>
  <c r="AG20" i="15"/>
  <c r="AH20" i="15"/>
  <c r="AI20" i="15"/>
  <c r="AJ20" i="15"/>
  <c r="AK20" i="15"/>
  <c r="AL20" i="15"/>
  <c r="V21" i="15"/>
  <c r="W21" i="15"/>
  <c r="X21" i="15"/>
  <c r="Y21" i="15"/>
  <c r="Z21" i="15"/>
  <c r="AA21" i="15"/>
  <c r="AB21" i="15"/>
  <c r="AC21" i="15"/>
  <c r="AD21" i="15"/>
  <c r="AE21" i="15"/>
  <c r="AF21" i="15"/>
  <c r="AG21" i="15"/>
  <c r="AH21" i="15"/>
  <c r="AI21" i="15"/>
  <c r="AJ21" i="15"/>
  <c r="AK21" i="15"/>
  <c r="AL21" i="15"/>
  <c r="V22" i="15"/>
  <c r="W22" i="15"/>
  <c r="X22" i="15"/>
  <c r="Y22" i="15"/>
  <c r="Z22" i="15"/>
  <c r="AA22" i="15"/>
  <c r="AB22" i="15"/>
  <c r="AC22" i="15"/>
  <c r="AD22" i="15"/>
  <c r="AE22" i="15"/>
  <c r="AF22" i="15"/>
  <c r="AG22" i="15"/>
  <c r="AH22" i="15"/>
  <c r="AI22" i="15"/>
  <c r="AJ22" i="15"/>
  <c r="AK22" i="15"/>
  <c r="AL22" i="15"/>
  <c r="V23" i="15"/>
  <c r="W23" i="15"/>
  <c r="X23" i="15"/>
  <c r="Y23" i="15"/>
  <c r="Z23" i="15"/>
  <c r="AA23" i="15"/>
  <c r="AB23" i="15"/>
  <c r="AC23" i="15"/>
  <c r="AD23" i="15"/>
  <c r="AE23" i="15"/>
  <c r="AF23" i="15"/>
  <c r="AG23" i="15"/>
  <c r="AH23" i="15"/>
  <c r="AI23" i="15"/>
  <c r="AJ23" i="15"/>
  <c r="AK23" i="15"/>
  <c r="AL23" i="15"/>
  <c r="V24" i="15"/>
  <c r="W24" i="15"/>
  <c r="X24" i="15"/>
  <c r="Y24" i="15"/>
  <c r="Z24" i="15"/>
  <c r="AA24" i="15"/>
  <c r="AB24" i="15"/>
  <c r="AC24" i="15"/>
  <c r="AD24" i="15"/>
  <c r="AE24" i="15"/>
  <c r="AF24" i="15"/>
  <c r="AG24" i="15"/>
  <c r="AH24" i="15"/>
  <c r="AI24" i="15"/>
  <c r="AJ24" i="15"/>
  <c r="AK24" i="15"/>
  <c r="AL24" i="15"/>
  <c r="V25" i="15"/>
  <c r="W25" i="15"/>
  <c r="X25" i="15"/>
  <c r="Y25" i="15"/>
  <c r="Z25" i="15"/>
  <c r="AA25" i="15"/>
  <c r="AB25" i="15"/>
  <c r="AC25" i="15"/>
  <c r="AD25" i="15"/>
  <c r="AE25" i="15"/>
  <c r="AF25" i="15"/>
  <c r="AG25" i="15"/>
  <c r="AH25" i="15"/>
  <c r="AI25" i="15"/>
  <c r="AJ25" i="15"/>
  <c r="AK25" i="15"/>
  <c r="AL25" i="15"/>
  <c r="V26" i="15"/>
  <c r="W26" i="15"/>
  <c r="X26" i="15"/>
  <c r="Y26" i="15"/>
  <c r="Z26" i="15"/>
  <c r="AA26" i="15"/>
  <c r="AB26" i="15"/>
  <c r="AC26" i="15"/>
  <c r="AD26" i="15"/>
  <c r="AE26" i="15"/>
  <c r="AF26" i="15"/>
  <c r="AG26" i="15"/>
  <c r="AH26" i="15"/>
  <c r="AI26" i="15"/>
  <c r="AJ26" i="15"/>
  <c r="AK26" i="15"/>
  <c r="AL26" i="15"/>
  <c r="V27" i="15"/>
  <c r="W27" i="15"/>
  <c r="X27" i="15"/>
  <c r="Y27" i="15"/>
  <c r="Z27" i="15"/>
  <c r="AA27" i="15"/>
  <c r="AB27" i="15"/>
  <c r="AC27" i="15"/>
  <c r="AD27" i="15"/>
  <c r="AE27" i="15"/>
  <c r="AF27" i="15"/>
  <c r="AG27" i="15"/>
  <c r="AH27" i="15"/>
  <c r="AI27" i="15"/>
  <c r="AJ27" i="15"/>
  <c r="AK27" i="15"/>
  <c r="AL27" i="15"/>
  <c r="V28" i="15"/>
  <c r="W28" i="15"/>
  <c r="X28" i="15"/>
  <c r="Y28" i="15"/>
  <c r="Z28" i="15"/>
  <c r="AA28" i="15"/>
  <c r="AB28" i="15"/>
  <c r="AC28" i="15"/>
  <c r="AD28" i="15"/>
  <c r="AE28" i="15"/>
  <c r="AF28" i="15"/>
  <c r="AG28" i="15"/>
  <c r="AH28" i="15"/>
  <c r="AI28" i="15"/>
  <c r="AJ28" i="15"/>
  <c r="AK28" i="15"/>
  <c r="AL28" i="15"/>
  <c r="V29" i="15"/>
  <c r="W29" i="15"/>
  <c r="X29" i="15"/>
  <c r="Y29" i="15"/>
  <c r="Z29" i="15"/>
  <c r="AA29" i="15"/>
  <c r="AB29" i="15"/>
  <c r="AC29" i="15"/>
  <c r="AD29" i="15"/>
  <c r="AE29" i="15"/>
  <c r="AF29" i="15"/>
  <c r="AG29" i="15"/>
  <c r="AH29" i="15"/>
  <c r="AI29" i="15"/>
  <c r="AJ29" i="15"/>
  <c r="AK29" i="15"/>
  <c r="AL29" i="15"/>
  <c r="V30" i="15"/>
  <c r="W30" i="15"/>
  <c r="X30" i="15"/>
  <c r="Y30" i="15"/>
  <c r="Z30" i="15"/>
  <c r="AA30" i="15"/>
  <c r="AB30" i="15"/>
  <c r="AC30" i="15"/>
  <c r="AD30" i="15"/>
  <c r="AE30" i="15"/>
  <c r="AF30" i="15"/>
  <c r="AG30" i="15"/>
  <c r="AH30" i="15"/>
  <c r="AI30" i="15"/>
  <c r="AJ30" i="15"/>
  <c r="AK30" i="15"/>
  <c r="AL30" i="15"/>
  <c r="V31" i="15"/>
  <c r="W31" i="15"/>
  <c r="X31" i="15"/>
  <c r="Y31" i="15"/>
  <c r="Z31" i="15"/>
  <c r="AA31" i="15"/>
  <c r="AB31" i="15"/>
  <c r="AC31" i="15"/>
  <c r="AD31" i="15"/>
  <c r="AE31" i="15"/>
  <c r="AF31" i="15"/>
  <c r="AG31" i="15"/>
  <c r="AH31" i="15"/>
  <c r="AI31" i="15"/>
  <c r="AJ31" i="15"/>
  <c r="AK31" i="15"/>
  <c r="AL31" i="15"/>
  <c r="V32" i="15"/>
  <c r="W32" i="15"/>
  <c r="X32" i="15"/>
  <c r="Y32" i="15"/>
  <c r="Z32" i="15"/>
  <c r="AA32" i="15"/>
  <c r="AB32" i="15"/>
  <c r="AC32" i="15"/>
  <c r="AD32" i="15"/>
  <c r="AE32" i="15"/>
  <c r="AF32" i="15"/>
  <c r="AG32" i="15"/>
  <c r="AH32" i="15"/>
  <c r="AI32" i="15"/>
  <c r="AJ32" i="15"/>
  <c r="AK32" i="15"/>
  <c r="AL32" i="15"/>
  <c r="V33" i="15"/>
  <c r="W33" i="15"/>
  <c r="X33" i="15"/>
  <c r="Y33" i="15"/>
  <c r="Z33" i="15"/>
  <c r="AA33" i="15"/>
  <c r="AB33" i="15"/>
  <c r="AC33" i="15"/>
  <c r="AD33" i="15"/>
  <c r="AE33" i="15"/>
  <c r="AF33" i="15"/>
  <c r="AG33" i="15"/>
  <c r="AH33" i="15"/>
  <c r="AI33" i="15"/>
  <c r="AJ33" i="15"/>
  <c r="AK33" i="15"/>
  <c r="AL33" i="15"/>
  <c r="V34" i="15"/>
  <c r="W34" i="15"/>
  <c r="X34" i="15"/>
  <c r="Y34" i="15"/>
  <c r="Z34" i="15"/>
  <c r="AA34" i="15"/>
  <c r="AB34" i="15"/>
  <c r="AC34" i="15"/>
  <c r="AD34" i="15"/>
  <c r="AE34" i="15"/>
  <c r="AF34" i="15"/>
  <c r="AG34" i="15"/>
  <c r="AH34" i="15"/>
  <c r="AI34" i="15"/>
  <c r="AJ34" i="15"/>
  <c r="AK34" i="15"/>
  <c r="AL34" i="15"/>
  <c r="V35" i="15"/>
  <c r="W35" i="15"/>
  <c r="X35" i="15"/>
  <c r="Y35" i="15"/>
  <c r="Z35" i="15"/>
  <c r="AA35" i="15"/>
  <c r="AB35" i="15"/>
  <c r="AC35" i="15"/>
  <c r="AD35" i="15"/>
  <c r="AE35" i="15"/>
  <c r="AF35" i="15"/>
  <c r="AG35" i="15"/>
  <c r="AH35" i="15"/>
  <c r="AI35" i="15"/>
  <c r="AJ35" i="15"/>
  <c r="AK35" i="15"/>
  <c r="AL35" i="15"/>
  <c r="V36" i="15"/>
  <c r="W36" i="15"/>
  <c r="X36" i="15"/>
  <c r="Y36" i="15"/>
  <c r="Z36" i="15"/>
  <c r="AA36" i="15"/>
  <c r="AB36" i="15"/>
  <c r="AC36" i="15"/>
  <c r="AD36" i="15"/>
  <c r="AE36" i="15"/>
  <c r="AF36" i="15"/>
  <c r="AG36" i="15"/>
  <c r="AH36" i="15"/>
  <c r="AI36" i="15"/>
  <c r="AJ36" i="15"/>
  <c r="AK36" i="15"/>
  <c r="AL36" i="15"/>
  <c r="V37" i="15"/>
  <c r="W37" i="15"/>
  <c r="X37" i="15"/>
  <c r="Y37" i="15"/>
  <c r="Z37" i="15"/>
  <c r="AA37" i="15"/>
  <c r="AB37" i="15"/>
  <c r="AC37" i="15"/>
  <c r="AD37" i="15"/>
  <c r="AE37" i="15"/>
  <c r="AF37" i="15"/>
  <c r="AG37" i="15"/>
  <c r="AH37" i="15"/>
  <c r="AI37" i="15"/>
  <c r="AJ37" i="15"/>
  <c r="AK37" i="15"/>
  <c r="AL37" i="15"/>
  <c r="V38" i="15"/>
  <c r="W38" i="15"/>
  <c r="X38" i="15"/>
  <c r="Y38" i="15"/>
  <c r="Z38" i="15"/>
  <c r="AA38" i="15"/>
  <c r="AB38" i="15"/>
  <c r="AC38" i="15"/>
  <c r="AD38" i="15"/>
  <c r="AE38" i="15"/>
  <c r="AF38" i="15"/>
  <c r="AG38" i="15"/>
  <c r="AH38" i="15"/>
  <c r="AI38" i="15"/>
  <c r="AJ38" i="15"/>
  <c r="AK38" i="15"/>
  <c r="AL38" i="15"/>
  <c r="V39" i="15"/>
  <c r="W39" i="15"/>
  <c r="X39" i="15"/>
  <c r="Y39" i="15"/>
  <c r="Z39" i="15"/>
  <c r="AA39" i="15"/>
  <c r="AB39" i="15"/>
  <c r="AC39" i="15"/>
  <c r="AD39" i="15"/>
  <c r="AE39" i="15"/>
  <c r="AF39" i="15"/>
  <c r="AG39" i="15"/>
  <c r="AH39" i="15"/>
  <c r="AI39" i="15"/>
  <c r="AJ39" i="15"/>
  <c r="AK39" i="15"/>
  <c r="AL39" i="15"/>
  <c r="V40" i="15"/>
  <c r="W40" i="15"/>
  <c r="X40" i="15"/>
  <c r="Y40" i="15"/>
  <c r="Z40" i="15"/>
  <c r="AA40" i="15"/>
  <c r="AB40" i="15"/>
  <c r="AC40" i="15"/>
  <c r="AD40" i="15"/>
  <c r="AE40" i="15"/>
  <c r="AF40" i="15"/>
  <c r="AG40" i="15"/>
  <c r="AH40" i="15"/>
  <c r="AI40" i="15"/>
  <c r="AJ40" i="15"/>
  <c r="AK40" i="15"/>
  <c r="AL40" i="15"/>
  <c r="V41" i="15"/>
  <c r="W41" i="15"/>
  <c r="X41" i="15"/>
  <c r="Y41" i="15"/>
  <c r="Z41" i="15"/>
  <c r="AA41" i="15"/>
  <c r="AB41" i="15"/>
  <c r="AC41" i="15"/>
  <c r="AD41" i="15"/>
  <c r="AE41" i="15"/>
  <c r="AF41" i="15"/>
  <c r="AG41" i="15"/>
  <c r="AH41" i="15"/>
  <c r="AI41" i="15"/>
  <c r="AJ41" i="15"/>
  <c r="AK41" i="15"/>
  <c r="AL41" i="15"/>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C205" i="131"/>
  <c r="A3" i="132"/>
  <c r="A4" i="132"/>
  <c r="A5" i="132" s="1"/>
  <c r="A6" i="132" s="1"/>
  <c r="A7" i="132" s="1"/>
  <c r="A8" i="132" s="1"/>
  <c r="A9" i="132" s="1"/>
  <c r="A10" i="132" s="1"/>
  <c r="A11" i="132" s="1"/>
  <c r="A12" i="132" s="1"/>
  <c r="A13" i="132" s="1"/>
  <c r="A14" i="132" s="1"/>
  <c r="A15" i="132" s="1"/>
  <c r="A16" i="132" s="1"/>
  <c r="A17" i="132" s="1"/>
  <c r="A18" i="132" s="1"/>
  <c r="A19" i="132" s="1"/>
  <c r="A20" i="132" s="1"/>
  <c r="A21" i="132" s="1"/>
  <c r="A22" i="132" s="1"/>
  <c r="A23" i="132" s="1"/>
  <c r="A24" i="132" s="1"/>
  <c r="A25" i="132" s="1"/>
  <c r="A26" i="132" s="1"/>
  <c r="A27" i="132" s="1"/>
  <c r="A28" i="132" s="1"/>
  <c r="A29" i="132" s="1"/>
  <c r="A30" i="132" s="1"/>
  <c r="A31" i="132" s="1"/>
  <c r="A32" i="132" s="1"/>
  <c r="A33" i="132" s="1"/>
  <c r="A34" i="132" s="1"/>
  <c r="A35" i="132" s="1"/>
  <c r="A36" i="132" s="1"/>
  <c r="A37" i="132" s="1"/>
  <c r="A38" i="132" s="1"/>
  <c r="A39" i="132" s="1"/>
  <c r="A40" i="132" s="1"/>
  <c r="A41" i="132" s="1"/>
  <c r="A42" i="132" s="1"/>
  <c r="A43" i="132" s="1"/>
  <c r="A44" i="132" s="1"/>
  <c r="A45" i="132" s="1"/>
  <c r="A46" i="132" s="1"/>
  <c r="A47" i="132" s="1"/>
  <c r="A48" i="132" s="1"/>
  <c r="A49" i="132" s="1"/>
  <c r="A50" i="132" s="1"/>
  <c r="A51" i="132" s="1"/>
  <c r="A52" i="132" s="1"/>
  <c r="A53" i="132" s="1"/>
  <c r="A54" i="132" s="1"/>
  <c r="A55" i="132" s="1"/>
  <c r="A56" i="132" s="1"/>
  <c r="H13" i="131" a="1"/>
  <c r="H13" i="131" s="1"/>
  <c r="B15" i="131"/>
  <c r="B18" i="131"/>
  <c r="B20" i="131"/>
  <c r="B21" i="131"/>
  <c r="B22" i="131"/>
  <c r="B23" i="131"/>
  <c r="B24" i="131"/>
  <c r="H25" i="131" a="1"/>
  <c r="H25" i="131" s="1"/>
  <c r="B27" i="131"/>
  <c r="G37" i="131" s="1"/>
  <c r="B28" i="131"/>
  <c r="B29" i="131"/>
  <c r="B30" i="131"/>
  <c r="B31" i="131"/>
  <c r="H37" i="131" a="1"/>
  <c r="B53" i="131" a="1"/>
  <c r="B53" i="131" s="1"/>
  <c r="B55" i="131" s="1"/>
  <c r="V53" i="131" a="1"/>
  <c r="V53" i="131" s="1"/>
  <c r="B63" i="131" a="1"/>
  <c r="F64" i="131" s="1"/>
  <c r="V63" i="131" a="1"/>
  <c r="V63" i="131" s="1"/>
  <c r="B73" i="131" a="1"/>
  <c r="E75" i="131" s="1"/>
  <c r="V73" i="131" a="1"/>
  <c r="V73" i="131" s="1"/>
  <c r="I84" i="131"/>
  <c r="N159" i="131"/>
  <c r="AM159" i="131"/>
  <c r="AN159" i="131"/>
  <c r="AO159" i="131"/>
  <c r="B1" i="132" s="1" a="1"/>
  <c r="B1" i="132" s="1"/>
  <c r="B160" i="131"/>
  <c r="M160" i="131" s="1" a="1"/>
  <c r="M160" i="131" s="1"/>
  <c r="C160" i="131"/>
  <c r="B161" i="131"/>
  <c r="C161" i="131"/>
  <c r="B162" i="131"/>
  <c r="C162" i="131"/>
  <c r="B163" i="131"/>
  <c r="C163" i="131"/>
  <c r="B164" i="131"/>
  <c r="C164" i="131"/>
  <c r="B165" i="131"/>
  <c r="C165" i="131"/>
  <c r="B166" i="131"/>
  <c r="C166" i="131"/>
  <c r="B167" i="131"/>
  <c r="C167" i="131"/>
  <c r="B168" i="131"/>
  <c r="C168" i="131"/>
  <c r="B169" i="131"/>
  <c r="C169" i="131"/>
  <c r="B170" i="131"/>
  <c r="C170" i="131"/>
  <c r="B171" i="131"/>
  <c r="C171" i="131"/>
  <c r="B172" i="131"/>
  <c r="C172" i="131"/>
  <c r="B173" i="131"/>
  <c r="C173" i="131"/>
  <c r="B174" i="131"/>
  <c r="C174" i="131"/>
  <c r="B175" i="131"/>
  <c r="M175" i="131" s="1" a="1"/>
  <c r="M175" i="131" s="1"/>
  <c r="C175" i="131"/>
  <c r="B176" i="131"/>
  <c r="C176" i="131"/>
  <c r="B177" i="131"/>
  <c r="M177" i="131" s="1" a="1"/>
  <c r="M177" i="131" s="1"/>
  <c r="C177" i="131"/>
  <c r="B178" i="131"/>
  <c r="C178" i="131"/>
  <c r="B179" i="131"/>
  <c r="C179" i="131"/>
  <c r="B180" i="131"/>
  <c r="M180" i="131" s="1" a="1"/>
  <c r="M180" i="131" s="1"/>
  <c r="C180" i="131"/>
  <c r="B181" i="131"/>
  <c r="C181" i="131"/>
  <c r="B182" i="131"/>
  <c r="C182" i="131"/>
  <c r="B183" i="131"/>
  <c r="C183" i="131"/>
  <c r="B184" i="131"/>
  <c r="C184" i="131"/>
  <c r="B185" i="131"/>
  <c r="C185" i="131"/>
  <c r="B186" i="131"/>
  <c r="C186" i="131"/>
  <c r="B187" i="131"/>
  <c r="C187" i="131"/>
  <c r="B188" i="131"/>
  <c r="C188" i="131"/>
  <c r="B189" i="131"/>
  <c r="C189" i="131"/>
  <c r="B190" i="131"/>
  <c r="C190" i="131"/>
  <c r="B191" i="131"/>
  <c r="C191" i="131"/>
  <c r="B192" i="131"/>
  <c r="C192" i="131"/>
  <c r="B193" i="131"/>
  <c r="C193" i="131"/>
  <c r="B194" i="131"/>
  <c r="C194" i="131"/>
  <c r="B195" i="131"/>
  <c r="C195" i="131"/>
  <c r="B196" i="131"/>
  <c r="C196" i="131"/>
  <c r="B197" i="131"/>
  <c r="C197" i="131"/>
  <c r="B198" i="131"/>
  <c r="M198" i="131" s="1" a="1"/>
  <c r="M198" i="131" s="1"/>
  <c r="AF198" i="131" s="1"/>
  <c r="C198" i="131"/>
  <c r="B199" i="131"/>
  <c r="C199" i="131"/>
  <c r="B200" i="131"/>
  <c r="C200" i="131"/>
  <c r="B201" i="131"/>
  <c r="C201" i="131"/>
  <c r="B202" i="131"/>
  <c r="C202" i="131"/>
  <c r="B203" i="131"/>
  <c r="C203" i="131"/>
  <c r="B204" i="131"/>
  <c r="M204" i="131" s="1" a="1"/>
  <c r="M204" i="131" s="1"/>
  <c r="C204" i="131"/>
  <c r="B205" i="131"/>
  <c r="M205" i="131" s="1" a="1"/>
  <c r="M205" i="131" s="1"/>
  <c r="B206" i="131"/>
  <c r="M206" i="131" s="1" a="1"/>
  <c r="M206" i="131" s="1"/>
  <c r="C206" i="131"/>
  <c r="C218" i="131" s="1"/>
  <c r="B207" i="131"/>
  <c r="M207" i="131" s="1" a="1"/>
  <c r="M207" i="131" s="1"/>
  <c r="C207" i="131"/>
  <c r="B208" i="131"/>
  <c r="M208" i="131" s="1" a="1"/>
  <c r="M208" i="131" s="1"/>
  <c r="C208" i="131"/>
  <c r="B209" i="131"/>
  <c r="M209" i="131" s="1" a="1"/>
  <c r="M209" i="131" s="1"/>
  <c r="C209" i="131"/>
  <c r="B210" i="131"/>
  <c r="M210" i="131" s="1" a="1"/>
  <c r="M210" i="131" s="1"/>
  <c r="C210" i="131"/>
  <c r="B211" i="131"/>
  <c r="M211" i="131" s="1" a="1"/>
  <c r="M211" i="131" s="1"/>
  <c r="C211" i="131"/>
  <c r="B212" i="131"/>
  <c r="M212" i="131" s="1" a="1"/>
  <c r="M212" i="131" s="1"/>
  <c r="C212" i="131"/>
  <c r="B213" i="131"/>
  <c r="AP213" i="131" s="1" a="1"/>
  <c r="AP213" i="131" s="1"/>
  <c r="C213" i="131"/>
  <c r="B214" i="131"/>
  <c r="AP214" i="131" s="1" a="1"/>
  <c r="AP214" i="131" s="1"/>
  <c r="A235" i="131"/>
  <c r="A236" i="131"/>
  <c r="A237" i="131"/>
  <c r="L3" i="130"/>
  <c r="L4" i="130"/>
  <c r="L5" i="130"/>
  <c r="L6" i="130"/>
  <c r="L7" i="130"/>
  <c r="L8" i="130"/>
  <c r="L9" i="130"/>
  <c r="L10" i="130"/>
  <c r="L11" i="130"/>
  <c r="L12" i="130"/>
  <c r="L13" i="130"/>
  <c r="L14" i="130"/>
  <c r="L15" i="130"/>
  <c r="L16" i="130"/>
  <c r="L17" i="130"/>
  <c r="L18" i="130"/>
  <c r="L19" i="130"/>
  <c r="L20" i="130"/>
  <c r="L21" i="130"/>
  <c r="L22" i="130"/>
  <c r="L23" i="130"/>
  <c r="L24" i="130"/>
  <c r="L25" i="130"/>
  <c r="L26" i="130"/>
  <c r="L27" i="130"/>
  <c r="L28" i="130"/>
  <c r="L29" i="130"/>
  <c r="L30" i="130"/>
  <c r="L31" i="130"/>
  <c r="L32" i="130"/>
  <c r="L33" i="130"/>
  <c r="L34" i="130"/>
  <c r="L35" i="130"/>
  <c r="L36" i="130"/>
  <c r="L37" i="130"/>
  <c r="L38" i="130"/>
  <c r="L39" i="130"/>
  <c r="L40" i="130"/>
  <c r="L41" i="130"/>
  <c r="L42" i="130"/>
  <c r="L43" i="130"/>
  <c r="L44" i="130"/>
  <c r="L45" i="130"/>
  <c r="L46" i="130"/>
  <c r="L47" i="130"/>
  <c r="L48" i="130"/>
  <c r="L49" i="130"/>
  <c r="L50" i="130"/>
  <c r="L51" i="130"/>
  <c r="L52" i="130"/>
  <c r="L53" i="130"/>
  <c r="L54" i="130"/>
  <c r="L55" i="130"/>
  <c r="L56" i="130"/>
  <c r="L57" i="130"/>
  <c r="L58" i="130"/>
  <c r="L59" i="130"/>
  <c r="L60" i="130"/>
  <c r="L61" i="130"/>
  <c r="L62" i="130"/>
  <c r="L63" i="130"/>
  <c r="L64" i="130"/>
  <c r="L65" i="130"/>
  <c r="L66" i="130"/>
  <c r="L67" i="130"/>
  <c r="L68" i="130"/>
  <c r="L69" i="130"/>
  <c r="L70" i="130"/>
  <c r="L71" i="130"/>
  <c r="L72" i="130"/>
  <c r="L73" i="130"/>
  <c r="L74" i="130"/>
  <c r="L75" i="130"/>
  <c r="L76" i="130"/>
  <c r="L77" i="130"/>
  <c r="L78" i="130"/>
  <c r="L79" i="130"/>
  <c r="L80" i="130"/>
  <c r="L81" i="130"/>
  <c r="L82" i="130"/>
  <c r="L83" i="130"/>
  <c r="L84" i="130"/>
  <c r="L85" i="130"/>
  <c r="L86" i="130"/>
  <c r="L87" i="130"/>
  <c r="L88" i="130"/>
  <c r="L89" i="130"/>
  <c r="L90" i="130"/>
  <c r="L91" i="130"/>
  <c r="L92" i="130"/>
  <c r="L93" i="130"/>
  <c r="L94" i="130"/>
  <c r="L95" i="130"/>
  <c r="L96" i="130"/>
  <c r="L97" i="130"/>
  <c r="L98" i="130"/>
  <c r="L99" i="130"/>
  <c r="L100" i="130"/>
  <c r="L101" i="130"/>
  <c r="L102" i="130"/>
  <c r="L103" i="130"/>
  <c r="L104" i="130"/>
  <c r="L105" i="130"/>
  <c r="L106" i="130"/>
  <c r="L107" i="130"/>
  <c r="L108" i="130"/>
  <c r="L109" i="130"/>
  <c r="L110" i="130"/>
  <c r="L111" i="130"/>
  <c r="L112" i="130"/>
  <c r="L113" i="130"/>
  <c r="L114" i="130"/>
  <c r="L115" i="130"/>
  <c r="L116" i="130"/>
  <c r="L117" i="130"/>
  <c r="L118" i="130"/>
  <c r="L119" i="130"/>
  <c r="L120" i="130"/>
  <c r="L121" i="130"/>
  <c r="L122" i="130"/>
  <c r="L123" i="130"/>
  <c r="L124" i="130"/>
  <c r="L125" i="130"/>
  <c r="L126" i="130"/>
  <c r="L127" i="130"/>
  <c r="L128" i="130"/>
  <c r="L129" i="130"/>
  <c r="L130" i="130"/>
  <c r="L131" i="130"/>
  <c r="L132" i="130"/>
  <c r="L133" i="130"/>
  <c r="L134" i="130"/>
  <c r="L135" i="130"/>
  <c r="L136" i="130"/>
  <c r="L137" i="130"/>
  <c r="L138" i="130"/>
  <c r="L139" i="130"/>
  <c r="L140" i="130"/>
  <c r="L141" i="130"/>
  <c r="L142" i="130"/>
  <c r="L143" i="130"/>
  <c r="L144" i="130"/>
  <c r="L145" i="130"/>
  <c r="L146" i="130"/>
  <c r="L147" i="130"/>
  <c r="L148" i="130"/>
  <c r="L149" i="130"/>
  <c r="L150" i="130"/>
  <c r="L151" i="130"/>
  <c r="L152" i="130"/>
  <c r="L153" i="130"/>
  <c r="L154" i="130"/>
  <c r="L155" i="130"/>
  <c r="L156" i="130"/>
  <c r="L157" i="130"/>
  <c r="L158" i="130"/>
  <c r="L159" i="130"/>
  <c r="L160" i="130"/>
  <c r="L161" i="130"/>
  <c r="L162" i="130"/>
  <c r="L163" i="130"/>
  <c r="L164" i="130"/>
  <c r="L165" i="130"/>
  <c r="L166" i="130"/>
  <c r="L167" i="130"/>
  <c r="L168" i="130"/>
  <c r="L169" i="130"/>
  <c r="L170" i="130"/>
  <c r="L171" i="130"/>
  <c r="L172" i="130"/>
  <c r="L173" i="130"/>
  <c r="L174" i="130"/>
  <c r="L175" i="130"/>
  <c r="L176" i="130"/>
  <c r="L177" i="130"/>
  <c r="L178" i="130"/>
  <c r="L179" i="130"/>
  <c r="L180" i="130"/>
  <c r="L2" i="130"/>
  <c r="B1" i="93" a="1"/>
  <c r="B1" i="93" s="1"/>
  <c r="A180" i="93"/>
  <c r="I97" i="131" l="1"/>
  <c r="E97" i="131"/>
  <c r="C97" i="131"/>
  <c r="D97" i="131"/>
  <c r="J97" i="131"/>
  <c r="H97" i="131"/>
  <c r="F97" i="131"/>
  <c r="G97" i="131"/>
  <c r="D215" i="131"/>
  <c r="AM215" i="131" s="1"/>
  <c r="B33" i="116"/>
  <c r="E33" i="116"/>
  <c r="E34" i="116"/>
  <c r="B34" i="116"/>
  <c r="C34" i="116"/>
  <c r="D34" i="116"/>
  <c r="D33" i="116"/>
  <c r="AQ215" i="131" a="1"/>
  <c r="AQ215" i="131" s="1"/>
  <c r="M214" i="131" a="1"/>
  <c r="M214" i="131" s="1"/>
  <c r="M217" i="131" s="1"/>
  <c r="AP215" i="131" a="1"/>
  <c r="AP215" i="131" s="1"/>
  <c r="N215" i="131" a="1"/>
  <c r="N215" i="131" s="1"/>
  <c r="M213" i="131" a="1"/>
  <c r="M213" i="131" s="1"/>
  <c r="M215" i="131" a="1"/>
  <c r="M215" i="131" s="1"/>
  <c r="D214" i="131"/>
  <c r="E214" i="131" s="1" a="1"/>
  <c r="E214" i="131" s="1"/>
  <c r="AP212" i="131" a="1"/>
  <c r="AP212" i="131" s="1"/>
  <c r="AP211" i="131" a="1"/>
  <c r="AP211" i="131" s="1"/>
  <c r="AO215" i="131" a="1"/>
  <c r="AO215" i="131" s="1"/>
  <c r="O21" i="131"/>
  <c r="AI215" i="131"/>
  <c r="P159" i="131"/>
  <c r="G54" i="131"/>
  <c r="G87" i="131"/>
  <c r="C85" i="131"/>
  <c r="H84" i="131"/>
  <c r="W159" i="131"/>
  <c r="W215" i="131" s="1"/>
  <c r="D87" i="131"/>
  <c r="G84" i="131"/>
  <c r="C67" i="131"/>
  <c r="C56" i="131"/>
  <c r="V159" i="131"/>
  <c r="V215" i="131" s="1"/>
  <c r="J86" i="131"/>
  <c r="F84" i="131"/>
  <c r="E66" i="131"/>
  <c r="K21" i="131"/>
  <c r="H86" i="131"/>
  <c r="G64" i="131"/>
  <c r="J85" i="131"/>
  <c r="H87" i="131"/>
  <c r="D85" i="131"/>
  <c r="I57" i="131"/>
  <c r="F87" i="131"/>
  <c r="H56" i="131"/>
  <c r="C219" i="131"/>
  <c r="Q159" i="131"/>
  <c r="Q215" i="131" s="1"/>
  <c r="I86" i="131"/>
  <c r="E84" i="131"/>
  <c r="F65" i="131"/>
  <c r="J54" i="131"/>
  <c r="E77" i="131"/>
  <c r="I67" i="131"/>
  <c r="C66" i="131"/>
  <c r="D65" i="131"/>
  <c r="E64" i="131"/>
  <c r="G13" i="131"/>
  <c r="P21" i="131"/>
  <c r="U159" i="131"/>
  <c r="U215" i="131" s="1"/>
  <c r="C87" i="131"/>
  <c r="F86" i="131"/>
  <c r="H85" i="131"/>
  <c r="D84" i="131"/>
  <c r="C76" i="131"/>
  <c r="G67" i="131"/>
  <c r="I66" i="131"/>
  <c r="J65" i="131"/>
  <c r="C64" i="131"/>
  <c r="F57" i="131"/>
  <c r="D54" i="131"/>
  <c r="P33" i="131"/>
  <c r="T159" i="131"/>
  <c r="T215" i="131" s="1"/>
  <c r="E86" i="131"/>
  <c r="G85" i="131"/>
  <c r="I75" i="131"/>
  <c r="F67" i="131"/>
  <c r="H66" i="131"/>
  <c r="I65" i="131"/>
  <c r="J64" i="131"/>
  <c r="D57" i="131"/>
  <c r="K33" i="131"/>
  <c r="G76" i="131"/>
  <c r="J55" i="131"/>
  <c r="H67" i="131"/>
  <c r="J66" i="131"/>
  <c r="C65" i="131"/>
  <c r="D64" i="131"/>
  <c r="S159" i="131"/>
  <c r="S215" i="131" s="1"/>
  <c r="J87" i="131"/>
  <c r="D86" i="131"/>
  <c r="F85" i="131"/>
  <c r="J84" i="131"/>
  <c r="C75" i="131"/>
  <c r="E67" i="131"/>
  <c r="G66" i="131"/>
  <c r="H65" i="131"/>
  <c r="I64" i="131"/>
  <c r="H55" i="131"/>
  <c r="R159" i="131"/>
  <c r="R213" i="131" s="1"/>
  <c r="I87" i="131"/>
  <c r="C86" i="131"/>
  <c r="E85" i="131"/>
  <c r="G74" i="131"/>
  <c r="D67" i="131"/>
  <c r="F66" i="131"/>
  <c r="G65" i="131"/>
  <c r="H64" i="131"/>
  <c r="B63" i="131"/>
  <c r="E55" i="131"/>
  <c r="G25" i="131"/>
  <c r="J67" i="131"/>
  <c r="D66" i="131"/>
  <c r="E65" i="131"/>
  <c r="F56" i="131"/>
  <c r="H37" i="131"/>
  <c r="AJ215" i="131" s="1"/>
  <c r="N194" i="131" a="1"/>
  <c r="N194" i="131" s="1"/>
  <c r="AO205" i="131" a="1"/>
  <c r="AO205" i="131" s="1"/>
  <c r="N181" i="131" a="1"/>
  <c r="N181" i="131" s="1"/>
  <c r="AO203" i="131" a="1"/>
  <c r="AO203" i="131" s="1"/>
  <c r="N171" i="131" a="1"/>
  <c r="N171" i="131" s="1"/>
  <c r="M181" i="131" a="1"/>
  <c r="M181" i="131" s="1"/>
  <c r="M203" i="131" a="1"/>
  <c r="M203" i="131" s="1"/>
  <c r="AF203" i="131" s="1"/>
  <c r="D180" i="131"/>
  <c r="E180" i="131" s="1" a="1"/>
  <c r="E180" i="131" s="1"/>
  <c r="M202" i="131" a="1"/>
  <c r="M202" i="131" s="1"/>
  <c r="AF202" i="131" s="1"/>
  <c r="AO202" i="131" a="1"/>
  <c r="AO202" i="131" s="1"/>
  <c r="N183" i="131" a="1"/>
  <c r="N183" i="131" s="1"/>
  <c r="N212" i="131" a="1"/>
  <c r="N212" i="131" s="1"/>
  <c r="N187" i="131" a="1"/>
  <c r="N187" i="131" s="1"/>
  <c r="D200" i="131"/>
  <c r="N210" i="131" a="1"/>
  <c r="N210" i="131" s="1"/>
  <c r="P205" i="131"/>
  <c r="N192" i="131" a="1"/>
  <c r="N192" i="131" s="1"/>
  <c r="N182" i="131" a="1"/>
  <c r="N182" i="131" s="1"/>
  <c r="P170" i="131"/>
  <c r="P166" i="131"/>
  <c r="N163" i="131" a="1"/>
  <c r="N163" i="131" s="1"/>
  <c r="P163" i="131"/>
  <c r="C217" i="131"/>
  <c r="AO180" i="131" a="1"/>
  <c r="AO180" i="131" s="1"/>
  <c r="M199" i="131" a="1"/>
  <c r="M199" i="131" s="1"/>
  <c r="M218" i="131" s="1"/>
  <c r="N196" i="131" a="1"/>
  <c r="N196" i="131" s="1"/>
  <c r="P180" i="131"/>
  <c r="Q178" i="131"/>
  <c r="AO199" i="131" a="1"/>
  <c r="AO199" i="131" s="1"/>
  <c r="D207" i="131"/>
  <c r="E207" i="131" s="1" a="1"/>
  <c r="E207" i="131" s="1"/>
  <c r="M178" i="131" a="1"/>
  <c r="M178" i="131" s="1"/>
  <c r="AF178" i="131" s="1"/>
  <c r="N206" i="131" a="1"/>
  <c r="N206" i="131" s="1"/>
  <c r="N160" i="131" a="1"/>
  <c r="N160" i="131" s="1"/>
  <c r="D206" i="131"/>
  <c r="AI197" i="131"/>
  <c r="N195" i="131" a="1"/>
  <c r="N195" i="131" s="1"/>
  <c r="Q209" i="131"/>
  <c r="D205" i="131"/>
  <c r="Q199" i="131"/>
  <c r="P178" i="131"/>
  <c r="AO177" i="131" a="1"/>
  <c r="AO177" i="131" s="1"/>
  <c r="N207" i="131" a="1"/>
  <c r="N207" i="131" s="1"/>
  <c r="P200" i="131"/>
  <c r="P194" i="131"/>
  <c r="N161" i="131" a="1"/>
  <c r="N161" i="131" s="1"/>
  <c r="D198" i="131"/>
  <c r="AO178" i="131" a="1"/>
  <c r="AO178" i="131" s="1"/>
  <c r="Q167" i="131"/>
  <c r="Q166" i="131"/>
  <c r="AH206" i="131"/>
  <c r="Q194" i="131"/>
  <c r="D178" i="131"/>
  <c r="E178" i="131" s="1" a="1"/>
  <c r="E178" i="131" s="1"/>
  <c r="Q177" i="131"/>
  <c r="Q174" i="131"/>
  <c r="V205" i="131"/>
  <c r="N205" i="131" a="1"/>
  <c r="N205" i="131" s="1"/>
  <c r="AI205" i="131"/>
  <c r="Q205" i="131"/>
  <c r="AE204" i="131"/>
  <c r="AF204" i="131"/>
  <c r="AG204" i="131"/>
  <c r="Q192" i="131"/>
  <c r="D181" i="131"/>
  <c r="E181" i="131" s="1" a="1"/>
  <c r="E181" i="131" s="1"/>
  <c r="Q181" i="131"/>
  <c r="P210" i="131"/>
  <c r="Q210" i="131"/>
  <c r="P192" i="131"/>
  <c r="N190" i="131" a="1"/>
  <c r="N190" i="131" s="1"/>
  <c r="Q190" i="131"/>
  <c r="AO204" i="131" a="1"/>
  <c r="AO204" i="131" s="1"/>
  <c r="N213" i="131" a="1"/>
  <c r="N213" i="131" s="1"/>
  <c r="Q213" i="131"/>
  <c r="AE175" i="131"/>
  <c r="AF175" i="131"/>
  <c r="AF177" i="131"/>
  <c r="AE177" i="131"/>
  <c r="AG177" i="131"/>
  <c r="AH177" i="131"/>
  <c r="Q197" i="131"/>
  <c r="Q191" i="131"/>
  <c r="AI202" i="131"/>
  <c r="D202" i="131"/>
  <c r="E202" i="131" s="1" a="1"/>
  <c r="E202" i="131" s="1"/>
  <c r="Q202" i="131"/>
  <c r="P202" i="131"/>
  <c r="Q183" i="131"/>
  <c r="B217" i="131"/>
  <c r="Q214" i="131"/>
  <c r="Q207" i="131"/>
  <c r="P195" i="131"/>
  <c r="Q180" i="131"/>
  <c r="AI177" i="131"/>
  <c r="N169" i="131" a="1"/>
  <c r="N169" i="131" s="1"/>
  <c r="Q164" i="131"/>
  <c r="B219" i="131"/>
  <c r="AO206" i="131" a="1"/>
  <c r="AO206" i="131" s="1"/>
  <c r="M179" i="131" a="1"/>
  <c r="M179" i="131" s="1"/>
  <c r="AO175" i="131" a="1"/>
  <c r="AO175" i="131" s="1"/>
  <c r="P172" i="131"/>
  <c r="D177" i="131"/>
  <c r="E177" i="131" s="1" a="1"/>
  <c r="E177" i="131" s="1"/>
  <c r="N165" i="131" a="1"/>
  <c r="N165" i="131" s="1"/>
  <c r="P193" i="131"/>
  <c r="N193" i="131" a="1"/>
  <c r="N193" i="131" s="1"/>
  <c r="Q206" i="131"/>
  <c r="Q170" i="131"/>
  <c r="N166" i="131" a="1"/>
  <c r="N166" i="131" s="1"/>
  <c r="AO179" i="131" a="1"/>
  <c r="AO179" i="131" s="1"/>
  <c r="D208" i="131"/>
  <c r="E208" i="131" s="1" a="1"/>
  <c r="E208" i="131" s="1"/>
  <c r="AI208" i="131"/>
  <c r="AO208" i="131" a="1"/>
  <c r="AO208" i="131" s="1"/>
  <c r="Q208" i="131"/>
  <c r="N208" i="131" a="1"/>
  <c r="N208" i="131" s="1"/>
  <c r="P214" i="131"/>
  <c r="D211" i="131"/>
  <c r="E211" i="131" s="1" a="1"/>
  <c r="E211" i="131" s="1"/>
  <c r="AI211" i="131"/>
  <c r="AO211" i="131" a="1"/>
  <c r="AO211" i="131" s="1"/>
  <c r="Q211" i="131"/>
  <c r="N211" i="131" a="1"/>
  <c r="N211" i="131" s="1"/>
  <c r="P208" i="131"/>
  <c r="N201" i="131" a="1"/>
  <c r="N201" i="131" s="1"/>
  <c r="P201" i="131"/>
  <c r="AO201" i="131" a="1"/>
  <c r="AO201" i="131" s="1"/>
  <c r="M201" i="131" a="1"/>
  <c r="M201" i="131" s="1"/>
  <c r="D201" i="131"/>
  <c r="E201" i="131" s="1" a="1"/>
  <c r="E201" i="131" s="1"/>
  <c r="Q201" i="131"/>
  <c r="AI201" i="131"/>
  <c r="N214" i="131" a="1"/>
  <c r="N214" i="131" s="1"/>
  <c r="AI203" i="131"/>
  <c r="AI214" i="131"/>
  <c r="N198" i="131" a="1"/>
  <c r="N198" i="131" s="1"/>
  <c r="AO198" i="131" a="1"/>
  <c r="AO198" i="131" s="1"/>
  <c r="Q185" i="131"/>
  <c r="D209" i="131"/>
  <c r="E209" i="131" s="1" a="1"/>
  <c r="E209" i="131" s="1"/>
  <c r="AI209" i="131"/>
  <c r="AO209" i="131" a="1"/>
  <c r="AO209" i="131" s="1"/>
  <c r="N209" i="131" a="1"/>
  <c r="N209" i="131" s="1"/>
  <c r="P209" i="131"/>
  <c r="N204" i="131" a="1"/>
  <c r="N204" i="131" s="1"/>
  <c r="D204" i="131"/>
  <c r="E204" i="131" s="1" a="1"/>
  <c r="E204" i="131" s="1"/>
  <c r="P204" i="131"/>
  <c r="Q204" i="131"/>
  <c r="P213" i="131"/>
  <c r="D213" i="131"/>
  <c r="E213" i="131" s="1" a="1"/>
  <c r="E213" i="131" s="1"/>
  <c r="AI213" i="131"/>
  <c r="AO213" i="131" a="1"/>
  <c r="AO213" i="131" s="1"/>
  <c r="Q212" i="131"/>
  <c r="Q203" i="131"/>
  <c r="N200" i="131" a="1"/>
  <c r="N200" i="131" s="1"/>
  <c r="Q200" i="131"/>
  <c r="AI200" i="131"/>
  <c r="M200" i="131" a="1"/>
  <c r="M200" i="131" s="1"/>
  <c r="AO200" i="131" a="1"/>
  <c r="AO200" i="131" s="1"/>
  <c r="D193" i="131"/>
  <c r="E193" i="131" s="1" a="1"/>
  <c r="E193" i="131" s="1"/>
  <c r="M193" i="131" a="1"/>
  <c r="M193" i="131" s="1"/>
  <c r="AI193" i="131"/>
  <c r="AO193" i="131" a="1"/>
  <c r="AO193" i="131" s="1"/>
  <c r="Q193" i="131"/>
  <c r="Q187" i="131"/>
  <c r="P186" i="131"/>
  <c r="D186" i="131"/>
  <c r="E186" i="131" s="1" a="1"/>
  <c r="E186" i="131" s="1"/>
  <c r="M186" i="131" a="1"/>
  <c r="M186" i="131" s="1"/>
  <c r="AI186" i="131"/>
  <c r="AO186" i="131" a="1"/>
  <c r="AO186" i="131" s="1"/>
  <c r="N186" i="131" a="1"/>
  <c r="N186" i="131" s="1"/>
  <c r="Q186" i="131"/>
  <c r="AI207" i="131"/>
  <c r="AO207" i="131" a="1"/>
  <c r="AO207" i="131" s="1"/>
  <c r="D195" i="131"/>
  <c r="E195" i="131" s="1" a="1"/>
  <c r="E195" i="131" s="1"/>
  <c r="M195" i="131" a="1"/>
  <c r="M195" i="131" s="1"/>
  <c r="AI195" i="131"/>
  <c r="AO195" i="131" a="1"/>
  <c r="AO195" i="131" s="1"/>
  <c r="Q195" i="131"/>
  <c r="C232" i="131"/>
  <c r="AO214" i="131" a="1"/>
  <c r="AO214" i="131" s="1"/>
  <c r="P203" i="131"/>
  <c r="D196" i="131"/>
  <c r="E196" i="131" s="1" a="1"/>
  <c r="E196" i="131" s="1"/>
  <c r="M196" i="131" a="1"/>
  <c r="M196" i="131" s="1"/>
  <c r="AI196" i="131"/>
  <c r="AO196" i="131" a="1"/>
  <c r="AO196" i="131" s="1"/>
  <c r="P196" i="131"/>
  <c r="Q196" i="131"/>
  <c r="P212" i="131"/>
  <c r="D212" i="131"/>
  <c r="AI212" i="131"/>
  <c r="AO212" i="131" a="1"/>
  <c r="AO212" i="131" s="1"/>
  <c r="P207" i="131"/>
  <c r="AI204" i="131"/>
  <c r="AI198" i="131"/>
  <c r="Q198" i="131"/>
  <c r="D197" i="131"/>
  <c r="E197" i="131" s="1" a="1"/>
  <c r="E197" i="131" s="1"/>
  <c r="N197" i="131" a="1"/>
  <c r="N197" i="131" s="1"/>
  <c r="M197" i="131" a="1"/>
  <c r="M197" i="131" s="1"/>
  <c r="AO197" i="131" a="1"/>
  <c r="AO197" i="131" s="1"/>
  <c r="P197" i="131"/>
  <c r="AE198" i="131"/>
  <c r="AG198" i="131"/>
  <c r="AH204" i="131"/>
  <c r="N199" i="131" a="1"/>
  <c r="N199" i="131" s="1"/>
  <c r="AI199" i="131"/>
  <c r="D199" i="131"/>
  <c r="E199" i="131" s="1" a="1"/>
  <c r="E199" i="131" s="1"/>
  <c r="P199" i="131"/>
  <c r="AH198" i="131"/>
  <c r="P198" i="131"/>
  <c r="D191" i="131"/>
  <c r="E191" i="131" s="1" a="1"/>
  <c r="E191" i="131" s="1"/>
  <c r="M191" i="131" a="1"/>
  <c r="M191" i="131" s="1"/>
  <c r="AI191" i="131"/>
  <c r="AO191" i="131" a="1"/>
  <c r="AO191" i="131" s="1"/>
  <c r="N191" i="131" a="1"/>
  <c r="N191" i="131" s="1"/>
  <c r="P191" i="131"/>
  <c r="P189" i="131"/>
  <c r="D189" i="131"/>
  <c r="E189" i="131" s="1" a="1"/>
  <c r="E189" i="131" s="1"/>
  <c r="M189" i="131" a="1"/>
  <c r="M189" i="131" s="1"/>
  <c r="AI189" i="131"/>
  <c r="AO189" i="131" a="1"/>
  <c r="AO189" i="131" s="1"/>
  <c r="N189" i="131" a="1"/>
  <c r="N189" i="131" s="1"/>
  <c r="Q189" i="131"/>
  <c r="P188" i="131"/>
  <c r="D188" i="131"/>
  <c r="E188" i="131" s="1" a="1"/>
  <c r="E188" i="131" s="1"/>
  <c r="M188" i="131" a="1"/>
  <c r="M188" i="131" s="1"/>
  <c r="AI188" i="131"/>
  <c r="AO188" i="131" a="1"/>
  <c r="AO188" i="131" s="1"/>
  <c r="Q188" i="131"/>
  <c r="N188" i="131" a="1"/>
  <c r="N188" i="131" s="1"/>
  <c r="D179" i="131"/>
  <c r="E179" i="131" s="1" a="1"/>
  <c r="E179" i="131" s="1"/>
  <c r="AI179" i="131"/>
  <c r="Q179" i="131"/>
  <c r="P184" i="131"/>
  <c r="D184" i="131"/>
  <c r="E184" i="131" s="1" a="1"/>
  <c r="E184" i="131" s="1"/>
  <c r="M184" i="131" a="1"/>
  <c r="M184" i="131" s="1"/>
  <c r="AI184" i="131"/>
  <c r="AO184" i="131" a="1"/>
  <c r="AO184" i="131" s="1"/>
  <c r="P182" i="131"/>
  <c r="D182" i="131"/>
  <c r="E182" i="131" s="1" a="1"/>
  <c r="E182" i="131" s="1"/>
  <c r="M182" i="131" a="1"/>
  <c r="M182" i="131" s="1"/>
  <c r="AI182" i="131"/>
  <c r="AO182" i="131" a="1"/>
  <c r="AO182" i="131" s="1"/>
  <c r="N203" i="131" a="1"/>
  <c r="N203" i="131" s="1"/>
  <c r="D203" i="131"/>
  <c r="E203" i="131" s="1" a="1"/>
  <c r="E203" i="131" s="1"/>
  <c r="P190" i="131"/>
  <c r="D190" i="131"/>
  <c r="E190" i="131" s="1" a="1"/>
  <c r="E190" i="131" s="1"/>
  <c r="M190" i="131" a="1"/>
  <c r="M190" i="131" s="1"/>
  <c r="AI190" i="131"/>
  <c r="AO190" i="131" a="1"/>
  <c r="AO190" i="131" s="1"/>
  <c r="P185" i="131"/>
  <c r="D185" i="131"/>
  <c r="E185" i="131" s="1" a="1"/>
  <c r="E185" i="131" s="1"/>
  <c r="M185" i="131" a="1"/>
  <c r="M185" i="131" s="1"/>
  <c r="AI185" i="131"/>
  <c r="AO185" i="131" a="1"/>
  <c r="AO185" i="131" s="1"/>
  <c r="N185" i="131" a="1"/>
  <c r="N185" i="131" s="1"/>
  <c r="Q184" i="131"/>
  <c r="Q182" i="131"/>
  <c r="B218" i="131"/>
  <c r="D210" i="131"/>
  <c r="E210" i="131" s="1" a="1"/>
  <c r="E210" i="131" s="1"/>
  <c r="AI210" i="131"/>
  <c r="AO210" i="131" a="1"/>
  <c r="AO210" i="131" s="1"/>
  <c r="AI206" i="131"/>
  <c r="P206" i="131"/>
  <c r="N202" i="131" a="1"/>
  <c r="N202" i="131" s="1"/>
  <c r="N184" i="131" a="1"/>
  <c r="N184" i="131" s="1"/>
  <c r="P183" i="131"/>
  <c r="D183" i="131"/>
  <c r="E183" i="131" s="1" a="1"/>
  <c r="E183" i="131" s="1"/>
  <c r="M183" i="131" a="1"/>
  <c r="M183" i="131" s="1"/>
  <c r="AI183" i="131"/>
  <c r="AO183" i="131" a="1"/>
  <c r="AO183" i="131" s="1"/>
  <c r="AI181" i="131"/>
  <c r="AO181" i="131" a="1"/>
  <c r="AO181" i="131" s="1"/>
  <c r="P181" i="131"/>
  <c r="P179" i="131"/>
  <c r="D176" i="131"/>
  <c r="E176" i="131" s="1" a="1"/>
  <c r="E176" i="131" s="1"/>
  <c r="M176" i="131" a="1"/>
  <c r="M176" i="131" s="1"/>
  <c r="AO176" i="131" a="1"/>
  <c r="AO176" i="131" s="1"/>
  <c r="N176" i="131" a="1"/>
  <c r="N176" i="131" s="1"/>
  <c r="P176" i="131"/>
  <c r="Q176" i="131"/>
  <c r="AI176" i="131"/>
  <c r="AG175" i="131"/>
  <c r="AH175" i="131"/>
  <c r="D194" i="131"/>
  <c r="E194" i="131" s="1" a="1"/>
  <c r="E194" i="131" s="1"/>
  <c r="M194" i="131" a="1"/>
  <c r="M194" i="131" s="1"/>
  <c r="AI194" i="131"/>
  <c r="AO194" i="131" a="1"/>
  <c r="AO194" i="131" s="1"/>
  <c r="P187" i="131"/>
  <c r="D187" i="131"/>
  <c r="E187" i="131" s="1" a="1"/>
  <c r="E187" i="131" s="1"/>
  <c r="M187" i="131" a="1"/>
  <c r="M187" i="131" s="1"/>
  <c r="AI187" i="131"/>
  <c r="AO187" i="131" a="1"/>
  <c r="AO187" i="131" s="1"/>
  <c r="D171" i="131"/>
  <c r="E171" i="131" s="1" a="1"/>
  <c r="E171" i="131" s="1"/>
  <c r="M171" i="131" a="1"/>
  <c r="M171" i="131" s="1"/>
  <c r="AI171" i="131"/>
  <c r="Q171" i="131"/>
  <c r="D174" i="131"/>
  <c r="E174" i="131" s="1" a="1"/>
  <c r="E174" i="131" s="1"/>
  <c r="M174" i="131" a="1"/>
  <c r="M174" i="131" s="1"/>
  <c r="AI174" i="131"/>
  <c r="P174" i="131"/>
  <c r="N174" i="131" a="1"/>
  <c r="N174" i="131" s="1"/>
  <c r="D168" i="131"/>
  <c r="E168" i="131" s="1" a="1"/>
  <c r="E168" i="131" s="1"/>
  <c r="M168" i="131" a="1"/>
  <c r="M168" i="131" s="1"/>
  <c r="AI168" i="131"/>
  <c r="Q168" i="131"/>
  <c r="N168" i="131" a="1"/>
  <c r="N168" i="131" s="1"/>
  <c r="P168" i="131"/>
  <c r="D172" i="131"/>
  <c r="E172" i="131" s="1" a="1"/>
  <c r="E172" i="131" s="1"/>
  <c r="M172" i="131" a="1"/>
  <c r="M172" i="131" s="1"/>
  <c r="AI172" i="131"/>
  <c r="Q172" i="131"/>
  <c r="N175" i="131" a="1"/>
  <c r="N175" i="131" s="1"/>
  <c r="P175" i="131"/>
  <c r="D175" i="131"/>
  <c r="E175" i="131" s="1" a="1"/>
  <c r="E175" i="131" s="1"/>
  <c r="Q175" i="131"/>
  <c r="N172" i="131" a="1"/>
  <c r="N172" i="131" s="1"/>
  <c r="N177" i="131" a="1"/>
  <c r="N177" i="131" s="1"/>
  <c r="P177" i="131"/>
  <c r="P169" i="131"/>
  <c r="Q169" i="131"/>
  <c r="D192" i="131"/>
  <c r="E192" i="131" s="1" a="1"/>
  <c r="E192" i="131" s="1"/>
  <c r="M192" i="131" a="1"/>
  <c r="M192" i="131" s="1"/>
  <c r="AI192" i="131"/>
  <c r="AO192" i="131" a="1"/>
  <c r="AO192" i="131" s="1"/>
  <c r="AI175" i="131"/>
  <c r="D173" i="131"/>
  <c r="E173" i="131" s="1" a="1"/>
  <c r="E173" i="131" s="1"/>
  <c r="M173" i="131" a="1"/>
  <c r="M173" i="131" s="1"/>
  <c r="AI173" i="131"/>
  <c r="P173" i="131"/>
  <c r="Q173" i="131"/>
  <c r="N173" i="131" a="1"/>
  <c r="N173" i="131" s="1"/>
  <c r="P171" i="131"/>
  <c r="D167" i="131"/>
  <c r="E167" i="131" s="1" a="1"/>
  <c r="E167" i="131" s="1"/>
  <c r="M167" i="131" a="1"/>
  <c r="M167" i="131" s="1"/>
  <c r="AI167" i="131"/>
  <c r="P167" i="131"/>
  <c r="AI180" i="131"/>
  <c r="AI178" i="131"/>
  <c r="D162" i="131"/>
  <c r="E162" i="131" s="1" a="1"/>
  <c r="E162" i="131" s="1"/>
  <c r="M162" i="131" a="1"/>
  <c r="M162" i="131" s="1"/>
  <c r="AI162" i="131"/>
  <c r="Q162" i="131"/>
  <c r="P162" i="131"/>
  <c r="N162" i="131" a="1"/>
  <c r="N162" i="131" s="1"/>
  <c r="N180" i="131" a="1"/>
  <c r="N180" i="131" s="1"/>
  <c r="N178" i="131" a="1"/>
  <c r="N178" i="131" s="1"/>
  <c r="D161" i="131"/>
  <c r="E161" i="131" s="1" a="1"/>
  <c r="E161" i="131" s="1"/>
  <c r="M161" i="131" a="1"/>
  <c r="M161" i="131" s="1"/>
  <c r="AI161" i="131"/>
  <c r="P161" i="131"/>
  <c r="Q161" i="131"/>
  <c r="P160" i="131"/>
  <c r="P165" i="131"/>
  <c r="N179" i="131" a="1"/>
  <c r="N179" i="131" s="1"/>
  <c r="D164" i="131"/>
  <c r="E164" i="131" s="1" a="1"/>
  <c r="E164" i="131" s="1"/>
  <c r="M164" i="131" a="1"/>
  <c r="M164" i="131" s="1"/>
  <c r="AI164" i="131"/>
  <c r="P164" i="131"/>
  <c r="N164" i="131" a="1"/>
  <c r="N164" i="131" s="1"/>
  <c r="D170" i="131"/>
  <c r="E170" i="131" s="1" a="1"/>
  <c r="E170" i="131" s="1"/>
  <c r="M170" i="131" a="1"/>
  <c r="M170" i="131" s="1"/>
  <c r="AI170" i="131"/>
  <c r="Q165" i="131"/>
  <c r="D163" i="131"/>
  <c r="E163" i="131" s="1" a="1"/>
  <c r="E163" i="131" s="1"/>
  <c r="M163" i="131" a="1"/>
  <c r="M163" i="131" s="1"/>
  <c r="AI163" i="131"/>
  <c r="Q163" i="131"/>
  <c r="D166" i="131"/>
  <c r="E166" i="131" s="1" a="1"/>
  <c r="E166" i="131" s="1"/>
  <c r="M166" i="131" a="1"/>
  <c r="M166" i="131" s="1"/>
  <c r="AI166" i="131"/>
  <c r="D169" i="131"/>
  <c r="E169" i="131" s="1" a="1"/>
  <c r="E169" i="131" s="1"/>
  <c r="M169" i="131" a="1"/>
  <c r="M169" i="131" s="1"/>
  <c r="AI169" i="131"/>
  <c r="N167" i="131" a="1"/>
  <c r="N167" i="131" s="1"/>
  <c r="N170" i="131" a="1"/>
  <c r="N170" i="131" s="1"/>
  <c r="Q160" i="131"/>
  <c r="D165" i="131"/>
  <c r="E165" i="131" s="1" a="1"/>
  <c r="E165" i="131" s="1"/>
  <c r="M165" i="131" a="1"/>
  <c r="M165" i="131" s="1"/>
  <c r="AI165" i="131"/>
  <c r="I77" i="131"/>
  <c r="E74" i="131"/>
  <c r="D160" i="131"/>
  <c r="E160" i="131" s="1" a="1"/>
  <c r="E160" i="131" s="1"/>
  <c r="AI160" i="131"/>
  <c r="D77" i="131"/>
  <c r="H75" i="131"/>
  <c r="AO160" i="131" a="1"/>
  <c r="AO160" i="131" s="1"/>
  <c r="AO161" i="131" a="1"/>
  <c r="AO161" i="131" s="1"/>
  <c r="AO162" i="131" a="1"/>
  <c r="AO162" i="131" s="1"/>
  <c r="AO163" i="131" a="1"/>
  <c r="AO163" i="131" s="1"/>
  <c r="AO164" i="131" a="1"/>
  <c r="AO164" i="131" s="1"/>
  <c r="AO165" i="131" a="1"/>
  <c r="AO165" i="131" s="1"/>
  <c r="AO166" i="131" a="1"/>
  <c r="AO166" i="131" s="1"/>
  <c r="AO167" i="131" a="1"/>
  <c r="AO167" i="131" s="1"/>
  <c r="AO168" i="131" a="1"/>
  <c r="AO168" i="131" s="1"/>
  <c r="AO169" i="131" a="1"/>
  <c r="AO169" i="131" s="1"/>
  <c r="AO170" i="131" a="1"/>
  <c r="AO170" i="131" s="1"/>
  <c r="AO171" i="131" a="1"/>
  <c r="AO171" i="131" s="1"/>
  <c r="AO172" i="131" a="1"/>
  <c r="AO172" i="131" s="1"/>
  <c r="AO173" i="131" a="1"/>
  <c r="AO173" i="131" s="1"/>
  <c r="AO174" i="131" a="1"/>
  <c r="AO174" i="131" s="1"/>
  <c r="I74" i="131"/>
  <c r="G75" i="131"/>
  <c r="E76" i="131"/>
  <c r="C77" i="131"/>
  <c r="D74" i="131"/>
  <c r="J75" i="131"/>
  <c r="H76" i="131"/>
  <c r="F77" i="131"/>
  <c r="C74" i="131"/>
  <c r="J76" i="131"/>
  <c r="H77" i="131"/>
  <c r="B73" i="131"/>
  <c r="F74" i="131"/>
  <c r="D75" i="131"/>
  <c r="J77" i="131"/>
  <c r="H74" i="131"/>
  <c r="F75" i="131"/>
  <c r="D76" i="131"/>
  <c r="I76" i="131"/>
  <c r="G77" i="131"/>
  <c r="F76" i="131"/>
  <c r="J74" i="131"/>
  <c r="C84" i="131"/>
  <c r="I85" i="131"/>
  <c r="G86" i="131"/>
  <c r="E87" i="131"/>
  <c r="B56" i="131"/>
  <c r="B57" i="131"/>
  <c r="B54" i="131"/>
  <c r="N33" i="131"/>
  <c r="N21" i="131"/>
  <c r="C57" i="131"/>
  <c r="E56" i="131"/>
  <c r="G55" i="131"/>
  <c r="I54" i="131"/>
  <c r="M33" i="131"/>
  <c r="M21" i="131"/>
  <c r="J57" i="131"/>
  <c r="D56" i="131"/>
  <c r="F55" i="131"/>
  <c r="H54" i="131"/>
  <c r="L33" i="131"/>
  <c r="L21" i="131"/>
  <c r="H57" i="131"/>
  <c r="J56" i="131"/>
  <c r="D55" i="131"/>
  <c r="F54" i="131"/>
  <c r="J33" i="131"/>
  <c r="J21" i="131"/>
  <c r="G57" i="131"/>
  <c r="I56" i="131"/>
  <c r="C55" i="131"/>
  <c r="E54" i="131"/>
  <c r="I33" i="131"/>
  <c r="I21" i="131"/>
  <c r="E57" i="131"/>
  <c r="G56" i="131"/>
  <c r="I55" i="131"/>
  <c r="C54" i="131"/>
  <c r="O33" i="131"/>
  <c r="N3" i="127"/>
  <c r="N4" i="127"/>
  <c r="N5" i="127"/>
  <c r="N6" i="127"/>
  <c r="N7" i="127"/>
  <c r="N8" i="127"/>
  <c r="N9" i="127"/>
  <c r="N10" i="127"/>
  <c r="N11" i="127"/>
  <c r="N12" i="127"/>
  <c r="N13" i="127"/>
  <c r="N14" i="127"/>
  <c r="N15" i="127"/>
  <c r="N16" i="127"/>
  <c r="N17" i="127"/>
  <c r="N18" i="127"/>
  <c r="N19" i="127"/>
  <c r="N20" i="127"/>
  <c r="N21" i="127"/>
  <c r="N22" i="127"/>
  <c r="N23" i="127"/>
  <c r="N24" i="127"/>
  <c r="N25" i="127"/>
  <c r="N26" i="127"/>
  <c r="N27" i="127"/>
  <c r="N28" i="127"/>
  <c r="N29" i="127"/>
  <c r="N30" i="127"/>
  <c r="N31" i="127"/>
  <c r="N32" i="127"/>
  <c r="N33" i="127"/>
  <c r="N34" i="127"/>
  <c r="N35" i="127"/>
  <c r="N36" i="127"/>
  <c r="N37" i="127"/>
  <c r="N38" i="127"/>
  <c r="N39" i="127"/>
  <c r="N40" i="127"/>
  <c r="N2" i="127"/>
  <c r="P2" i="127" a="1"/>
  <c r="P2" i="127" s="1"/>
  <c r="O43" i="127" s="1"/>
  <c r="H2" i="127"/>
  <c r="H3" i="127"/>
  <c r="H4" i="127"/>
  <c r="H5" i="127"/>
  <c r="H6" i="127"/>
  <c r="H7" i="127"/>
  <c r="H8" i="127"/>
  <c r="H9" i="127"/>
  <c r="H10" i="127"/>
  <c r="H11" i="127"/>
  <c r="H12" i="127"/>
  <c r="H13" i="127"/>
  <c r="H15" i="127"/>
  <c r="A3" i="127"/>
  <c r="A4" i="127" s="1"/>
  <c r="A5" i="127" s="1"/>
  <c r="A6" i="127" s="1"/>
  <c r="A7" i="127" s="1"/>
  <c r="A8" i="127" s="1"/>
  <c r="A9" i="127" s="1"/>
  <c r="A10" i="127" s="1"/>
  <c r="A11" i="127" s="1"/>
  <c r="A12" i="127" s="1"/>
  <c r="A13" i="127" s="1"/>
  <c r="A14" i="127" s="1"/>
  <c r="A15" i="127" s="1"/>
  <c r="A16" i="127" s="1"/>
  <c r="A17" i="127" s="1"/>
  <c r="A18" i="127" s="1"/>
  <c r="A19" i="127" s="1"/>
  <c r="A20" i="127" s="1"/>
  <c r="A21" i="127" s="1"/>
  <c r="A22" i="127" s="1"/>
  <c r="A23" i="127" s="1"/>
  <c r="A24" i="127" s="1"/>
  <c r="A25" i="127" s="1"/>
  <c r="A26" i="127" s="1"/>
  <c r="A27" i="127" s="1"/>
  <c r="A28" i="127" s="1"/>
  <c r="A29" i="127" s="1"/>
  <c r="A30" i="127" s="1"/>
  <c r="A31" i="127" s="1"/>
  <c r="A32" i="127" s="1"/>
  <c r="A33" i="127" s="1"/>
  <c r="A34" i="127" s="1"/>
  <c r="A35" i="127" s="1"/>
  <c r="A36" i="127" s="1"/>
  <c r="A37" i="127" s="1"/>
  <c r="A38" i="127" s="1"/>
  <c r="A39" i="127" s="1"/>
  <c r="A40" i="127" s="1"/>
  <c r="A41" i="127" s="1"/>
  <c r="A42" i="127" s="1"/>
  <c r="A43" i="127" s="1"/>
  <c r="A44" i="127" s="1"/>
  <c r="A45" i="127" s="1"/>
  <c r="A46" i="127" s="1"/>
  <c r="A47" i="127" s="1"/>
  <c r="A48" i="127" s="1"/>
  <c r="A49" i="127" s="1"/>
  <c r="A50" i="127" s="1"/>
  <c r="A51" i="127" s="1"/>
  <c r="A52" i="127" s="1"/>
  <c r="A53" i="127" s="1"/>
  <c r="A54" i="127" s="1"/>
  <c r="A55" i="127" s="1"/>
  <c r="A56" i="127" s="1"/>
  <c r="A57" i="127" s="1"/>
  <c r="A58" i="127" s="1"/>
  <c r="A59" i="127" s="1"/>
  <c r="A60" i="127" s="1"/>
  <c r="A61" i="127" s="1"/>
  <c r="A62" i="127" s="1"/>
  <c r="A63" i="127" s="1"/>
  <c r="A64" i="127" s="1"/>
  <c r="A65" i="127" s="1"/>
  <c r="A66" i="127" s="1"/>
  <c r="A67" i="127" s="1"/>
  <c r="A68" i="127" s="1"/>
  <c r="A69" i="127" s="1"/>
  <c r="A70" i="127" s="1"/>
  <c r="A71" i="127" s="1"/>
  <c r="A72" i="127" s="1"/>
  <c r="A73" i="127" s="1"/>
  <c r="A74" i="127" s="1"/>
  <c r="A75" i="127" s="1"/>
  <c r="A76" i="127" s="1"/>
  <c r="A77" i="127" s="1"/>
  <c r="A78" i="127" s="1"/>
  <c r="A79" i="127" s="1"/>
  <c r="A80" i="127" s="1"/>
  <c r="A81" i="127" s="1"/>
  <c r="A82" i="127" s="1"/>
  <c r="A83" i="127" s="1"/>
  <c r="A84" i="127" s="1"/>
  <c r="A85" i="127" s="1"/>
  <c r="A86" i="127" s="1"/>
  <c r="A87" i="127" s="1"/>
  <c r="A88" i="127" s="1"/>
  <c r="A89" i="127" s="1"/>
  <c r="A90" i="127" s="1"/>
  <c r="A91" i="127" s="1"/>
  <c r="A92" i="127" s="1"/>
  <c r="A93" i="127" s="1"/>
  <c r="A94" i="127" s="1"/>
  <c r="A95" i="127" s="1"/>
  <c r="A96" i="127" s="1"/>
  <c r="A97" i="127" s="1"/>
  <c r="A98" i="127" s="1"/>
  <c r="A99" i="127" s="1"/>
  <c r="A100" i="127" s="1"/>
  <c r="A101" i="127" s="1"/>
  <c r="A102" i="127" s="1"/>
  <c r="A103" i="127" s="1"/>
  <c r="A104" i="127" s="1"/>
  <c r="A105" i="127" s="1"/>
  <c r="A106" i="127" s="1"/>
  <c r="A107" i="127" s="1"/>
  <c r="A108" i="127" s="1"/>
  <c r="A109" i="127" s="1"/>
  <c r="A110" i="127" s="1"/>
  <c r="A111" i="127" s="1"/>
  <c r="A112" i="127" s="1"/>
  <c r="A113" i="127" s="1"/>
  <c r="A114" i="127" s="1"/>
  <c r="A115" i="127" s="1"/>
  <c r="A116" i="127" s="1"/>
  <c r="A117" i="127" s="1"/>
  <c r="A118" i="127" s="1"/>
  <c r="A119" i="127" s="1"/>
  <c r="A120" i="127" s="1"/>
  <c r="A121" i="127" s="1"/>
  <c r="A122" i="127" s="1"/>
  <c r="A123" i="127" s="1"/>
  <c r="A124" i="127" s="1"/>
  <c r="A125" i="127" s="1"/>
  <c r="A126" i="127" s="1"/>
  <c r="A127" i="127" s="1"/>
  <c r="A128" i="127" s="1"/>
  <c r="A129" i="127" s="1"/>
  <c r="A130" i="127" s="1"/>
  <c r="A131" i="127" s="1"/>
  <c r="A132" i="127" s="1"/>
  <c r="A133" i="127" s="1"/>
  <c r="A134" i="127" s="1"/>
  <c r="A135" i="127" s="1"/>
  <c r="A136" i="127" s="1"/>
  <c r="A137" i="127" s="1"/>
  <c r="A138" i="127" s="1"/>
  <c r="A139" i="127" s="1"/>
  <c r="A140" i="127" s="1"/>
  <c r="A141" i="127" s="1"/>
  <c r="A142" i="127" s="1"/>
  <c r="A143" i="127" s="1"/>
  <c r="A144" i="127" s="1"/>
  <c r="A145" i="127" s="1"/>
  <c r="A146" i="127" s="1"/>
  <c r="A147" i="127" s="1"/>
  <c r="A148" i="127" s="1"/>
  <c r="A149" i="127" s="1"/>
  <c r="A150" i="127" s="1"/>
  <c r="A151" i="127" s="1"/>
  <c r="A152" i="127" s="1"/>
  <c r="A153" i="127" s="1"/>
  <c r="A154" i="127" s="1"/>
  <c r="A155" i="127" s="1"/>
  <c r="A156" i="127" s="1"/>
  <c r="A157" i="127" s="1"/>
  <c r="A158" i="127" s="1"/>
  <c r="A159" i="127" s="1"/>
  <c r="A160" i="127" s="1"/>
  <c r="A161" i="127" s="1"/>
  <c r="A162" i="127" s="1"/>
  <c r="A163" i="127" s="1"/>
  <c r="A164" i="127" s="1"/>
  <c r="A165" i="127" s="1"/>
  <c r="A166" i="127" s="1"/>
  <c r="A167" i="127" s="1"/>
  <c r="A168" i="127" s="1"/>
  <c r="A169" i="127" s="1"/>
  <c r="A170" i="127" s="1"/>
  <c r="A171" i="127" s="1"/>
  <c r="A16" i="129"/>
  <c r="A17" i="129"/>
  <c r="D5" i="129"/>
  <c r="D6" i="129"/>
  <c r="D7" i="129"/>
  <c r="D8" i="129"/>
  <c r="D9" i="129"/>
  <c r="D10" i="129"/>
  <c r="D11" i="129"/>
  <c r="D12" i="129"/>
  <c r="D13" i="129"/>
  <c r="D14" i="129"/>
  <c r="D15" i="129"/>
  <c r="D16" i="129"/>
  <c r="D17" i="129"/>
  <c r="D18" i="129"/>
  <c r="D19" i="129"/>
  <c r="D20" i="129"/>
  <c r="D21" i="129"/>
  <c r="D22" i="129"/>
  <c r="D23" i="129"/>
  <c r="D24" i="129"/>
  <c r="D25" i="129"/>
  <c r="D26" i="129"/>
  <c r="D27" i="129"/>
  <c r="D28" i="129"/>
  <c r="D29" i="129"/>
  <c r="D30" i="129"/>
  <c r="D31" i="129"/>
  <c r="D32" i="129"/>
  <c r="D33" i="129"/>
  <c r="D34" i="129"/>
  <c r="D35" i="129"/>
  <c r="D36" i="129"/>
  <c r="D37" i="129"/>
  <c r="D38" i="129"/>
  <c r="D39" i="129"/>
  <c r="D40" i="129"/>
  <c r="D41" i="129"/>
  <c r="D42" i="129"/>
  <c r="D43" i="129"/>
  <c r="D44" i="129"/>
  <c r="D45" i="129"/>
  <c r="D46" i="129"/>
  <c r="D47" i="129"/>
  <c r="D48" i="129"/>
  <c r="D49" i="129"/>
  <c r="D50" i="129"/>
  <c r="D51" i="129"/>
  <c r="D52" i="129"/>
  <c r="D53" i="129"/>
  <c r="D54" i="129"/>
  <c r="D55" i="129"/>
  <c r="D56" i="129"/>
  <c r="D57" i="129"/>
  <c r="D58" i="129"/>
  <c r="D59" i="129"/>
  <c r="D60" i="129"/>
  <c r="D61" i="129"/>
  <c r="D62" i="129"/>
  <c r="D63" i="129"/>
  <c r="D64" i="129"/>
  <c r="D65" i="129"/>
  <c r="D66" i="129"/>
  <c r="D67" i="129"/>
  <c r="D68" i="129"/>
  <c r="D69" i="129"/>
  <c r="D70" i="129"/>
  <c r="D71" i="129"/>
  <c r="D72" i="129"/>
  <c r="D73" i="129"/>
  <c r="D74" i="129"/>
  <c r="D75" i="129"/>
  <c r="D76" i="129"/>
  <c r="D77" i="129"/>
  <c r="D78" i="129"/>
  <c r="D79" i="129"/>
  <c r="D80" i="129"/>
  <c r="D81" i="129"/>
  <c r="D82" i="129"/>
  <c r="D83" i="129"/>
  <c r="D84" i="129"/>
  <c r="D85" i="129"/>
  <c r="D86" i="129"/>
  <c r="D87" i="129"/>
  <c r="D88" i="129"/>
  <c r="D89" i="129"/>
  <c r="D90" i="129"/>
  <c r="D91" i="129"/>
  <c r="D92" i="129"/>
  <c r="D93" i="129"/>
  <c r="D94" i="129"/>
  <c r="D95" i="129"/>
  <c r="D96" i="129"/>
  <c r="D97" i="129"/>
  <c r="D98" i="129"/>
  <c r="D99" i="129"/>
  <c r="D100" i="129"/>
  <c r="D101" i="129"/>
  <c r="D102" i="129"/>
  <c r="D103" i="129"/>
  <c r="D104" i="129"/>
  <c r="D105" i="129"/>
  <c r="D106" i="129"/>
  <c r="D107" i="129"/>
  <c r="D108" i="129"/>
  <c r="D109" i="129"/>
  <c r="D110" i="129"/>
  <c r="D111" i="129"/>
  <c r="D112" i="129"/>
  <c r="D113" i="129"/>
  <c r="D114" i="129"/>
  <c r="D115" i="129"/>
  <c r="D116" i="129"/>
  <c r="D117" i="129"/>
  <c r="D118" i="129"/>
  <c r="D119" i="129"/>
  <c r="D120" i="129"/>
  <c r="D121" i="129"/>
  <c r="D122" i="129"/>
  <c r="D123" i="129"/>
  <c r="D124" i="129"/>
  <c r="D125" i="129"/>
  <c r="D126" i="129"/>
  <c r="D127" i="129"/>
  <c r="D128" i="129"/>
  <c r="D129" i="129"/>
  <c r="D130" i="129"/>
  <c r="D131" i="129"/>
  <c r="D132" i="129"/>
  <c r="D133" i="129"/>
  <c r="D134" i="129"/>
  <c r="D135" i="129"/>
  <c r="D136" i="129"/>
  <c r="D137" i="129"/>
  <c r="D138" i="129"/>
  <c r="D139" i="129"/>
  <c r="D140" i="129"/>
  <c r="D141" i="129"/>
  <c r="D142" i="129"/>
  <c r="D143" i="129"/>
  <c r="D144" i="129"/>
  <c r="D145" i="129"/>
  <c r="D146" i="129"/>
  <c r="D147" i="129"/>
  <c r="D148" i="129"/>
  <c r="D149" i="129"/>
  <c r="D150" i="129"/>
  <c r="D151" i="129"/>
  <c r="D152" i="129"/>
  <c r="D153" i="129"/>
  <c r="D154" i="129"/>
  <c r="D155" i="129"/>
  <c r="D156" i="129"/>
  <c r="D157" i="129"/>
  <c r="D158" i="129"/>
  <c r="D159" i="129"/>
  <c r="D160" i="129"/>
  <c r="D161" i="129"/>
  <c r="D162" i="129"/>
  <c r="D163" i="129"/>
  <c r="D164" i="129"/>
  <c r="D165" i="129"/>
  <c r="D166" i="129"/>
  <c r="D167" i="129"/>
  <c r="D168" i="129"/>
  <c r="D169" i="129"/>
  <c r="D170" i="129"/>
  <c r="D171" i="129"/>
  <c r="D172" i="129"/>
  <c r="D173" i="129"/>
  <c r="D174" i="129"/>
  <c r="D175" i="129"/>
  <c r="D176" i="129"/>
  <c r="D177" i="129"/>
  <c r="D178" i="129"/>
  <c r="D179" i="129"/>
  <c r="D180" i="129"/>
  <c r="D181" i="129"/>
  <c r="D182" i="129"/>
  <c r="C5" i="129"/>
  <c r="C6" i="129"/>
  <c r="C7" i="129"/>
  <c r="C8" i="129"/>
  <c r="C9" i="129"/>
  <c r="C10" i="129"/>
  <c r="C11" i="129"/>
  <c r="C12" i="129"/>
  <c r="C13" i="129"/>
  <c r="C14" i="129"/>
  <c r="C15" i="129"/>
  <c r="C16" i="129"/>
  <c r="C17" i="129"/>
  <c r="C18" i="129"/>
  <c r="C19" i="129"/>
  <c r="C20" i="129"/>
  <c r="C21" i="129"/>
  <c r="C22" i="129"/>
  <c r="C23" i="129"/>
  <c r="C24" i="129"/>
  <c r="C25" i="129"/>
  <c r="C26" i="129"/>
  <c r="C27" i="129"/>
  <c r="C28" i="129"/>
  <c r="C29" i="129"/>
  <c r="C30" i="129"/>
  <c r="C31" i="129"/>
  <c r="C32" i="129"/>
  <c r="C33" i="129"/>
  <c r="C34" i="129"/>
  <c r="C35" i="129"/>
  <c r="C36" i="129"/>
  <c r="C37" i="129"/>
  <c r="C38" i="129"/>
  <c r="C39" i="129"/>
  <c r="C40" i="129"/>
  <c r="C41" i="129"/>
  <c r="C42" i="129"/>
  <c r="C43" i="129"/>
  <c r="C44" i="129"/>
  <c r="C45" i="129"/>
  <c r="C46" i="129"/>
  <c r="C47" i="129"/>
  <c r="C48" i="129"/>
  <c r="C49" i="129"/>
  <c r="C50" i="129"/>
  <c r="C51" i="129"/>
  <c r="C52" i="129"/>
  <c r="C53" i="129"/>
  <c r="C54" i="129"/>
  <c r="C55" i="129"/>
  <c r="C56" i="129"/>
  <c r="C57" i="129"/>
  <c r="C58" i="129"/>
  <c r="C59" i="129"/>
  <c r="C60" i="129"/>
  <c r="C61" i="129"/>
  <c r="C62" i="129"/>
  <c r="C63" i="129"/>
  <c r="C64" i="129"/>
  <c r="C65" i="129"/>
  <c r="C66" i="129"/>
  <c r="C67" i="129"/>
  <c r="C68" i="129"/>
  <c r="C69" i="129"/>
  <c r="C70" i="129"/>
  <c r="C71" i="129"/>
  <c r="C72" i="129"/>
  <c r="C73" i="129"/>
  <c r="C74" i="129"/>
  <c r="C75" i="129"/>
  <c r="C76" i="129"/>
  <c r="C77" i="129"/>
  <c r="C78" i="129"/>
  <c r="C79" i="129"/>
  <c r="C80" i="129"/>
  <c r="C81" i="129"/>
  <c r="C82" i="129"/>
  <c r="C83" i="129"/>
  <c r="C84" i="129"/>
  <c r="C85" i="129"/>
  <c r="C86" i="129"/>
  <c r="C87" i="129"/>
  <c r="C88" i="129"/>
  <c r="C89" i="129"/>
  <c r="C90" i="129"/>
  <c r="C91" i="129"/>
  <c r="C92" i="129"/>
  <c r="C93" i="129"/>
  <c r="C94" i="129"/>
  <c r="C95" i="129"/>
  <c r="C96" i="129"/>
  <c r="C97" i="129"/>
  <c r="C98" i="129"/>
  <c r="C99" i="129"/>
  <c r="C100" i="129"/>
  <c r="C101" i="129"/>
  <c r="C102" i="129"/>
  <c r="C103" i="129"/>
  <c r="C104" i="129"/>
  <c r="C105" i="129"/>
  <c r="C106" i="129"/>
  <c r="C107" i="129"/>
  <c r="C108" i="129"/>
  <c r="C109" i="129"/>
  <c r="C110" i="129"/>
  <c r="C111" i="129"/>
  <c r="C112" i="129"/>
  <c r="C113" i="129"/>
  <c r="C114" i="129"/>
  <c r="C115" i="129"/>
  <c r="C116" i="129"/>
  <c r="C117" i="129"/>
  <c r="C118" i="129"/>
  <c r="C119" i="129"/>
  <c r="C120" i="129"/>
  <c r="C121" i="129"/>
  <c r="C122" i="129"/>
  <c r="C123" i="129"/>
  <c r="C124" i="129"/>
  <c r="C125" i="129"/>
  <c r="C126" i="129"/>
  <c r="C127" i="129"/>
  <c r="C128" i="129"/>
  <c r="C129" i="129"/>
  <c r="C130" i="129"/>
  <c r="C131" i="129"/>
  <c r="C132" i="129"/>
  <c r="C133" i="129"/>
  <c r="C134" i="129"/>
  <c r="C135" i="129"/>
  <c r="C136" i="129"/>
  <c r="C137" i="129"/>
  <c r="C138" i="129"/>
  <c r="C139" i="129"/>
  <c r="C140" i="129"/>
  <c r="C141" i="129"/>
  <c r="C142" i="129"/>
  <c r="C143" i="129"/>
  <c r="C144" i="129"/>
  <c r="C145" i="129"/>
  <c r="C146" i="129"/>
  <c r="C147" i="129"/>
  <c r="C148" i="129"/>
  <c r="C149" i="129"/>
  <c r="C150" i="129"/>
  <c r="C151" i="129"/>
  <c r="C152" i="129"/>
  <c r="C153" i="129"/>
  <c r="C154" i="129"/>
  <c r="C155" i="129"/>
  <c r="C156" i="129"/>
  <c r="C157" i="129"/>
  <c r="C158" i="129"/>
  <c r="C159" i="129"/>
  <c r="C160" i="129"/>
  <c r="C161" i="129"/>
  <c r="C162" i="129"/>
  <c r="C163" i="129"/>
  <c r="C164" i="129"/>
  <c r="C165" i="129"/>
  <c r="C166" i="129"/>
  <c r="C167" i="129"/>
  <c r="C168" i="129"/>
  <c r="C169" i="129"/>
  <c r="C170" i="129"/>
  <c r="C171" i="129"/>
  <c r="C172" i="129"/>
  <c r="C173" i="129"/>
  <c r="C174" i="129"/>
  <c r="C175" i="129"/>
  <c r="C176" i="129"/>
  <c r="C177" i="129"/>
  <c r="C178" i="129"/>
  <c r="C179" i="129"/>
  <c r="C180" i="129"/>
  <c r="C181" i="129"/>
  <c r="C182" i="129"/>
  <c r="C4" i="129"/>
  <c r="D4" i="129"/>
  <c r="B4" i="129"/>
  <c r="B5" i="129"/>
  <c r="B6" i="129"/>
  <c r="B7" i="129"/>
  <c r="B8" i="129"/>
  <c r="B9" i="129"/>
  <c r="B10" i="129"/>
  <c r="B11" i="129"/>
  <c r="B12" i="129"/>
  <c r="B13" i="129"/>
  <c r="B14" i="129"/>
  <c r="B15" i="129"/>
  <c r="B16" i="129"/>
  <c r="B17" i="129"/>
  <c r="B18" i="129"/>
  <c r="B19" i="129"/>
  <c r="B20" i="129"/>
  <c r="B21" i="129"/>
  <c r="B22" i="129"/>
  <c r="B23" i="129"/>
  <c r="B24" i="129"/>
  <c r="B25" i="129"/>
  <c r="B26" i="129"/>
  <c r="B27" i="129"/>
  <c r="B28" i="129"/>
  <c r="B29" i="129"/>
  <c r="B30" i="129"/>
  <c r="B31" i="129"/>
  <c r="B32" i="129"/>
  <c r="B33" i="129"/>
  <c r="B34" i="129"/>
  <c r="B35" i="129"/>
  <c r="B36" i="129"/>
  <c r="B37" i="129"/>
  <c r="B38" i="129"/>
  <c r="B39" i="129"/>
  <c r="B40" i="129"/>
  <c r="B41" i="129"/>
  <c r="B42" i="129"/>
  <c r="B43" i="129"/>
  <c r="B44" i="129"/>
  <c r="B45" i="129"/>
  <c r="B46" i="129"/>
  <c r="B47" i="129"/>
  <c r="B48" i="129"/>
  <c r="B49" i="129"/>
  <c r="B50" i="129"/>
  <c r="B51" i="129"/>
  <c r="B52" i="129"/>
  <c r="B53" i="129"/>
  <c r="B54" i="129"/>
  <c r="B55" i="129"/>
  <c r="B56" i="129"/>
  <c r="B57" i="129"/>
  <c r="B58" i="129"/>
  <c r="B59" i="129"/>
  <c r="B60" i="129"/>
  <c r="B61" i="129"/>
  <c r="B62" i="129"/>
  <c r="B63" i="129"/>
  <c r="B64" i="129"/>
  <c r="B65" i="129"/>
  <c r="B66" i="129"/>
  <c r="B67" i="129"/>
  <c r="B68" i="129"/>
  <c r="B69" i="129"/>
  <c r="B70" i="129"/>
  <c r="B71" i="129"/>
  <c r="B72" i="129"/>
  <c r="B73" i="129"/>
  <c r="B74" i="129"/>
  <c r="B75" i="129"/>
  <c r="B76" i="129"/>
  <c r="B77" i="129"/>
  <c r="B78" i="129"/>
  <c r="B79" i="129"/>
  <c r="B80" i="129"/>
  <c r="B81" i="129"/>
  <c r="B82" i="129"/>
  <c r="B83" i="129"/>
  <c r="B84" i="129"/>
  <c r="B85" i="129"/>
  <c r="B86" i="129"/>
  <c r="B87" i="129"/>
  <c r="B88" i="129"/>
  <c r="B89" i="129"/>
  <c r="B90" i="129"/>
  <c r="B91" i="129"/>
  <c r="B92" i="129"/>
  <c r="B93" i="129"/>
  <c r="B94" i="129"/>
  <c r="B95" i="129"/>
  <c r="B96" i="129"/>
  <c r="B97" i="129"/>
  <c r="B98" i="129"/>
  <c r="B99" i="129"/>
  <c r="B100" i="129"/>
  <c r="B101" i="129"/>
  <c r="B102" i="129"/>
  <c r="B103" i="129"/>
  <c r="B104" i="129"/>
  <c r="B105" i="129"/>
  <c r="B106" i="129"/>
  <c r="B107" i="129"/>
  <c r="B108" i="129"/>
  <c r="B109" i="129"/>
  <c r="B110" i="129"/>
  <c r="B111" i="129"/>
  <c r="B112" i="129"/>
  <c r="B113" i="129"/>
  <c r="B114" i="129"/>
  <c r="B115" i="129"/>
  <c r="B116" i="129"/>
  <c r="B117" i="129"/>
  <c r="B118" i="129"/>
  <c r="B119" i="129"/>
  <c r="B120" i="129"/>
  <c r="B121" i="129"/>
  <c r="B122" i="129"/>
  <c r="B123" i="129"/>
  <c r="B124" i="129"/>
  <c r="B125" i="129"/>
  <c r="B126" i="129"/>
  <c r="B127" i="129"/>
  <c r="B128" i="129"/>
  <c r="B129" i="129"/>
  <c r="B130" i="129"/>
  <c r="B131" i="129"/>
  <c r="B132" i="129"/>
  <c r="B133" i="129"/>
  <c r="B134" i="129"/>
  <c r="B135" i="129"/>
  <c r="B136" i="129"/>
  <c r="B137" i="129"/>
  <c r="B138" i="129"/>
  <c r="B139" i="129"/>
  <c r="B140" i="129"/>
  <c r="B141" i="129"/>
  <c r="B142" i="129"/>
  <c r="B143" i="129"/>
  <c r="B144" i="129"/>
  <c r="B145" i="129"/>
  <c r="B146" i="129"/>
  <c r="B147" i="129"/>
  <c r="B148" i="129"/>
  <c r="B149" i="129"/>
  <c r="B150" i="129"/>
  <c r="B151" i="129"/>
  <c r="B152" i="129"/>
  <c r="B153" i="129"/>
  <c r="B154" i="129"/>
  <c r="B155" i="129"/>
  <c r="B156" i="129"/>
  <c r="B157" i="129"/>
  <c r="B158" i="129"/>
  <c r="B159" i="129"/>
  <c r="B160" i="129"/>
  <c r="B161" i="129"/>
  <c r="B162" i="129"/>
  <c r="B163" i="129"/>
  <c r="B164" i="129"/>
  <c r="B165" i="129"/>
  <c r="B166" i="129"/>
  <c r="B167" i="129"/>
  <c r="B168" i="129"/>
  <c r="B169" i="129"/>
  <c r="B170" i="129"/>
  <c r="B171" i="129"/>
  <c r="B172" i="129"/>
  <c r="B173" i="129"/>
  <c r="B174" i="129"/>
  <c r="B175" i="129"/>
  <c r="B176" i="129"/>
  <c r="B177" i="129"/>
  <c r="B178" i="129"/>
  <c r="B179" i="129"/>
  <c r="B180" i="129"/>
  <c r="B181" i="129"/>
  <c r="B182" i="129"/>
  <c r="A4" i="129"/>
  <c r="A5" i="129"/>
  <c r="A6" i="129"/>
  <c r="A7" i="129"/>
  <c r="A8" i="129"/>
  <c r="A9" i="129"/>
  <c r="A10" i="129"/>
  <c r="A11" i="129"/>
  <c r="A12" i="129"/>
  <c r="A13" i="129"/>
  <c r="A14" i="129"/>
  <c r="A15" i="129"/>
  <c r="A18" i="129"/>
  <c r="A19" i="129"/>
  <c r="A20" i="129"/>
  <c r="A21" i="129"/>
  <c r="A22" i="129"/>
  <c r="A23" i="129"/>
  <c r="A24" i="129"/>
  <c r="A25" i="129"/>
  <c r="A26" i="129"/>
  <c r="A27" i="129"/>
  <c r="A28" i="129"/>
  <c r="A29" i="129"/>
  <c r="A30" i="129"/>
  <c r="A31" i="129"/>
  <c r="A32" i="129"/>
  <c r="A33" i="129"/>
  <c r="A34" i="129"/>
  <c r="A35" i="129"/>
  <c r="A36" i="129"/>
  <c r="A37" i="129"/>
  <c r="A38" i="129"/>
  <c r="A39" i="129"/>
  <c r="A40" i="129"/>
  <c r="A41" i="129"/>
  <c r="A42" i="129"/>
  <c r="A43" i="129"/>
  <c r="A44" i="129"/>
  <c r="A45" i="129"/>
  <c r="A46" i="129"/>
  <c r="A47" i="129"/>
  <c r="A48" i="129"/>
  <c r="A49" i="129"/>
  <c r="A50" i="129"/>
  <c r="A51" i="129"/>
  <c r="A52" i="129"/>
  <c r="A53" i="129"/>
  <c r="A54" i="129"/>
  <c r="A55" i="129"/>
  <c r="A56" i="129"/>
  <c r="A57" i="129"/>
  <c r="A58" i="129"/>
  <c r="A59" i="129"/>
  <c r="A60" i="129"/>
  <c r="A61" i="129"/>
  <c r="A62" i="129"/>
  <c r="A63" i="129"/>
  <c r="A64" i="129"/>
  <c r="A65" i="129"/>
  <c r="A66" i="129"/>
  <c r="A67" i="129"/>
  <c r="A68" i="129"/>
  <c r="A69" i="129"/>
  <c r="A70" i="129"/>
  <c r="A71" i="129"/>
  <c r="A72" i="129"/>
  <c r="A73" i="129"/>
  <c r="A74" i="129"/>
  <c r="A75" i="129"/>
  <c r="A76" i="129"/>
  <c r="A77" i="129"/>
  <c r="A78" i="129"/>
  <c r="A79" i="129"/>
  <c r="A80" i="129"/>
  <c r="A81" i="129"/>
  <c r="A82" i="129"/>
  <c r="A83" i="129"/>
  <c r="A84" i="129"/>
  <c r="A85" i="129"/>
  <c r="A86" i="129"/>
  <c r="A87" i="129"/>
  <c r="A88" i="129"/>
  <c r="A89" i="129"/>
  <c r="A90" i="129"/>
  <c r="A91" i="129"/>
  <c r="A92" i="129"/>
  <c r="A93" i="129"/>
  <c r="A94" i="129"/>
  <c r="A95" i="129"/>
  <c r="A96" i="129"/>
  <c r="A97" i="129"/>
  <c r="A98" i="129"/>
  <c r="A99" i="129"/>
  <c r="A100" i="129"/>
  <c r="A101" i="129"/>
  <c r="A102" i="129"/>
  <c r="A103" i="129"/>
  <c r="A104" i="129"/>
  <c r="A105" i="129"/>
  <c r="A106" i="129"/>
  <c r="A107" i="129"/>
  <c r="A108" i="129"/>
  <c r="A109" i="129"/>
  <c r="A110" i="129"/>
  <c r="A111" i="129"/>
  <c r="A112" i="129"/>
  <c r="A113" i="129"/>
  <c r="A114" i="129"/>
  <c r="A115" i="129"/>
  <c r="A116" i="129"/>
  <c r="A117" i="129"/>
  <c r="A118" i="129"/>
  <c r="A119" i="129"/>
  <c r="A120" i="129"/>
  <c r="A121" i="129"/>
  <c r="A122" i="129"/>
  <c r="A123" i="129"/>
  <c r="A124" i="129"/>
  <c r="A125" i="129"/>
  <c r="A126" i="129"/>
  <c r="A127" i="129"/>
  <c r="A128" i="129"/>
  <c r="A129" i="129"/>
  <c r="A130" i="129"/>
  <c r="A131" i="129"/>
  <c r="A132" i="129"/>
  <c r="A133" i="129"/>
  <c r="A134" i="129"/>
  <c r="A135" i="129"/>
  <c r="A136" i="129"/>
  <c r="A137" i="129"/>
  <c r="A138" i="129"/>
  <c r="A139" i="129"/>
  <c r="A140" i="129"/>
  <c r="A141" i="129"/>
  <c r="A142" i="129"/>
  <c r="A143" i="129"/>
  <c r="A144" i="129"/>
  <c r="A145" i="129"/>
  <c r="A146" i="129"/>
  <c r="A147" i="129"/>
  <c r="A148" i="129"/>
  <c r="A149" i="129"/>
  <c r="A150" i="129"/>
  <c r="A151" i="129"/>
  <c r="A152" i="129"/>
  <c r="A153" i="129"/>
  <c r="A154" i="129"/>
  <c r="A155" i="129"/>
  <c r="A156" i="129"/>
  <c r="A157" i="129"/>
  <c r="A158" i="129"/>
  <c r="A159" i="129"/>
  <c r="A160" i="129"/>
  <c r="A161" i="129"/>
  <c r="A162" i="129"/>
  <c r="A163" i="129"/>
  <c r="A164" i="129"/>
  <c r="A165" i="129"/>
  <c r="A166" i="129"/>
  <c r="A167" i="129"/>
  <c r="A168" i="129"/>
  <c r="A169" i="129"/>
  <c r="A170" i="129"/>
  <c r="A171" i="129"/>
  <c r="A172" i="129"/>
  <c r="A173" i="129"/>
  <c r="A174" i="129"/>
  <c r="A175" i="129"/>
  <c r="A176" i="129"/>
  <c r="A177" i="129"/>
  <c r="A178" i="129"/>
  <c r="A179" i="129"/>
  <c r="A180" i="129"/>
  <c r="A181" i="129"/>
  <c r="A182" i="129"/>
  <c r="AH2" i="1"/>
  <c r="H24" i="127"/>
  <c r="H25" i="127"/>
  <c r="I25" i="127"/>
  <c r="J25" i="127"/>
  <c r="K25" i="127"/>
  <c r="L25" i="127"/>
  <c r="H27" i="127"/>
  <c r="J27" i="127"/>
  <c r="L27" i="127"/>
  <c r="H28" i="127"/>
  <c r="I28" i="127"/>
  <c r="J28" i="127"/>
  <c r="K28" i="127"/>
  <c r="L28" i="127"/>
  <c r="H29" i="127"/>
  <c r="I29" i="127"/>
  <c r="J29" i="127"/>
  <c r="K29" i="127"/>
  <c r="L29" i="127"/>
  <c r="H30" i="127"/>
  <c r="I30" i="127"/>
  <c r="J30" i="127"/>
  <c r="K30" i="127"/>
  <c r="L30" i="127"/>
  <c r="J31" i="127"/>
  <c r="K31" i="127"/>
  <c r="H32" i="127"/>
  <c r="I32" i="127"/>
  <c r="J32" i="127"/>
  <c r="L32" i="127"/>
  <c r="H33" i="127"/>
  <c r="I33" i="127"/>
  <c r="J33" i="127"/>
  <c r="H34" i="127"/>
  <c r="I34" i="127"/>
  <c r="J34" i="127"/>
  <c r="K34" i="127"/>
  <c r="L34" i="127"/>
  <c r="H35" i="127"/>
  <c r="I35" i="127"/>
  <c r="J35" i="127"/>
  <c r="K35" i="127"/>
  <c r="L35" i="127"/>
  <c r="H36" i="127"/>
  <c r="I36" i="127"/>
  <c r="K36" i="127"/>
  <c r="L36" i="127"/>
  <c r="H37" i="127"/>
  <c r="I37" i="127"/>
  <c r="J37" i="127"/>
  <c r="K37" i="127"/>
  <c r="L37" i="127"/>
  <c r="H38" i="127"/>
  <c r="I38" i="127"/>
  <c r="J38" i="127"/>
  <c r="K38" i="127"/>
  <c r="L38" i="127"/>
  <c r="H39" i="127"/>
  <c r="I39" i="127"/>
  <c r="J39" i="127"/>
  <c r="H40" i="127"/>
  <c r="I40" i="127"/>
  <c r="J40" i="127"/>
  <c r="K40" i="127"/>
  <c r="L40" i="127"/>
  <c r="I12" i="127"/>
  <c r="J12" i="127"/>
  <c r="K12" i="127"/>
  <c r="L12" i="127"/>
  <c r="I13" i="127"/>
  <c r="J13" i="127"/>
  <c r="K13" i="127"/>
  <c r="L13" i="127"/>
  <c r="I14" i="127"/>
  <c r="J14" i="127"/>
  <c r="K14" i="127"/>
  <c r="L14" i="127"/>
  <c r="I15" i="127"/>
  <c r="J15" i="127"/>
  <c r="K15" i="127"/>
  <c r="L15" i="127"/>
  <c r="H16" i="127"/>
  <c r="I16" i="127"/>
  <c r="J16" i="127"/>
  <c r="K16" i="127"/>
  <c r="L16" i="127"/>
  <c r="H17" i="127"/>
  <c r="I17" i="127"/>
  <c r="J17" i="127"/>
  <c r="K17" i="127"/>
  <c r="L17" i="127"/>
  <c r="H18" i="127"/>
  <c r="I18" i="127"/>
  <c r="J18" i="127"/>
  <c r="K18" i="127"/>
  <c r="L18" i="127"/>
  <c r="H19" i="127"/>
  <c r="I19" i="127"/>
  <c r="J19" i="127"/>
  <c r="K19" i="127"/>
  <c r="L19" i="127"/>
  <c r="H20" i="127"/>
  <c r="I20" i="127"/>
  <c r="J20" i="127"/>
  <c r="K20" i="127"/>
  <c r="L20" i="127"/>
  <c r="H21" i="127"/>
  <c r="I21" i="127"/>
  <c r="J21" i="127"/>
  <c r="K21" i="127"/>
  <c r="L21" i="127"/>
  <c r="H26" i="127"/>
  <c r="I26" i="127"/>
  <c r="J26" i="127"/>
  <c r="K26" i="127"/>
  <c r="L26" i="127"/>
  <c r="H22" i="127"/>
  <c r="I22" i="127"/>
  <c r="J22" i="127"/>
  <c r="K22" i="127"/>
  <c r="L22" i="127"/>
  <c r="H23" i="127"/>
  <c r="I23" i="127"/>
  <c r="K23" i="127"/>
  <c r="I8" i="127"/>
  <c r="J8" i="127"/>
  <c r="K8" i="127"/>
  <c r="L8" i="127"/>
  <c r="I9" i="127"/>
  <c r="J9" i="127"/>
  <c r="K9" i="127"/>
  <c r="L9" i="127"/>
  <c r="I10" i="127"/>
  <c r="J10" i="127"/>
  <c r="K10" i="127"/>
  <c r="L10" i="127"/>
  <c r="I11" i="127"/>
  <c r="J11" i="127"/>
  <c r="K11" i="127"/>
  <c r="L11" i="127"/>
  <c r="I2" i="127"/>
  <c r="J2" i="127"/>
  <c r="K2" i="127"/>
  <c r="L2" i="127"/>
  <c r="I3" i="127"/>
  <c r="J3" i="127"/>
  <c r="K3" i="127"/>
  <c r="L3" i="127"/>
  <c r="I4" i="127"/>
  <c r="J4" i="127"/>
  <c r="K4" i="127"/>
  <c r="L4" i="127"/>
  <c r="I5" i="127"/>
  <c r="J5" i="127"/>
  <c r="K5" i="127"/>
  <c r="L5" i="127"/>
  <c r="I6" i="127"/>
  <c r="J6" i="127"/>
  <c r="K6" i="127"/>
  <c r="L6" i="127"/>
  <c r="I7" i="127"/>
  <c r="J7" i="127"/>
  <c r="K7" i="127"/>
  <c r="L7" i="127"/>
  <c r="H41" i="127"/>
  <c r="I41" i="127"/>
  <c r="J41" i="127"/>
  <c r="K41" i="127"/>
  <c r="L41" i="127"/>
  <c r="H42" i="127"/>
  <c r="I42" i="127"/>
  <c r="J42" i="127"/>
  <c r="K42" i="127"/>
  <c r="L42" i="127"/>
  <c r="H43" i="127"/>
  <c r="I43" i="127"/>
  <c r="J43" i="127"/>
  <c r="L43" i="127"/>
  <c r="H44" i="127"/>
  <c r="I44" i="127"/>
  <c r="J44" i="127"/>
  <c r="K44" i="127"/>
  <c r="L44" i="127"/>
  <c r="H45" i="127"/>
  <c r="I45" i="127"/>
  <c r="J45" i="127"/>
  <c r="K45" i="127"/>
  <c r="L45" i="127"/>
  <c r="H46" i="127"/>
  <c r="I46" i="127"/>
  <c r="J46" i="127"/>
  <c r="K46" i="127"/>
  <c r="L46" i="127"/>
  <c r="H47" i="127"/>
  <c r="I47" i="127"/>
  <c r="J47" i="127"/>
  <c r="K47" i="127"/>
  <c r="L47" i="127"/>
  <c r="H48" i="127"/>
  <c r="I48" i="127"/>
  <c r="J48" i="127"/>
  <c r="K48" i="127"/>
  <c r="L48" i="127"/>
  <c r="H49" i="127"/>
  <c r="I49" i="127"/>
  <c r="J49" i="127"/>
  <c r="K49" i="127"/>
  <c r="L49" i="127"/>
  <c r="H50" i="127"/>
  <c r="I50" i="127"/>
  <c r="J50" i="127"/>
  <c r="K50" i="127"/>
  <c r="L50" i="127"/>
  <c r="H51" i="127"/>
  <c r="I51" i="127"/>
  <c r="J51" i="127"/>
  <c r="K51" i="127"/>
  <c r="L51" i="127"/>
  <c r="H52" i="127"/>
  <c r="I52" i="127"/>
  <c r="J52" i="127"/>
  <c r="K52" i="127"/>
  <c r="L52" i="127"/>
  <c r="H53" i="127"/>
  <c r="I53" i="127"/>
  <c r="J53" i="127"/>
  <c r="K53" i="127"/>
  <c r="L53" i="127"/>
  <c r="H54" i="127"/>
  <c r="I54" i="127"/>
  <c r="J54" i="127"/>
  <c r="K54" i="127"/>
  <c r="L54" i="127"/>
  <c r="H55" i="127"/>
  <c r="J55" i="127"/>
  <c r="K55" i="127"/>
  <c r="L55" i="127"/>
  <c r="H56" i="127"/>
  <c r="I56" i="127"/>
  <c r="J56" i="127"/>
  <c r="K56" i="127"/>
  <c r="L56" i="127"/>
  <c r="H57" i="127"/>
  <c r="I57" i="127"/>
  <c r="J57" i="127"/>
  <c r="K57" i="127"/>
  <c r="L57" i="127"/>
  <c r="I58" i="127"/>
  <c r="J58" i="127"/>
  <c r="K58" i="127"/>
  <c r="L58" i="127"/>
  <c r="H59" i="127"/>
  <c r="I59" i="127"/>
  <c r="J59" i="127"/>
  <c r="K59" i="127"/>
  <c r="L59" i="127"/>
  <c r="H60" i="127"/>
  <c r="I60" i="127"/>
  <c r="J60" i="127"/>
  <c r="K60" i="127"/>
  <c r="L60" i="127"/>
  <c r="H61" i="127"/>
  <c r="I61" i="127"/>
  <c r="J61" i="127"/>
  <c r="K61" i="127"/>
  <c r="L61" i="127"/>
  <c r="H62" i="127"/>
  <c r="I62" i="127"/>
  <c r="J62" i="127"/>
  <c r="K62" i="127"/>
  <c r="L62" i="127"/>
  <c r="H63" i="127"/>
  <c r="I63" i="127"/>
  <c r="J63" i="127"/>
  <c r="K63" i="127"/>
  <c r="L63" i="127"/>
  <c r="H64" i="127"/>
  <c r="I64" i="127"/>
  <c r="J64" i="127"/>
  <c r="K64" i="127"/>
  <c r="L64" i="127"/>
  <c r="H65" i="127"/>
  <c r="I65" i="127"/>
  <c r="J65" i="127"/>
  <c r="K65" i="127"/>
  <c r="L65" i="127"/>
  <c r="H66" i="127"/>
  <c r="I66" i="127"/>
  <c r="J66" i="127"/>
  <c r="K66" i="127"/>
  <c r="L66" i="127"/>
  <c r="H67" i="127"/>
  <c r="I67" i="127"/>
  <c r="J67" i="127"/>
  <c r="K67" i="127"/>
  <c r="L67" i="127"/>
  <c r="H68" i="127"/>
  <c r="I68" i="127"/>
  <c r="J68" i="127"/>
  <c r="K68" i="127"/>
  <c r="L68" i="127"/>
  <c r="H69" i="127"/>
  <c r="I69" i="127"/>
  <c r="J69" i="127"/>
  <c r="K69" i="127"/>
  <c r="L69" i="127"/>
  <c r="H70" i="127"/>
  <c r="I70" i="127"/>
  <c r="J70" i="127"/>
  <c r="K70" i="127"/>
  <c r="L70" i="127"/>
  <c r="H71" i="127"/>
  <c r="I71" i="127"/>
  <c r="J71" i="127"/>
  <c r="K71" i="127"/>
  <c r="L71" i="127"/>
  <c r="H72" i="127"/>
  <c r="I72" i="127"/>
  <c r="J72" i="127"/>
  <c r="K72" i="127"/>
  <c r="L72" i="127"/>
  <c r="H73" i="127"/>
  <c r="I73" i="127"/>
  <c r="J73" i="127"/>
  <c r="K73" i="127"/>
  <c r="L73" i="127"/>
  <c r="H74" i="127"/>
  <c r="I74" i="127"/>
  <c r="J74" i="127"/>
  <c r="K74" i="127"/>
  <c r="L74" i="127"/>
  <c r="H75" i="127"/>
  <c r="I75" i="127"/>
  <c r="J75" i="127"/>
  <c r="K75" i="127"/>
  <c r="L75" i="127"/>
  <c r="H76" i="127"/>
  <c r="I76" i="127"/>
  <c r="J76" i="127"/>
  <c r="K76" i="127"/>
  <c r="L76" i="127"/>
  <c r="H77" i="127"/>
  <c r="I77" i="127"/>
  <c r="J77" i="127"/>
  <c r="K77" i="127"/>
  <c r="L77" i="127"/>
  <c r="H78" i="127"/>
  <c r="I78" i="127"/>
  <c r="J78" i="127"/>
  <c r="K78" i="127"/>
  <c r="L78" i="127"/>
  <c r="H79" i="127"/>
  <c r="I79" i="127"/>
  <c r="J79" i="127"/>
  <c r="K79" i="127"/>
  <c r="L79" i="127"/>
  <c r="H80" i="127"/>
  <c r="I80" i="127"/>
  <c r="J80" i="127"/>
  <c r="K80" i="127"/>
  <c r="L80" i="127"/>
  <c r="H81" i="127"/>
  <c r="I81" i="127"/>
  <c r="J81" i="127"/>
  <c r="K81" i="127"/>
  <c r="L81" i="127"/>
  <c r="H82" i="127"/>
  <c r="I82" i="127"/>
  <c r="J82" i="127"/>
  <c r="K82" i="127"/>
  <c r="L82" i="127"/>
  <c r="H83" i="127"/>
  <c r="I83" i="127"/>
  <c r="J83" i="127"/>
  <c r="K83" i="127"/>
  <c r="L83" i="127"/>
  <c r="H84" i="127"/>
  <c r="I84" i="127"/>
  <c r="J84" i="127"/>
  <c r="K84" i="127"/>
  <c r="L84" i="127"/>
  <c r="H85" i="127"/>
  <c r="I85" i="127"/>
  <c r="J85" i="127"/>
  <c r="K85" i="127"/>
  <c r="L85" i="127"/>
  <c r="H86" i="127"/>
  <c r="I86" i="127"/>
  <c r="J86" i="127"/>
  <c r="K86" i="127"/>
  <c r="L86" i="127"/>
  <c r="H87" i="127"/>
  <c r="I87" i="127"/>
  <c r="J87" i="127"/>
  <c r="K87" i="127"/>
  <c r="L87" i="127"/>
  <c r="H88" i="127"/>
  <c r="I88" i="127"/>
  <c r="J88" i="127"/>
  <c r="K88" i="127"/>
  <c r="L88" i="127"/>
  <c r="H89" i="127"/>
  <c r="I89" i="127"/>
  <c r="J89" i="127"/>
  <c r="K89" i="127"/>
  <c r="L89" i="127"/>
  <c r="H90" i="127"/>
  <c r="I90" i="127"/>
  <c r="J90" i="127"/>
  <c r="K90" i="127"/>
  <c r="L90" i="127"/>
  <c r="H91" i="127"/>
  <c r="I91" i="127"/>
  <c r="J91" i="127"/>
  <c r="K91" i="127"/>
  <c r="L91" i="127"/>
  <c r="H92" i="127"/>
  <c r="I92" i="127"/>
  <c r="J92" i="127"/>
  <c r="K92" i="127"/>
  <c r="L92" i="127"/>
  <c r="H93" i="127"/>
  <c r="I93" i="127"/>
  <c r="J93" i="127"/>
  <c r="K93" i="127"/>
  <c r="L93" i="127"/>
  <c r="H94" i="127"/>
  <c r="I94" i="127"/>
  <c r="J94" i="127"/>
  <c r="K94" i="127"/>
  <c r="L94" i="127"/>
  <c r="H95" i="127"/>
  <c r="I95" i="127"/>
  <c r="J95" i="127"/>
  <c r="K95" i="127"/>
  <c r="L95" i="127"/>
  <c r="H96" i="127"/>
  <c r="I96" i="127"/>
  <c r="J96" i="127"/>
  <c r="K96" i="127"/>
  <c r="L96" i="127"/>
  <c r="H97" i="127"/>
  <c r="I97" i="127"/>
  <c r="J97" i="127"/>
  <c r="K97" i="127"/>
  <c r="L97" i="127"/>
  <c r="H98" i="127"/>
  <c r="I98" i="127"/>
  <c r="J98" i="127"/>
  <c r="K98" i="127"/>
  <c r="L98" i="127"/>
  <c r="H99" i="127"/>
  <c r="I99" i="127"/>
  <c r="J99" i="127"/>
  <c r="K99" i="127"/>
  <c r="L99" i="127"/>
  <c r="H100" i="127"/>
  <c r="I100" i="127"/>
  <c r="J100" i="127"/>
  <c r="K100" i="127"/>
  <c r="L100" i="127"/>
  <c r="H101" i="127"/>
  <c r="I101" i="127"/>
  <c r="J101" i="127"/>
  <c r="K101" i="127"/>
  <c r="L101" i="127"/>
  <c r="H102" i="127"/>
  <c r="I102" i="127"/>
  <c r="J102" i="127"/>
  <c r="K102" i="127"/>
  <c r="L102" i="127"/>
  <c r="H103" i="127"/>
  <c r="I103" i="127"/>
  <c r="J103" i="127"/>
  <c r="K103" i="127"/>
  <c r="L103" i="127"/>
  <c r="H104" i="127"/>
  <c r="J104" i="127"/>
  <c r="K104" i="127"/>
  <c r="L104" i="127"/>
  <c r="H105" i="127"/>
  <c r="I105" i="127"/>
  <c r="J105" i="127"/>
  <c r="K105" i="127"/>
  <c r="L105" i="127"/>
  <c r="H106" i="127"/>
  <c r="I106" i="127"/>
  <c r="J106" i="127"/>
  <c r="K106" i="127"/>
  <c r="L106" i="127"/>
  <c r="H107" i="127"/>
  <c r="I107" i="127"/>
  <c r="J107" i="127"/>
  <c r="K107" i="127"/>
  <c r="L107" i="127"/>
  <c r="H108" i="127"/>
  <c r="I108" i="127"/>
  <c r="J108" i="127"/>
  <c r="K108" i="127"/>
  <c r="L108" i="127"/>
  <c r="H109" i="127"/>
  <c r="I109" i="127"/>
  <c r="J109" i="127"/>
  <c r="K109" i="127"/>
  <c r="L109" i="127"/>
  <c r="H110" i="127"/>
  <c r="I110" i="127"/>
  <c r="J110" i="127"/>
  <c r="K110" i="127"/>
  <c r="L110" i="127"/>
  <c r="H111" i="127"/>
  <c r="I111" i="127"/>
  <c r="J111" i="127"/>
  <c r="K111" i="127"/>
  <c r="L111" i="127"/>
  <c r="H112" i="127"/>
  <c r="I112" i="127"/>
  <c r="J112" i="127"/>
  <c r="K112" i="127"/>
  <c r="L112" i="127"/>
  <c r="H113" i="127"/>
  <c r="I113" i="127"/>
  <c r="J113" i="127"/>
  <c r="K113" i="127"/>
  <c r="L113" i="127"/>
  <c r="H114" i="127"/>
  <c r="I114" i="127"/>
  <c r="J114" i="127"/>
  <c r="K114" i="127"/>
  <c r="L114" i="127"/>
  <c r="H115" i="127"/>
  <c r="I115" i="127"/>
  <c r="J115" i="127"/>
  <c r="K115" i="127"/>
  <c r="L115" i="127"/>
  <c r="H116" i="127"/>
  <c r="I116" i="127"/>
  <c r="J116" i="127"/>
  <c r="K116" i="127"/>
  <c r="L116" i="127"/>
  <c r="H117" i="127"/>
  <c r="I117" i="127"/>
  <c r="J117" i="127"/>
  <c r="K117" i="127"/>
  <c r="L117" i="127"/>
  <c r="H118" i="127"/>
  <c r="I118" i="127"/>
  <c r="J118" i="127"/>
  <c r="K118" i="127"/>
  <c r="L118" i="127"/>
  <c r="H119" i="127"/>
  <c r="I119" i="127"/>
  <c r="J119" i="127"/>
  <c r="K119" i="127"/>
  <c r="L119" i="127"/>
  <c r="H120" i="127"/>
  <c r="I120" i="127"/>
  <c r="J120" i="127"/>
  <c r="K120" i="127"/>
  <c r="L120" i="127"/>
  <c r="H121" i="127"/>
  <c r="I121" i="127"/>
  <c r="J121" i="127"/>
  <c r="K121" i="127"/>
  <c r="L121" i="127"/>
  <c r="H122" i="127"/>
  <c r="I122" i="127"/>
  <c r="J122" i="127"/>
  <c r="K122" i="127"/>
  <c r="L122" i="127"/>
  <c r="H123" i="127"/>
  <c r="I123" i="127"/>
  <c r="J123" i="127"/>
  <c r="K123" i="127"/>
  <c r="L123" i="127"/>
  <c r="H124" i="127"/>
  <c r="I124" i="127"/>
  <c r="J124" i="127"/>
  <c r="K124" i="127"/>
  <c r="L124" i="127"/>
  <c r="H125" i="127"/>
  <c r="I125" i="127"/>
  <c r="J125" i="127"/>
  <c r="K125" i="127"/>
  <c r="L125" i="127"/>
  <c r="H126" i="127"/>
  <c r="I126" i="127"/>
  <c r="J126" i="127"/>
  <c r="K126" i="127"/>
  <c r="L126" i="127"/>
  <c r="H127" i="127"/>
  <c r="I127" i="127"/>
  <c r="J127" i="127"/>
  <c r="K127" i="127"/>
  <c r="L127" i="127"/>
  <c r="H128" i="127"/>
  <c r="I128" i="127"/>
  <c r="J128" i="127"/>
  <c r="K128" i="127"/>
  <c r="L128" i="127"/>
  <c r="H129" i="127"/>
  <c r="I129" i="127"/>
  <c r="J129" i="127"/>
  <c r="K129" i="127"/>
  <c r="L129" i="127"/>
  <c r="H130" i="127"/>
  <c r="I130" i="127"/>
  <c r="J130" i="127"/>
  <c r="K130" i="127"/>
  <c r="L130" i="127"/>
  <c r="H131" i="127"/>
  <c r="I131" i="127"/>
  <c r="J131" i="127"/>
  <c r="K131" i="127"/>
  <c r="L131" i="127"/>
  <c r="H132" i="127"/>
  <c r="I132" i="127"/>
  <c r="J132" i="127"/>
  <c r="K132" i="127"/>
  <c r="L132" i="127"/>
  <c r="H133" i="127"/>
  <c r="I133" i="127"/>
  <c r="J133" i="127"/>
  <c r="K133" i="127"/>
  <c r="L133" i="127"/>
  <c r="H134" i="127"/>
  <c r="I134" i="127"/>
  <c r="J134" i="127"/>
  <c r="K134" i="127"/>
  <c r="L134" i="127"/>
  <c r="H135" i="127"/>
  <c r="I135" i="127"/>
  <c r="J135" i="127"/>
  <c r="K135" i="127"/>
  <c r="L135" i="127"/>
  <c r="H136" i="127"/>
  <c r="I136" i="127"/>
  <c r="J136" i="127"/>
  <c r="K136" i="127"/>
  <c r="L136" i="127"/>
  <c r="H137" i="127"/>
  <c r="I137" i="127"/>
  <c r="J137" i="127"/>
  <c r="K137" i="127"/>
  <c r="L137" i="127"/>
  <c r="H138" i="127"/>
  <c r="I138" i="127"/>
  <c r="J138" i="127"/>
  <c r="K138" i="127"/>
  <c r="L138" i="127"/>
  <c r="H139" i="127"/>
  <c r="I139" i="127"/>
  <c r="J139" i="127"/>
  <c r="K139" i="127"/>
  <c r="L139" i="127"/>
  <c r="H140" i="127"/>
  <c r="I140" i="127"/>
  <c r="J140" i="127"/>
  <c r="K140" i="127"/>
  <c r="L140" i="127"/>
  <c r="H141" i="127"/>
  <c r="I141" i="127"/>
  <c r="J141" i="127"/>
  <c r="K141" i="127"/>
  <c r="L141" i="127"/>
  <c r="H142" i="127"/>
  <c r="I142" i="127"/>
  <c r="J142" i="127"/>
  <c r="K142" i="127"/>
  <c r="L142" i="127"/>
  <c r="H143" i="127"/>
  <c r="I143" i="127"/>
  <c r="J143" i="127"/>
  <c r="K143" i="127"/>
  <c r="L143" i="127"/>
  <c r="H144" i="127"/>
  <c r="I144" i="127"/>
  <c r="J144" i="127"/>
  <c r="K144" i="127"/>
  <c r="L144" i="127"/>
  <c r="H145" i="127"/>
  <c r="I145" i="127"/>
  <c r="J145" i="127"/>
  <c r="K145" i="127"/>
  <c r="L145" i="127"/>
  <c r="H146" i="127"/>
  <c r="I146" i="127"/>
  <c r="J146" i="127"/>
  <c r="K146" i="127"/>
  <c r="L146" i="127"/>
  <c r="H147" i="127"/>
  <c r="I147" i="127"/>
  <c r="J147" i="127"/>
  <c r="K147" i="127"/>
  <c r="L147" i="127"/>
  <c r="H148" i="127"/>
  <c r="I148" i="127"/>
  <c r="J148" i="127"/>
  <c r="K148" i="127"/>
  <c r="L148" i="127"/>
  <c r="H149" i="127"/>
  <c r="I149" i="127"/>
  <c r="J149" i="127"/>
  <c r="K149" i="127"/>
  <c r="L149" i="127"/>
  <c r="H150" i="127"/>
  <c r="I150" i="127"/>
  <c r="J150" i="127"/>
  <c r="K150" i="127"/>
  <c r="L150" i="127"/>
  <c r="H151" i="127"/>
  <c r="I151" i="127"/>
  <c r="J151" i="127"/>
  <c r="K151" i="127"/>
  <c r="L151" i="127"/>
  <c r="H152" i="127"/>
  <c r="I152" i="127"/>
  <c r="J152" i="127"/>
  <c r="K152" i="127"/>
  <c r="L152" i="127"/>
  <c r="H153" i="127"/>
  <c r="I153" i="127"/>
  <c r="J153" i="127"/>
  <c r="K153" i="127"/>
  <c r="L153" i="127"/>
  <c r="H154" i="127"/>
  <c r="I154" i="127"/>
  <c r="J154" i="127"/>
  <c r="K154" i="127"/>
  <c r="L154" i="127"/>
  <c r="H155" i="127"/>
  <c r="I155" i="127"/>
  <c r="J155" i="127"/>
  <c r="K155" i="127"/>
  <c r="L155" i="127"/>
  <c r="H156" i="127"/>
  <c r="I156" i="127"/>
  <c r="J156" i="127"/>
  <c r="K156" i="127"/>
  <c r="L156" i="127"/>
  <c r="H157" i="127"/>
  <c r="I157" i="127"/>
  <c r="J157" i="127"/>
  <c r="K157" i="127"/>
  <c r="L157" i="127"/>
  <c r="H158" i="127"/>
  <c r="I158" i="127"/>
  <c r="J158" i="127"/>
  <c r="K158" i="127"/>
  <c r="L158" i="127"/>
  <c r="I159" i="127"/>
  <c r="J159" i="127"/>
  <c r="K159" i="127"/>
  <c r="L159" i="127"/>
  <c r="H160" i="127"/>
  <c r="I160" i="127"/>
  <c r="J160" i="127"/>
  <c r="K160" i="127"/>
  <c r="L160" i="127"/>
  <c r="H161" i="127"/>
  <c r="I161" i="127"/>
  <c r="J161" i="127"/>
  <c r="K161" i="127"/>
  <c r="L161" i="127"/>
  <c r="H162" i="127"/>
  <c r="I162" i="127"/>
  <c r="J162" i="127"/>
  <c r="K162" i="127"/>
  <c r="L162" i="127"/>
  <c r="H163" i="127"/>
  <c r="I163" i="127"/>
  <c r="J163" i="127"/>
  <c r="K163" i="127"/>
  <c r="L163" i="127"/>
  <c r="H164" i="127"/>
  <c r="I164" i="127"/>
  <c r="J164" i="127"/>
  <c r="K164" i="127"/>
  <c r="L164" i="127"/>
  <c r="H165" i="127"/>
  <c r="I165" i="127"/>
  <c r="J165" i="127"/>
  <c r="K165" i="127"/>
  <c r="L165" i="127"/>
  <c r="H166" i="127"/>
  <c r="I166" i="127"/>
  <c r="K166" i="127"/>
  <c r="L166" i="127"/>
  <c r="H167" i="127"/>
  <c r="I167" i="127"/>
  <c r="J167" i="127"/>
  <c r="K167" i="127"/>
  <c r="L167" i="127"/>
  <c r="H168" i="127"/>
  <c r="I168" i="127"/>
  <c r="J168" i="127"/>
  <c r="K168" i="127"/>
  <c r="L168" i="127"/>
  <c r="I169" i="127"/>
  <c r="J169" i="127"/>
  <c r="K169" i="127"/>
  <c r="L169" i="127"/>
  <c r="H170" i="127"/>
  <c r="I170" i="127"/>
  <c r="J170" i="127"/>
  <c r="K170" i="127"/>
  <c r="L170" i="127"/>
  <c r="H171" i="127"/>
  <c r="I171" i="127"/>
  <c r="J171" i="127"/>
  <c r="K171" i="127"/>
  <c r="L171" i="127"/>
  <c r="I24" i="127"/>
  <c r="J24" i="127"/>
  <c r="K24" i="127"/>
  <c r="L24" i="127"/>
  <c r="W162" i="131" l="1"/>
  <c r="W182" i="131"/>
  <c r="W160" i="131"/>
  <c r="W181" i="131"/>
  <c r="W161" i="131"/>
  <c r="W174" i="131"/>
  <c r="W198" i="131"/>
  <c r="W201" i="131"/>
  <c r="W194" i="131"/>
  <c r="Y207" i="131"/>
  <c r="W193" i="131"/>
  <c r="W214" i="131"/>
  <c r="W199" i="131"/>
  <c r="E215" i="131" a="1"/>
  <c r="E215" i="131" s="1"/>
  <c r="M219" i="131"/>
  <c r="M305" i="131" a="1"/>
  <c r="M305" i="131" s="1"/>
  <c r="L305" i="131" s="1"/>
  <c r="B35" i="116"/>
  <c r="E35" i="116"/>
  <c r="W166" i="131"/>
  <c r="W183" i="131"/>
  <c r="W185" i="131"/>
  <c r="W197" i="131"/>
  <c r="W187" i="131"/>
  <c r="W200" i="131"/>
  <c r="W211" i="131"/>
  <c r="W190" i="131"/>
  <c r="W175" i="131"/>
  <c r="W176" i="131"/>
  <c r="W195" i="131"/>
  <c r="W184" i="131"/>
  <c r="W167" i="131"/>
  <c r="W177" i="131"/>
  <c r="W192" i="131"/>
  <c r="W209" i="131"/>
  <c r="W212" i="131"/>
  <c r="W191" i="131"/>
  <c r="W168" i="131"/>
  <c r="Y177" i="131"/>
  <c r="W172" i="131"/>
  <c r="W170" i="131"/>
  <c r="W179" i="131"/>
  <c r="W202" i="131"/>
  <c r="W165" i="131"/>
  <c r="W169" i="131"/>
  <c r="W163" i="131"/>
  <c r="W173" i="131"/>
  <c r="W171" i="131"/>
  <c r="W196" i="131"/>
  <c r="W204" i="131"/>
  <c r="W208" i="131"/>
  <c r="W180" i="131"/>
  <c r="W205" i="131"/>
  <c r="W186" i="131"/>
  <c r="W210" i="131"/>
  <c r="W206" i="131"/>
  <c r="W164" i="131"/>
  <c r="W203" i="131"/>
  <c r="W189" i="131"/>
  <c r="W188" i="131"/>
  <c r="W213" i="131"/>
  <c r="W207" i="131"/>
  <c r="W178" i="131"/>
  <c r="T206" i="131"/>
  <c r="V182" i="131"/>
  <c r="V211" i="131"/>
  <c r="V173" i="131"/>
  <c r="V162" i="131"/>
  <c r="V192" i="131"/>
  <c r="V199" i="131"/>
  <c r="V188" i="131"/>
  <c r="U179" i="131"/>
  <c r="R162" i="131"/>
  <c r="R169" i="131"/>
  <c r="U178" i="131"/>
  <c r="R167" i="131"/>
  <c r="D35" i="116"/>
  <c r="C35" i="116"/>
  <c r="V200" i="131"/>
  <c r="V185" i="131"/>
  <c r="AJ161" i="131"/>
  <c r="V174" i="131"/>
  <c r="X177" i="131"/>
  <c r="AJ184" i="131"/>
  <c r="AJ189" i="131"/>
  <c r="V196" i="131"/>
  <c r="V209" i="131"/>
  <c r="V208" i="131"/>
  <c r="V194" i="131"/>
  <c r="V172" i="131"/>
  <c r="V164" i="131"/>
  <c r="V177" i="131"/>
  <c r="V191" i="131"/>
  <c r="V197" i="131"/>
  <c r="V201" i="131"/>
  <c r="V190" i="131"/>
  <c r="V180" i="131"/>
  <c r="V167" i="131"/>
  <c r="V169" i="131"/>
  <c r="T214" i="131"/>
  <c r="X207" i="131"/>
  <c r="V187" i="131"/>
  <c r="V170" i="131"/>
  <c r="V178" i="131"/>
  <c r="V171" i="131"/>
  <c r="V179" i="131"/>
  <c r="V203" i="131"/>
  <c r="V184" i="131"/>
  <c r="V183" i="131"/>
  <c r="V210" i="131"/>
  <c r="T178" i="131"/>
  <c r="V161" i="131"/>
  <c r="V175" i="131"/>
  <c r="V168" i="131"/>
  <c r="V213" i="131"/>
  <c r="V204" i="131"/>
  <c r="V160" i="131"/>
  <c r="V202" i="131"/>
  <c r="V181" i="131"/>
  <c r="V195" i="131"/>
  <c r="V163" i="131"/>
  <c r="V176" i="131"/>
  <c r="V214" i="131"/>
  <c r="V186" i="131"/>
  <c r="V189" i="131"/>
  <c r="V207" i="131"/>
  <c r="V165" i="131"/>
  <c r="V206" i="131"/>
  <c r="V212" i="131"/>
  <c r="V166" i="131"/>
  <c r="V198" i="131"/>
  <c r="V193" i="131"/>
  <c r="S177" i="131"/>
  <c r="T197" i="131"/>
  <c r="S175" i="131"/>
  <c r="S169" i="131"/>
  <c r="T185" i="131"/>
  <c r="S161" i="131"/>
  <c r="S162" i="131"/>
  <c r="T176" i="131"/>
  <c r="S163" i="131"/>
  <c r="S173" i="131"/>
  <c r="S184" i="131"/>
  <c r="T189" i="131"/>
  <c r="R196" i="131"/>
  <c r="R214" i="131"/>
  <c r="R168" i="131"/>
  <c r="U197" i="131"/>
  <c r="U163" i="131"/>
  <c r="U180" i="131"/>
  <c r="U203" i="131"/>
  <c r="R179" i="131"/>
  <c r="U191" i="131"/>
  <c r="R199" i="131"/>
  <c r="U200" i="131"/>
  <c r="U162" i="131"/>
  <c r="U185" i="131"/>
  <c r="R170" i="131"/>
  <c r="R164" i="131"/>
  <c r="U169" i="131"/>
  <c r="R177" i="131"/>
  <c r="AJ180" i="131"/>
  <c r="U166" i="131"/>
  <c r="U176" i="131"/>
  <c r="U202" i="131"/>
  <c r="T208" i="131"/>
  <c r="AJ168" i="131"/>
  <c r="R171" i="131"/>
  <c r="R183" i="131"/>
  <c r="U182" i="131"/>
  <c r="AJ166" i="131"/>
  <c r="R205" i="131"/>
  <c r="U177" i="131"/>
  <c r="AJ209" i="131"/>
  <c r="U204" i="131"/>
  <c r="R161" i="131"/>
  <c r="AJ162" i="131"/>
  <c r="AJ171" i="131"/>
  <c r="AJ169" i="131"/>
  <c r="U174" i="131"/>
  <c r="U194" i="131"/>
  <c r="AJ188" i="131"/>
  <c r="U165" i="131"/>
  <c r="U175" i="131"/>
  <c r="U190" i="131"/>
  <c r="R188" i="131"/>
  <c r="U189" i="131"/>
  <c r="U161" i="131"/>
  <c r="S205" i="131"/>
  <c r="AJ182" i="131"/>
  <c r="R204" i="131"/>
  <c r="AJ197" i="131"/>
  <c r="S186" i="131"/>
  <c r="AJ195" i="131"/>
  <c r="AJ213" i="131"/>
  <c r="U201" i="131"/>
  <c r="T186" i="131"/>
  <c r="R181" i="131"/>
  <c r="R182" i="131"/>
  <c r="U188" i="131"/>
  <c r="R189" i="131"/>
  <c r="AJ196" i="131"/>
  <c r="R195" i="131"/>
  <c r="R211" i="131"/>
  <c r="U208" i="131"/>
  <c r="U205" i="131"/>
  <c r="R166" i="131"/>
  <c r="AJ163" i="131"/>
  <c r="AJ165" i="131"/>
  <c r="AJ173" i="131"/>
  <c r="U171" i="131"/>
  <c r="U168" i="131"/>
  <c r="AJ175" i="131"/>
  <c r="R194" i="131"/>
  <c r="AJ183" i="131"/>
  <c r="R190" i="131"/>
  <c r="R202" i="131"/>
  <c r="S212" i="131"/>
  <c r="AJ203" i="131"/>
  <c r="T201" i="131"/>
  <c r="U207" i="131"/>
  <c r="AJ179" i="131"/>
  <c r="AJ212" i="131"/>
  <c r="R160" i="131"/>
  <c r="T196" i="131"/>
  <c r="T199" i="131"/>
  <c r="S172" i="131"/>
  <c r="T207" i="131"/>
  <c r="T188" i="131"/>
  <c r="T173" i="131"/>
  <c r="S167" i="131"/>
  <c r="S171" i="131"/>
  <c r="S183" i="131"/>
  <c r="S185" i="131"/>
  <c r="S199" i="131"/>
  <c r="S207" i="131"/>
  <c r="S198" i="131"/>
  <c r="T166" i="131"/>
  <c r="T161" i="131"/>
  <c r="S165" i="131"/>
  <c r="S166" i="131"/>
  <c r="T170" i="131"/>
  <c r="T162" i="131"/>
  <c r="S168" i="131"/>
  <c r="S174" i="131"/>
  <c r="T179" i="131"/>
  <c r="T209" i="131"/>
  <c r="AJ202" i="131"/>
  <c r="U212" i="131"/>
  <c r="T202" i="131"/>
  <c r="T164" i="131"/>
  <c r="T175" i="131"/>
  <c r="S190" i="131"/>
  <c r="T191" i="131"/>
  <c r="T204" i="131"/>
  <c r="S195" i="131"/>
  <c r="S213" i="131"/>
  <c r="AJ214" i="131"/>
  <c r="AJ170" i="131"/>
  <c r="T212" i="131"/>
  <c r="T174" i="131"/>
  <c r="U170" i="131"/>
  <c r="S160" i="131"/>
  <c r="T163" i="131"/>
  <c r="S180" i="131"/>
  <c r="S192" i="131"/>
  <c r="T169" i="131"/>
  <c r="T168" i="131"/>
  <c r="S194" i="131"/>
  <c r="S210" i="131"/>
  <c r="R184" i="131"/>
  <c r="U192" i="131"/>
  <c r="AJ199" i="131"/>
  <c r="U186" i="131"/>
  <c r="U187" i="131"/>
  <c r="S208" i="131"/>
  <c r="R175" i="131"/>
  <c r="U164" i="131"/>
  <c r="T172" i="131"/>
  <c r="S170" i="131"/>
  <c r="T171" i="131"/>
  <c r="S187" i="131"/>
  <c r="S181" i="131"/>
  <c r="S189" i="131"/>
  <c r="T187" i="131"/>
  <c r="AJ167" i="131"/>
  <c r="AE214" i="131"/>
  <c r="AH214" i="131"/>
  <c r="AF214" i="131"/>
  <c r="AG214" i="131"/>
  <c r="T205" i="131"/>
  <c r="S203" i="131"/>
  <c r="AJ192" i="131"/>
  <c r="U195" i="131"/>
  <c r="R207" i="131"/>
  <c r="T193" i="131"/>
  <c r="U210" i="131"/>
  <c r="R203" i="131"/>
  <c r="U198" i="131"/>
  <c r="AJ211" i="131"/>
  <c r="R201" i="131"/>
  <c r="T211" i="131"/>
  <c r="U193" i="131"/>
  <c r="AJ194" i="131"/>
  <c r="AJ210" i="131"/>
  <c r="T182" i="131"/>
  <c r="U206" i="131"/>
  <c r="T183" i="131"/>
  <c r="U209" i="131"/>
  <c r="AJ204" i="131"/>
  <c r="R173" i="131"/>
  <c r="AJ206" i="131"/>
  <c r="R165" i="131"/>
  <c r="U183" i="131"/>
  <c r="T210" i="131"/>
  <c r="U196" i="131"/>
  <c r="T165" i="131"/>
  <c r="R191" i="131"/>
  <c r="AJ200" i="131"/>
  <c r="T198" i="131"/>
  <c r="U214" i="131"/>
  <c r="S211" i="131"/>
  <c r="AJ208" i="131"/>
  <c r="T180" i="131"/>
  <c r="R197" i="131"/>
  <c r="U181" i="131"/>
  <c r="T200" i="131"/>
  <c r="U173" i="131"/>
  <c r="T177" i="131"/>
  <c r="T160" i="131"/>
  <c r="U160" i="131"/>
  <c r="S164" i="131"/>
  <c r="U167" i="131"/>
  <c r="AJ177" i="131"/>
  <c r="R172" i="131"/>
  <c r="AJ176" i="131"/>
  <c r="AJ185" i="131"/>
  <c r="S182" i="131"/>
  <c r="R200" i="131"/>
  <c r="AJ198" i="131"/>
  <c r="T195" i="131"/>
  <c r="R186" i="131"/>
  <c r="R193" i="131"/>
  <c r="S209" i="131"/>
  <c r="R198" i="131"/>
  <c r="U213" i="131"/>
  <c r="T213" i="131"/>
  <c r="AJ181" i="131"/>
  <c r="S214" i="131"/>
  <c r="T184" i="131"/>
  <c r="R209" i="131"/>
  <c r="AJ164" i="131"/>
  <c r="AJ172" i="131"/>
  <c r="R187" i="131"/>
  <c r="R176" i="131"/>
  <c r="S176" i="131"/>
  <c r="T203" i="131"/>
  <c r="U184" i="131"/>
  <c r="R206" i="131"/>
  <c r="S188" i="131"/>
  <c r="AJ191" i="131"/>
  <c r="S191" i="131"/>
  <c r="U199" i="131"/>
  <c r="S196" i="131"/>
  <c r="S193" i="131"/>
  <c r="S204" i="131"/>
  <c r="AJ201" i="131"/>
  <c r="S201" i="131"/>
  <c r="U211" i="131"/>
  <c r="S179" i="131"/>
  <c r="S202" i="131"/>
  <c r="S197" i="131"/>
  <c r="R210" i="131"/>
  <c r="T192" i="131"/>
  <c r="S178" i="131"/>
  <c r="AJ207" i="131"/>
  <c r="S200" i="131"/>
  <c r="T194" i="131"/>
  <c r="R192" i="131"/>
  <c r="AJ190" i="131"/>
  <c r="N217" i="131"/>
  <c r="N218" i="131"/>
  <c r="N219" i="131"/>
  <c r="AE215" i="131"/>
  <c r="AF215" i="131"/>
  <c r="AG215" i="131"/>
  <c r="AH215" i="131"/>
  <c r="AO217" i="131"/>
  <c r="AO218" i="131"/>
  <c r="AO219" i="131"/>
  <c r="AI217" i="131"/>
  <c r="U172" i="131"/>
  <c r="R185" i="131"/>
  <c r="R178" i="131"/>
  <c r="AI219" i="131"/>
  <c r="AI218" i="131"/>
  <c r="Q217" i="131"/>
  <c r="G59" i="129" a="1"/>
  <c r="G59" i="129" s="1"/>
  <c r="M297" i="131" a="1"/>
  <c r="M297" i="131" s="1"/>
  <c r="L297" i="131" s="1"/>
  <c r="E198" i="131" a="1"/>
  <c r="E198" i="131" s="1"/>
  <c r="R208" i="131"/>
  <c r="AJ178" i="131"/>
  <c r="R212" i="131"/>
  <c r="Q219" i="131"/>
  <c r="Q218" i="131"/>
  <c r="G224" i="129" a="1"/>
  <c r="G224" i="129" s="1"/>
  <c r="D219" i="131"/>
  <c r="D218" i="131"/>
  <c r="E212" i="131" a="1"/>
  <c r="E212" i="131" s="1"/>
  <c r="E217" i="131" s="1"/>
  <c r="AJ205" i="131"/>
  <c r="R180" i="131"/>
  <c r="G211" i="129" a="1"/>
  <c r="G211" i="129" s="1"/>
  <c r="T181" i="131"/>
  <c r="S206" i="131"/>
  <c r="AJ174" i="131"/>
  <c r="AM205" i="131"/>
  <c r="E205" i="131" a="1"/>
  <c r="E205" i="131" s="1"/>
  <c r="T167" i="131"/>
  <c r="T190" i="131"/>
  <c r="M299" i="131" a="1"/>
  <c r="M299" i="131" s="1"/>
  <c r="L299" i="131" s="1"/>
  <c r="E200" i="131" a="1"/>
  <c r="E200" i="131" s="1"/>
  <c r="R174" i="131"/>
  <c r="R215" i="131"/>
  <c r="P215" i="131"/>
  <c r="P211" i="131"/>
  <c r="D217" i="131"/>
  <c r="AJ193" i="131"/>
  <c r="E206" i="131" a="1"/>
  <c r="E206" i="131" s="1"/>
  <c r="AE206" i="131"/>
  <c r="AE178" i="131"/>
  <c r="H88" i="131"/>
  <c r="AE203" i="131"/>
  <c r="J88" i="131"/>
  <c r="H68" i="131"/>
  <c r="J68" i="131"/>
  <c r="C68" i="131"/>
  <c r="F88" i="131"/>
  <c r="M279" i="131" a="1"/>
  <c r="M279" i="131" s="1"/>
  <c r="L279" i="131" s="1"/>
  <c r="E88" i="131"/>
  <c r="G68" i="131"/>
  <c r="E68" i="131"/>
  <c r="AM200" i="131"/>
  <c r="AC56" i="131"/>
  <c r="D68" i="131"/>
  <c r="AG203" i="131"/>
  <c r="AC55" i="131"/>
  <c r="AA57" i="131"/>
  <c r="AC57" i="131"/>
  <c r="Z56" i="131"/>
  <c r="D58" i="131"/>
  <c r="Y55" i="131"/>
  <c r="H33" i="131"/>
  <c r="H34" i="131" s="1"/>
  <c r="O159" i="131"/>
  <c r="O215" i="131" s="1"/>
  <c r="H21" i="131"/>
  <c r="P34" i="131" s="1"/>
  <c r="B64" i="131"/>
  <c r="AC64" i="131" s="1"/>
  <c r="B67" i="131"/>
  <c r="AB67" i="131" s="1"/>
  <c r="B66" i="131"/>
  <c r="AD66" i="131" s="1"/>
  <c r="B65" i="131"/>
  <c r="D88" i="131"/>
  <c r="F68" i="131"/>
  <c r="R163" i="131"/>
  <c r="I68" i="131"/>
  <c r="AJ186" i="131"/>
  <c r="AJ187" i="131"/>
  <c r="AJ160" i="131"/>
  <c r="AG178" i="131"/>
  <c r="AH178" i="131"/>
  <c r="AG206" i="131"/>
  <c r="AH203" i="131"/>
  <c r="AE179" i="131"/>
  <c r="AG205" i="131"/>
  <c r="AE181" i="131"/>
  <c r="AF199" i="131"/>
  <c r="AG202" i="131"/>
  <c r="AF206" i="131"/>
  <c r="AF181" i="131"/>
  <c r="AF179" i="131"/>
  <c r="AE205" i="131"/>
  <c r="AH205" i="131"/>
  <c r="AF205" i="131"/>
  <c r="B145" i="131"/>
  <c r="AH181" i="131"/>
  <c r="AH202" i="131"/>
  <c r="AG181" i="131"/>
  <c r="M306" i="131" a="1"/>
  <c r="M306" i="131" s="1"/>
  <c r="L306" i="131" s="1"/>
  <c r="AE202" i="131"/>
  <c r="AM207" i="131"/>
  <c r="M304" i="131" a="1"/>
  <c r="M304" i="131" s="1"/>
  <c r="L304" i="131" s="1"/>
  <c r="C145" i="131"/>
  <c r="AH199" i="131"/>
  <c r="AG199" i="131"/>
  <c r="AE199" i="131"/>
  <c r="AM206" i="131"/>
  <c r="D145" i="131"/>
  <c r="AM180" i="131"/>
  <c r="E145" i="131"/>
  <c r="C146" i="131"/>
  <c r="AM198" i="131"/>
  <c r="AM178" i="131"/>
  <c r="M277" i="131" a="1"/>
  <c r="M277" i="131" s="1"/>
  <c r="L277" i="131" s="1"/>
  <c r="E146" i="131"/>
  <c r="M301" i="131" a="1"/>
  <c r="M301" i="131" s="1"/>
  <c r="L301" i="131" s="1"/>
  <c r="AM202" i="131"/>
  <c r="AG179" i="131"/>
  <c r="AH179" i="131"/>
  <c r="AM181" i="131"/>
  <c r="M280" i="131" a="1"/>
  <c r="M280" i="131" s="1"/>
  <c r="L280" i="131" s="1"/>
  <c r="M276" i="131" a="1"/>
  <c r="M276" i="131" s="1"/>
  <c r="L276" i="131" s="1"/>
  <c r="B146" i="131"/>
  <c r="AM177" i="131"/>
  <c r="C144" i="131"/>
  <c r="D146" i="131"/>
  <c r="C58" i="131"/>
  <c r="W54" i="131"/>
  <c r="AD55" i="131"/>
  <c r="B75" i="131"/>
  <c r="B76" i="131"/>
  <c r="AC76" i="131" s="1"/>
  <c r="B77" i="131"/>
  <c r="AC77" i="131" s="1"/>
  <c r="B74" i="131"/>
  <c r="AB74" i="131" s="1"/>
  <c r="B144" i="131"/>
  <c r="AF169" i="131"/>
  <c r="AH169" i="131"/>
  <c r="AG169" i="131"/>
  <c r="AE169" i="131"/>
  <c r="AM170" i="131"/>
  <c r="M269" i="131" a="1"/>
  <c r="M269" i="131" s="1"/>
  <c r="L269" i="131" s="1"/>
  <c r="AM164" i="131"/>
  <c r="M263" i="131" a="1"/>
  <c r="M263" i="131" s="1"/>
  <c r="L263" i="131" s="1"/>
  <c r="AM168" i="131"/>
  <c r="M267" i="131" a="1"/>
  <c r="M267" i="131" s="1"/>
  <c r="L267" i="131" s="1"/>
  <c r="AE171" i="131"/>
  <c r="AF171" i="131"/>
  <c r="AH171" i="131"/>
  <c r="AG171" i="131"/>
  <c r="AM194" i="131"/>
  <c r="M293" i="131" a="1"/>
  <c r="M293" i="131" s="1"/>
  <c r="L293" i="131" s="1"/>
  <c r="M282" i="131" a="1"/>
  <c r="M282" i="131" s="1"/>
  <c r="L282" i="131" s="1"/>
  <c r="AM183" i="131"/>
  <c r="AF185" i="131"/>
  <c r="AH185" i="131"/>
  <c r="AE185" i="131"/>
  <c r="AG185" i="131"/>
  <c r="AF189" i="131"/>
  <c r="AH189" i="131"/>
  <c r="AE189" i="131"/>
  <c r="AG189" i="131"/>
  <c r="AM197" i="131"/>
  <c r="M296" i="131" a="1"/>
  <c r="M296" i="131" s="1"/>
  <c r="L296" i="131" s="1"/>
  <c r="AF200" i="131"/>
  <c r="AG200" i="131"/>
  <c r="AH200" i="131"/>
  <c r="AE200" i="131"/>
  <c r="AF208" i="131"/>
  <c r="AE208" i="131"/>
  <c r="AG208" i="131"/>
  <c r="AH208" i="131"/>
  <c r="AF160" i="131"/>
  <c r="AG160" i="131"/>
  <c r="AE160" i="131"/>
  <c r="AH160" i="131"/>
  <c r="AF212" i="131"/>
  <c r="AH212" i="131"/>
  <c r="AE212" i="131"/>
  <c r="AG212" i="131"/>
  <c r="M300" i="131" a="1"/>
  <c r="M300" i="131" s="1"/>
  <c r="L300" i="131" s="1"/>
  <c r="AM201" i="131"/>
  <c r="AG165" i="131"/>
  <c r="AF165" i="131"/>
  <c r="AH165" i="131"/>
  <c r="AE165" i="131"/>
  <c r="AM169" i="131"/>
  <c r="M268" i="131" a="1"/>
  <c r="M268" i="131" s="1"/>
  <c r="L268" i="131" s="1"/>
  <c r="E147" i="131"/>
  <c r="AF166" i="131"/>
  <c r="AE166" i="131"/>
  <c r="AG166" i="131"/>
  <c r="AH166" i="131"/>
  <c r="AF163" i="131"/>
  <c r="AG163" i="131"/>
  <c r="AH163" i="131"/>
  <c r="AE163" i="131"/>
  <c r="B147" i="131"/>
  <c r="AG161" i="131"/>
  <c r="AE161" i="131"/>
  <c r="AF161" i="131"/>
  <c r="AH161" i="131"/>
  <c r="AF180" i="131"/>
  <c r="AE180" i="131"/>
  <c r="AH180" i="131"/>
  <c r="AG180" i="131"/>
  <c r="AH172" i="131"/>
  <c r="AE172" i="131"/>
  <c r="AF172" i="131"/>
  <c r="AG172" i="131"/>
  <c r="AM171" i="131"/>
  <c r="M270" i="131" a="1"/>
  <c r="M270" i="131" s="1"/>
  <c r="L270" i="131" s="1"/>
  <c r="AF176" i="131"/>
  <c r="AG176" i="131"/>
  <c r="AH176" i="131"/>
  <c r="AE176" i="131"/>
  <c r="AM176" i="131"/>
  <c r="M275" i="131" a="1"/>
  <c r="M275" i="131" s="1"/>
  <c r="L275" i="131" s="1"/>
  <c r="AG210" i="131"/>
  <c r="AE210" i="131"/>
  <c r="AH210" i="131"/>
  <c r="AF210" i="131"/>
  <c r="AM185" i="131"/>
  <c r="M284" i="131" a="1"/>
  <c r="M284" i="131" s="1"/>
  <c r="L284" i="131" s="1"/>
  <c r="AF190" i="131"/>
  <c r="AE190" i="131"/>
  <c r="AH190" i="131"/>
  <c r="AG190" i="131"/>
  <c r="AM203" i="131"/>
  <c r="M302" i="131" a="1"/>
  <c r="M302" i="131" s="1"/>
  <c r="L302" i="131" s="1"/>
  <c r="AM179" i="131"/>
  <c r="M278" i="131" a="1"/>
  <c r="M278" i="131" s="1"/>
  <c r="L278" i="131" s="1"/>
  <c r="F179" i="131" s="1"/>
  <c r="AN179" i="131" s="1"/>
  <c r="AM189" i="131"/>
  <c r="M288" i="131" a="1"/>
  <c r="M288" i="131" s="1"/>
  <c r="L288" i="131" s="1"/>
  <c r="AE195" i="131"/>
  <c r="AF195" i="131"/>
  <c r="AH195" i="131"/>
  <c r="AG195" i="131"/>
  <c r="AF213" i="131"/>
  <c r="AE213" i="131"/>
  <c r="AG213" i="131"/>
  <c r="AH213" i="131"/>
  <c r="AM208" i="131"/>
  <c r="M307" i="131" a="1"/>
  <c r="M307" i="131" s="1"/>
  <c r="L307" i="131" s="1"/>
  <c r="AC54" i="131"/>
  <c r="I58" i="131"/>
  <c r="AM214" i="131"/>
  <c r="M313" i="131" a="1"/>
  <c r="M313" i="131" s="1"/>
  <c r="L313" i="131" s="1"/>
  <c r="AA55" i="131"/>
  <c r="G58" i="131"/>
  <c r="Y57" i="131"/>
  <c r="H58" i="131"/>
  <c r="AB54" i="131"/>
  <c r="K55" i="131"/>
  <c r="I88" i="131"/>
  <c r="C78" i="131"/>
  <c r="AH167" i="131"/>
  <c r="AE167" i="131"/>
  <c r="AF167" i="131"/>
  <c r="AG167" i="131"/>
  <c r="AF192" i="131"/>
  <c r="AH192" i="131"/>
  <c r="AE192" i="131"/>
  <c r="AG192" i="131"/>
  <c r="AH174" i="131"/>
  <c r="AF174" i="131"/>
  <c r="AE174" i="131"/>
  <c r="AG174" i="131"/>
  <c r="AM187" i="131"/>
  <c r="M286" i="131" a="1"/>
  <c r="M286" i="131" s="1"/>
  <c r="L286" i="131" s="1"/>
  <c r="AF188" i="131"/>
  <c r="AG188" i="131"/>
  <c r="AE188" i="131"/>
  <c r="AH188" i="131"/>
  <c r="M311" i="131" a="1"/>
  <c r="M311" i="131" s="1"/>
  <c r="L311" i="131" s="1"/>
  <c r="AM212" i="131"/>
  <c r="AH196" i="131"/>
  <c r="AG196" i="131"/>
  <c r="AE196" i="131"/>
  <c r="AF196" i="131"/>
  <c r="AM184" i="131"/>
  <c r="M283" i="131" a="1"/>
  <c r="M283" i="131" s="1"/>
  <c r="L283" i="131" s="1"/>
  <c r="M298" i="131" a="1"/>
  <c r="M298" i="131" s="1"/>
  <c r="L298" i="131" s="1"/>
  <c r="F199" i="131" s="1"/>
  <c r="AN199" i="131" s="1"/>
  <c r="AM199" i="131"/>
  <c r="AG197" i="131"/>
  <c r="AH197" i="131"/>
  <c r="AF197" i="131"/>
  <c r="AE197" i="131"/>
  <c r="AA56" i="131"/>
  <c r="V55" i="131"/>
  <c r="G88" i="131"/>
  <c r="Y56" i="131"/>
  <c r="I78" i="131"/>
  <c r="AM160" i="131"/>
  <c r="A250" i="131" a="1"/>
  <c r="A250" i="131" s="1"/>
  <c r="M259" i="131" a="1"/>
  <c r="M259" i="131" s="1"/>
  <c r="L259" i="131" s="1"/>
  <c r="F58" i="131"/>
  <c r="Z54" i="131"/>
  <c r="Z55" i="131"/>
  <c r="W57" i="131"/>
  <c r="K54" i="131"/>
  <c r="K58" i="131"/>
  <c r="V54" i="131"/>
  <c r="AD54" i="131"/>
  <c r="B58" i="131"/>
  <c r="AB55" i="131"/>
  <c r="C88" i="131"/>
  <c r="X54" i="131"/>
  <c r="H78" i="131"/>
  <c r="AM165" i="131"/>
  <c r="M264" i="131" a="1"/>
  <c r="M264" i="131" s="1"/>
  <c r="L264" i="131" s="1"/>
  <c r="E144" i="131"/>
  <c r="AM166" i="131"/>
  <c r="M265" i="131" a="1"/>
  <c r="M265" i="131" s="1"/>
  <c r="L265" i="131" s="1"/>
  <c r="AM163" i="131"/>
  <c r="M262" i="131" a="1"/>
  <c r="M262" i="131" s="1"/>
  <c r="L262" i="131" s="1"/>
  <c r="AM161" i="131"/>
  <c r="M260" i="131" a="1"/>
  <c r="M260" i="131" s="1"/>
  <c r="L260" i="131" s="1"/>
  <c r="AM172" i="131"/>
  <c r="M271" i="131" a="1"/>
  <c r="M271" i="131" s="1"/>
  <c r="L271" i="131" s="1"/>
  <c r="F172" i="131" s="1"/>
  <c r="AN172" i="131" s="1"/>
  <c r="AM210" i="131"/>
  <c r="M309" i="131" a="1"/>
  <c r="M309" i="131" s="1"/>
  <c r="L309" i="131" s="1"/>
  <c r="AM190" i="131"/>
  <c r="M289" i="131" a="1"/>
  <c r="M289" i="131" s="1"/>
  <c r="L289" i="131" s="1"/>
  <c r="F190" i="131" s="1"/>
  <c r="AN190" i="131" s="1"/>
  <c r="AM195" i="131"/>
  <c r="M294" i="131" a="1"/>
  <c r="M294" i="131" s="1"/>
  <c r="L294" i="131" s="1"/>
  <c r="AE193" i="131"/>
  <c r="AH193" i="131"/>
  <c r="AG193" i="131"/>
  <c r="AF193" i="131"/>
  <c r="M312" i="131" a="1"/>
  <c r="M312" i="131" s="1"/>
  <c r="L312" i="131" s="1"/>
  <c r="AM213" i="131"/>
  <c r="AE209" i="131"/>
  <c r="AH209" i="131"/>
  <c r="AF209" i="131"/>
  <c r="AG209" i="131"/>
  <c r="AF211" i="131"/>
  <c r="AG211" i="131"/>
  <c r="AE211" i="131"/>
  <c r="AH211" i="131"/>
  <c r="X56" i="131"/>
  <c r="K57" i="131"/>
  <c r="V57" i="131"/>
  <c r="B87" i="131"/>
  <c r="Y87" i="131" s="1"/>
  <c r="B84" i="131"/>
  <c r="W84" i="131" s="1"/>
  <c r="B86" i="131"/>
  <c r="B85" i="131"/>
  <c r="AC85" i="131" s="1"/>
  <c r="J78" i="131"/>
  <c r="C147" i="131"/>
  <c r="AM167" i="131"/>
  <c r="M266" i="131" a="1"/>
  <c r="M266" i="131" s="1"/>
  <c r="L266" i="131" s="1"/>
  <c r="AH173" i="131"/>
  <c r="AE173" i="131"/>
  <c r="AF173" i="131"/>
  <c r="AG173" i="131"/>
  <c r="AM192" i="131"/>
  <c r="M291" i="131" a="1"/>
  <c r="M291" i="131" s="1"/>
  <c r="L291" i="131" s="1"/>
  <c r="AM174" i="131"/>
  <c r="M273" i="131" a="1"/>
  <c r="M273" i="131" s="1"/>
  <c r="L273" i="131" s="1"/>
  <c r="AF182" i="131"/>
  <c r="AE182" i="131"/>
  <c r="AH182" i="131"/>
  <c r="AG182" i="131"/>
  <c r="AM188" i="131"/>
  <c r="M287" i="131" a="1"/>
  <c r="M287" i="131" s="1"/>
  <c r="L287" i="131" s="1"/>
  <c r="AE191" i="131"/>
  <c r="AF191" i="131"/>
  <c r="AG191" i="131"/>
  <c r="AH191" i="131"/>
  <c r="AM196" i="131"/>
  <c r="M295" i="131" a="1"/>
  <c r="M295" i="131" s="1"/>
  <c r="L295" i="131" s="1"/>
  <c r="AF186" i="131"/>
  <c r="AE186" i="131"/>
  <c r="AG186" i="131"/>
  <c r="AH186" i="131"/>
  <c r="AH201" i="131"/>
  <c r="AF201" i="131"/>
  <c r="AE201" i="131"/>
  <c r="AG201" i="131"/>
  <c r="AM162" i="131"/>
  <c r="M261" i="131" a="1"/>
  <c r="M261" i="131" s="1"/>
  <c r="L261" i="131" s="1"/>
  <c r="AF187" i="131"/>
  <c r="AG187" i="131"/>
  <c r="AH187" i="131"/>
  <c r="AE187" i="131"/>
  <c r="E58" i="131"/>
  <c r="Y54" i="131"/>
  <c r="AD56" i="131"/>
  <c r="AD57" i="131"/>
  <c r="V56" i="131"/>
  <c r="K56" i="131"/>
  <c r="W56" i="131"/>
  <c r="X57" i="131"/>
  <c r="AB56" i="131"/>
  <c r="D144" i="131"/>
  <c r="AE170" i="131"/>
  <c r="AF170" i="131"/>
  <c r="AG170" i="131"/>
  <c r="AH170" i="131"/>
  <c r="AH164" i="131"/>
  <c r="AE164" i="131"/>
  <c r="AF164" i="131"/>
  <c r="AG164" i="131"/>
  <c r="AG168" i="131"/>
  <c r="AF168" i="131"/>
  <c r="AE168" i="131"/>
  <c r="AH168" i="131"/>
  <c r="AH194" i="131"/>
  <c r="AF194" i="131"/>
  <c r="AE194" i="131"/>
  <c r="AG194" i="131"/>
  <c r="AF183" i="131"/>
  <c r="AE183" i="131"/>
  <c r="AG183" i="131"/>
  <c r="AH183" i="131"/>
  <c r="AM193" i="131"/>
  <c r="M292" i="131" a="1"/>
  <c r="M292" i="131" s="1"/>
  <c r="L292" i="131" s="1"/>
  <c r="M308" i="131" a="1"/>
  <c r="M308" i="131" s="1"/>
  <c r="L308" i="131" s="1"/>
  <c r="AM209" i="131"/>
  <c r="AM211" i="131"/>
  <c r="M310" i="131" a="1"/>
  <c r="M310" i="131" s="1"/>
  <c r="L310" i="131" s="1"/>
  <c r="AA54" i="131"/>
  <c r="X55" i="131"/>
  <c r="W55" i="131"/>
  <c r="AB57" i="131"/>
  <c r="J58" i="131"/>
  <c r="Z57" i="131"/>
  <c r="F78" i="131"/>
  <c r="D78" i="131"/>
  <c r="E78" i="131"/>
  <c r="G78" i="131"/>
  <c r="D147" i="131"/>
  <c r="AE162" i="131"/>
  <c r="AH162" i="131"/>
  <c r="AG162" i="131"/>
  <c r="AF162" i="131"/>
  <c r="AM173" i="131"/>
  <c r="M272" i="131" a="1"/>
  <c r="M272" i="131" s="1"/>
  <c r="L272" i="131" s="1"/>
  <c r="AM175" i="131"/>
  <c r="M274" i="131" a="1"/>
  <c r="M274" i="131" s="1"/>
  <c r="L274" i="131" s="1"/>
  <c r="AM182" i="131"/>
  <c r="M281" i="131" a="1"/>
  <c r="M281" i="131" s="1"/>
  <c r="L281" i="131" s="1"/>
  <c r="F182" i="131" s="1"/>
  <c r="AN182" i="131" s="1"/>
  <c r="AF184" i="131"/>
  <c r="AE184" i="131"/>
  <c r="AG184" i="131"/>
  <c r="AH184" i="131"/>
  <c r="M290" i="131" a="1"/>
  <c r="M290" i="131" s="1"/>
  <c r="L290" i="131" s="1"/>
  <c r="AM191" i="131"/>
  <c r="AG207" i="131"/>
  <c r="AH207" i="131"/>
  <c r="AE207" i="131"/>
  <c r="AF207" i="131"/>
  <c r="AM186" i="131"/>
  <c r="M285" i="131" a="1"/>
  <c r="M285" i="131" s="1"/>
  <c r="L285" i="131" s="1"/>
  <c r="AM204" i="131"/>
  <c r="M303" i="131" a="1"/>
  <c r="M303" i="131" s="1"/>
  <c r="L303" i="131" s="1"/>
  <c r="G3" i="129" a="1"/>
  <c r="G3" i="129" s="1"/>
  <c r="R4" i="127"/>
  <c r="R12" i="127"/>
  <c r="R20" i="127"/>
  <c r="R28" i="127"/>
  <c r="R36" i="127"/>
  <c r="R6" i="127"/>
  <c r="R3" i="127"/>
  <c r="R11" i="127"/>
  <c r="R19" i="127"/>
  <c r="R27" i="127"/>
  <c r="R35" i="127"/>
  <c r="R5" i="127"/>
  <c r="R13" i="127"/>
  <c r="R21" i="127"/>
  <c r="R29" i="127"/>
  <c r="R37" i="127"/>
  <c r="R14" i="127"/>
  <c r="R22" i="127"/>
  <c r="R30" i="127"/>
  <c r="R38" i="127"/>
  <c r="R7" i="127"/>
  <c r="R15" i="127"/>
  <c r="R23" i="127"/>
  <c r="R31" i="127"/>
  <c r="R39" i="127"/>
  <c r="R8" i="127"/>
  <c r="R16" i="127"/>
  <c r="R24" i="127"/>
  <c r="R32" i="127"/>
  <c r="R40" i="127"/>
  <c r="R9" i="127"/>
  <c r="R17" i="127"/>
  <c r="R25" i="127"/>
  <c r="R33" i="127"/>
  <c r="R41" i="127"/>
  <c r="O73" i="127"/>
  <c r="R2" i="127"/>
  <c r="R10" i="127"/>
  <c r="R18" i="127"/>
  <c r="R26" i="127"/>
  <c r="R34" i="127"/>
  <c r="R42" i="127"/>
  <c r="S42" i="127" s="1"/>
  <c r="O168" i="127"/>
  <c r="O136" i="127"/>
  <c r="O104" i="127"/>
  <c r="O169" i="127"/>
  <c r="O137" i="127"/>
  <c r="O105" i="127"/>
  <c r="O74" i="127"/>
  <c r="O42" i="127"/>
  <c r="O161" i="127"/>
  <c r="O129" i="127"/>
  <c r="O97" i="127"/>
  <c r="O66" i="127"/>
  <c r="O160" i="127"/>
  <c r="O128" i="127"/>
  <c r="O96" i="127"/>
  <c r="O65" i="127"/>
  <c r="O153" i="127"/>
  <c r="O121" i="127"/>
  <c r="O90" i="127"/>
  <c r="O58" i="127"/>
  <c r="O152" i="127"/>
  <c r="O120" i="127"/>
  <c r="O89" i="127"/>
  <c r="O57" i="127"/>
  <c r="O145" i="127"/>
  <c r="O113" i="127"/>
  <c r="O82" i="127"/>
  <c r="O50" i="127"/>
  <c r="O144" i="127"/>
  <c r="O112" i="127"/>
  <c r="O81" i="127"/>
  <c r="O49" i="127"/>
  <c r="O167" i="127"/>
  <c r="O159" i="127"/>
  <c r="O151" i="127"/>
  <c r="O143" i="127"/>
  <c r="O135" i="127"/>
  <c r="O127" i="127"/>
  <c r="O119" i="127"/>
  <c r="O111" i="127"/>
  <c r="O103" i="127"/>
  <c r="O95" i="127"/>
  <c r="O88" i="127"/>
  <c r="O80" i="127"/>
  <c r="O72" i="127"/>
  <c r="O64" i="127"/>
  <c r="O56" i="127"/>
  <c r="O48" i="127"/>
  <c r="O166" i="127"/>
  <c r="O158" i="127"/>
  <c r="O150" i="127"/>
  <c r="O142" i="127"/>
  <c r="O134" i="127"/>
  <c r="O126" i="127"/>
  <c r="O118" i="127"/>
  <c r="O110" i="127"/>
  <c r="O102" i="127"/>
  <c r="O94" i="127"/>
  <c r="O87" i="127"/>
  <c r="O79" i="127"/>
  <c r="O71" i="127"/>
  <c r="O63" i="127"/>
  <c r="O55" i="127"/>
  <c r="O47" i="127"/>
  <c r="O165" i="127"/>
  <c r="O157" i="127"/>
  <c r="O149" i="127"/>
  <c r="O141" i="127"/>
  <c r="O133" i="127"/>
  <c r="O125" i="127"/>
  <c r="O117" i="127"/>
  <c r="O109" i="127"/>
  <c r="O101" i="127"/>
  <c r="O93" i="127"/>
  <c r="O86" i="127"/>
  <c r="O78" i="127"/>
  <c r="O70" i="127"/>
  <c r="O62" i="127"/>
  <c r="O54" i="127"/>
  <c r="O46" i="127"/>
  <c r="O41" i="127"/>
  <c r="O164" i="127"/>
  <c r="O156" i="127"/>
  <c r="O148" i="127"/>
  <c r="O140" i="127"/>
  <c r="O132" i="127"/>
  <c r="O124" i="127"/>
  <c r="O116" i="127"/>
  <c r="O108" i="127"/>
  <c r="O100" i="127"/>
  <c r="O92" i="127"/>
  <c r="O85" i="127"/>
  <c r="O77" i="127"/>
  <c r="O69" i="127"/>
  <c r="O61" i="127"/>
  <c r="O53" i="127"/>
  <c r="O45" i="127"/>
  <c r="O171" i="127"/>
  <c r="O163" i="127"/>
  <c r="O155" i="127"/>
  <c r="O147" i="127"/>
  <c r="O139" i="127"/>
  <c r="O131" i="127"/>
  <c r="O123" i="127"/>
  <c r="O115" i="127"/>
  <c r="O107" i="127"/>
  <c r="O99" i="127"/>
  <c r="O91" i="127"/>
  <c r="O84" i="127"/>
  <c r="O76" i="127"/>
  <c r="O68" i="127"/>
  <c r="O60" i="127"/>
  <c r="O52" i="127"/>
  <c r="O44" i="127"/>
  <c r="O170" i="127"/>
  <c r="O162" i="127"/>
  <c r="O154" i="127"/>
  <c r="O146" i="127"/>
  <c r="O138" i="127"/>
  <c r="O130" i="127"/>
  <c r="O122" i="127"/>
  <c r="O114" i="127"/>
  <c r="O106" i="127"/>
  <c r="O98" i="127"/>
  <c r="O83" i="127"/>
  <c r="O75" i="127"/>
  <c r="O67" i="127"/>
  <c r="O59" i="127"/>
  <c r="O51" i="127"/>
  <c r="M42" i="127"/>
  <c r="M11" i="127"/>
  <c r="M33" i="127"/>
  <c r="M137" i="127"/>
  <c r="M129" i="127"/>
  <c r="M121" i="127"/>
  <c r="M113" i="127"/>
  <c r="M105" i="127"/>
  <c r="M97" i="127"/>
  <c r="M90" i="127"/>
  <c r="M82" i="127"/>
  <c r="M74" i="127"/>
  <c r="M66" i="127"/>
  <c r="M58" i="127"/>
  <c r="M30" i="127"/>
  <c r="M171" i="127"/>
  <c r="M161" i="127"/>
  <c r="M156" i="127"/>
  <c r="M148" i="127"/>
  <c r="M140" i="127"/>
  <c r="M132" i="127"/>
  <c r="M124" i="127"/>
  <c r="M116" i="127"/>
  <c r="M108" i="127"/>
  <c r="M103" i="127"/>
  <c r="M95" i="127"/>
  <c r="M88" i="127"/>
  <c r="M80" i="127"/>
  <c r="M72" i="127"/>
  <c r="M64" i="127"/>
  <c r="M54" i="127"/>
  <c r="M46" i="127"/>
  <c r="M41" i="127"/>
  <c r="M10" i="127"/>
  <c r="M39" i="127"/>
  <c r="M34" i="127"/>
  <c r="M28" i="127"/>
  <c r="M25" i="127"/>
  <c r="M20" i="127"/>
  <c r="M151" i="127"/>
  <c r="M143" i="127"/>
  <c r="M135" i="127"/>
  <c r="M127" i="127"/>
  <c r="M119" i="127"/>
  <c r="M111" i="127"/>
  <c r="M98" i="127"/>
  <c r="M83" i="127"/>
  <c r="M75" i="127"/>
  <c r="M67" i="127"/>
  <c r="M59" i="127"/>
  <c r="M49" i="127"/>
  <c r="M3" i="127"/>
  <c r="M31" i="127"/>
  <c r="M154" i="127"/>
  <c r="M146" i="127"/>
  <c r="M138" i="127"/>
  <c r="M130" i="127"/>
  <c r="M122" i="127"/>
  <c r="M114" i="127"/>
  <c r="M106" i="127"/>
  <c r="M101" i="127"/>
  <c r="M93" i="127"/>
  <c r="M86" i="127"/>
  <c r="M78" i="127"/>
  <c r="M70" i="127"/>
  <c r="M62" i="127"/>
  <c r="M57" i="127"/>
  <c r="M52" i="127"/>
  <c r="M44" i="127"/>
  <c r="M6" i="127"/>
  <c r="M8" i="127"/>
  <c r="M22" i="127"/>
  <c r="M15" i="127"/>
  <c r="M37" i="127"/>
  <c r="M159" i="127"/>
  <c r="M167" i="127"/>
  <c r="M162" i="127"/>
  <c r="M157" i="127"/>
  <c r="M149" i="127"/>
  <c r="M141" i="127"/>
  <c r="M133" i="127"/>
  <c r="M125" i="127"/>
  <c r="M117" i="127"/>
  <c r="M109" i="127"/>
  <c r="M104" i="127"/>
  <c r="M96" i="127"/>
  <c r="M89" i="127"/>
  <c r="M81" i="127"/>
  <c r="M73" i="127"/>
  <c r="M65" i="127"/>
  <c r="M55" i="127"/>
  <c r="M47" i="127"/>
  <c r="M18" i="127"/>
  <c r="M13" i="127"/>
  <c r="M35" i="127"/>
  <c r="M29" i="127"/>
  <c r="M27" i="127"/>
  <c r="M152" i="127"/>
  <c r="M144" i="127"/>
  <c r="M136" i="127"/>
  <c r="M128" i="127"/>
  <c r="M120" i="127"/>
  <c r="M112" i="127"/>
  <c r="M99" i="127"/>
  <c r="M91" i="127"/>
  <c r="M84" i="127"/>
  <c r="M76" i="127"/>
  <c r="M68" i="127"/>
  <c r="M60" i="127"/>
  <c r="M50" i="127"/>
  <c r="M4" i="127"/>
  <c r="M21" i="127"/>
  <c r="M12" i="127"/>
  <c r="M38" i="127"/>
  <c r="M165" i="127"/>
  <c r="M170" i="127"/>
  <c r="M160" i="127"/>
  <c r="M155" i="127"/>
  <c r="M147" i="127"/>
  <c r="M139" i="127"/>
  <c r="M131" i="127"/>
  <c r="M123" i="127"/>
  <c r="M115" i="127"/>
  <c r="M107" i="127"/>
  <c r="M102" i="127"/>
  <c r="M94" i="127"/>
  <c r="M87" i="127"/>
  <c r="M79" i="127"/>
  <c r="M71" i="127"/>
  <c r="M63" i="127"/>
  <c r="M53" i="127"/>
  <c r="M45" i="127"/>
  <c r="M7" i="127"/>
  <c r="M9" i="127"/>
  <c r="M23" i="127"/>
  <c r="M16" i="127"/>
  <c r="M40" i="127"/>
  <c r="M164" i="127"/>
  <c r="M158" i="127"/>
  <c r="M150" i="127"/>
  <c r="M142" i="127"/>
  <c r="M134" i="127"/>
  <c r="M126" i="127"/>
  <c r="M118" i="127"/>
  <c r="M110" i="127"/>
  <c r="M48" i="127"/>
  <c r="M43" i="127"/>
  <c r="M2" i="127"/>
  <c r="M19" i="127"/>
  <c r="M14" i="127"/>
  <c r="M36" i="127"/>
  <c r="M169" i="127"/>
  <c r="M168" i="127"/>
  <c r="M163" i="127"/>
  <c r="M166" i="127"/>
  <c r="M153" i="127"/>
  <c r="M145" i="127"/>
  <c r="M100" i="127"/>
  <c r="M92" i="127"/>
  <c r="M85" i="127"/>
  <c r="M77" i="127"/>
  <c r="M69" i="127"/>
  <c r="M61" i="127"/>
  <c r="M56" i="127"/>
  <c r="M51" i="127"/>
  <c r="M5" i="127"/>
  <c r="M26" i="127"/>
  <c r="M17" i="127"/>
  <c r="M32" i="127"/>
  <c r="M24" i="127"/>
  <c r="G25" i="127"/>
  <c r="G27" i="127"/>
  <c r="G28" i="127"/>
  <c r="G29" i="127"/>
  <c r="G30" i="127"/>
  <c r="G31" i="127"/>
  <c r="G32" i="127"/>
  <c r="G33" i="127"/>
  <c r="G34" i="127"/>
  <c r="G35" i="127"/>
  <c r="G36" i="127"/>
  <c r="G37" i="127"/>
  <c r="G38" i="127"/>
  <c r="G39" i="127"/>
  <c r="G40" i="127"/>
  <c r="G12" i="127"/>
  <c r="G13" i="127"/>
  <c r="G14" i="127"/>
  <c r="G15" i="127"/>
  <c r="G16" i="127"/>
  <c r="G17" i="127"/>
  <c r="G18" i="127"/>
  <c r="G19" i="127"/>
  <c r="G20" i="127"/>
  <c r="G21" i="127"/>
  <c r="G26" i="127"/>
  <c r="G22" i="127"/>
  <c r="G23" i="127"/>
  <c r="G8" i="127"/>
  <c r="G9" i="127"/>
  <c r="G10" i="127"/>
  <c r="G11" i="127"/>
  <c r="G2" i="127"/>
  <c r="G3" i="127"/>
  <c r="G4" i="127"/>
  <c r="G5" i="127"/>
  <c r="G6" i="127"/>
  <c r="G7" i="127"/>
  <c r="G41" i="127"/>
  <c r="G42" i="127"/>
  <c r="G43" i="127"/>
  <c r="G44" i="127"/>
  <c r="G45" i="127"/>
  <c r="G46" i="127"/>
  <c r="G47" i="127"/>
  <c r="G48" i="127"/>
  <c r="G49" i="127"/>
  <c r="G50" i="127"/>
  <c r="G51" i="127"/>
  <c r="G52" i="127"/>
  <c r="G53" i="127"/>
  <c r="G54" i="127"/>
  <c r="G55" i="127"/>
  <c r="G56" i="127"/>
  <c r="G57" i="127"/>
  <c r="G58" i="127"/>
  <c r="G59" i="127"/>
  <c r="G60" i="127"/>
  <c r="G61" i="127"/>
  <c r="G62" i="127"/>
  <c r="G63" i="127"/>
  <c r="G64" i="127"/>
  <c r="G65" i="127"/>
  <c r="G66" i="127"/>
  <c r="G67" i="127"/>
  <c r="G68" i="127"/>
  <c r="G69" i="127"/>
  <c r="G70" i="127"/>
  <c r="G71" i="127"/>
  <c r="G72" i="127"/>
  <c r="G73" i="127"/>
  <c r="G74" i="127"/>
  <c r="G75" i="127"/>
  <c r="G76" i="127"/>
  <c r="G77" i="127"/>
  <c r="G78" i="127"/>
  <c r="G79" i="127"/>
  <c r="G80" i="127"/>
  <c r="G81" i="127"/>
  <c r="G82" i="127"/>
  <c r="G83" i="127"/>
  <c r="G84" i="127"/>
  <c r="G85" i="127"/>
  <c r="G86" i="127"/>
  <c r="G87" i="127"/>
  <c r="G88" i="127"/>
  <c r="G89" i="127"/>
  <c r="G90" i="127"/>
  <c r="G91" i="127"/>
  <c r="G92" i="127"/>
  <c r="G93" i="127"/>
  <c r="G94" i="127"/>
  <c r="G95" i="127"/>
  <c r="G96" i="127"/>
  <c r="G97" i="127"/>
  <c r="G98" i="127"/>
  <c r="G99" i="127"/>
  <c r="G100" i="127"/>
  <c r="G101" i="127"/>
  <c r="G102" i="127"/>
  <c r="G103" i="127"/>
  <c r="G104" i="127"/>
  <c r="G105" i="127"/>
  <c r="G106" i="127"/>
  <c r="G107" i="127"/>
  <c r="G108" i="127"/>
  <c r="G109" i="127"/>
  <c r="G110" i="127"/>
  <c r="G111" i="127"/>
  <c r="G112" i="127"/>
  <c r="G113" i="127"/>
  <c r="G114" i="127"/>
  <c r="G115" i="127"/>
  <c r="G116" i="127"/>
  <c r="G117" i="127"/>
  <c r="G118" i="127"/>
  <c r="G119" i="127"/>
  <c r="G120" i="127"/>
  <c r="G121" i="127"/>
  <c r="G122" i="127"/>
  <c r="G123" i="127"/>
  <c r="G124" i="127"/>
  <c r="G125" i="127"/>
  <c r="G126" i="127"/>
  <c r="G127" i="127"/>
  <c r="G128" i="127"/>
  <c r="G129" i="127"/>
  <c r="G130" i="127"/>
  <c r="G131" i="127"/>
  <c r="G132" i="127"/>
  <c r="G133" i="127"/>
  <c r="G134" i="127"/>
  <c r="G135" i="127"/>
  <c r="G136" i="127"/>
  <c r="G137" i="127"/>
  <c r="G138" i="127"/>
  <c r="G139" i="127"/>
  <c r="G140" i="127"/>
  <c r="G141" i="127"/>
  <c r="G142" i="127"/>
  <c r="G143" i="127"/>
  <c r="G144" i="127"/>
  <c r="G145" i="127"/>
  <c r="G146" i="127"/>
  <c r="G147" i="127"/>
  <c r="G148" i="127"/>
  <c r="G149" i="127"/>
  <c r="G150" i="127"/>
  <c r="G151" i="127"/>
  <c r="G152" i="127"/>
  <c r="G153" i="127"/>
  <c r="G154" i="127"/>
  <c r="G155" i="127"/>
  <c r="G156" i="127"/>
  <c r="G157" i="127"/>
  <c r="G158" i="127"/>
  <c r="G159" i="127"/>
  <c r="G160" i="127"/>
  <c r="G161" i="127"/>
  <c r="G162" i="127"/>
  <c r="G163" i="127"/>
  <c r="G164" i="127"/>
  <c r="G165" i="127"/>
  <c r="G166" i="127"/>
  <c r="G167" i="127"/>
  <c r="G168" i="127"/>
  <c r="G169" i="127"/>
  <c r="G170" i="127"/>
  <c r="G171" i="127"/>
  <c r="G24" i="127"/>
  <c r="BF24" i="126"/>
  <c r="BE24" i="126"/>
  <c r="BD24" i="126"/>
  <c r="BC24" i="126"/>
  <c r="BB24" i="126"/>
  <c r="BA24" i="126"/>
  <c r="AZ24" i="126"/>
  <c r="AY24" i="126"/>
  <c r="AX24" i="126"/>
  <c r="AW24" i="126"/>
  <c r="AV24" i="126"/>
  <c r="AU24" i="126"/>
  <c r="AT24" i="126"/>
  <c r="AS24" i="126"/>
  <c r="AR24" i="126"/>
  <c r="BF23" i="126"/>
  <c r="BE23" i="126"/>
  <c r="BD23" i="126"/>
  <c r="BC23" i="126"/>
  <c r="BB23" i="126"/>
  <c r="BA23" i="126"/>
  <c r="AZ23" i="126"/>
  <c r="AY23" i="126"/>
  <c r="AX23" i="126"/>
  <c r="AW23" i="126"/>
  <c r="AV23" i="126"/>
  <c r="AU23" i="126"/>
  <c r="AT23" i="126"/>
  <c r="AS23" i="126"/>
  <c r="AR23" i="126"/>
  <c r="BF22" i="126"/>
  <c r="BE22" i="126"/>
  <c r="BD22" i="126"/>
  <c r="BC22" i="126"/>
  <c r="BB22" i="126"/>
  <c r="BA22" i="126"/>
  <c r="AZ22" i="126"/>
  <c r="AY22" i="126"/>
  <c r="AX22" i="126"/>
  <c r="AW22" i="126"/>
  <c r="AV22" i="126"/>
  <c r="AU22" i="126"/>
  <c r="AT22" i="126"/>
  <c r="AS22" i="126"/>
  <c r="AR22" i="126"/>
  <c r="H106" i="131" l="1"/>
  <c r="D149" i="131"/>
  <c r="G106" i="131"/>
  <c r="D106" i="131"/>
  <c r="J106" i="131"/>
  <c r="C106" i="131"/>
  <c r="F106" i="131"/>
  <c r="E106" i="131"/>
  <c r="E149" i="131"/>
  <c r="B149" i="131"/>
  <c r="C149" i="131"/>
  <c r="I106" i="131"/>
  <c r="F186" i="131"/>
  <c r="AN186" i="131" s="1"/>
  <c r="F195" i="131"/>
  <c r="AN195" i="131" s="1"/>
  <c r="F161" i="131"/>
  <c r="AN161" i="131" s="1"/>
  <c r="F162" i="131"/>
  <c r="AN162" i="131" s="1"/>
  <c r="F188" i="131"/>
  <c r="AN188" i="131" s="1"/>
  <c r="F184" i="131"/>
  <c r="AN184" i="131" s="1"/>
  <c r="F171" i="131"/>
  <c r="AN171" i="131" s="1"/>
  <c r="F198" i="131"/>
  <c r="AN198" i="131" s="1"/>
  <c r="F187" i="131"/>
  <c r="AN187" i="131" s="1"/>
  <c r="F203" i="131"/>
  <c r="AN203" i="131" s="1"/>
  <c r="F170" i="131"/>
  <c r="AN170" i="131" s="1"/>
  <c r="F212" i="131"/>
  <c r="AN212" i="131" s="1"/>
  <c r="F181" i="131"/>
  <c r="AN181" i="131" s="1"/>
  <c r="F206" i="131"/>
  <c r="AN206" i="131" s="1"/>
  <c r="F193" i="131"/>
  <c r="AN193" i="131" s="1"/>
  <c r="F175" i="131"/>
  <c r="AN175" i="131" s="1"/>
  <c r="F194" i="131"/>
  <c r="AN194" i="131" s="1"/>
  <c r="F205" i="131"/>
  <c r="AN205" i="131" s="1"/>
  <c r="F165" i="131"/>
  <c r="AN165" i="131" s="1"/>
  <c r="F192" i="131"/>
  <c r="AN192" i="131" s="1"/>
  <c r="F201" i="131"/>
  <c r="AN201" i="131" s="1"/>
  <c r="F173" i="131"/>
  <c r="AN173" i="131" s="1"/>
  <c r="F215" i="131"/>
  <c r="AN215" i="131" s="1"/>
  <c r="F163" i="131"/>
  <c r="AN163" i="131" s="1"/>
  <c r="F169" i="131"/>
  <c r="AN169" i="131" s="1"/>
  <c r="F197" i="131"/>
  <c r="AN197" i="131" s="1"/>
  <c r="F178" i="131"/>
  <c r="AN178" i="131" s="1"/>
  <c r="F176" i="131"/>
  <c r="AN176" i="131" s="1"/>
  <c r="F168" i="131"/>
  <c r="AN168" i="131" s="1"/>
  <c r="F183" i="131"/>
  <c r="AN183" i="131" s="1"/>
  <c r="F180" i="131"/>
  <c r="AN180" i="131" s="1"/>
  <c r="F204" i="131"/>
  <c r="AN204" i="131" s="1"/>
  <c r="F160" i="131"/>
  <c r="AN160" i="131" s="1"/>
  <c r="F202" i="131"/>
  <c r="AN202" i="131" s="1"/>
  <c r="F196" i="131"/>
  <c r="AN196" i="131" s="1"/>
  <c r="F191" i="131"/>
  <c r="AN191" i="131" s="1"/>
  <c r="F174" i="131"/>
  <c r="AN174" i="131" s="1"/>
  <c r="F200" i="131"/>
  <c r="AN200" i="131" s="1"/>
  <c r="F166" i="131"/>
  <c r="AN166" i="131" s="1"/>
  <c r="F189" i="131"/>
  <c r="AN189" i="131" s="1"/>
  <c r="F214" i="131"/>
  <c r="AN214" i="131" s="1"/>
  <c r="F185" i="131"/>
  <c r="AN185" i="131" s="1"/>
  <c r="F164" i="131"/>
  <c r="AN164" i="131" s="1"/>
  <c r="F167" i="131"/>
  <c r="AN167" i="131" s="1"/>
  <c r="W219" i="131"/>
  <c r="W217" i="131"/>
  <c r="W218" i="131"/>
  <c r="V218" i="131"/>
  <c r="V217" i="131"/>
  <c r="V219" i="131"/>
  <c r="U217" i="131"/>
  <c r="U219" i="131"/>
  <c r="U218" i="131"/>
  <c r="P218" i="131"/>
  <c r="S218" i="131"/>
  <c r="AH217" i="131"/>
  <c r="AE217" i="131"/>
  <c r="AG217" i="131"/>
  <c r="AF217" i="131"/>
  <c r="AE218" i="131"/>
  <c r="AE219" i="131"/>
  <c r="AH218" i="131"/>
  <c r="AH219" i="131"/>
  <c r="AF218" i="131"/>
  <c r="AF219" i="131"/>
  <c r="AJ217" i="131"/>
  <c r="R217" i="131"/>
  <c r="S219" i="131"/>
  <c r="AG218" i="131"/>
  <c r="AG219" i="131"/>
  <c r="T219" i="131"/>
  <c r="AM217" i="131"/>
  <c r="R219" i="131"/>
  <c r="R218" i="131"/>
  <c r="T217" i="131"/>
  <c r="AJ218" i="131"/>
  <c r="S217" i="131"/>
  <c r="AJ219" i="131"/>
  <c r="E219" i="131"/>
  <c r="E218" i="131"/>
  <c r="F207" i="131"/>
  <c r="AN207" i="131" s="1"/>
  <c r="F208" i="131"/>
  <c r="AN208" i="131" s="1"/>
  <c r="P217" i="131"/>
  <c r="F211" i="131"/>
  <c r="AN211" i="131" s="1"/>
  <c r="P219" i="131"/>
  <c r="T218" i="131"/>
  <c r="AM218" i="131"/>
  <c r="AM219" i="131"/>
  <c r="F213" i="131"/>
  <c r="AN213" i="131" s="1"/>
  <c r="F209" i="131"/>
  <c r="AN209" i="131" s="1"/>
  <c r="F210" i="131"/>
  <c r="AN210" i="131" s="1"/>
  <c r="B114" i="131"/>
  <c r="B112" i="131"/>
  <c r="N22" i="131"/>
  <c r="O34" i="131"/>
  <c r="O22" i="131"/>
  <c r="K22" i="131"/>
  <c r="P22" i="131"/>
  <c r="H22" i="131"/>
  <c r="M22" i="131"/>
  <c r="Z74" i="131"/>
  <c r="N34" i="131"/>
  <c r="X77" i="131"/>
  <c r="AC74" i="131"/>
  <c r="AB76" i="131"/>
  <c r="I22" i="131"/>
  <c r="Y74" i="131"/>
  <c r="X74" i="131"/>
  <c r="AD74" i="131"/>
  <c r="AD77" i="131"/>
  <c r="W74" i="131"/>
  <c r="AB77" i="131"/>
  <c r="J34" i="131"/>
  <c r="J22" i="131"/>
  <c r="Z77" i="131"/>
  <c r="I34" i="131"/>
  <c r="K34" i="131"/>
  <c r="M34" i="131"/>
  <c r="L34" i="131"/>
  <c r="W66" i="131"/>
  <c r="AA75" i="131"/>
  <c r="AB75" i="131"/>
  <c r="Z75" i="131"/>
  <c r="X75" i="131"/>
  <c r="AD75" i="131"/>
  <c r="X76" i="131"/>
  <c r="O170" i="131"/>
  <c r="O197" i="131"/>
  <c r="O212" i="131"/>
  <c r="O167" i="131"/>
  <c r="O206" i="131"/>
  <c r="O189" i="131"/>
  <c r="O198" i="131"/>
  <c r="O204" i="131"/>
  <c r="O191" i="131"/>
  <c r="O164" i="131"/>
  <c r="O209" i="131"/>
  <c r="O179" i="131"/>
  <c r="O181" i="131"/>
  <c r="O175" i="131"/>
  <c r="O205" i="131"/>
  <c r="O196" i="131"/>
  <c r="O166" i="131"/>
  <c r="O190" i="131"/>
  <c r="O180" i="131"/>
  <c r="O177" i="131"/>
  <c r="O187" i="131"/>
  <c r="O183" i="131"/>
  <c r="O178" i="131"/>
  <c r="O194" i="131"/>
  <c r="O195" i="131"/>
  <c r="O201" i="131"/>
  <c r="O214" i="131"/>
  <c r="O210" i="131"/>
  <c r="O192" i="131"/>
  <c r="O160" i="131"/>
  <c r="O213" i="131"/>
  <c r="O185" i="131"/>
  <c r="O174" i="131"/>
  <c r="O161" i="131"/>
  <c r="O165" i="131"/>
  <c r="O163" i="131"/>
  <c r="O184" i="131"/>
  <c r="O202" i="131"/>
  <c r="O168" i="131"/>
  <c r="O172" i="131"/>
  <c r="O173" i="131"/>
  <c r="O162" i="131"/>
  <c r="O208" i="131"/>
  <c r="O200" i="131"/>
  <c r="O199" i="131"/>
  <c r="O171" i="131"/>
  <c r="O203" i="131"/>
  <c r="O193" i="131"/>
  <c r="O186" i="131"/>
  <c r="O182" i="131"/>
  <c r="O211" i="131"/>
  <c r="O207" i="131"/>
  <c r="O188" i="131"/>
  <c r="O176" i="131"/>
  <c r="O169" i="131"/>
  <c r="L22" i="131"/>
  <c r="V65" i="131"/>
  <c r="AA65" i="131"/>
  <c r="Z65" i="131"/>
  <c r="AC65" i="131"/>
  <c r="W65" i="131"/>
  <c r="AB65" i="131"/>
  <c r="Y65" i="131"/>
  <c r="X65" i="131"/>
  <c r="AD65" i="131"/>
  <c r="K65" i="131"/>
  <c r="X66" i="131"/>
  <c r="K66" i="131"/>
  <c r="AC66" i="131"/>
  <c r="V66" i="131"/>
  <c r="AA66" i="131"/>
  <c r="Y66" i="131"/>
  <c r="Z66" i="131"/>
  <c r="AB66" i="131"/>
  <c r="AA67" i="131"/>
  <c r="AC67" i="131"/>
  <c r="V67" i="131"/>
  <c r="K67" i="131"/>
  <c r="X67" i="131"/>
  <c r="W67" i="131"/>
  <c r="Y67" i="131"/>
  <c r="AD67" i="131"/>
  <c r="Z67" i="131"/>
  <c r="V64" i="131"/>
  <c r="Z64" i="131"/>
  <c r="Y64" i="131"/>
  <c r="AA64" i="131"/>
  <c r="K68" i="131"/>
  <c r="B35" i="131" s="1"/>
  <c r="X64" i="131"/>
  <c r="AB64" i="131"/>
  <c r="W64" i="131"/>
  <c r="B68" i="131"/>
  <c r="AD64" i="131"/>
  <c r="K64" i="131"/>
  <c r="E59" i="131"/>
  <c r="I144" i="131"/>
  <c r="I145" i="131"/>
  <c r="J145" i="131"/>
  <c r="H145" i="131"/>
  <c r="G145" i="131"/>
  <c r="I146" i="131"/>
  <c r="I147" i="131"/>
  <c r="G146" i="131"/>
  <c r="J146" i="131"/>
  <c r="H146" i="131"/>
  <c r="F177" i="131"/>
  <c r="AN177" i="131" s="1"/>
  <c r="H144" i="131"/>
  <c r="G147" i="131"/>
  <c r="K87" i="131"/>
  <c r="V87" i="131"/>
  <c r="AA87" i="131"/>
  <c r="AD87" i="131"/>
  <c r="Z87" i="131"/>
  <c r="X87" i="131"/>
  <c r="AC87" i="131"/>
  <c r="W87" i="131"/>
  <c r="AB87" i="131"/>
  <c r="H59" i="131"/>
  <c r="I59" i="131"/>
  <c r="J147" i="131"/>
  <c r="K75" i="131"/>
  <c r="V75" i="131"/>
  <c r="W75" i="131"/>
  <c r="Y75" i="131"/>
  <c r="AC75" i="131"/>
  <c r="Y76" i="131"/>
  <c r="AA77" i="131"/>
  <c r="Z76" i="131"/>
  <c r="H147" i="131"/>
  <c r="J144" i="131"/>
  <c r="B59" i="131"/>
  <c r="B118" i="131"/>
  <c r="V76" i="131"/>
  <c r="AA76" i="131"/>
  <c r="K76" i="131"/>
  <c r="AE76" i="131" s="1"/>
  <c r="W76" i="131"/>
  <c r="C59" i="131"/>
  <c r="B113" i="131"/>
  <c r="J59" i="131"/>
  <c r="G59" i="131"/>
  <c r="K84" i="131"/>
  <c r="K88" i="131"/>
  <c r="V84" i="131"/>
  <c r="X84" i="131"/>
  <c r="AD84" i="131"/>
  <c r="Z84" i="131"/>
  <c r="B88" i="131"/>
  <c r="Y84" i="131"/>
  <c r="AB84" i="131"/>
  <c r="AA84" i="131"/>
  <c r="AC84" i="131"/>
  <c r="F59" i="131"/>
  <c r="G144" i="131"/>
  <c r="W77" i="131"/>
  <c r="B111" i="131"/>
  <c r="C111" i="131" s="1"/>
  <c r="Z85" i="131"/>
  <c r="X85" i="131"/>
  <c r="V85" i="131"/>
  <c r="W85" i="131"/>
  <c r="K85" i="131"/>
  <c r="AB85" i="131"/>
  <c r="Y85" i="131"/>
  <c r="AD85" i="131"/>
  <c r="AA85" i="131"/>
  <c r="BF218" i="131"/>
  <c r="BF219" i="131"/>
  <c r="BF217" i="131"/>
  <c r="V74" i="131"/>
  <c r="K78" i="131"/>
  <c r="B78" i="131"/>
  <c r="E79" i="131" s="1"/>
  <c r="K74" i="131"/>
  <c r="AA74" i="131"/>
  <c r="D59" i="131"/>
  <c r="AC86" i="131"/>
  <c r="V86" i="131"/>
  <c r="W86" i="131"/>
  <c r="K86" i="131"/>
  <c r="Z86" i="131"/>
  <c r="AD86" i="131"/>
  <c r="AB86" i="131"/>
  <c r="Y86" i="131"/>
  <c r="X86" i="131"/>
  <c r="AA86" i="131"/>
  <c r="AD76" i="131"/>
  <c r="K77" i="131"/>
  <c r="V77" i="131"/>
  <c r="Y77" i="131"/>
  <c r="H3" i="129" a="1"/>
  <c r="S6" i="127"/>
  <c r="S41" i="127"/>
  <c r="S35" i="127"/>
  <c r="S34" i="127"/>
  <c r="S27" i="127"/>
  <c r="S19" i="127"/>
  <c r="S12" i="127"/>
  <c r="S8" i="127"/>
  <c r="S26" i="127"/>
  <c r="S17" i="127"/>
  <c r="S39" i="127"/>
  <c r="S14" i="127"/>
  <c r="S28" i="127"/>
  <c r="S22" i="127"/>
  <c r="S18" i="127"/>
  <c r="S9" i="127"/>
  <c r="S31" i="127"/>
  <c r="S10" i="127"/>
  <c r="S23" i="127"/>
  <c r="S37" i="127"/>
  <c r="S20" i="127"/>
  <c r="S25" i="127"/>
  <c r="S40" i="127"/>
  <c r="S15" i="127"/>
  <c r="S29" i="127"/>
  <c r="S32" i="127"/>
  <c r="S7" i="127"/>
  <c r="S21" i="127"/>
  <c r="S24" i="127"/>
  <c r="S38" i="127"/>
  <c r="S13" i="127"/>
  <c r="S11" i="127"/>
  <c r="S33" i="127"/>
  <c r="S16" i="127"/>
  <c r="S30" i="127"/>
  <c r="S36" i="127"/>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K98" i="131" l="1"/>
  <c r="I89" i="131"/>
  <c r="B98" i="131"/>
  <c r="B106" i="131"/>
  <c r="K90" i="131"/>
  <c r="F218" i="131"/>
  <c r="F219" i="131"/>
  <c r="F217" i="131"/>
  <c r="AJ2" i="1" a="1"/>
  <c r="AJ2" i="1" s="1"/>
  <c r="AI2" i="1"/>
  <c r="A3" i="15" a="1"/>
  <c r="AN217" i="131"/>
  <c r="O217" i="131"/>
  <c r="O218" i="131"/>
  <c r="O219" i="131"/>
  <c r="AN218" i="131"/>
  <c r="AN219" i="131"/>
  <c r="E69" i="131"/>
  <c r="B119" i="131"/>
  <c r="C119" i="131" s="1"/>
  <c r="I69" i="131"/>
  <c r="B69" i="131"/>
  <c r="H69" i="131"/>
  <c r="G69" i="131"/>
  <c r="C69" i="131"/>
  <c r="D69" i="131"/>
  <c r="F69" i="131"/>
  <c r="J69" i="131"/>
  <c r="J79" i="131"/>
  <c r="BP16" i="131" a="1"/>
  <c r="BP16" i="131" s="1"/>
  <c r="B60" i="131"/>
  <c r="H79" i="131"/>
  <c r="D79" i="131"/>
  <c r="C79" i="131"/>
  <c r="G79" i="131"/>
  <c r="C112" i="131"/>
  <c r="D112" i="131" s="1"/>
  <c r="I79" i="131"/>
  <c r="B89" i="131"/>
  <c r="B121" i="131"/>
  <c r="C121" i="131" s="1"/>
  <c r="D89" i="131"/>
  <c r="F89" i="131"/>
  <c r="H89" i="131"/>
  <c r="J89" i="131"/>
  <c r="E89" i="131"/>
  <c r="G89" i="131"/>
  <c r="C89" i="131"/>
  <c r="B61" i="131"/>
  <c r="C113" i="131"/>
  <c r="C118" i="131"/>
  <c r="D118" i="131" s="1"/>
  <c r="C114" i="131"/>
  <c r="F79" i="131"/>
  <c r="B115" i="131"/>
  <c r="D111" i="131"/>
  <c r="B79" i="131"/>
  <c r="B120" i="131"/>
  <c r="C35" i="131"/>
  <c r="J198" i="129"/>
  <c r="J194" i="129"/>
  <c r="J190" i="129"/>
  <c r="J186" i="129"/>
  <c r="K181" i="129"/>
  <c r="K177" i="129"/>
  <c r="K173" i="129"/>
  <c r="K169" i="129"/>
  <c r="K165" i="129"/>
  <c r="K161" i="129"/>
  <c r="K157" i="129"/>
  <c r="K153" i="129"/>
  <c r="K149" i="129"/>
  <c r="K145" i="129"/>
  <c r="K141" i="129"/>
  <c r="K137" i="129"/>
  <c r="K133" i="129"/>
  <c r="K129" i="129"/>
  <c r="K125" i="129"/>
  <c r="K121" i="129"/>
  <c r="K117" i="129"/>
  <c r="K113" i="129"/>
  <c r="K109" i="129"/>
  <c r="K105" i="129"/>
  <c r="K101" i="129"/>
  <c r="K97" i="129"/>
  <c r="K93" i="129"/>
  <c r="K89" i="129"/>
  <c r="K85" i="129"/>
  <c r="K81" i="129"/>
  <c r="K77" i="129"/>
  <c r="K73" i="129"/>
  <c r="K69" i="129"/>
  <c r="K65" i="129"/>
  <c r="K61" i="129"/>
  <c r="K57" i="129"/>
  <c r="K53" i="129"/>
  <c r="K49" i="129"/>
  <c r="K45" i="129"/>
  <c r="K41" i="129"/>
  <c r="K37" i="129"/>
  <c r="K33" i="129"/>
  <c r="K29" i="129"/>
  <c r="K25" i="129"/>
  <c r="K21" i="129"/>
  <c r="K17" i="129"/>
  <c r="K13" i="129"/>
  <c r="K9" i="129"/>
  <c r="K5" i="129"/>
  <c r="K197" i="129"/>
  <c r="K193" i="129"/>
  <c r="K189" i="129"/>
  <c r="K185" i="129"/>
  <c r="J181" i="129"/>
  <c r="J177" i="129"/>
  <c r="J173" i="129"/>
  <c r="J169" i="129"/>
  <c r="J165" i="129"/>
  <c r="J161" i="129"/>
  <c r="J157" i="129"/>
  <c r="J153" i="129"/>
  <c r="J149" i="129"/>
  <c r="J145" i="129"/>
  <c r="J141" i="129"/>
  <c r="J137" i="129"/>
  <c r="J133" i="129"/>
  <c r="J129" i="129"/>
  <c r="J125" i="129"/>
  <c r="J121" i="129"/>
  <c r="J117" i="129"/>
  <c r="J113" i="129"/>
  <c r="J109" i="129"/>
  <c r="J105" i="129"/>
  <c r="J101" i="129"/>
  <c r="J97" i="129"/>
  <c r="J93" i="129"/>
  <c r="J89" i="129"/>
  <c r="J85" i="129"/>
  <c r="J81" i="129"/>
  <c r="J77" i="129"/>
  <c r="J73" i="129"/>
  <c r="J69" i="129"/>
  <c r="J65" i="129"/>
  <c r="J61" i="129"/>
  <c r="J57" i="129"/>
  <c r="J53" i="129"/>
  <c r="J49" i="129"/>
  <c r="J45" i="129"/>
  <c r="J41" i="129"/>
  <c r="J37" i="129"/>
  <c r="J33" i="129"/>
  <c r="J29" i="129"/>
  <c r="J25" i="129"/>
  <c r="J21" i="129"/>
  <c r="J17" i="129"/>
  <c r="J13" i="129"/>
  <c r="J9" i="129"/>
  <c r="J5" i="129"/>
  <c r="J197" i="129"/>
  <c r="J193" i="129"/>
  <c r="J189" i="129"/>
  <c r="J185" i="129"/>
  <c r="K180" i="129"/>
  <c r="K176" i="129"/>
  <c r="K172" i="129"/>
  <c r="K168" i="129"/>
  <c r="K164" i="129"/>
  <c r="K160" i="129"/>
  <c r="K156" i="129"/>
  <c r="K152" i="129"/>
  <c r="K148" i="129"/>
  <c r="K144" i="129"/>
  <c r="K140" i="129"/>
  <c r="K136" i="129"/>
  <c r="K132" i="129"/>
  <c r="K128" i="129"/>
  <c r="K124" i="129"/>
  <c r="K120" i="129"/>
  <c r="K116" i="129"/>
  <c r="K112" i="129"/>
  <c r="K108" i="129"/>
  <c r="K104" i="129"/>
  <c r="K100" i="129"/>
  <c r="K96" i="129"/>
  <c r="K92" i="129"/>
  <c r="K88" i="129"/>
  <c r="K84" i="129"/>
  <c r="K80" i="129"/>
  <c r="K76" i="129"/>
  <c r="K72" i="129"/>
  <c r="K68" i="129"/>
  <c r="K64" i="129"/>
  <c r="K60" i="129"/>
  <c r="K56" i="129"/>
  <c r="K52" i="129"/>
  <c r="K48" i="129"/>
  <c r="K44" i="129"/>
  <c r="K40" i="129"/>
  <c r="K36" i="129"/>
  <c r="K32" i="129"/>
  <c r="K28" i="129"/>
  <c r="K24" i="129"/>
  <c r="K20" i="129"/>
  <c r="K16" i="129"/>
  <c r="K12" i="129"/>
  <c r="K8" i="129"/>
  <c r="K4" i="129"/>
  <c r="K196" i="129"/>
  <c r="K192" i="129"/>
  <c r="K188" i="129"/>
  <c r="K184" i="129"/>
  <c r="J180" i="129"/>
  <c r="J176" i="129"/>
  <c r="J172" i="129"/>
  <c r="J168" i="129"/>
  <c r="J164" i="129"/>
  <c r="J160" i="129"/>
  <c r="J156" i="129"/>
  <c r="J152" i="129"/>
  <c r="J148" i="129"/>
  <c r="J144" i="129"/>
  <c r="J140" i="129"/>
  <c r="J136" i="129"/>
  <c r="J132" i="129"/>
  <c r="J128" i="129"/>
  <c r="J124" i="129"/>
  <c r="J120" i="129"/>
  <c r="J116" i="129"/>
  <c r="J112" i="129"/>
  <c r="J108" i="129"/>
  <c r="J104" i="129"/>
  <c r="J100" i="129"/>
  <c r="J96" i="129"/>
  <c r="J92" i="129"/>
  <c r="J88" i="129"/>
  <c r="J84" i="129"/>
  <c r="J80" i="129"/>
  <c r="J76" i="129"/>
  <c r="J72" i="129"/>
  <c r="J68" i="129"/>
  <c r="J64" i="129"/>
  <c r="J60" i="129"/>
  <c r="J56" i="129"/>
  <c r="J52" i="129"/>
  <c r="J48" i="129"/>
  <c r="J44" i="129"/>
  <c r="J40" i="129"/>
  <c r="J36" i="129"/>
  <c r="J32" i="129"/>
  <c r="J28" i="129"/>
  <c r="J24" i="129"/>
  <c r="J20" i="129"/>
  <c r="J16" i="129"/>
  <c r="J12" i="129"/>
  <c r="J8" i="129"/>
  <c r="J4" i="129"/>
  <c r="K198" i="129"/>
  <c r="K190" i="129"/>
  <c r="K186" i="129"/>
  <c r="J182" i="129"/>
  <c r="J178" i="129"/>
  <c r="J174" i="129"/>
  <c r="J170" i="129"/>
  <c r="J166" i="129"/>
  <c r="J162" i="129"/>
  <c r="J158" i="129"/>
  <c r="J154" i="129"/>
  <c r="J150" i="129"/>
  <c r="J146" i="129"/>
  <c r="J142" i="129"/>
  <c r="J138" i="129"/>
  <c r="J134" i="129"/>
  <c r="J130" i="129"/>
  <c r="J126" i="129"/>
  <c r="J122" i="129"/>
  <c r="J118" i="129"/>
  <c r="J114" i="129"/>
  <c r="J110" i="129"/>
  <c r="J106" i="129"/>
  <c r="J102" i="129"/>
  <c r="J98" i="129"/>
  <c r="J94" i="129"/>
  <c r="J90" i="129"/>
  <c r="J86" i="129"/>
  <c r="J82" i="129"/>
  <c r="J78" i="129"/>
  <c r="J74" i="129"/>
  <c r="J70" i="129"/>
  <c r="J66" i="129"/>
  <c r="J62" i="129"/>
  <c r="J58" i="129"/>
  <c r="J54" i="129"/>
  <c r="J196" i="129"/>
  <c r="J192" i="129"/>
  <c r="J188" i="129"/>
  <c r="J184" i="129"/>
  <c r="K179" i="129"/>
  <c r="K175" i="129"/>
  <c r="K171" i="129"/>
  <c r="K167" i="129"/>
  <c r="K163" i="129"/>
  <c r="K159" i="129"/>
  <c r="K155" i="129"/>
  <c r="K151" i="129"/>
  <c r="K147" i="129"/>
  <c r="K143" i="129"/>
  <c r="K139" i="129"/>
  <c r="K135" i="129"/>
  <c r="K131" i="129"/>
  <c r="K127" i="129"/>
  <c r="K123" i="129"/>
  <c r="K119" i="129"/>
  <c r="K115" i="129"/>
  <c r="K111" i="129"/>
  <c r="K107" i="129"/>
  <c r="K103" i="129"/>
  <c r="K99" i="129"/>
  <c r="K95" i="129"/>
  <c r="K91" i="129"/>
  <c r="K87" i="129"/>
  <c r="K83" i="129"/>
  <c r="K79" i="129"/>
  <c r="K75" i="129"/>
  <c r="K71" i="129"/>
  <c r="K67" i="129"/>
  <c r="K63" i="129"/>
  <c r="K59" i="129"/>
  <c r="K55" i="129"/>
  <c r="K51" i="129"/>
  <c r="K47" i="129"/>
  <c r="K43" i="129"/>
  <c r="K39" i="129"/>
  <c r="K35" i="129"/>
  <c r="K31" i="129"/>
  <c r="K27" i="129"/>
  <c r="K23" i="129"/>
  <c r="K19" i="129"/>
  <c r="K15" i="129"/>
  <c r="K11" i="129"/>
  <c r="K7" i="129"/>
  <c r="K195" i="129"/>
  <c r="K191" i="129"/>
  <c r="K187" i="129"/>
  <c r="K183" i="129"/>
  <c r="J179" i="129"/>
  <c r="J175" i="129"/>
  <c r="J171" i="129"/>
  <c r="J167" i="129"/>
  <c r="J163" i="129"/>
  <c r="J159" i="129"/>
  <c r="J155" i="129"/>
  <c r="J151" i="129"/>
  <c r="J147" i="129"/>
  <c r="J143" i="129"/>
  <c r="J139" i="129"/>
  <c r="J135" i="129"/>
  <c r="J131" i="129"/>
  <c r="J127" i="129"/>
  <c r="J123" i="129"/>
  <c r="J119" i="129"/>
  <c r="J115" i="129"/>
  <c r="J111" i="129"/>
  <c r="J107" i="129"/>
  <c r="J103" i="129"/>
  <c r="J99" i="129"/>
  <c r="J95" i="129"/>
  <c r="J91" i="129"/>
  <c r="J87" i="129"/>
  <c r="J83" i="129"/>
  <c r="J79" i="129"/>
  <c r="J75" i="129"/>
  <c r="J71" i="129"/>
  <c r="J67" i="129"/>
  <c r="J63" i="129"/>
  <c r="J59" i="129"/>
  <c r="J55" i="129"/>
  <c r="J51" i="129"/>
  <c r="J47" i="129"/>
  <c r="J43" i="129"/>
  <c r="J39" i="129"/>
  <c r="J35" i="129"/>
  <c r="J31" i="129"/>
  <c r="J27" i="129"/>
  <c r="J23" i="129"/>
  <c r="J19" i="129"/>
  <c r="J15" i="129"/>
  <c r="J11" i="129"/>
  <c r="J7" i="129"/>
  <c r="J183" i="129"/>
  <c r="J195" i="129"/>
  <c r="J191" i="129"/>
  <c r="J187" i="129"/>
  <c r="K182" i="129"/>
  <c r="K178" i="129"/>
  <c r="K174" i="129"/>
  <c r="K170" i="129"/>
  <c r="K166" i="129"/>
  <c r="K162" i="129"/>
  <c r="K158" i="129"/>
  <c r="K154" i="129"/>
  <c r="K150" i="129"/>
  <c r="K146" i="129"/>
  <c r="K142" i="129"/>
  <c r="K138" i="129"/>
  <c r="K134" i="129"/>
  <c r="K130" i="129"/>
  <c r="K126" i="129"/>
  <c r="K122" i="129"/>
  <c r="K118" i="129"/>
  <c r="K114" i="129"/>
  <c r="K110" i="129"/>
  <c r="K106" i="129"/>
  <c r="K102" i="129"/>
  <c r="K98" i="129"/>
  <c r="K94" i="129"/>
  <c r="K90" i="129"/>
  <c r="K86" i="129"/>
  <c r="K82" i="129"/>
  <c r="K78" i="129"/>
  <c r="K74" i="129"/>
  <c r="K70" i="129"/>
  <c r="K66" i="129"/>
  <c r="K62" i="129"/>
  <c r="K58" i="129"/>
  <c r="K54" i="129"/>
  <c r="K50" i="129"/>
  <c r="K46" i="129"/>
  <c r="K42" i="129"/>
  <c r="K38" i="129"/>
  <c r="K34" i="129"/>
  <c r="K30" i="129"/>
  <c r="K26" i="129"/>
  <c r="K22" i="129"/>
  <c r="K18" i="129"/>
  <c r="K14" i="129"/>
  <c r="K10" i="129"/>
  <c r="K6" i="129"/>
  <c r="J46" i="129"/>
  <c r="J14" i="129"/>
  <c r="J42" i="129"/>
  <c r="J10" i="129"/>
  <c r="J38" i="129"/>
  <c r="J6" i="129"/>
  <c r="J34" i="129"/>
  <c r="J30" i="129"/>
  <c r="J26" i="129"/>
  <c r="K194" i="129"/>
  <c r="J22" i="129"/>
  <c r="J50" i="129"/>
  <c r="J18" i="129"/>
  <c r="H3" i="129"/>
  <c r="Q111" i="105"/>
  <c r="AE93" i="131" l="1" a="1"/>
  <c r="AE93" i="131" s="1"/>
  <c r="AE83" i="131" a="1"/>
  <c r="AE83" i="131" s="1"/>
  <c r="M83" i="131" a="1"/>
  <c r="M93" i="131" a="1"/>
  <c r="M93" i="131" s="1"/>
  <c r="B99" i="131"/>
  <c r="A3" i="15"/>
  <c r="B11" i="15" a="1"/>
  <c r="B11" i="15" s="1"/>
  <c r="B12" i="15" a="1"/>
  <c r="B12" i="15" s="1"/>
  <c r="B13" i="15" a="1"/>
  <c r="B13" i="15" s="1"/>
  <c r="B27" i="15" a="1"/>
  <c r="B27" i="15" s="1"/>
  <c r="B41" i="15" a="1"/>
  <c r="B41" i="15" s="1"/>
  <c r="B40" i="15" a="1"/>
  <c r="B40" i="15" s="1"/>
  <c r="B34" i="15" a="1"/>
  <c r="B34" i="15" s="1"/>
  <c r="B18" i="15" a="1"/>
  <c r="B18" i="15" s="1"/>
  <c r="B17" i="15" a="1"/>
  <c r="B17" i="15" s="1"/>
  <c r="B19" i="15" a="1"/>
  <c r="B19" i="15" s="1"/>
  <c r="B26" i="15" a="1"/>
  <c r="B26" i="15" s="1"/>
  <c r="B33" i="15" a="1"/>
  <c r="B33" i="15" s="1"/>
  <c r="B48" i="15" a="1"/>
  <c r="B48" i="15" s="1"/>
  <c r="B29" i="15" a="1"/>
  <c r="B29" i="15" s="1"/>
  <c r="B55" i="15" a="1"/>
  <c r="B55" i="15" s="1"/>
  <c r="B30" i="15" a="1"/>
  <c r="B30" i="15" s="1"/>
  <c r="B25" i="15" a="1"/>
  <c r="B25" i="15" s="1"/>
  <c r="B32" i="15" a="1"/>
  <c r="B32" i="15" s="1"/>
  <c r="B46" i="15" a="1"/>
  <c r="B46" i="15" s="1"/>
  <c r="B56" i="15" a="1"/>
  <c r="B56" i="15" s="1"/>
  <c r="B8" i="15" a="1"/>
  <c r="B8" i="15" s="1"/>
  <c r="B47" i="15" a="1"/>
  <c r="B47" i="15" s="1"/>
  <c r="B6" i="15" a="1"/>
  <c r="B6" i="15" s="1"/>
  <c r="B16" i="15" a="1"/>
  <c r="B16" i="15" s="1"/>
  <c r="B36" i="15" a="1"/>
  <c r="B36" i="15" s="1"/>
  <c r="B38" i="15" a="1"/>
  <c r="B38" i="15" s="1"/>
  <c r="B39" i="15" a="1"/>
  <c r="B39" i="15" s="1"/>
  <c r="B54" i="15" a="1"/>
  <c r="B54" i="15" s="1"/>
  <c r="B21" i="15" a="1"/>
  <c r="B21" i="15" s="1"/>
  <c r="B24" i="15" a="1"/>
  <c r="B24" i="15" s="1"/>
  <c r="B51" i="15" a="1"/>
  <c r="B51" i="15" s="1"/>
  <c r="B43" i="15" a="1"/>
  <c r="B43" i="15" s="1"/>
  <c r="B44" i="15" a="1"/>
  <c r="B44" i="15" s="1"/>
  <c r="B45" i="15" a="1"/>
  <c r="B45" i="15" s="1"/>
  <c r="B9" i="15" a="1"/>
  <c r="B9" i="15" s="1"/>
  <c r="B37" i="15" a="1"/>
  <c r="B37" i="15" s="1"/>
  <c r="B42" i="15" a="1"/>
  <c r="B42" i="15" s="1"/>
  <c r="B15" i="15" a="1"/>
  <c r="B15" i="15" s="1"/>
  <c r="B20" i="15" a="1"/>
  <c r="B20" i="15" s="1"/>
  <c r="B50" i="15" a="1"/>
  <c r="B50" i="15" s="1"/>
  <c r="B52" i="15" a="1"/>
  <c r="B52" i="15" s="1"/>
  <c r="B53" i="15" a="1"/>
  <c r="B53" i="15" s="1"/>
  <c r="B22" i="15" a="1"/>
  <c r="B22" i="15" s="1"/>
  <c r="B57" i="15" a="1"/>
  <c r="B57" i="15" s="1"/>
  <c r="B31" i="15" a="1"/>
  <c r="B31" i="15" s="1"/>
  <c r="B4" i="15" a="1"/>
  <c r="B4" i="15" s="1"/>
  <c r="B7" i="15" a="1"/>
  <c r="B7" i="15" s="1"/>
  <c r="B35" i="15" a="1"/>
  <c r="B35" i="15" s="1"/>
  <c r="B58" i="15" a="1"/>
  <c r="B58" i="15" s="1"/>
  <c r="B14" i="15" a="1"/>
  <c r="B14" i="15" s="1"/>
  <c r="B28" i="15" a="1"/>
  <c r="B28" i="15" s="1"/>
  <c r="B5" i="15" a="1"/>
  <c r="B5" i="15" s="1"/>
  <c r="B10" i="15" a="1"/>
  <c r="B10" i="15" s="1"/>
  <c r="B49" i="15" a="1"/>
  <c r="B49" i="15" s="1"/>
  <c r="B23" i="15" a="1"/>
  <c r="B23" i="15" s="1"/>
  <c r="C115" i="131"/>
  <c r="B81" i="131"/>
  <c r="B80" i="131"/>
  <c r="B70" i="131"/>
  <c r="E14" i="131" a="1"/>
  <c r="M53" i="131" a="1"/>
  <c r="M63" i="131" a="1"/>
  <c r="AE73" i="131" a="1"/>
  <c r="AE73" i="131" s="1"/>
  <c r="E26" i="131" a="1"/>
  <c r="E38" i="131" a="1"/>
  <c r="AL215" i="131" s="1" a="1"/>
  <c r="AL215" i="131" s="1"/>
  <c r="AE63" i="131" a="1"/>
  <c r="AE63" i="131" s="1"/>
  <c r="AE53" i="131" a="1"/>
  <c r="AE53" i="131" s="1"/>
  <c r="M73" i="131" a="1"/>
  <c r="B71" i="131"/>
  <c r="B36" i="131" s="1"/>
  <c r="D119" i="131"/>
  <c r="D113" i="131"/>
  <c r="D115" i="131"/>
  <c r="G112" i="131" s="1"/>
  <c r="K112" i="131" s="1"/>
  <c r="D114" i="131"/>
  <c r="B122" i="131"/>
  <c r="C120" i="131"/>
  <c r="D120" i="131" s="1"/>
  <c r="B90" i="131"/>
  <c r="D121" i="131"/>
  <c r="B91" i="131"/>
  <c r="P95" i="131" l="1"/>
  <c r="R94" i="131"/>
  <c r="R95" i="131"/>
  <c r="Q95" i="131"/>
  <c r="S94" i="131"/>
  <c r="S95" i="131"/>
  <c r="N94" i="131"/>
  <c r="O94" i="131"/>
  <c r="N95" i="131"/>
  <c r="P94" i="131"/>
  <c r="O95" i="131"/>
  <c r="Q94" i="131"/>
  <c r="M83" i="131"/>
  <c r="B3" i="15" a="1"/>
  <c r="B3" i="15" s="1"/>
  <c r="C36" i="131"/>
  <c r="C51" i="131"/>
  <c r="N85" i="131"/>
  <c r="Q85" i="131"/>
  <c r="O86" i="131"/>
  <c r="Q86" i="131"/>
  <c r="S85" i="131"/>
  <c r="N86" i="131"/>
  <c r="O84" i="131"/>
  <c r="R86" i="131"/>
  <c r="O87" i="131"/>
  <c r="P84" i="131"/>
  <c r="P87" i="131"/>
  <c r="R87" i="131"/>
  <c r="S87" i="131"/>
  <c r="Q84" i="131"/>
  <c r="Q87" i="131"/>
  <c r="R84" i="131"/>
  <c r="O85" i="131"/>
  <c r="R85" i="131"/>
  <c r="P86" i="131"/>
  <c r="S84" i="131"/>
  <c r="N87" i="131"/>
  <c r="N84" i="131"/>
  <c r="P85" i="131"/>
  <c r="S86" i="131"/>
  <c r="Q76" i="131"/>
  <c r="N77" i="131"/>
  <c r="S76" i="131"/>
  <c r="R74" i="131"/>
  <c r="S77" i="131"/>
  <c r="P77" i="131"/>
  <c r="Q77" i="131"/>
  <c r="N76" i="131"/>
  <c r="O75" i="131"/>
  <c r="O76" i="131"/>
  <c r="M73" i="131"/>
  <c r="R75" i="131"/>
  <c r="R76" i="131"/>
  <c r="O74" i="131"/>
  <c r="R77" i="131"/>
  <c r="P74" i="131"/>
  <c r="S75" i="131"/>
  <c r="P76" i="131"/>
  <c r="N75" i="131"/>
  <c r="O77" i="131"/>
  <c r="N74" i="131"/>
  <c r="Q75" i="131"/>
  <c r="Q74" i="131"/>
  <c r="S74" i="131"/>
  <c r="P75" i="131"/>
  <c r="O64" i="131"/>
  <c r="Q67" i="131"/>
  <c r="O67" i="131"/>
  <c r="P64" i="131"/>
  <c r="P66" i="131"/>
  <c r="R67" i="131"/>
  <c r="Q65" i="131"/>
  <c r="R66" i="131"/>
  <c r="O66" i="131"/>
  <c r="P67" i="131"/>
  <c r="M63" i="131"/>
  <c r="R65" i="131"/>
  <c r="P65" i="131"/>
  <c r="N64" i="131"/>
  <c r="S66" i="131"/>
  <c r="Q66" i="131"/>
  <c r="S64" i="131"/>
  <c r="S65" i="131"/>
  <c r="N65" i="131"/>
  <c r="S67" i="131"/>
  <c r="N66" i="131"/>
  <c r="Q64" i="131"/>
  <c r="R64" i="131"/>
  <c r="O65" i="131"/>
  <c r="N67" i="131"/>
  <c r="Q55" i="131"/>
  <c r="P54" i="131"/>
  <c r="R57" i="131"/>
  <c r="O56" i="131"/>
  <c r="Q56" i="131"/>
  <c r="N55" i="131"/>
  <c r="S55" i="131"/>
  <c r="O57" i="131"/>
  <c r="N57" i="131"/>
  <c r="Q54" i="131"/>
  <c r="O54" i="131"/>
  <c r="S54" i="131"/>
  <c r="N56" i="131"/>
  <c r="S56" i="131"/>
  <c r="P57" i="131"/>
  <c r="R55" i="131"/>
  <c r="Q57" i="131"/>
  <c r="P56" i="131"/>
  <c r="O55" i="131"/>
  <c r="M53" i="131"/>
  <c r="S57" i="131"/>
  <c r="N54" i="131"/>
  <c r="R54" i="131"/>
  <c r="R56" i="131"/>
  <c r="P55" i="131"/>
  <c r="E14" i="131"/>
  <c r="M20" i="131"/>
  <c r="M15" i="131"/>
  <c r="J16" i="131"/>
  <c r="K16" i="131"/>
  <c r="P15" i="131"/>
  <c r="H19" i="131"/>
  <c r="Q15" i="131"/>
  <c r="I17" i="131"/>
  <c r="J17" i="131"/>
  <c r="K19" i="131"/>
  <c r="P20" i="131"/>
  <c r="H15" i="131"/>
  <c r="N16" i="131"/>
  <c r="O16" i="131"/>
  <c r="O18" i="131"/>
  <c r="L18" i="131"/>
  <c r="M16" i="131"/>
  <c r="Q17" i="131"/>
  <c r="N18" i="131"/>
  <c r="O20" i="131"/>
  <c r="O15" i="131"/>
  <c r="L16" i="131"/>
  <c r="P19" i="131"/>
  <c r="I15" i="131"/>
  <c r="P16" i="131"/>
  <c r="H20" i="131"/>
  <c r="Q20" i="131"/>
  <c r="O17" i="131"/>
  <c r="M18" i="131"/>
  <c r="J19" i="131"/>
  <c r="N15" i="131"/>
  <c r="M17" i="131"/>
  <c r="N17" i="131"/>
  <c r="H17" i="131"/>
  <c r="K18" i="131"/>
  <c r="I19" i="131"/>
  <c r="N20" i="131"/>
  <c r="L17" i="131"/>
  <c r="I18" i="131"/>
  <c r="J18" i="131"/>
  <c r="L20" i="131"/>
  <c r="O19" i="131"/>
  <c r="Q19" i="131"/>
  <c r="I16" i="131"/>
  <c r="H18" i="131"/>
  <c r="Q18" i="131"/>
  <c r="N19" i="131"/>
  <c r="P17" i="131"/>
  <c r="K20" i="131"/>
  <c r="L15" i="131"/>
  <c r="Q16" i="131"/>
  <c r="P18" i="131"/>
  <c r="M19" i="131"/>
  <c r="J20" i="131"/>
  <c r="K15" i="131"/>
  <c r="H16" i="131"/>
  <c r="K17" i="131"/>
  <c r="L19" i="131"/>
  <c r="I20" i="131"/>
  <c r="J15" i="131"/>
  <c r="AL201" i="131" a="1"/>
  <c r="AL201" i="131" s="1"/>
  <c r="AL204" i="131" a="1"/>
  <c r="AL204" i="131" s="1"/>
  <c r="AL161" i="131" a="1"/>
  <c r="AL161" i="131" s="1"/>
  <c r="AL163" i="131" a="1"/>
  <c r="AL163" i="131" s="1"/>
  <c r="AL170" i="131" a="1"/>
  <c r="AL170" i="131" s="1"/>
  <c r="AL187" i="131" a="1"/>
  <c r="AL187" i="131" s="1"/>
  <c r="AL162" i="131" a="1"/>
  <c r="AL162" i="131" s="1"/>
  <c r="AL164" i="131" a="1"/>
  <c r="AL164" i="131" s="1"/>
  <c r="AL175" i="131" a="1"/>
  <c r="AL175" i="131" s="1"/>
  <c r="AL209" i="131" a="1"/>
  <c r="AL209" i="131" s="1"/>
  <c r="AL177" i="131" a="1"/>
  <c r="AL177" i="131" s="1"/>
  <c r="L40" i="131"/>
  <c r="N40" i="131"/>
  <c r="K41" i="131"/>
  <c r="H42" i="131"/>
  <c r="M41" i="131"/>
  <c r="N41" i="131"/>
  <c r="O43" i="131"/>
  <c r="I39" i="131"/>
  <c r="AL192" i="131" a="1"/>
  <c r="AL192" i="131" s="1"/>
  <c r="AL178" i="131" a="1"/>
  <c r="AL178" i="131" s="1"/>
  <c r="AL212" i="131" a="1"/>
  <c r="AL212" i="131" s="1"/>
  <c r="AL184" i="131" a="1"/>
  <c r="AL184" i="131" s="1"/>
  <c r="AL183" i="131" a="1"/>
  <c r="AL183" i="131" s="1"/>
  <c r="AL172" i="131" a="1"/>
  <c r="AL172" i="131" s="1"/>
  <c r="AL166" i="131" a="1"/>
  <c r="AL166" i="131" s="1"/>
  <c r="AL190" i="131" a="1"/>
  <c r="AL190" i="131" s="1"/>
  <c r="AL186" i="131" a="1"/>
  <c r="AL186" i="131" s="1"/>
  <c r="AL168" i="131" a="1"/>
  <c r="AL168" i="131" s="1"/>
  <c r="P41" i="131"/>
  <c r="N42" i="131"/>
  <c r="K43" i="131"/>
  <c r="L43" i="131"/>
  <c r="Q42" i="131"/>
  <c r="N43" i="131"/>
  <c r="M40" i="131"/>
  <c r="AL160" i="131" a="1"/>
  <c r="AL160" i="131" s="1"/>
  <c r="AL195" i="131" a="1"/>
  <c r="AL195" i="131" s="1"/>
  <c r="AL193" i="131" a="1"/>
  <c r="AL193" i="131" s="1"/>
  <c r="AL171" i="131" a="1"/>
  <c r="AL171" i="131" s="1"/>
  <c r="L42" i="131"/>
  <c r="J43" i="131"/>
  <c r="O44" i="131"/>
  <c r="H44" i="131"/>
  <c r="M43" i="131"/>
  <c r="J44" i="131"/>
  <c r="I41" i="131"/>
  <c r="Q39" i="131"/>
  <c r="AL176" i="131" a="1"/>
  <c r="AL176" i="131" s="1"/>
  <c r="AL181" i="131" a="1"/>
  <c r="AL181" i="131" s="1"/>
  <c r="AL213" i="131" a="1"/>
  <c r="AL213" i="131" s="1"/>
  <c r="AL207" i="131" a="1"/>
  <c r="AL207" i="131" s="1"/>
  <c r="P43" i="131"/>
  <c r="E38" i="131"/>
  <c r="AK215" i="131" s="1" a="1"/>
  <c r="AK215" i="131" s="1"/>
  <c r="H40" i="131"/>
  <c r="M39" i="131"/>
  <c r="Q44" i="131"/>
  <c r="K40" i="131"/>
  <c r="M42" i="131"/>
  <c r="AL179" i="131" a="1"/>
  <c r="AL179" i="131" s="1"/>
  <c r="AL180" i="131" a="1"/>
  <c r="AL180" i="131" s="1"/>
  <c r="AL189" i="131" a="1"/>
  <c r="AL189" i="131" s="1"/>
  <c r="AL203" i="131" a="1"/>
  <c r="AL203" i="131" s="1"/>
  <c r="AL197" i="131" a="1"/>
  <c r="AL197" i="131" s="1"/>
  <c r="H39" i="131"/>
  <c r="L44" i="131"/>
  <c r="K39" i="131"/>
  <c r="P40" i="131"/>
  <c r="I40" i="131"/>
  <c r="N39" i="131"/>
  <c r="O41" i="131"/>
  <c r="I43" i="131"/>
  <c r="AL167" i="131" a="1"/>
  <c r="AL167" i="131" s="1"/>
  <c r="AL202" i="131" a="1"/>
  <c r="AL202" i="131" s="1"/>
  <c r="AL200" i="131" a="1"/>
  <c r="AL200" i="131" s="1"/>
  <c r="AL199" i="131" a="1"/>
  <c r="AL199" i="131" s="1"/>
  <c r="AL211" i="131" a="1"/>
  <c r="AL211" i="131" s="1"/>
  <c r="H41" i="131"/>
  <c r="J41" i="131"/>
  <c r="O42" i="131"/>
  <c r="P42" i="131"/>
  <c r="I42" i="131"/>
  <c r="J42" i="131"/>
  <c r="K44" i="131"/>
  <c r="M44" i="131"/>
  <c r="AL173" i="131" a="1"/>
  <c r="AL173" i="131" s="1"/>
  <c r="AL188" i="131" a="1"/>
  <c r="AL188" i="131" s="1"/>
  <c r="AL194" i="131" a="1"/>
  <c r="AL194" i="131" s="1"/>
  <c r="AL174" i="131" a="1"/>
  <c r="AL174" i="131" s="1"/>
  <c r="AL191" i="131" a="1"/>
  <c r="AL191" i="131" s="1"/>
  <c r="P39" i="131"/>
  <c r="J39" i="131"/>
  <c r="O40" i="131"/>
  <c r="L41" i="131"/>
  <c r="Q40" i="131"/>
  <c r="J40" i="131"/>
  <c r="K42" i="131"/>
  <c r="Q43" i="131"/>
  <c r="AL169" i="131" a="1"/>
  <c r="AL169" i="131" s="1"/>
  <c r="AL182" i="131" a="1"/>
  <c r="AL182" i="131" s="1"/>
  <c r="AL206" i="131" a="1"/>
  <c r="AL206" i="131" s="1"/>
  <c r="AL185" i="131" a="1"/>
  <c r="AL185" i="131" s="1"/>
  <c r="AL208" i="131" a="1"/>
  <c r="AL208" i="131" s="1"/>
  <c r="AL198" i="131" a="1"/>
  <c r="AL198" i="131" s="1"/>
  <c r="AL196" i="131" a="1"/>
  <c r="AL196" i="131" s="1"/>
  <c r="O39" i="131"/>
  <c r="P44" i="131"/>
  <c r="Q41" i="131"/>
  <c r="AL165" i="131" a="1"/>
  <c r="AL165" i="131" s="1"/>
  <c r="H43" i="131"/>
  <c r="AL210" i="131" a="1"/>
  <c r="AL210" i="131" s="1"/>
  <c r="N44" i="131"/>
  <c r="AL205" i="131" a="1"/>
  <c r="AL205" i="131" s="1"/>
  <c r="I44" i="131"/>
  <c r="L39" i="131"/>
  <c r="AL214" i="131" a="1"/>
  <c r="AL214" i="131" s="1"/>
  <c r="H111" i="131"/>
  <c r="L111" i="131" s="1"/>
  <c r="P29" i="131"/>
  <c r="H29" i="131"/>
  <c r="J27" i="131"/>
  <c r="E26" i="131"/>
  <c r="L27" i="131"/>
  <c r="H28" i="131"/>
  <c r="I28" i="131"/>
  <c r="M29" i="131"/>
  <c r="K30" i="131"/>
  <c r="K27" i="131"/>
  <c r="J29" i="131"/>
  <c r="N30" i="131"/>
  <c r="J31" i="131"/>
  <c r="P32" i="131"/>
  <c r="I32" i="131"/>
  <c r="N31" i="131"/>
  <c r="I27" i="131"/>
  <c r="N28" i="131"/>
  <c r="M30" i="131"/>
  <c r="I31" i="131"/>
  <c r="O32" i="131"/>
  <c r="H27" i="131"/>
  <c r="Q32" i="131"/>
  <c r="J32" i="131"/>
  <c r="O28" i="131"/>
  <c r="K29" i="131"/>
  <c r="O30" i="131"/>
  <c r="H32" i="131"/>
  <c r="L31" i="131"/>
  <c r="Q27" i="131"/>
  <c r="I29" i="131"/>
  <c r="H31" i="131"/>
  <c r="Q31" i="131"/>
  <c r="O27" i="131"/>
  <c r="P27" i="131"/>
  <c r="L28" i="131"/>
  <c r="Q29" i="131"/>
  <c r="P31" i="131"/>
  <c r="N32" i="131"/>
  <c r="J28" i="131"/>
  <c r="K28" i="131"/>
  <c r="O29" i="131"/>
  <c r="L30" i="131"/>
  <c r="M32" i="131"/>
  <c r="N27" i="131"/>
  <c r="H30" i="131"/>
  <c r="N29" i="131"/>
  <c r="K32" i="131"/>
  <c r="J30" i="131"/>
  <c r="O31" i="131"/>
  <c r="M27" i="131"/>
  <c r="Q28" i="131"/>
  <c r="P30" i="131"/>
  <c r="I30" i="131"/>
  <c r="M28" i="131"/>
  <c r="M31" i="131"/>
  <c r="L32" i="131"/>
  <c r="P28" i="131"/>
  <c r="L29" i="131"/>
  <c r="K31" i="131"/>
  <c r="Q30" i="131"/>
  <c r="H113" i="131"/>
  <c r="L113" i="131" s="1"/>
  <c r="G113" i="131"/>
  <c r="K113" i="131" s="1"/>
  <c r="H114" i="131"/>
  <c r="L114" i="131" s="1"/>
  <c r="G114" i="131"/>
  <c r="K114" i="131" s="1"/>
  <c r="G111" i="131"/>
  <c r="H112" i="131"/>
  <c r="L112" i="131" s="1"/>
  <c r="C122" i="131"/>
  <c r="C52" i="131"/>
  <c r="D122" i="131"/>
  <c r="K3" i="129"/>
  <c r="J3" i="129"/>
  <c r="N3" i="129" s="1" a="1"/>
  <c r="N3" i="129" s="1"/>
  <c r="H180" i="1"/>
  <c r="H179" i="1"/>
  <c r="H178" i="1"/>
  <c r="H177" i="1"/>
  <c r="G177" i="1" s="1"/>
  <c r="H176" i="1"/>
  <c r="H175" i="1"/>
  <c r="H174" i="1"/>
  <c r="H173" i="1"/>
  <c r="H172" i="1"/>
  <c r="G172" i="1" s="1"/>
  <c r="H171" i="1"/>
  <c r="H170" i="1"/>
  <c r="H169" i="1"/>
  <c r="H168" i="1"/>
  <c r="H167" i="1"/>
  <c r="G167" i="1" s="1"/>
  <c r="H166" i="1"/>
  <c r="G166" i="1" s="1"/>
  <c r="H165" i="1"/>
  <c r="H164" i="1"/>
  <c r="H163" i="1"/>
  <c r="H162" i="1"/>
  <c r="H161" i="1"/>
  <c r="H160" i="1"/>
  <c r="G160" i="1" s="1"/>
  <c r="H159" i="1"/>
  <c r="G159" i="1" s="1"/>
  <c r="H158" i="1"/>
  <c r="H157" i="1"/>
  <c r="G157" i="1" s="1"/>
  <c r="H156" i="1"/>
  <c r="H155" i="1"/>
  <c r="H154" i="1"/>
  <c r="H153" i="1"/>
  <c r="H152" i="1"/>
  <c r="H151" i="1"/>
  <c r="H150" i="1"/>
  <c r="H149" i="1"/>
  <c r="G149" i="1" s="1"/>
  <c r="H148" i="1"/>
  <c r="G148" i="1" s="1"/>
  <c r="H147" i="1"/>
  <c r="G147" i="1" s="1"/>
  <c r="H146" i="1"/>
  <c r="H145" i="1"/>
  <c r="H144" i="1"/>
  <c r="H143" i="1"/>
  <c r="H142" i="1"/>
  <c r="G142" i="1" s="1"/>
  <c r="H141" i="1"/>
  <c r="G141" i="1" s="1"/>
  <c r="H140" i="1"/>
  <c r="H139" i="1"/>
  <c r="H138" i="1"/>
  <c r="G138" i="1" s="1"/>
  <c r="H137" i="1"/>
  <c r="H136" i="1"/>
  <c r="G136" i="1" s="1"/>
  <c r="H135" i="1"/>
  <c r="H134" i="1"/>
  <c r="H133" i="1"/>
  <c r="H132" i="1"/>
  <c r="G132" i="1" s="1"/>
  <c r="H131" i="1"/>
  <c r="H130" i="1"/>
  <c r="H129" i="1"/>
  <c r="G129" i="1" s="1"/>
  <c r="H128" i="1"/>
  <c r="H127" i="1"/>
  <c r="H126" i="1"/>
  <c r="G126" i="1" s="1"/>
  <c r="H125" i="1"/>
  <c r="G125" i="1" s="1"/>
  <c r="H124" i="1"/>
  <c r="H123" i="1"/>
  <c r="H122" i="1"/>
  <c r="H121" i="1"/>
  <c r="G121" i="1" s="1"/>
  <c r="H120" i="1"/>
  <c r="G120" i="1" s="1"/>
  <c r="H119" i="1"/>
  <c r="H118" i="1"/>
  <c r="G118" i="1" s="1"/>
  <c r="H117" i="1"/>
  <c r="H116" i="1"/>
  <c r="H115" i="1"/>
  <c r="H114" i="1"/>
  <c r="G114" i="1" s="1"/>
  <c r="H113" i="1"/>
  <c r="G113" i="1" s="1"/>
  <c r="H112" i="1"/>
  <c r="G112" i="1" s="1"/>
  <c r="H111" i="1"/>
  <c r="G111" i="1" s="1"/>
  <c r="H110" i="1"/>
  <c r="H109" i="1"/>
  <c r="H108" i="1"/>
  <c r="G108" i="1" s="1"/>
  <c r="H107" i="1"/>
  <c r="G107" i="1" s="1"/>
  <c r="H106" i="1"/>
  <c r="G106" i="1" s="1"/>
  <c r="H105" i="1"/>
  <c r="H104" i="1"/>
  <c r="G104" i="1" s="1"/>
  <c r="H103" i="1"/>
  <c r="G103" i="1" s="1"/>
  <c r="H102" i="1"/>
  <c r="G102" i="1" s="1"/>
  <c r="H101" i="1"/>
  <c r="G101" i="1" s="1"/>
  <c r="H100" i="1"/>
  <c r="G100" i="1" s="1"/>
  <c r="H99" i="1"/>
  <c r="G99" i="1" s="1"/>
  <c r="H98" i="1"/>
  <c r="G98" i="1" s="1"/>
  <c r="H97" i="1"/>
  <c r="H96" i="1"/>
  <c r="G96" i="1" s="1"/>
  <c r="H95" i="1"/>
  <c r="H94" i="1"/>
  <c r="H93" i="1"/>
  <c r="G93" i="1" s="1"/>
  <c r="H92" i="1"/>
  <c r="G92" i="1" s="1"/>
  <c r="H91" i="1"/>
  <c r="H90" i="1"/>
  <c r="H89" i="1"/>
  <c r="H88" i="1"/>
  <c r="H87" i="1"/>
  <c r="H86" i="1"/>
  <c r="G86" i="1" s="1"/>
  <c r="H85" i="1"/>
  <c r="H84" i="1"/>
  <c r="H83" i="1"/>
  <c r="H82" i="1"/>
  <c r="H81" i="1"/>
  <c r="G81" i="1" s="1"/>
  <c r="H80" i="1"/>
  <c r="H79" i="1"/>
  <c r="H78" i="1"/>
  <c r="H77" i="1"/>
  <c r="H76" i="1"/>
  <c r="G76" i="1" s="1"/>
  <c r="H75" i="1"/>
  <c r="G75" i="1" s="1"/>
  <c r="H74" i="1"/>
  <c r="G74" i="1" s="1"/>
  <c r="H73" i="1"/>
  <c r="G73" i="1" s="1"/>
  <c r="H72" i="1"/>
  <c r="G72" i="1" s="1"/>
  <c r="H71" i="1"/>
  <c r="H70" i="1"/>
  <c r="G70" i="1" s="1"/>
  <c r="H69" i="1"/>
  <c r="H68" i="1"/>
  <c r="H67" i="1"/>
  <c r="H66" i="1"/>
  <c r="H65" i="1"/>
  <c r="H64" i="1"/>
  <c r="H63" i="1"/>
  <c r="G63" i="1" s="1"/>
  <c r="H62" i="1"/>
  <c r="G62" i="1" s="1"/>
  <c r="H61" i="1"/>
  <c r="H60" i="1"/>
  <c r="G60" i="1" s="1"/>
  <c r="H59" i="1"/>
  <c r="H58" i="1"/>
  <c r="H57" i="1"/>
  <c r="H56" i="1"/>
  <c r="H55" i="1"/>
  <c r="G55" i="1" s="1"/>
  <c r="H54" i="1"/>
  <c r="H53" i="1"/>
  <c r="H52" i="1"/>
  <c r="H51" i="1"/>
  <c r="H50" i="1"/>
  <c r="H49" i="1"/>
  <c r="G49" i="1" s="1"/>
  <c r="H48" i="1"/>
  <c r="H47" i="1"/>
  <c r="G47" i="1" s="1"/>
  <c r="H46" i="1"/>
  <c r="H45" i="1"/>
  <c r="H44" i="1"/>
  <c r="G44" i="1" s="1"/>
  <c r="H43" i="1"/>
  <c r="G43" i="1" s="1"/>
  <c r="H42" i="1"/>
  <c r="G42" i="1" s="1"/>
  <c r="H41" i="1"/>
  <c r="G41" i="1" s="1"/>
  <c r="H40" i="1"/>
  <c r="G40" i="1" s="1"/>
  <c r="H39" i="1"/>
  <c r="G39" i="1" s="1"/>
  <c r="H38" i="1"/>
  <c r="G38" i="1" s="1"/>
  <c r="H37" i="1"/>
  <c r="G37" i="1" s="1"/>
  <c r="H36" i="1"/>
  <c r="G36" i="1" s="1"/>
  <c r="H35" i="1"/>
  <c r="H34" i="1"/>
  <c r="G34" i="1" s="1"/>
  <c r="H33" i="1"/>
  <c r="H32" i="1"/>
  <c r="H31" i="1"/>
  <c r="H30" i="1"/>
  <c r="H29" i="1"/>
  <c r="G29" i="1" s="1"/>
  <c r="H28" i="1"/>
  <c r="H27" i="1"/>
  <c r="G27" i="1" s="1"/>
  <c r="H26" i="1"/>
  <c r="H25" i="1"/>
  <c r="H24" i="1"/>
  <c r="H23" i="1"/>
  <c r="H22" i="1"/>
  <c r="G22" i="1" s="1"/>
  <c r="H21" i="1"/>
  <c r="H20" i="1"/>
  <c r="H19" i="1"/>
  <c r="H18" i="1"/>
  <c r="H17" i="1"/>
  <c r="H16" i="1"/>
  <c r="G16" i="1" s="1"/>
  <c r="H15" i="1"/>
  <c r="G15" i="1" s="1"/>
  <c r="H14" i="1"/>
  <c r="G14" i="1" s="1"/>
  <c r="H13" i="1"/>
  <c r="H12" i="1"/>
  <c r="G12" i="1" s="1"/>
  <c r="H11" i="1"/>
  <c r="G11" i="1" s="1"/>
  <c r="H10" i="1"/>
  <c r="H9" i="1"/>
  <c r="H8" i="1"/>
  <c r="G8" i="1" s="1"/>
  <c r="H7" i="1"/>
  <c r="H6" i="1"/>
  <c r="G6" i="1" s="1"/>
  <c r="H5" i="1"/>
  <c r="H4" i="1"/>
  <c r="H3" i="1"/>
  <c r="H2" i="1"/>
  <c r="G2" i="1" s="1"/>
  <c r="M94" i="131" l="1"/>
  <c r="AG94" i="131" s="1"/>
  <c r="M95" i="131"/>
  <c r="AG95" i="131" s="1"/>
  <c r="O96" i="131"/>
  <c r="P96" i="131"/>
  <c r="S96" i="131"/>
  <c r="Q96" i="131"/>
  <c r="N96" i="131"/>
  <c r="R96" i="131"/>
  <c r="AL219" i="131"/>
  <c r="AL218" i="131"/>
  <c r="AL217" i="131"/>
  <c r="G64" i="1"/>
  <c r="T43" i="131"/>
  <c r="R88" i="131"/>
  <c r="T44" i="131"/>
  <c r="Q68" i="131"/>
  <c r="N68" i="131"/>
  <c r="Q78" i="131"/>
  <c r="O88" i="131"/>
  <c r="T39" i="131"/>
  <c r="M56" i="131"/>
  <c r="AK56" i="131" s="1"/>
  <c r="M54" i="131"/>
  <c r="AF54" i="131" s="1"/>
  <c r="M57" i="131"/>
  <c r="AH57" i="131" s="1"/>
  <c r="M55" i="131"/>
  <c r="AF55" i="131" s="1"/>
  <c r="S58" i="131"/>
  <c r="O78" i="131"/>
  <c r="N88" i="131"/>
  <c r="Q88" i="131"/>
  <c r="N58" i="131"/>
  <c r="H120" i="131"/>
  <c r="L120" i="131" s="1"/>
  <c r="T40" i="131"/>
  <c r="O58" i="131"/>
  <c r="P68" i="131"/>
  <c r="N78" i="131"/>
  <c r="T42" i="131"/>
  <c r="R68" i="131"/>
  <c r="S78" i="131"/>
  <c r="P78" i="131"/>
  <c r="L38" i="131"/>
  <c r="L45" i="131" s="1"/>
  <c r="K38" i="131"/>
  <c r="K45" i="131" s="1"/>
  <c r="AK163" i="131" a="1"/>
  <c r="AK163" i="131" s="1"/>
  <c r="AK185" i="131" a="1"/>
  <c r="AK185" i="131" s="1"/>
  <c r="AK196" i="131" a="1"/>
  <c r="AK196" i="131" s="1"/>
  <c r="AK162" i="131" a="1"/>
  <c r="AK162" i="131" s="1"/>
  <c r="AK209" i="131" a="1"/>
  <c r="AK209" i="131" s="1"/>
  <c r="AK186" i="131" a="1"/>
  <c r="AK186" i="131" s="1"/>
  <c r="AK164" i="131" a="1"/>
  <c r="AK164" i="131" s="1"/>
  <c r="N38" i="131"/>
  <c r="N45" i="131" s="1"/>
  <c r="M38" i="131"/>
  <c r="M45" i="131" s="1"/>
  <c r="AK173" i="131" a="1"/>
  <c r="AK173" i="131" s="1"/>
  <c r="AK206" i="131" a="1"/>
  <c r="AK206" i="131" s="1"/>
  <c r="AK200" i="131" a="1"/>
  <c r="AK200" i="131" s="1"/>
  <c r="AK208" i="131" a="1"/>
  <c r="AK208" i="131" s="1"/>
  <c r="AK191" i="131" a="1"/>
  <c r="AK191" i="131" s="1"/>
  <c r="AK197" i="131" a="1"/>
  <c r="AK197" i="131" s="1"/>
  <c r="AK178" i="131" a="1"/>
  <c r="AK178" i="131" s="1"/>
  <c r="O38" i="131"/>
  <c r="O45" i="131" s="1"/>
  <c r="AK160" i="131" a="1"/>
  <c r="AK160" i="131" s="1"/>
  <c r="AK169" i="131" a="1"/>
  <c r="AK169" i="131" s="1"/>
  <c r="AK212" i="131" a="1"/>
  <c r="AK212" i="131" s="1"/>
  <c r="AK184" i="131" a="1"/>
  <c r="AK184" i="131" s="1"/>
  <c r="AK195" i="131" a="1"/>
  <c r="AK195" i="131" s="1"/>
  <c r="AK203" i="131" a="1"/>
  <c r="AK203" i="131" s="1"/>
  <c r="AK199" i="131" a="1"/>
  <c r="AK199" i="131" s="1"/>
  <c r="H38" i="131"/>
  <c r="H45" i="131" s="1"/>
  <c r="AK170" i="131" a="1"/>
  <c r="AK170" i="131" s="1"/>
  <c r="AK168" i="131" a="1"/>
  <c r="AK168" i="131" s="1"/>
  <c r="AK190" i="131" a="1"/>
  <c r="AK190" i="131" s="1"/>
  <c r="AK174" i="131" a="1"/>
  <c r="AK174" i="131" s="1"/>
  <c r="AK207" i="131" a="1"/>
  <c r="AK207" i="131" s="1"/>
  <c r="AK176" i="131" a="1"/>
  <c r="AK176" i="131" s="1"/>
  <c r="AK188" i="131" a="1"/>
  <c r="AK188" i="131" s="1"/>
  <c r="J38" i="131"/>
  <c r="J45" i="131" s="1"/>
  <c r="AK166" i="131" a="1"/>
  <c r="AK166" i="131" s="1"/>
  <c r="AK183" i="131" a="1"/>
  <c r="AK183" i="131" s="1"/>
  <c r="AK210" i="131" a="1"/>
  <c r="AK210" i="131" s="1"/>
  <c r="AK172" i="131" a="1"/>
  <c r="AK172" i="131" s="1"/>
  <c r="AK198" i="131" a="1"/>
  <c r="AK198" i="131" s="1"/>
  <c r="AK204" i="131" a="1"/>
  <c r="AK204" i="131" s="1"/>
  <c r="P38" i="131"/>
  <c r="P45" i="131" s="1"/>
  <c r="X159" i="131" a="1"/>
  <c r="AK205" i="131" a="1"/>
  <c r="AK205" i="131" s="1"/>
  <c r="AK192" i="131" a="1"/>
  <c r="AK192" i="131" s="1"/>
  <c r="AK180" i="131" a="1"/>
  <c r="AK180" i="131" s="1"/>
  <c r="AK189" i="131" a="1"/>
  <c r="AK189" i="131" s="1"/>
  <c r="AK177" i="131" a="1"/>
  <c r="AK177" i="131" s="1"/>
  <c r="AK202" i="131" a="1"/>
  <c r="AK202" i="131" s="1"/>
  <c r="I38" i="131"/>
  <c r="I45" i="131" s="1"/>
  <c r="AK167" i="131" a="1"/>
  <c r="AK167" i="131" s="1"/>
  <c r="AK187" i="131" a="1"/>
  <c r="AK187" i="131" s="1"/>
  <c r="AK182" i="131" a="1"/>
  <c r="AK182" i="131" s="1"/>
  <c r="AK193" i="131" a="1"/>
  <c r="AK193" i="131" s="1"/>
  <c r="AK211" i="131" a="1"/>
  <c r="AK211" i="131" s="1"/>
  <c r="AK171" i="131" a="1"/>
  <c r="AK171" i="131" s="1"/>
  <c r="AK161" i="131" a="1"/>
  <c r="AK161" i="131" s="1"/>
  <c r="Q38" i="131"/>
  <c r="R44" i="131" s="1"/>
  <c r="AK165" i="131" a="1"/>
  <c r="AK165" i="131" s="1"/>
  <c r="AK181" i="131" a="1"/>
  <c r="AK181" i="131" s="1"/>
  <c r="AK213" i="131" a="1"/>
  <c r="AK213" i="131" s="1"/>
  <c r="AK194" i="131" a="1"/>
  <c r="AK194" i="131" s="1"/>
  <c r="AK214" i="131" a="1"/>
  <c r="AK214" i="131" s="1"/>
  <c r="AK201" i="131" a="1"/>
  <c r="AK201" i="131" s="1"/>
  <c r="AK175" i="131" a="1"/>
  <c r="AK175" i="131" s="1"/>
  <c r="AK179" i="131" a="1"/>
  <c r="AK179" i="131" s="1"/>
  <c r="AH56" i="131"/>
  <c r="Q58" i="131"/>
  <c r="P58" i="131"/>
  <c r="M66" i="131"/>
  <c r="AF66" i="131" s="1"/>
  <c r="M67" i="131"/>
  <c r="AK67" i="131" s="1"/>
  <c r="M65" i="131"/>
  <c r="AH65" i="131" s="1"/>
  <c r="M64" i="131"/>
  <c r="AI64" i="131" s="1"/>
  <c r="R78" i="131"/>
  <c r="S88" i="131"/>
  <c r="M77" i="131"/>
  <c r="AJ77" i="131" s="1"/>
  <c r="T73" i="131"/>
  <c r="M74" i="131"/>
  <c r="AJ74" i="131" s="1"/>
  <c r="M75" i="131"/>
  <c r="AI75" i="131" s="1"/>
  <c r="M76" i="131"/>
  <c r="T76" i="131" s="1"/>
  <c r="T41" i="131"/>
  <c r="AJ56" i="131"/>
  <c r="S68" i="131"/>
  <c r="O68" i="131"/>
  <c r="P88" i="131"/>
  <c r="P26" i="131"/>
  <c r="Q26" i="131"/>
  <c r="R26" i="131" s="1"/>
  <c r="I26" i="131"/>
  <c r="J26" i="131"/>
  <c r="M26" i="131"/>
  <c r="L26" i="131"/>
  <c r="O26" i="131"/>
  <c r="N26" i="131"/>
  <c r="H26" i="131"/>
  <c r="K26" i="131"/>
  <c r="L14" i="131"/>
  <c r="J14" i="131"/>
  <c r="K14" i="131"/>
  <c r="N14" i="131"/>
  <c r="M14" i="131"/>
  <c r="O14" i="131"/>
  <c r="P14" i="131"/>
  <c r="I14" i="131"/>
  <c r="Q14" i="131"/>
  <c r="R14" i="131" s="1"/>
  <c r="H14" i="131"/>
  <c r="R58" i="131"/>
  <c r="M85" i="131"/>
  <c r="AK85" i="131" s="1"/>
  <c r="M84" i="131"/>
  <c r="AH84" i="131" s="1"/>
  <c r="M87" i="131"/>
  <c r="M86" i="131"/>
  <c r="AF86" i="131" s="1"/>
  <c r="G118" i="131"/>
  <c r="G120" i="131"/>
  <c r="K120" i="131" s="1"/>
  <c r="G119" i="131"/>
  <c r="K119" i="131" s="1"/>
  <c r="H119" i="131"/>
  <c r="L119" i="131" s="1"/>
  <c r="H118" i="131"/>
  <c r="L118" i="131" s="1"/>
  <c r="G121" i="131"/>
  <c r="K121" i="131" s="1"/>
  <c r="H121" i="131"/>
  <c r="L121" i="131" s="1"/>
  <c r="O114" i="131"/>
  <c r="K111" i="131"/>
  <c r="M114" i="131" s="1"/>
  <c r="G32" i="1"/>
  <c r="G10" i="1"/>
  <c r="G26" i="1"/>
  <c r="G50" i="1"/>
  <c r="G82" i="1"/>
  <c r="G56" i="1"/>
  <c r="G151" i="1"/>
  <c r="G155" i="1"/>
  <c r="G5" i="1"/>
  <c r="G53" i="1"/>
  <c r="G61" i="1"/>
  <c r="G69" i="1"/>
  <c r="G117" i="1"/>
  <c r="G156" i="1"/>
  <c r="G33" i="1"/>
  <c r="G105" i="1"/>
  <c r="G137" i="1"/>
  <c r="G3" i="1"/>
  <c r="G19" i="1"/>
  <c r="G35" i="1"/>
  <c r="G51" i="1"/>
  <c r="G115" i="1"/>
  <c r="G84" i="1"/>
  <c r="G30" i="1"/>
  <c r="G78" i="1"/>
  <c r="G94" i="1"/>
  <c r="G110" i="1"/>
  <c r="G165" i="1"/>
  <c r="G139" i="1"/>
  <c r="G154" i="1"/>
  <c r="G87" i="1"/>
  <c r="G95" i="1"/>
  <c r="G119" i="1"/>
  <c r="G135" i="1"/>
  <c r="G158" i="1"/>
  <c r="G122" i="1"/>
  <c r="G169" i="1"/>
  <c r="G66" i="1"/>
  <c r="G18" i="1"/>
  <c r="G146" i="1"/>
  <c r="G90" i="1"/>
  <c r="G130" i="1"/>
  <c r="G153" i="1"/>
  <c r="G161" i="1"/>
  <c r="G59" i="1"/>
  <c r="G83" i="1"/>
  <c r="G123" i="1"/>
  <c r="G170" i="1"/>
  <c r="G178" i="1"/>
  <c r="G20" i="1"/>
  <c r="G68" i="1"/>
  <c r="G163" i="1"/>
  <c r="G171" i="1"/>
  <c r="G179" i="1"/>
  <c r="G13" i="1"/>
  <c r="G21" i="1"/>
  <c r="G45" i="1"/>
  <c r="G77" i="1"/>
  <c r="G109" i="1"/>
  <c r="G164" i="1"/>
  <c r="G17" i="1"/>
  <c r="G152" i="1"/>
  <c r="G168" i="1"/>
  <c r="G173" i="1"/>
  <c r="G25" i="1"/>
  <c r="G176" i="1"/>
  <c r="G71" i="1"/>
  <c r="G79" i="1"/>
  <c r="G143" i="1"/>
  <c r="G150" i="1"/>
  <c r="G9" i="1"/>
  <c r="G57" i="1"/>
  <c r="G65" i="1"/>
  <c r="G89" i="1"/>
  <c r="G54" i="1"/>
  <c r="G7" i="1"/>
  <c r="G24" i="1"/>
  <c r="G88" i="1"/>
  <c r="G144" i="1"/>
  <c r="G175" i="1"/>
  <c r="G97" i="1"/>
  <c r="G145" i="1"/>
  <c r="G52" i="1"/>
  <c r="G85" i="1"/>
  <c r="G133" i="1"/>
  <c r="G23" i="1"/>
  <c r="G31" i="1"/>
  <c r="G127" i="1"/>
  <c r="G174" i="1"/>
  <c r="G48" i="1"/>
  <c r="G80" i="1"/>
  <c r="G128" i="1"/>
  <c r="G58" i="1"/>
  <c r="G124" i="1"/>
  <c r="G67" i="1"/>
  <c r="G91" i="1"/>
  <c r="G131" i="1"/>
  <c r="G162" i="1"/>
  <c r="G46" i="1"/>
  <c r="G134" i="1"/>
  <c r="G4" i="1"/>
  <c r="G28" i="1"/>
  <c r="G116" i="1"/>
  <c r="G140" i="1"/>
  <c r="AK95" i="131" l="1"/>
  <c r="AJ94" i="131"/>
  <c r="AJ95" i="131"/>
  <c r="AI95" i="131"/>
  <c r="AH95" i="131"/>
  <c r="AK94" i="131"/>
  <c r="AF94" i="131"/>
  <c r="AF95" i="131"/>
  <c r="AE95" i="131"/>
  <c r="T95" i="131"/>
  <c r="AH94" i="131"/>
  <c r="T94" i="131"/>
  <c r="T96" i="131"/>
  <c r="AE94" i="131"/>
  <c r="M96" i="131"/>
  <c r="M97" i="131" s="1"/>
  <c r="AI94" i="131"/>
  <c r="AJ54" i="131"/>
  <c r="AK217" i="131"/>
  <c r="AK219" i="131"/>
  <c r="AK218" i="131"/>
  <c r="Z215" i="131"/>
  <c r="AA215" i="131"/>
  <c r="AB215" i="131"/>
  <c r="AC215" i="131"/>
  <c r="AD215" i="131"/>
  <c r="Y215" i="131"/>
  <c r="AH54" i="131"/>
  <c r="AI54" i="131"/>
  <c r="AG65" i="131"/>
  <c r="AI55" i="131"/>
  <c r="AG55" i="131"/>
  <c r="AK55" i="131"/>
  <c r="AG66" i="131"/>
  <c r="AJ66" i="131"/>
  <c r="AI66" i="131"/>
  <c r="AK75" i="131"/>
  <c r="AH75" i="131"/>
  <c r="AG75" i="131"/>
  <c r="AF65" i="131"/>
  <c r="AJ75" i="131"/>
  <c r="AI65" i="131"/>
  <c r="AI67" i="131"/>
  <c r="AG77" i="131"/>
  <c r="B16" i="131"/>
  <c r="B17" i="131" s="1"/>
  <c r="AH67" i="131"/>
  <c r="AG67" i="131"/>
  <c r="AF77" i="131"/>
  <c r="AG64" i="131"/>
  <c r="AI86" i="131"/>
  <c r="R42" i="131"/>
  <c r="AK66" i="131"/>
  <c r="AK54" i="131"/>
  <c r="AK64" i="131"/>
  <c r="AH64" i="131"/>
  <c r="AE87" i="131"/>
  <c r="T87" i="131"/>
  <c r="T88" i="131"/>
  <c r="AE84" i="131"/>
  <c r="M88" i="131"/>
  <c r="C31" i="131"/>
  <c r="T84" i="131"/>
  <c r="B129" i="131"/>
  <c r="R29" i="131"/>
  <c r="AE75" i="131"/>
  <c r="T75" i="131"/>
  <c r="AF57" i="131"/>
  <c r="AJ87" i="131"/>
  <c r="B126" i="131"/>
  <c r="B127" i="131"/>
  <c r="R40" i="131"/>
  <c r="AF84" i="131"/>
  <c r="AH66" i="131"/>
  <c r="AE54" i="131"/>
  <c r="C28" i="131"/>
  <c r="M58" i="131"/>
  <c r="M59" i="131" s="1"/>
  <c r="T58" i="131"/>
  <c r="T54" i="131"/>
  <c r="R39" i="131"/>
  <c r="AG84" i="131"/>
  <c r="AE85" i="131"/>
  <c r="T85" i="131"/>
  <c r="AJ85" i="131"/>
  <c r="R30" i="131"/>
  <c r="AG86" i="131"/>
  <c r="C30" i="131"/>
  <c r="M78" i="131"/>
  <c r="M79" i="131" s="1"/>
  <c r="T78" i="131"/>
  <c r="H7" i="131" s="1"/>
  <c r="T74" i="131"/>
  <c r="AE74" i="131"/>
  <c r="AI57" i="131"/>
  <c r="AK84" i="131"/>
  <c r="AK74" i="131"/>
  <c r="AK87" i="131"/>
  <c r="AJ65" i="131"/>
  <c r="R31" i="131"/>
  <c r="AE56" i="131"/>
  <c r="T56" i="131"/>
  <c r="AI77" i="131"/>
  <c r="AJ86" i="131"/>
  <c r="R18" i="131"/>
  <c r="AI76" i="131"/>
  <c r="AF67" i="131"/>
  <c r="AH87" i="131"/>
  <c r="R17" i="131"/>
  <c r="R27" i="131"/>
  <c r="M68" i="131"/>
  <c r="M69" i="131" s="1"/>
  <c r="T68" i="131"/>
  <c r="C29" i="131"/>
  <c r="AE64" i="131"/>
  <c r="T64" i="131"/>
  <c r="B134" i="131"/>
  <c r="AF87" i="131"/>
  <c r="AI87" i="131"/>
  <c r="AI56" i="131"/>
  <c r="AJ84" i="131"/>
  <c r="B128" i="131"/>
  <c r="AE57" i="131"/>
  <c r="T57" i="131"/>
  <c r="AF85" i="131"/>
  <c r="R15" i="131"/>
  <c r="AG76" i="131"/>
  <c r="AG57" i="131"/>
  <c r="AH86" i="131"/>
  <c r="T77" i="131"/>
  <c r="AE77" i="131"/>
  <c r="AK65" i="131"/>
  <c r="T65" i="131"/>
  <c r="AE65" i="131"/>
  <c r="AJ64" i="131"/>
  <c r="AK77" i="131"/>
  <c r="AJ57" i="131"/>
  <c r="AG56" i="131"/>
  <c r="AH85" i="131"/>
  <c r="AF56" i="131"/>
  <c r="B136" i="131"/>
  <c r="AG87" i="131"/>
  <c r="B133" i="131"/>
  <c r="R28" i="131"/>
  <c r="AH76" i="131"/>
  <c r="AJ55" i="131"/>
  <c r="R41" i="131"/>
  <c r="AF75" i="131"/>
  <c r="AE67" i="131"/>
  <c r="T67" i="131"/>
  <c r="R20" i="131"/>
  <c r="X159" i="131"/>
  <c r="X215" i="131" s="1"/>
  <c r="AC163" i="131"/>
  <c r="AA179" i="131"/>
  <c r="AD167" i="131"/>
  <c r="AB170" i="131"/>
  <c r="AC194" i="131"/>
  <c r="AD194" i="131"/>
  <c r="Z180" i="131"/>
  <c r="AB187" i="131"/>
  <c r="AC189" i="131"/>
  <c r="AA203" i="131"/>
  <c r="AB199" i="131"/>
  <c r="AD207" i="131"/>
  <c r="AC182" i="131"/>
  <c r="AD183" i="131"/>
  <c r="Z186" i="131"/>
  <c r="AB214" i="131"/>
  <c r="AC213" i="131"/>
  <c r="AC188" i="131"/>
  <c r="AB190" i="131"/>
  <c r="AB162" i="131"/>
  <c r="AB160" i="131"/>
  <c r="Y163" i="131"/>
  <c r="AD165" i="131"/>
  <c r="AB179" i="131"/>
  <c r="AD174" i="131"/>
  <c r="AD187" i="131"/>
  <c r="AD210" i="131"/>
  <c r="Z192" i="131"/>
  <c r="AA180" i="131"/>
  <c r="Y190" i="131"/>
  <c r="Z187" i="131"/>
  <c r="AC205" i="131"/>
  <c r="AB210" i="131"/>
  <c r="AC209" i="131"/>
  <c r="AA206" i="131"/>
  <c r="AB206" i="131"/>
  <c r="Z213" i="131"/>
  <c r="Z203" i="131"/>
  <c r="Z208" i="131"/>
  <c r="Z197" i="131"/>
  <c r="AB194" i="131"/>
  <c r="Z162" i="131"/>
  <c r="Y169" i="131"/>
  <c r="Y165" i="131"/>
  <c r="AD179" i="131"/>
  <c r="AC167" i="131"/>
  <c r="Y175" i="131"/>
  <c r="Y183" i="131"/>
  <c r="Z179" i="131"/>
  <c r="Z181" i="131"/>
  <c r="Y187" i="131"/>
  <c r="Z210" i="131"/>
  <c r="AC195" i="131"/>
  <c r="AD212" i="131"/>
  <c r="AD205" i="131"/>
  <c r="AB213" i="131"/>
  <c r="AD208" i="131"/>
  <c r="AD197" i="131"/>
  <c r="AB172" i="131"/>
  <c r="AD195" i="131"/>
  <c r="AB168" i="131"/>
  <c r="Z168" i="131"/>
  <c r="AD198" i="131"/>
  <c r="AA184" i="131"/>
  <c r="Y162" i="131"/>
  <c r="AD204" i="131"/>
  <c r="AC199" i="131"/>
  <c r="AD176" i="131"/>
  <c r="Z173" i="131"/>
  <c r="Z183" i="131"/>
  <c r="AC186" i="131"/>
  <c r="AB175" i="131"/>
  <c r="AA211" i="131"/>
  <c r="AB195" i="131"/>
  <c r="Y172" i="131"/>
  <c r="AA196" i="131"/>
  <c r="Z184" i="131"/>
  <c r="AD177" i="131"/>
  <c r="AA166" i="131"/>
  <c r="AB165" i="131"/>
  <c r="AD163" i="131"/>
  <c r="AC166" i="131"/>
  <c r="AA177" i="131"/>
  <c r="Y202" i="131"/>
  <c r="AB202" i="131"/>
  <c r="AB182" i="131"/>
  <c r="Z190" i="131"/>
  <c r="AB200" i="131"/>
  <c r="AA197" i="131"/>
  <c r="Y188" i="131"/>
  <c r="AB212" i="131"/>
  <c r="AA214" i="131"/>
  <c r="AD200" i="131"/>
  <c r="AA199" i="131"/>
  <c r="AD172" i="131"/>
  <c r="Y195" i="131"/>
  <c r="Y171" i="131"/>
  <c r="AA192" i="131"/>
  <c r="Z204" i="131"/>
  <c r="AB184" i="131"/>
  <c r="AB180" i="131"/>
  <c r="Z193" i="131"/>
  <c r="Y199" i="131"/>
  <c r="AA194" i="131"/>
  <c r="Y180" i="131"/>
  <c r="AC172" i="131"/>
  <c r="Z195" i="131"/>
  <c r="AA173" i="131"/>
  <c r="AD211" i="131"/>
  <c r="AD184" i="131"/>
  <c r="Y178" i="131"/>
  <c r="AA188" i="131"/>
  <c r="AA190" i="131"/>
  <c r="AC173" i="131"/>
  <c r="AA165" i="131"/>
  <c r="AC165" i="131"/>
  <c r="Y160" i="131"/>
  <c r="Z166" i="131"/>
  <c r="AC175" i="131"/>
  <c r="AB205" i="131"/>
  <c r="Y203" i="131"/>
  <c r="Y184" i="131"/>
  <c r="AC191" i="131"/>
  <c r="AC184" i="131"/>
  <c r="AD203" i="131"/>
  <c r="AC192" i="131"/>
  <c r="Y213" i="131"/>
  <c r="Y210" i="131"/>
  <c r="Z201" i="131"/>
  <c r="Z199" i="131"/>
  <c r="Y173" i="131"/>
  <c r="AA189" i="131"/>
  <c r="Y167" i="131"/>
  <c r="AA167" i="131"/>
  <c r="AC193" i="131"/>
  <c r="AD182" i="131"/>
  <c r="Z206" i="131"/>
  <c r="Y186" i="131"/>
  <c r="Z188" i="131"/>
  <c r="AA176" i="131"/>
  <c r="AB161" i="131"/>
  <c r="Y211" i="131"/>
  <c r="AA191" i="131"/>
  <c r="AD173" i="131"/>
  <c r="Z214" i="131"/>
  <c r="AD190" i="131"/>
  <c r="AC180" i="131"/>
  <c r="AB208" i="131"/>
  <c r="Z185" i="131"/>
  <c r="AA161" i="131"/>
  <c r="Z165" i="131"/>
  <c r="AD169" i="131"/>
  <c r="AA178" i="131"/>
  <c r="AD178" i="131"/>
  <c r="AC190" i="131"/>
  <c r="AC206" i="131"/>
  <c r="AB185" i="131"/>
  <c r="AD191" i="131"/>
  <c r="AB192" i="131"/>
  <c r="AC210" i="131"/>
  <c r="AC212" i="131"/>
  <c r="Y204" i="131"/>
  <c r="AD213" i="131"/>
  <c r="Y201" i="131"/>
  <c r="AC196" i="131"/>
  <c r="AA160" i="131"/>
  <c r="AB188" i="131"/>
  <c r="AD161" i="131"/>
  <c r="AB167" i="131"/>
  <c r="AA207" i="131"/>
  <c r="AC203" i="131"/>
  <c r="AA174" i="131"/>
  <c r="Z209" i="131"/>
  <c r="Y206" i="131"/>
  <c r="AA168" i="131"/>
  <c r="AA164" i="131"/>
  <c r="AA201" i="131"/>
  <c r="AA182" i="131"/>
  <c r="AC162" i="131"/>
  <c r="AC185" i="131"/>
  <c r="AC187" i="131"/>
  <c r="AB163" i="131"/>
  <c r="AB198" i="131"/>
  <c r="AA210" i="131"/>
  <c r="AC161" i="131"/>
  <c r="Z160" i="131"/>
  <c r="Z170" i="131"/>
  <c r="AD192" i="131"/>
  <c r="AD180" i="131"/>
  <c r="Z202" i="131"/>
  <c r="Z178" i="131"/>
  <c r="AB189" i="131"/>
  <c r="Y192" i="131"/>
  <c r="Y197" i="131"/>
  <c r="Z212" i="131"/>
  <c r="Z198" i="131"/>
  <c r="AD206" i="131"/>
  <c r="Y194" i="131"/>
  <c r="AD201" i="131"/>
  <c r="Z189" i="131"/>
  <c r="AD162" i="131"/>
  <c r="AA185" i="131"/>
  <c r="AC164" i="131"/>
  <c r="AC178" i="131"/>
  <c r="AD199" i="131"/>
  <c r="AB174" i="131"/>
  <c r="AB197" i="131"/>
  <c r="Y196" i="131"/>
  <c r="AC202" i="131"/>
  <c r="AC168" i="131"/>
  <c r="Z161" i="131"/>
  <c r="Y209" i="131"/>
  <c r="Y181" i="131"/>
  <c r="AC179" i="131"/>
  <c r="AA209" i="131"/>
  <c r="AB171" i="131"/>
  <c r="AC160" i="131"/>
  <c r="AA204" i="131"/>
  <c r="AC181" i="131"/>
  <c r="Y164" i="131"/>
  <c r="AB166" i="131"/>
  <c r="Y179" i="131"/>
  <c r="Z174" i="131"/>
  <c r="Z205" i="131"/>
  <c r="AD175" i="131"/>
  <c r="Y182" i="131"/>
  <c r="AB191" i="131"/>
  <c r="Z194" i="131"/>
  <c r="AB203" i="131"/>
  <c r="AD186" i="131"/>
  <c r="AD209" i="131"/>
  <c r="Y198" i="131"/>
  <c r="AC208" i="131"/>
  <c r="Y214" i="131"/>
  <c r="AC183" i="131"/>
  <c r="AA208" i="131"/>
  <c r="AA171" i="131"/>
  <c r="AD164" i="131"/>
  <c r="Z211" i="131"/>
  <c r="Z191" i="131"/>
  <c r="AC177" i="131"/>
  <c r="AC201" i="131"/>
  <c r="Z196" i="131"/>
  <c r="Y185" i="131"/>
  <c r="Z172" i="131"/>
  <c r="AA170" i="131"/>
  <c r="Z200" i="131"/>
  <c r="AC176" i="131"/>
  <c r="AD170" i="131"/>
  <c r="AA193" i="131"/>
  <c r="AC174" i="131"/>
  <c r="AB211" i="131"/>
  <c r="AA213" i="131"/>
  <c r="Z171" i="131"/>
  <c r="Z164" i="131"/>
  <c r="AC169" i="131"/>
  <c r="Z167" i="131"/>
  <c r="Z169" i="131"/>
  <c r="AB164" i="131"/>
  <c r="AB183" i="131"/>
  <c r="AB178" i="131"/>
  <c r="AA198" i="131"/>
  <c r="AD202" i="131"/>
  <c r="AA205" i="131"/>
  <c r="Y189" i="131"/>
  <c r="AB181" i="131"/>
  <c r="AA200" i="131"/>
  <c r="AD214" i="131"/>
  <c r="Y193" i="131"/>
  <c r="AA181" i="131"/>
  <c r="AC211" i="131"/>
  <c r="AC171" i="131"/>
  <c r="Y161" i="131"/>
  <c r="AC214" i="131"/>
  <c r="AD189" i="131"/>
  <c r="AB173" i="131"/>
  <c r="AB201" i="131"/>
  <c r="AC197" i="131"/>
  <c r="AA183" i="131"/>
  <c r="AA175" i="131"/>
  <c r="Z163" i="131"/>
  <c r="Y200" i="131"/>
  <c r="Z176" i="131"/>
  <c r="AB209" i="131"/>
  <c r="AB196" i="131"/>
  <c r="Y168" i="131"/>
  <c r="AB193" i="131"/>
  <c r="AC200" i="131"/>
  <c r="AD168" i="131"/>
  <c r="AC170" i="131"/>
  <c r="AD160" i="131"/>
  <c r="Y170" i="131"/>
  <c r="Y166" i="131"/>
  <c r="AB169" i="131"/>
  <c r="AD181" i="131"/>
  <c r="Y176" i="131"/>
  <c r="Z182" i="131"/>
  <c r="AD185" i="131"/>
  <c r="Y205" i="131"/>
  <c r="Y212" i="131"/>
  <c r="Y191" i="131"/>
  <c r="AD193" i="131"/>
  <c r="AB204" i="131"/>
  <c r="AA202" i="131"/>
  <c r="AA212" i="131"/>
  <c r="AA187" i="131"/>
  <c r="AB207" i="131"/>
  <c r="AD171" i="131"/>
  <c r="AA169" i="131"/>
  <c r="AC198" i="131"/>
  <c r="AD188" i="131"/>
  <c r="AA162" i="131"/>
  <c r="AC204" i="131"/>
  <c r="AD196" i="131"/>
  <c r="AB176" i="131"/>
  <c r="AB177" i="131"/>
  <c r="AD166" i="131"/>
  <c r="AA186" i="131"/>
  <c r="Y174" i="131"/>
  <c r="Y208" i="131"/>
  <c r="AC207" i="131"/>
  <c r="Z175" i="131"/>
  <c r="AB186" i="131"/>
  <c r="AA195" i="131"/>
  <c r="AA172" i="131"/>
  <c r="AA163" i="131"/>
  <c r="J46" i="131"/>
  <c r="J48" i="131"/>
  <c r="H46" i="131"/>
  <c r="H48" i="131"/>
  <c r="O48" i="131"/>
  <c r="O46" i="131"/>
  <c r="M48" i="131"/>
  <c r="M46" i="131"/>
  <c r="AJ76" i="131"/>
  <c r="AG54" i="131"/>
  <c r="AH77" i="131"/>
  <c r="AI74" i="131"/>
  <c r="AK57" i="131"/>
  <c r="AK86" i="131"/>
  <c r="AG85" i="131"/>
  <c r="AE66" i="131"/>
  <c r="T66" i="131"/>
  <c r="R19" i="131"/>
  <c r="R43" i="131"/>
  <c r="T38" i="131"/>
  <c r="R38" i="131"/>
  <c r="I46" i="131"/>
  <c r="I48" i="131"/>
  <c r="P46" i="131"/>
  <c r="P48" i="131"/>
  <c r="N46" i="131"/>
  <c r="N48" i="131"/>
  <c r="K46" i="131"/>
  <c r="K48" i="131"/>
  <c r="N79" i="131"/>
  <c r="AJ67" i="131"/>
  <c r="T86" i="131"/>
  <c r="AE86" i="131"/>
  <c r="AI85" i="131"/>
  <c r="AK76" i="131"/>
  <c r="B135" i="131"/>
  <c r="R16" i="131"/>
  <c r="L48" i="131"/>
  <c r="L46" i="131"/>
  <c r="R32" i="131"/>
  <c r="AH74" i="131"/>
  <c r="AF74" i="131"/>
  <c r="AF76" i="131"/>
  <c r="AI84" i="131"/>
  <c r="AG74" i="131"/>
  <c r="AH55" i="131"/>
  <c r="T55" i="131"/>
  <c r="AE55" i="131"/>
  <c r="AF64" i="131"/>
  <c r="P114" i="131"/>
  <c r="O121" i="131"/>
  <c r="K118" i="131"/>
  <c r="M121" i="131" s="1"/>
  <c r="Z184" i="1"/>
  <c r="I103" i="3"/>
  <c r="I71" i="3"/>
  <c r="I39" i="3"/>
  <c r="H3" i="3" a="1"/>
  <c r="G184" i="1" a="1"/>
  <c r="G184" i="1" s="1"/>
  <c r="H184" i="1" s="1"/>
  <c r="C180" i="1"/>
  <c r="B180" i="93" s="1" a="1"/>
  <c r="B180" i="93" s="1"/>
  <c r="C174" i="1"/>
  <c r="B174" i="93" s="1" a="1"/>
  <c r="B174" i="93" s="1"/>
  <c r="C175" i="1"/>
  <c r="B175" i="93" s="1" a="1"/>
  <c r="B175" i="93" s="1"/>
  <c r="C179" i="1"/>
  <c r="B179" i="93" s="1" a="1"/>
  <c r="B179" i="93" s="1"/>
  <c r="C178" i="1"/>
  <c r="B178" i="93" s="1" a="1"/>
  <c r="B178" i="93" s="1"/>
  <c r="C177" i="1"/>
  <c r="B177" i="93" s="1" a="1"/>
  <c r="B177" i="93" s="1"/>
  <c r="C176" i="1"/>
  <c r="B176" i="93" s="1" a="1"/>
  <c r="B176" i="93" s="1"/>
  <c r="C173" i="1"/>
  <c r="B173" i="93" s="1" a="1"/>
  <c r="B173" i="93" s="1"/>
  <c r="C172" i="1"/>
  <c r="B172" i="93" s="1" a="1"/>
  <c r="B172" i="93" s="1"/>
  <c r="C171" i="1"/>
  <c r="B171" i="93" s="1" a="1"/>
  <c r="B171" i="93" s="1"/>
  <c r="C170" i="1"/>
  <c r="B170" i="93" s="1" a="1"/>
  <c r="B170" i="93" s="1"/>
  <c r="C169" i="1"/>
  <c r="B169" i="93" s="1" a="1"/>
  <c r="B169" i="93" s="1"/>
  <c r="C168" i="1"/>
  <c r="B168" i="93" s="1" a="1"/>
  <c r="B168" i="93" s="1"/>
  <c r="C167" i="1"/>
  <c r="B167" i="93" s="1" a="1"/>
  <c r="B167" i="93" s="1"/>
  <c r="C166" i="1"/>
  <c r="B166" i="93" s="1" a="1"/>
  <c r="B166" i="93" s="1"/>
  <c r="A3" i="93"/>
  <c r="A4" i="93" s="1"/>
  <c r="A5" i="93" s="1"/>
  <c r="A6" i="93" s="1"/>
  <c r="A7" i="93" s="1"/>
  <c r="A8" i="93" s="1"/>
  <c r="A9" i="93" s="1"/>
  <c r="A10" i="93" s="1"/>
  <c r="A11" i="93" s="1"/>
  <c r="A12" i="93" s="1"/>
  <c r="A13" i="93" s="1"/>
  <c r="A14" i="93" s="1"/>
  <c r="A15" i="93" s="1"/>
  <c r="A16" i="93" s="1"/>
  <c r="A17" i="93" s="1"/>
  <c r="A18" i="93" s="1"/>
  <c r="A19" i="93" s="1"/>
  <c r="A20" i="93" s="1"/>
  <c r="A21" i="93" s="1"/>
  <c r="A22" i="93" s="1"/>
  <c r="A23" i="93" s="1"/>
  <c r="A24" i="93" s="1"/>
  <c r="A25" i="93" s="1"/>
  <c r="A26" i="93" s="1"/>
  <c r="A27" i="93" s="1"/>
  <c r="A28" i="93" s="1"/>
  <c r="A29" i="93" s="1"/>
  <c r="A30" i="93" s="1"/>
  <c r="A31" i="93" s="1"/>
  <c r="A32" i="93" s="1"/>
  <c r="A33" i="93" s="1"/>
  <c r="A34" i="93" s="1"/>
  <c r="A35" i="93" s="1"/>
  <c r="A36" i="93" s="1"/>
  <c r="A37" i="93" s="1"/>
  <c r="A38" i="93" s="1"/>
  <c r="A39" i="93" s="1"/>
  <c r="A40" i="93" s="1"/>
  <c r="A41" i="93" s="1"/>
  <c r="A42" i="93" s="1"/>
  <c r="A43" i="93" s="1"/>
  <c r="A44" i="93" s="1"/>
  <c r="A45" i="93" s="1"/>
  <c r="A46" i="93" s="1"/>
  <c r="A47" i="93" s="1"/>
  <c r="A48" i="93" s="1"/>
  <c r="A49" i="93" s="1"/>
  <c r="A50" i="93" s="1"/>
  <c r="A51" i="93" s="1"/>
  <c r="A52" i="93" s="1"/>
  <c r="A53" i="93" s="1"/>
  <c r="A54" i="93" s="1"/>
  <c r="A55" i="93" s="1"/>
  <c r="A56" i="93" s="1"/>
  <c r="A57" i="93" s="1"/>
  <c r="A58" i="93" s="1"/>
  <c r="A59" i="93" s="1"/>
  <c r="A60" i="93" s="1"/>
  <c r="A61" i="93" s="1"/>
  <c r="A62" i="93" s="1"/>
  <c r="A63" i="93" s="1"/>
  <c r="A64" i="93" s="1"/>
  <c r="A65" i="93" s="1"/>
  <c r="A66" i="93" s="1"/>
  <c r="A67" i="93" s="1"/>
  <c r="A68" i="93" s="1"/>
  <c r="A69" i="93" s="1"/>
  <c r="A70" i="93" s="1"/>
  <c r="A71" i="93" s="1"/>
  <c r="A72" i="93" s="1"/>
  <c r="A73" i="93" s="1"/>
  <c r="A74" i="93" s="1"/>
  <c r="A75" i="93" s="1"/>
  <c r="A76" i="93" s="1"/>
  <c r="A77" i="93" s="1"/>
  <c r="A78" i="93" s="1"/>
  <c r="A79" i="93" s="1"/>
  <c r="A80" i="93" s="1"/>
  <c r="A81" i="93" s="1"/>
  <c r="A82" i="93" s="1"/>
  <c r="A83" i="93" s="1"/>
  <c r="A84" i="93" s="1"/>
  <c r="A85" i="93" s="1"/>
  <c r="A86" i="93" s="1"/>
  <c r="A87" i="93" s="1"/>
  <c r="A88" i="93" s="1"/>
  <c r="A89" i="93" s="1"/>
  <c r="A90" i="93" s="1"/>
  <c r="A91" i="93" s="1"/>
  <c r="A92" i="93" s="1"/>
  <c r="A93" i="93" s="1"/>
  <c r="A94" i="93" s="1"/>
  <c r="A95" i="93" s="1"/>
  <c r="A96" i="93" s="1"/>
  <c r="A97" i="93" s="1"/>
  <c r="A98" i="93" s="1"/>
  <c r="A99" i="93" s="1"/>
  <c r="A100" i="93" s="1"/>
  <c r="A101" i="93" s="1"/>
  <c r="A102" i="93" s="1"/>
  <c r="A103" i="93" s="1"/>
  <c r="A104" i="93" s="1"/>
  <c r="A105" i="93" s="1"/>
  <c r="A106" i="93" s="1"/>
  <c r="A107" i="93" s="1"/>
  <c r="A108" i="93" s="1"/>
  <c r="A109" i="93" s="1"/>
  <c r="A110" i="93" s="1"/>
  <c r="A111" i="93" s="1"/>
  <c r="A112" i="93" s="1"/>
  <c r="A113" i="93" s="1"/>
  <c r="A114" i="93" s="1"/>
  <c r="A115" i="93" s="1"/>
  <c r="A116" i="93" s="1"/>
  <c r="A117" i="93" s="1"/>
  <c r="A118" i="93" s="1"/>
  <c r="A119" i="93" s="1"/>
  <c r="A120" i="93" s="1"/>
  <c r="A121" i="93" s="1"/>
  <c r="A122" i="93" s="1"/>
  <c r="A123" i="93" s="1"/>
  <c r="A124" i="93" s="1"/>
  <c r="A125" i="93" s="1"/>
  <c r="A126" i="93" s="1"/>
  <c r="A127" i="93" s="1"/>
  <c r="A128" i="93" s="1"/>
  <c r="A129" i="93" s="1"/>
  <c r="A130" i="93" s="1"/>
  <c r="A131" i="93" s="1"/>
  <c r="A132" i="93" s="1"/>
  <c r="A133" i="93" s="1"/>
  <c r="A134" i="93" s="1"/>
  <c r="A135" i="93" s="1"/>
  <c r="A136" i="93" s="1"/>
  <c r="A137" i="93" s="1"/>
  <c r="A138" i="93" s="1"/>
  <c r="A139" i="93" s="1"/>
  <c r="A140" i="93" s="1"/>
  <c r="A141" i="93" s="1"/>
  <c r="A142" i="93" s="1"/>
  <c r="A143" i="93" s="1"/>
  <c r="A144" i="93" s="1"/>
  <c r="A145" i="93" s="1"/>
  <c r="A146" i="93" s="1"/>
  <c r="A147" i="93" s="1"/>
  <c r="A148" i="93" s="1"/>
  <c r="A149" i="93" s="1"/>
  <c r="A150" i="93" s="1"/>
  <c r="A151" i="93" s="1"/>
  <c r="A152" i="93" s="1"/>
  <c r="A153" i="93" s="1"/>
  <c r="A154" i="93" s="1"/>
  <c r="A155" i="93" s="1"/>
  <c r="A156" i="93" s="1"/>
  <c r="A157" i="93" s="1"/>
  <c r="A158" i="93" s="1"/>
  <c r="A159" i="93" s="1"/>
  <c r="A160" i="93" s="1"/>
  <c r="A161" i="93" s="1"/>
  <c r="A162" i="93" s="1"/>
  <c r="A163" i="93" s="1"/>
  <c r="A164" i="93" s="1"/>
  <c r="A165" i="93" s="1"/>
  <c r="A166" i="93" s="1"/>
  <c r="A167" i="93" s="1"/>
  <c r="A168" i="93" s="1"/>
  <c r="A169" i="93" s="1"/>
  <c r="A170" i="93" s="1"/>
  <c r="A171" i="93" s="1"/>
  <c r="A172" i="93" s="1"/>
  <c r="A173" i="93" s="1"/>
  <c r="A174" i="93" s="1"/>
  <c r="A175" i="93" s="1"/>
  <c r="A176" i="93" s="1"/>
  <c r="A177" i="93" s="1"/>
  <c r="A178" i="93" s="1"/>
  <c r="A179" i="93" s="1"/>
  <c r="BG185" i="90"/>
  <c r="BF185" i="90"/>
  <c r="BE185" i="90"/>
  <c r="BD185" i="90"/>
  <c r="BC185" i="90"/>
  <c r="BB185" i="90"/>
  <c r="BA185" i="90"/>
  <c r="BG184" i="90"/>
  <c r="BF184" i="90"/>
  <c r="BE184" i="90"/>
  <c r="BD184" i="90"/>
  <c r="BC184" i="90"/>
  <c r="BB184" i="90"/>
  <c r="BA184" i="90"/>
  <c r="X3" i="3" a="1"/>
  <c r="Y145" i="3" s="1"/>
  <c r="S97" i="131" l="1"/>
  <c r="N97" i="131"/>
  <c r="O97" i="131"/>
  <c r="R97" i="131"/>
  <c r="P97" i="131"/>
  <c r="Q97" i="131"/>
  <c r="M89" i="131"/>
  <c r="O69" i="131"/>
  <c r="R79" i="131"/>
  <c r="O79" i="131"/>
  <c r="M80" i="131" s="1"/>
  <c r="AC217" i="131"/>
  <c r="Y217" i="131"/>
  <c r="AA219" i="131"/>
  <c r="AA218" i="131"/>
  <c r="AC219" i="131"/>
  <c r="AC218" i="131"/>
  <c r="AB217" i="131"/>
  <c r="AD219" i="131"/>
  <c r="AD218" i="131"/>
  <c r="N89" i="131"/>
  <c r="Y219" i="131"/>
  <c r="Y218" i="131"/>
  <c r="AD217" i="131"/>
  <c r="AA217" i="131"/>
  <c r="AB219" i="131"/>
  <c r="AB218" i="131"/>
  <c r="H8" i="131"/>
  <c r="I7" i="131"/>
  <c r="H6" i="131"/>
  <c r="O59" i="131"/>
  <c r="R59" i="131"/>
  <c r="S89" i="131"/>
  <c r="Q89" i="131"/>
  <c r="R89" i="131"/>
  <c r="O89" i="131"/>
  <c r="S59" i="131"/>
  <c r="P89" i="131"/>
  <c r="H5" i="131"/>
  <c r="N59" i="131"/>
  <c r="I6" i="131"/>
  <c r="P79" i="131"/>
  <c r="Q59" i="131"/>
  <c r="G8" i="131"/>
  <c r="F8" i="131"/>
  <c r="G6" i="131"/>
  <c r="Q79" i="131"/>
  <c r="I5" i="131"/>
  <c r="R69" i="131"/>
  <c r="F2" i="131"/>
  <c r="F5" i="131"/>
  <c r="C134" i="131"/>
  <c r="D134" i="131" s="1"/>
  <c r="C127" i="131"/>
  <c r="D127" i="131" s="1"/>
  <c r="C126" i="131"/>
  <c r="C133" i="131"/>
  <c r="G5" i="131"/>
  <c r="G2" i="131"/>
  <c r="B137" i="131"/>
  <c r="B130" i="131"/>
  <c r="P69" i="131"/>
  <c r="P59" i="131"/>
  <c r="X166" i="131"/>
  <c r="X192" i="131"/>
  <c r="X196" i="131"/>
  <c r="X176" i="131"/>
  <c r="X212" i="131"/>
  <c r="X189" i="131"/>
  <c r="X186" i="131"/>
  <c r="X163" i="131"/>
  <c r="X180" i="131"/>
  <c r="X203" i="131"/>
  <c r="X174" i="131"/>
  <c r="Z207" i="131"/>
  <c r="X185" i="131"/>
  <c r="X182" i="131"/>
  <c r="X178" i="131"/>
  <c r="X210" i="131"/>
  <c r="X205" i="131"/>
  <c r="X168" i="131"/>
  <c r="X187" i="131"/>
  <c r="X171" i="131"/>
  <c r="X202" i="131"/>
  <c r="X167" i="131"/>
  <c r="X199" i="131"/>
  <c r="X211" i="131"/>
  <c r="X213" i="131"/>
  <c r="X172" i="131"/>
  <c r="X184" i="131"/>
  <c r="X175" i="131"/>
  <c r="X173" i="131"/>
  <c r="X206" i="131"/>
  <c r="X198" i="131"/>
  <c r="X204" i="131"/>
  <c r="X214" i="131"/>
  <c r="X181" i="131"/>
  <c r="Z177" i="131"/>
  <c r="X179" i="131"/>
  <c r="X193" i="131"/>
  <c r="X208" i="131"/>
  <c r="X190" i="131"/>
  <c r="X197" i="131"/>
  <c r="X162" i="131"/>
  <c r="X169" i="131"/>
  <c r="X194" i="131"/>
  <c r="X200" i="131"/>
  <c r="X191" i="131"/>
  <c r="X165" i="131"/>
  <c r="X201" i="131"/>
  <c r="X164" i="131"/>
  <c r="X160" i="131"/>
  <c r="X170" i="131"/>
  <c r="X195" i="131"/>
  <c r="X188" i="131"/>
  <c r="X183" i="131"/>
  <c r="X209" i="131"/>
  <c r="X161" i="131"/>
  <c r="S69" i="131"/>
  <c r="Q69" i="131"/>
  <c r="C136" i="131"/>
  <c r="D136" i="131" s="1"/>
  <c r="C129" i="131"/>
  <c r="D129" i="131" s="1"/>
  <c r="F3" i="131"/>
  <c r="F7" i="131"/>
  <c r="S79" i="131"/>
  <c r="G3" i="131"/>
  <c r="G7" i="131"/>
  <c r="N69" i="131"/>
  <c r="F6" i="131"/>
  <c r="C128" i="131"/>
  <c r="D128" i="131" s="1"/>
  <c r="C135" i="131"/>
  <c r="D135" i="131" s="1"/>
  <c r="I8" i="131"/>
  <c r="P121" i="131"/>
  <c r="I125" i="3"/>
  <c r="I7" i="3"/>
  <c r="Y67" i="3"/>
  <c r="Y155" i="3"/>
  <c r="Y73" i="3"/>
  <c r="Y163" i="3"/>
  <c r="Y9" i="3"/>
  <c r="Y99" i="3"/>
  <c r="Y27" i="3"/>
  <c r="Y105" i="3"/>
  <c r="Y35" i="3"/>
  <c r="Y123" i="3"/>
  <c r="Y91" i="3"/>
  <c r="Y169" i="3"/>
  <c r="Y41" i="3"/>
  <c r="Y131" i="3"/>
  <c r="Y59" i="3"/>
  <c r="Y137" i="3"/>
  <c r="I15" i="3"/>
  <c r="I47" i="3"/>
  <c r="I79" i="3"/>
  <c r="I111" i="3"/>
  <c r="Y11" i="3"/>
  <c r="Y43" i="3"/>
  <c r="Y75" i="3"/>
  <c r="Y107" i="3"/>
  <c r="Y139" i="3"/>
  <c r="Y171" i="3"/>
  <c r="I21" i="3"/>
  <c r="I53" i="3"/>
  <c r="I85" i="3"/>
  <c r="I117" i="3"/>
  <c r="Y17" i="3"/>
  <c r="Y49" i="3"/>
  <c r="Y81" i="3"/>
  <c r="Y113" i="3"/>
  <c r="I13" i="3"/>
  <c r="I45" i="3"/>
  <c r="I77" i="3"/>
  <c r="I109" i="3"/>
  <c r="X3" i="3"/>
  <c r="Y3" i="3" s="1"/>
  <c r="Y170" i="3"/>
  <c r="Y162" i="3"/>
  <c r="Y154" i="3"/>
  <c r="Y146" i="3"/>
  <c r="Y138" i="3"/>
  <c r="Y130" i="3"/>
  <c r="Y122" i="3"/>
  <c r="Y114" i="3"/>
  <c r="Y106" i="3"/>
  <c r="Y98" i="3"/>
  <c r="Y90" i="3"/>
  <c r="Y82" i="3"/>
  <c r="Y74" i="3"/>
  <c r="Y66" i="3"/>
  <c r="Y58" i="3"/>
  <c r="Y50" i="3"/>
  <c r="Y42" i="3"/>
  <c r="Y34" i="3"/>
  <c r="Y26" i="3"/>
  <c r="Y18" i="3"/>
  <c r="Y10" i="3"/>
  <c r="Y168" i="3"/>
  <c r="Y160" i="3"/>
  <c r="Y152" i="3"/>
  <c r="Y144" i="3"/>
  <c r="Y136" i="3"/>
  <c r="Y128" i="3"/>
  <c r="Y120" i="3"/>
  <c r="Y112" i="3"/>
  <c r="Y104" i="3"/>
  <c r="Y96" i="3"/>
  <c r="Y88" i="3"/>
  <c r="Y80" i="3"/>
  <c r="Y72" i="3"/>
  <c r="Y64" i="3"/>
  <c r="Y56" i="3"/>
  <c r="Y48" i="3"/>
  <c r="Y40" i="3"/>
  <c r="Y32" i="3"/>
  <c r="Y24" i="3"/>
  <c r="Y16" i="3"/>
  <c r="Y8" i="3"/>
  <c r="Y167" i="3"/>
  <c r="Y159" i="3"/>
  <c r="Y151" i="3"/>
  <c r="Y143" i="3"/>
  <c r="Y135" i="3"/>
  <c r="Y127" i="3"/>
  <c r="Y119" i="3"/>
  <c r="Y111" i="3"/>
  <c r="Y103" i="3"/>
  <c r="Y95" i="3"/>
  <c r="Y87" i="3"/>
  <c r="Y79" i="3"/>
  <c r="Y71" i="3"/>
  <c r="Y63" i="3"/>
  <c r="Y55" i="3"/>
  <c r="Y47" i="3"/>
  <c r="Y39" i="3"/>
  <c r="Y31" i="3"/>
  <c r="Y23" i="3"/>
  <c r="Y15" i="3"/>
  <c r="Y7" i="3"/>
  <c r="Y166" i="3"/>
  <c r="Y158" i="3"/>
  <c r="Y150" i="3"/>
  <c r="Y142" i="3"/>
  <c r="Y134" i="3"/>
  <c r="Y126" i="3"/>
  <c r="Y118" i="3"/>
  <c r="Y110" i="3"/>
  <c r="Y102" i="3"/>
  <c r="Y94" i="3"/>
  <c r="Y86" i="3"/>
  <c r="Y78" i="3"/>
  <c r="Y70" i="3"/>
  <c r="Y62" i="3"/>
  <c r="Y54" i="3"/>
  <c r="Y46" i="3"/>
  <c r="Y38" i="3"/>
  <c r="Y30" i="3"/>
  <c r="Y22" i="3"/>
  <c r="Y14" i="3"/>
  <c r="Y6" i="3"/>
  <c r="Y173" i="3"/>
  <c r="Y165" i="3"/>
  <c r="Y157" i="3"/>
  <c r="Y149" i="3"/>
  <c r="Y141" i="3"/>
  <c r="Y133" i="3"/>
  <c r="Y125" i="3"/>
  <c r="Y117" i="3"/>
  <c r="Y109" i="3"/>
  <c r="Y101" i="3"/>
  <c r="Y93" i="3"/>
  <c r="Y85" i="3"/>
  <c r="Y77" i="3"/>
  <c r="Y69" i="3"/>
  <c r="Y61" i="3"/>
  <c r="Y53" i="3"/>
  <c r="Y45" i="3"/>
  <c r="Y37" i="3"/>
  <c r="Y29" i="3"/>
  <c r="Y21" i="3"/>
  <c r="Y13" i="3"/>
  <c r="Y5" i="3"/>
  <c r="Y172" i="3"/>
  <c r="Y164" i="3"/>
  <c r="Y156" i="3"/>
  <c r="Y148" i="3"/>
  <c r="Y140" i="3"/>
  <c r="Y132" i="3"/>
  <c r="Y124" i="3"/>
  <c r="Y116" i="3"/>
  <c r="Y108" i="3"/>
  <c r="Y100" i="3"/>
  <c r="Y92" i="3"/>
  <c r="Y84" i="3"/>
  <c r="Y76" i="3"/>
  <c r="Y68" i="3"/>
  <c r="Y60" i="3"/>
  <c r="Y52" i="3"/>
  <c r="Y44" i="3"/>
  <c r="Y36" i="3"/>
  <c r="Y28" i="3"/>
  <c r="Y20" i="3"/>
  <c r="Y12" i="3"/>
  <c r="Y4" i="3"/>
  <c r="I23" i="3"/>
  <c r="I55" i="3"/>
  <c r="I87" i="3"/>
  <c r="I119" i="3"/>
  <c r="Y19" i="3"/>
  <c r="Y51" i="3"/>
  <c r="Y83" i="3"/>
  <c r="Y115" i="3"/>
  <c r="Y147" i="3"/>
  <c r="I29" i="3"/>
  <c r="I61" i="3"/>
  <c r="I93" i="3"/>
  <c r="Y25" i="3"/>
  <c r="Y57" i="3"/>
  <c r="Y89" i="3"/>
  <c r="Y121" i="3"/>
  <c r="Y153" i="3"/>
  <c r="H3" i="3"/>
  <c r="I3" i="3" s="1"/>
  <c r="I134" i="3"/>
  <c r="I126" i="3"/>
  <c r="I118" i="3"/>
  <c r="I110" i="3"/>
  <c r="I102" i="3"/>
  <c r="I94" i="3"/>
  <c r="I86" i="3"/>
  <c r="I78" i="3"/>
  <c r="I70" i="3"/>
  <c r="I62" i="3"/>
  <c r="I54" i="3"/>
  <c r="I46" i="3"/>
  <c r="I38" i="3"/>
  <c r="I30" i="3"/>
  <c r="I22" i="3"/>
  <c r="I14" i="3"/>
  <c r="I6" i="3"/>
  <c r="I132" i="3"/>
  <c r="I124" i="3"/>
  <c r="I116" i="3"/>
  <c r="I108" i="3"/>
  <c r="I100" i="3"/>
  <c r="I92" i="3"/>
  <c r="I84" i="3"/>
  <c r="I76" i="3"/>
  <c r="I68" i="3"/>
  <c r="I60" i="3"/>
  <c r="I52" i="3"/>
  <c r="I44" i="3"/>
  <c r="I36" i="3"/>
  <c r="I28" i="3"/>
  <c r="I20" i="3"/>
  <c r="I12" i="3"/>
  <c r="I4" i="3"/>
  <c r="I131" i="3"/>
  <c r="I123" i="3"/>
  <c r="I115" i="3"/>
  <c r="I107" i="3"/>
  <c r="I99" i="3"/>
  <c r="I91" i="3"/>
  <c r="I83" i="3"/>
  <c r="I75" i="3"/>
  <c r="I67" i="3"/>
  <c r="I59" i="3"/>
  <c r="I51" i="3"/>
  <c r="I43" i="3"/>
  <c r="I35" i="3"/>
  <c r="I27" i="3"/>
  <c r="I19" i="3"/>
  <c r="I11" i="3"/>
  <c r="I130" i="3"/>
  <c r="I122" i="3"/>
  <c r="I114" i="3"/>
  <c r="I106" i="3"/>
  <c r="I98" i="3"/>
  <c r="I90" i="3"/>
  <c r="I82" i="3"/>
  <c r="I74" i="3"/>
  <c r="I66" i="3"/>
  <c r="I58" i="3"/>
  <c r="I50" i="3"/>
  <c r="I42" i="3"/>
  <c r="I34" i="3"/>
  <c r="I26" i="3"/>
  <c r="I18" i="3"/>
  <c r="I10" i="3"/>
  <c r="I129" i="3"/>
  <c r="I121" i="3"/>
  <c r="I113" i="3"/>
  <c r="I105" i="3"/>
  <c r="I97" i="3"/>
  <c r="I89" i="3"/>
  <c r="I81" i="3"/>
  <c r="I73" i="3"/>
  <c r="I65" i="3"/>
  <c r="I57" i="3"/>
  <c r="I49" i="3"/>
  <c r="I41" i="3"/>
  <c r="I33" i="3"/>
  <c r="I25" i="3"/>
  <c r="I17" i="3"/>
  <c r="I9" i="3"/>
  <c r="I128" i="3"/>
  <c r="I120" i="3"/>
  <c r="I112" i="3"/>
  <c r="I104" i="3"/>
  <c r="I96" i="3"/>
  <c r="I88" i="3"/>
  <c r="I80" i="3"/>
  <c r="I72" i="3"/>
  <c r="I64" i="3"/>
  <c r="I56" i="3"/>
  <c r="I48" i="3"/>
  <c r="I40" i="3"/>
  <c r="I32" i="3"/>
  <c r="I24" i="3"/>
  <c r="I16" i="3"/>
  <c r="I8" i="3"/>
  <c r="I31" i="3"/>
  <c r="I63" i="3"/>
  <c r="I95" i="3"/>
  <c r="I127" i="3"/>
  <c r="I5" i="3"/>
  <c r="I37" i="3"/>
  <c r="I69" i="3"/>
  <c r="I101" i="3"/>
  <c r="I133" i="3"/>
  <c r="Y33" i="3"/>
  <c r="Y65" i="3"/>
  <c r="Y97" i="3"/>
  <c r="Y129" i="3"/>
  <c r="Y161" i="3"/>
  <c r="H187" i="1"/>
  <c r="H188" i="1"/>
  <c r="H186" i="1"/>
  <c r="H185" i="1"/>
  <c r="M98" i="131" l="1"/>
  <c r="M99" i="131"/>
  <c r="M70" i="131"/>
  <c r="M81" i="131"/>
  <c r="Z219" i="131"/>
  <c r="X217" i="131"/>
  <c r="Z217" i="131"/>
  <c r="X218" i="131"/>
  <c r="X219" i="131"/>
  <c r="M90" i="131"/>
  <c r="Z218" i="131"/>
  <c r="M61" i="131"/>
  <c r="M60" i="131"/>
  <c r="M71" i="131"/>
  <c r="M91" i="131"/>
  <c r="C137" i="131"/>
  <c r="C130" i="131"/>
  <c r="D130" i="131"/>
  <c r="G128" i="131" s="1"/>
  <c r="K128" i="131" s="1"/>
  <c r="D137" i="131"/>
  <c r="D126" i="131"/>
  <c r="D133" i="131"/>
  <c r="AB3" i="3" a="1"/>
  <c r="AB3" i="3" s="1"/>
  <c r="L3" i="3" a="1"/>
  <c r="N51" i="131" l="1"/>
  <c r="N52" i="131"/>
  <c r="H128" i="131"/>
  <c r="L128" i="131" s="1"/>
  <c r="G133" i="131"/>
  <c r="K133" i="131" s="1"/>
  <c r="H135" i="131"/>
  <c r="L135" i="131" s="1"/>
  <c r="H136" i="131"/>
  <c r="L136" i="131" s="1"/>
  <c r="H134" i="131"/>
  <c r="L134" i="131" s="1"/>
  <c r="G136" i="131"/>
  <c r="K136" i="131" s="1"/>
  <c r="H129" i="131"/>
  <c r="L129" i="131" s="1"/>
  <c r="G134" i="131"/>
  <c r="K134" i="131" s="1"/>
  <c r="G127" i="131"/>
  <c r="K127" i="131" s="1"/>
  <c r="G135" i="131"/>
  <c r="K135" i="131" s="1"/>
  <c r="H127" i="131"/>
  <c r="L127" i="131" s="1"/>
  <c r="G126" i="131"/>
  <c r="H126" i="131"/>
  <c r="L126" i="131" s="1"/>
  <c r="H133" i="131"/>
  <c r="L133" i="131" s="1"/>
  <c r="G129" i="131"/>
  <c r="K129" i="131" s="1"/>
  <c r="O8" i="3"/>
  <c r="O7" i="3"/>
  <c r="O6" i="3"/>
  <c r="O5" i="3"/>
  <c r="O4" i="3"/>
  <c r="L3" i="3"/>
  <c r="O3" i="3" s="1"/>
  <c r="N9" i="3"/>
  <c r="EC17" i="15"/>
  <c r="DP25" i="15"/>
  <c r="DU11" i="15"/>
  <c r="DS10" i="15"/>
  <c r="DR9" i="15"/>
  <c r="DV17" i="15"/>
  <c r="DO3" i="15"/>
  <c r="DP3" i="15"/>
  <c r="DQ3" i="15"/>
  <c r="DR3" i="15"/>
  <c r="DS3" i="15"/>
  <c r="DT3" i="15"/>
  <c r="DU3" i="15"/>
  <c r="DV3" i="15"/>
  <c r="DW3" i="15"/>
  <c r="DX3" i="15"/>
  <c r="DY3" i="15"/>
  <c r="DZ3" i="15"/>
  <c r="EA3" i="15"/>
  <c r="EB3" i="15"/>
  <c r="EC3" i="15"/>
  <c r="ED3" i="15"/>
  <c r="EE3" i="15"/>
  <c r="EF3" i="15"/>
  <c r="DO4" i="15"/>
  <c r="DP4" i="15"/>
  <c r="DQ4" i="15"/>
  <c r="DR4" i="15"/>
  <c r="DS4" i="15"/>
  <c r="DT4" i="15"/>
  <c r="DU4" i="15"/>
  <c r="DV4" i="15"/>
  <c r="DW4" i="15"/>
  <c r="DX4" i="15"/>
  <c r="DY4" i="15"/>
  <c r="DZ4" i="15"/>
  <c r="EA4" i="15"/>
  <c r="EB4" i="15"/>
  <c r="EC4" i="15"/>
  <c r="ED4" i="15"/>
  <c r="EE4" i="15"/>
  <c r="EF4" i="15"/>
  <c r="DO5" i="15"/>
  <c r="DP5" i="15"/>
  <c r="DQ5" i="15"/>
  <c r="DR5" i="15"/>
  <c r="DS5" i="15"/>
  <c r="DT5" i="15"/>
  <c r="DU5" i="15"/>
  <c r="DV5" i="15"/>
  <c r="DW5" i="15"/>
  <c r="DX5" i="15"/>
  <c r="DY5" i="15"/>
  <c r="DZ5" i="15"/>
  <c r="EA5" i="15"/>
  <c r="EB5" i="15"/>
  <c r="EC5" i="15"/>
  <c r="ED5" i="15"/>
  <c r="EE5" i="15"/>
  <c r="EF5" i="15"/>
  <c r="DO6" i="15"/>
  <c r="DP6" i="15"/>
  <c r="DQ6" i="15"/>
  <c r="DR6" i="15"/>
  <c r="DS6" i="15"/>
  <c r="DT6" i="15"/>
  <c r="DU6" i="15"/>
  <c r="DV6" i="15"/>
  <c r="DW6" i="15"/>
  <c r="DX6" i="15"/>
  <c r="DY6" i="15"/>
  <c r="DZ6" i="15"/>
  <c r="EA6" i="15"/>
  <c r="EB6" i="15"/>
  <c r="EC6" i="15"/>
  <c r="ED6" i="15"/>
  <c r="EE6" i="15"/>
  <c r="EF6" i="15"/>
  <c r="DO7" i="15"/>
  <c r="DP7" i="15"/>
  <c r="DQ7" i="15"/>
  <c r="DR7" i="15"/>
  <c r="DS7" i="15"/>
  <c r="DT7" i="15"/>
  <c r="DU7" i="15"/>
  <c r="DV7" i="15"/>
  <c r="DW7" i="15"/>
  <c r="DX7" i="15"/>
  <c r="DY7" i="15"/>
  <c r="DZ7" i="15"/>
  <c r="EA7" i="15"/>
  <c r="EB7" i="15"/>
  <c r="EC7" i="15"/>
  <c r="ED7" i="15"/>
  <c r="EE7" i="15"/>
  <c r="EF7" i="15"/>
  <c r="DO8" i="15"/>
  <c r="DP8" i="15"/>
  <c r="DQ8" i="15"/>
  <c r="DR8" i="15"/>
  <c r="DS8" i="15"/>
  <c r="DT8" i="15"/>
  <c r="DU8" i="15"/>
  <c r="DV8" i="15"/>
  <c r="DW8" i="15"/>
  <c r="DX8" i="15"/>
  <c r="DY8" i="15"/>
  <c r="DZ8" i="15"/>
  <c r="EA8" i="15"/>
  <c r="EB8" i="15"/>
  <c r="EC8" i="15"/>
  <c r="ED8" i="15"/>
  <c r="EE8" i="15"/>
  <c r="EF8" i="15"/>
  <c r="DO9" i="15"/>
  <c r="DP9" i="15"/>
  <c r="DQ9" i="15"/>
  <c r="DS9" i="15"/>
  <c r="DT9" i="15"/>
  <c r="DU9" i="15"/>
  <c r="DV9" i="15"/>
  <c r="DW9" i="15"/>
  <c r="DX9" i="15"/>
  <c r="DY9" i="15"/>
  <c r="DZ9" i="15"/>
  <c r="EA9" i="15"/>
  <c r="EB9" i="15"/>
  <c r="EC9" i="15"/>
  <c r="ED9" i="15"/>
  <c r="EE9" i="15"/>
  <c r="EF9" i="15"/>
  <c r="DO10" i="15"/>
  <c r="DP10" i="15"/>
  <c r="DQ10" i="15"/>
  <c r="DR10" i="15"/>
  <c r="DT10" i="15"/>
  <c r="DU10" i="15"/>
  <c r="DV10" i="15"/>
  <c r="DW10" i="15"/>
  <c r="DX10" i="15"/>
  <c r="DY10" i="15"/>
  <c r="DZ10" i="15"/>
  <c r="EA10" i="15"/>
  <c r="EB10" i="15"/>
  <c r="EC10" i="15"/>
  <c r="ED10" i="15"/>
  <c r="EE10" i="15"/>
  <c r="EF10" i="15"/>
  <c r="DO11" i="15"/>
  <c r="DP11" i="15"/>
  <c r="DQ11" i="15"/>
  <c r="DR11" i="15"/>
  <c r="DS11" i="15"/>
  <c r="DT11" i="15"/>
  <c r="DV11" i="15"/>
  <c r="DW11" i="15"/>
  <c r="DX11" i="15"/>
  <c r="DY11" i="15"/>
  <c r="DZ11" i="15"/>
  <c r="EA11" i="15"/>
  <c r="EB11" i="15"/>
  <c r="EC11" i="15"/>
  <c r="ED11" i="15"/>
  <c r="EE11" i="15"/>
  <c r="EF11" i="15"/>
  <c r="DO12" i="15"/>
  <c r="DP12" i="15"/>
  <c r="DQ12" i="15"/>
  <c r="DR12" i="15"/>
  <c r="DS12" i="15"/>
  <c r="DT12" i="15"/>
  <c r="DU12" i="15"/>
  <c r="DV12" i="15"/>
  <c r="DW12" i="15"/>
  <c r="DX12" i="15"/>
  <c r="DY12" i="15"/>
  <c r="DZ12" i="15"/>
  <c r="EA12" i="15"/>
  <c r="EB12" i="15"/>
  <c r="EC12" i="15"/>
  <c r="ED12" i="15"/>
  <c r="EE12" i="15"/>
  <c r="EF12" i="15"/>
  <c r="DO13" i="15"/>
  <c r="DP13" i="15"/>
  <c r="DQ13" i="15"/>
  <c r="DR13" i="15"/>
  <c r="DS13" i="15"/>
  <c r="DT13" i="15"/>
  <c r="DU13" i="15"/>
  <c r="DV13" i="15"/>
  <c r="DW13" i="15"/>
  <c r="DX13" i="15"/>
  <c r="DY13" i="15"/>
  <c r="DZ13" i="15"/>
  <c r="EA13" i="15"/>
  <c r="EB13" i="15"/>
  <c r="EC13" i="15"/>
  <c r="ED13" i="15"/>
  <c r="EE13" i="15"/>
  <c r="EF13" i="15"/>
  <c r="DO14" i="15"/>
  <c r="DP14" i="15"/>
  <c r="DQ14" i="15"/>
  <c r="DR14" i="15"/>
  <c r="DS14" i="15"/>
  <c r="DT14" i="15"/>
  <c r="DU14" i="15"/>
  <c r="DV14" i="15"/>
  <c r="DW14" i="15"/>
  <c r="DX14" i="15"/>
  <c r="DY14" i="15"/>
  <c r="DZ14" i="15"/>
  <c r="EA14" i="15"/>
  <c r="EB14" i="15"/>
  <c r="EC14" i="15"/>
  <c r="ED14" i="15"/>
  <c r="EE14" i="15"/>
  <c r="EF14" i="15"/>
  <c r="DO15" i="15"/>
  <c r="DP15" i="15"/>
  <c r="DQ15" i="15"/>
  <c r="DR15" i="15"/>
  <c r="DS15" i="15"/>
  <c r="DT15" i="15"/>
  <c r="DU15" i="15"/>
  <c r="DV15" i="15"/>
  <c r="DW15" i="15"/>
  <c r="DX15" i="15"/>
  <c r="DY15" i="15"/>
  <c r="DZ15" i="15"/>
  <c r="EA15" i="15"/>
  <c r="EB15" i="15"/>
  <c r="EC15" i="15"/>
  <c r="ED15" i="15"/>
  <c r="EE15" i="15"/>
  <c r="EF15" i="15"/>
  <c r="DO16" i="15"/>
  <c r="DP16" i="15"/>
  <c r="DQ16" i="15"/>
  <c r="DR16" i="15"/>
  <c r="DS16" i="15"/>
  <c r="DT16" i="15"/>
  <c r="DU16" i="15"/>
  <c r="DV16" i="15"/>
  <c r="DW16" i="15"/>
  <c r="DX16" i="15"/>
  <c r="DY16" i="15"/>
  <c r="DZ16" i="15"/>
  <c r="EA16" i="15"/>
  <c r="EB16" i="15"/>
  <c r="EC16" i="15"/>
  <c r="ED16" i="15"/>
  <c r="EE16" i="15"/>
  <c r="EF16" i="15"/>
  <c r="DO17" i="15"/>
  <c r="DP17" i="15"/>
  <c r="DQ17" i="15"/>
  <c r="DR17" i="15"/>
  <c r="DS17" i="15"/>
  <c r="DT17" i="15"/>
  <c r="DU17" i="15"/>
  <c r="DW17" i="15"/>
  <c r="DX17" i="15"/>
  <c r="DY17" i="15"/>
  <c r="DZ17" i="15"/>
  <c r="EA17" i="15"/>
  <c r="EB17" i="15"/>
  <c r="ED17" i="15"/>
  <c r="EE17" i="15"/>
  <c r="EF17" i="15"/>
  <c r="DO18" i="15"/>
  <c r="DP18" i="15"/>
  <c r="DQ18" i="15"/>
  <c r="DR18" i="15"/>
  <c r="DS18" i="15"/>
  <c r="DT18" i="15"/>
  <c r="DU18" i="15"/>
  <c r="DV18" i="15"/>
  <c r="DW18" i="15"/>
  <c r="DX18" i="15"/>
  <c r="DY18" i="15"/>
  <c r="DZ18" i="15"/>
  <c r="EA18" i="15"/>
  <c r="EB18" i="15"/>
  <c r="EC18" i="15"/>
  <c r="ED18" i="15"/>
  <c r="EE18" i="15"/>
  <c r="EF18" i="15"/>
  <c r="DO19" i="15"/>
  <c r="DP19" i="15"/>
  <c r="DQ19" i="15"/>
  <c r="DR19" i="15"/>
  <c r="DS19" i="15"/>
  <c r="DT19" i="15"/>
  <c r="DU19" i="15"/>
  <c r="DV19" i="15"/>
  <c r="DW19" i="15"/>
  <c r="DX19" i="15"/>
  <c r="DY19" i="15"/>
  <c r="DZ19" i="15"/>
  <c r="EA19" i="15"/>
  <c r="EB19" i="15"/>
  <c r="EC19" i="15"/>
  <c r="ED19" i="15"/>
  <c r="EE19" i="15"/>
  <c r="EF19" i="15"/>
  <c r="DO20" i="15"/>
  <c r="DP20" i="15"/>
  <c r="DQ20" i="15"/>
  <c r="DR20" i="15"/>
  <c r="DS20" i="15"/>
  <c r="DT20" i="15"/>
  <c r="DU20" i="15"/>
  <c r="DV20" i="15"/>
  <c r="DW20" i="15"/>
  <c r="DX20" i="15"/>
  <c r="DY20" i="15"/>
  <c r="DZ20" i="15"/>
  <c r="EA20" i="15"/>
  <c r="EB20" i="15"/>
  <c r="EC20" i="15"/>
  <c r="ED20" i="15"/>
  <c r="EE20" i="15"/>
  <c r="EF20" i="15"/>
  <c r="DO21" i="15"/>
  <c r="DP21" i="15"/>
  <c r="DQ21" i="15"/>
  <c r="DR21" i="15"/>
  <c r="DS21" i="15"/>
  <c r="DT21" i="15"/>
  <c r="DU21" i="15"/>
  <c r="DV21" i="15"/>
  <c r="DW21" i="15"/>
  <c r="DX21" i="15"/>
  <c r="DY21" i="15"/>
  <c r="DZ21" i="15"/>
  <c r="EA21" i="15"/>
  <c r="EB21" i="15"/>
  <c r="EC21" i="15"/>
  <c r="ED21" i="15"/>
  <c r="EE21" i="15"/>
  <c r="EF21" i="15"/>
  <c r="DO22" i="15"/>
  <c r="DP22" i="15"/>
  <c r="DQ22" i="15"/>
  <c r="DR22" i="15"/>
  <c r="DS22" i="15"/>
  <c r="DT22" i="15"/>
  <c r="DU22" i="15"/>
  <c r="DV22" i="15"/>
  <c r="DW22" i="15"/>
  <c r="DX22" i="15"/>
  <c r="DY22" i="15"/>
  <c r="DZ22" i="15"/>
  <c r="EA22" i="15"/>
  <c r="EB22" i="15"/>
  <c r="EC22" i="15"/>
  <c r="ED22" i="15"/>
  <c r="EE22" i="15"/>
  <c r="EF22" i="15"/>
  <c r="DO23" i="15"/>
  <c r="DP23" i="15"/>
  <c r="DQ23" i="15"/>
  <c r="DR23" i="15"/>
  <c r="DS23" i="15"/>
  <c r="DT23" i="15"/>
  <c r="DU23" i="15"/>
  <c r="DV23" i="15"/>
  <c r="DW23" i="15"/>
  <c r="DX23" i="15"/>
  <c r="DY23" i="15"/>
  <c r="DZ23" i="15"/>
  <c r="EA23" i="15"/>
  <c r="EB23" i="15"/>
  <c r="EC23" i="15"/>
  <c r="ED23" i="15"/>
  <c r="EE23" i="15"/>
  <c r="EF23" i="15"/>
  <c r="DO24" i="15"/>
  <c r="DP24" i="15"/>
  <c r="DQ24" i="15"/>
  <c r="DR24" i="15"/>
  <c r="DS24" i="15"/>
  <c r="DT24" i="15"/>
  <c r="DU24" i="15"/>
  <c r="DV24" i="15"/>
  <c r="DW24" i="15"/>
  <c r="DX24" i="15"/>
  <c r="DY24" i="15"/>
  <c r="DZ24" i="15"/>
  <c r="EA24" i="15"/>
  <c r="EB24" i="15"/>
  <c r="EC24" i="15"/>
  <c r="ED24" i="15"/>
  <c r="EE24" i="15"/>
  <c r="EF24" i="15"/>
  <c r="DO25" i="15"/>
  <c r="DQ25" i="15"/>
  <c r="DR25" i="15"/>
  <c r="DS25" i="15"/>
  <c r="DT25" i="15"/>
  <c r="DU25" i="15"/>
  <c r="DV25" i="15"/>
  <c r="DW25" i="15"/>
  <c r="DX25" i="15"/>
  <c r="DY25" i="15"/>
  <c r="DZ25" i="15"/>
  <c r="EA25" i="15"/>
  <c r="EB25" i="15"/>
  <c r="EC25" i="15"/>
  <c r="ED25" i="15"/>
  <c r="EE25" i="15"/>
  <c r="EF25" i="15"/>
  <c r="DO26" i="15"/>
  <c r="DP26" i="15"/>
  <c r="DQ26" i="15"/>
  <c r="DR26" i="15"/>
  <c r="DS26" i="15"/>
  <c r="DT26" i="15"/>
  <c r="DU26" i="15"/>
  <c r="DV26" i="15"/>
  <c r="DW26" i="15"/>
  <c r="DX26" i="15"/>
  <c r="DY26" i="15"/>
  <c r="DZ26" i="15"/>
  <c r="EA26" i="15"/>
  <c r="EB26" i="15"/>
  <c r="EC26" i="15"/>
  <c r="ED26" i="15"/>
  <c r="EE26" i="15"/>
  <c r="EF26" i="15"/>
  <c r="DO27" i="15"/>
  <c r="DP27" i="15"/>
  <c r="DQ27" i="15"/>
  <c r="DR27" i="15"/>
  <c r="DS27" i="15"/>
  <c r="DT27" i="15"/>
  <c r="DU27" i="15"/>
  <c r="DV27" i="15"/>
  <c r="DW27" i="15"/>
  <c r="DX27" i="15"/>
  <c r="DY27" i="15"/>
  <c r="DZ27" i="15"/>
  <c r="EA27" i="15"/>
  <c r="EB27" i="15"/>
  <c r="EC27" i="15"/>
  <c r="ED27" i="15"/>
  <c r="EE27" i="15"/>
  <c r="EF27" i="15"/>
  <c r="DO28" i="15"/>
  <c r="DP28" i="15"/>
  <c r="DQ28" i="15"/>
  <c r="DR28" i="15"/>
  <c r="DS28" i="15"/>
  <c r="DT28" i="15"/>
  <c r="DU28" i="15"/>
  <c r="DV28" i="15"/>
  <c r="DW28" i="15"/>
  <c r="DX28" i="15"/>
  <c r="DY28" i="15"/>
  <c r="DZ28" i="15"/>
  <c r="EA28" i="15"/>
  <c r="EB28" i="15"/>
  <c r="EC28" i="15"/>
  <c r="ED28" i="15"/>
  <c r="EE28" i="15"/>
  <c r="EF28" i="15"/>
  <c r="DO29" i="15"/>
  <c r="DP29" i="15"/>
  <c r="DQ29" i="15"/>
  <c r="DR29" i="15"/>
  <c r="DS29" i="15"/>
  <c r="DT29" i="15"/>
  <c r="DU29" i="15"/>
  <c r="DV29" i="15"/>
  <c r="DW29" i="15"/>
  <c r="DX29" i="15"/>
  <c r="DY29" i="15"/>
  <c r="DZ29" i="15"/>
  <c r="EA29" i="15"/>
  <c r="EB29" i="15"/>
  <c r="EC29" i="15"/>
  <c r="ED29" i="15"/>
  <c r="EE29" i="15"/>
  <c r="EF29" i="15"/>
  <c r="DO30" i="15"/>
  <c r="DP30" i="15"/>
  <c r="DQ30" i="15"/>
  <c r="DR30" i="15"/>
  <c r="DS30" i="15"/>
  <c r="DT30" i="15"/>
  <c r="DU30" i="15"/>
  <c r="DV30" i="15"/>
  <c r="DW30" i="15"/>
  <c r="DX30" i="15"/>
  <c r="DY30" i="15"/>
  <c r="DZ30" i="15"/>
  <c r="EA30" i="15"/>
  <c r="EB30" i="15"/>
  <c r="EC30" i="15"/>
  <c r="ED30" i="15"/>
  <c r="EE30" i="15"/>
  <c r="EF30" i="15"/>
  <c r="DO31" i="15"/>
  <c r="DP31" i="15"/>
  <c r="DQ31" i="15"/>
  <c r="DR31" i="15"/>
  <c r="DS31" i="15"/>
  <c r="DT31" i="15"/>
  <c r="DU31" i="15"/>
  <c r="DV31" i="15"/>
  <c r="DW31" i="15"/>
  <c r="DX31" i="15"/>
  <c r="DY31" i="15"/>
  <c r="DZ31" i="15"/>
  <c r="EA31" i="15"/>
  <c r="EB31" i="15"/>
  <c r="EC31" i="15"/>
  <c r="ED31" i="15"/>
  <c r="EE31" i="15"/>
  <c r="EF31" i="15"/>
  <c r="DO32" i="15"/>
  <c r="DP32" i="15"/>
  <c r="DQ32" i="15"/>
  <c r="DR32" i="15"/>
  <c r="DS32" i="15"/>
  <c r="DT32" i="15"/>
  <c r="DU32" i="15"/>
  <c r="DV32" i="15"/>
  <c r="DW32" i="15"/>
  <c r="DX32" i="15"/>
  <c r="DY32" i="15"/>
  <c r="DZ32" i="15"/>
  <c r="EA32" i="15"/>
  <c r="EB32" i="15"/>
  <c r="EC32" i="15"/>
  <c r="ED32" i="15"/>
  <c r="EE32" i="15"/>
  <c r="EF32" i="15"/>
  <c r="DO33" i="15"/>
  <c r="DP33" i="15"/>
  <c r="DQ33" i="15"/>
  <c r="DR33" i="15"/>
  <c r="DS33" i="15"/>
  <c r="DT33" i="15"/>
  <c r="DU33" i="15"/>
  <c r="DV33" i="15"/>
  <c r="DW33" i="15"/>
  <c r="DX33" i="15"/>
  <c r="DY33" i="15"/>
  <c r="DZ33" i="15"/>
  <c r="EA33" i="15"/>
  <c r="EB33" i="15"/>
  <c r="EC33" i="15"/>
  <c r="ED33" i="15"/>
  <c r="EE33" i="15"/>
  <c r="EF33" i="15"/>
  <c r="DO34" i="15"/>
  <c r="DP34" i="15"/>
  <c r="DQ34" i="15"/>
  <c r="DR34" i="15"/>
  <c r="DS34" i="15"/>
  <c r="DT34" i="15"/>
  <c r="DU34" i="15"/>
  <c r="DV34" i="15"/>
  <c r="DW34" i="15"/>
  <c r="DX34" i="15"/>
  <c r="DY34" i="15"/>
  <c r="DZ34" i="15"/>
  <c r="EA34" i="15"/>
  <c r="EB34" i="15"/>
  <c r="EC34" i="15"/>
  <c r="ED34" i="15"/>
  <c r="EE34" i="15"/>
  <c r="EF34" i="15"/>
  <c r="DO35" i="15"/>
  <c r="DP35" i="15"/>
  <c r="DQ35" i="15"/>
  <c r="DR35" i="15"/>
  <c r="DS35" i="15"/>
  <c r="DT35" i="15"/>
  <c r="DU35" i="15"/>
  <c r="DV35" i="15"/>
  <c r="DW35" i="15"/>
  <c r="DX35" i="15"/>
  <c r="DY35" i="15"/>
  <c r="DZ35" i="15"/>
  <c r="EA35" i="15"/>
  <c r="EB35" i="15"/>
  <c r="EC35" i="15"/>
  <c r="ED35" i="15"/>
  <c r="EE35" i="15"/>
  <c r="EF35" i="15"/>
  <c r="DO36" i="15"/>
  <c r="DP36" i="15"/>
  <c r="DQ36" i="15"/>
  <c r="DR36" i="15"/>
  <c r="DS36" i="15"/>
  <c r="DT36" i="15"/>
  <c r="DU36" i="15"/>
  <c r="DV36" i="15"/>
  <c r="DW36" i="15"/>
  <c r="DX36" i="15"/>
  <c r="DY36" i="15"/>
  <c r="DZ36" i="15"/>
  <c r="EA36" i="15"/>
  <c r="EB36" i="15"/>
  <c r="EC36" i="15"/>
  <c r="ED36" i="15"/>
  <c r="EE36" i="15"/>
  <c r="EF36" i="15"/>
  <c r="DO37" i="15"/>
  <c r="DP37" i="15"/>
  <c r="DQ37" i="15"/>
  <c r="DR37" i="15"/>
  <c r="DS37" i="15"/>
  <c r="DT37" i="15"/>
  <c r="DU37" i="15"/>
  <c r="DV37" i="15"/>
  <c r="DW37" i="15"/>
  <c r="DX37" i="15"/>
  <c r="DY37" i="15"/>
  <c r="DZ37" i="15"/>
  <c r="EA37" i="15"/>
  <c r="EB37" i="15"/>
  <c r="EC37" i="15"/>
  <c r="ED37" i="15"/>
  <c r="EE37" i="15"/>
  <c r="EF37" i="15"/>
  <c r="DO38" i="15"/>
  <c r="DP38" i="15"/>
  <c r="DQ38" i="15"/>
  <c r="DR38" i="15"/>
  <c r="DS38" i="15"/>
  <c r="DT38" i="15"/>
  <c r="DU38" i="15"/>
  <c r="DV38" i="15"/>
  <c r="DW38" i="15"/>
  <c r="DX38" i="15"/>
  <c r="DY38" i="15"/>
  <c r="DZ38" i="15"/>
  <c r="EA38" i="15"/>
  <c r="EB38" i="15"/>
  <c r="EC38" i="15"/>
  <c r="ED38" i="15"/>
  <c r="EE38" i="15"/>
  <c r="EF38" i="15"/>
  <c r="DO39" i="15"/>
  <c r="DP39" i="15"/>
  <c r="DQ39" i="15"/>
  <c r="DR39" i="15"/>
  <c r="DS39" i="15"/>
  <c r="DT39" i="15"/>
  <c r="DU39" i="15"/>
  <c r="DV39" i="15"/>
  <c r="DW39" i="15"/>
  <c r="DX39" i="15"/>
  <c r="DY39" i="15"/>
  <c r="DZ39" i="15"/>
  <c r="EA39" i="15"/>
  <c r="EB39" i="15"/>
  <c r="EC39" i="15"/>
  <c r="ED39" i="15"/>
  <c r="EE39" i="15"/>
  <c r="EF39" i="15"/>
  <c r="DO40" i="15"/>
  <c r="DP40" i="15"/>
  <c r="DQ40" i="15"/>
  <c r="DR40" i="15"/>
  <c r="DS40" i="15"/>
  <c r="DT40" i="15"/>
  <c r="DU40" i="15"/>
  <c r="DV40" i="15"/>
  <c r="DW40" i="15"/>
  <c r="DX40" i="15"/>
  <c r="DY40" i="15"/>
  <c r="DZ40" i="15"/>
  <c r="EA40" i="15"/>
  <c r="EB40" i="15"/>
  <c r="EC40" i="15"/>
  <c r="ED40" i="15"/>
  <c r="EE40" i="15"/>
  <c r="EF40" i="15"/>
  <c r="DO41" i="15"/>
  <c r="DP41" i="15"/>
  <c r="DQ41" i="15"/>
  <c r="DR41" i="15"/>
  <c r="DS41" i="15"/>
  <c r="DT41" i="15"/>
  <c r="DU41" i="15"/>
  <c r="DV41" i="15"/>
  <c r="DW41" i="15"/>
  <c r="DX41" i="15"/>
  <c r="DY41" i="15"/>
  <c r="DZ41" i="15"/>
  <c r="EA41" i="15"/>
  <c r="EB41" i="15"/>
  <c r="EC41" i="15"/>
  <c r="ED41" i="15"/>
  <c r="EE41" i="15"/>
  <c r="EF41" i="15"/>
  <c r="EF42" i="15"/>
  <c r="DN4" i="15"/>
  <c r="DN5" i="15"/>
  <c r="DN6" i="15"/>
  <c r="DN7" i="15"/>
  <c r="DN8" i="15"/>
  <c r="DN9" i="15"/>
  <c r="DN10" i="15"/>
  <c r="DN11" i="15"/>
  <c r="DN12" i="15"/>
  <c r="DN13" i="15"/>
  <c r="DN14" i="15"/>
  <c r="DN15" i="15"/>
  <c r="DN16" i="15"/>
  <c r="DN17" i="15"/>
  <c r="DN18" i="15"/>
  <c r="DN19" i="15"/>
  <c r="DN20" i="15"/>
  <c r="DN21" i="15"/>
  <c r="DN22" i="15"/>
  <c r="DN23" i="15"/>
  <c r="DN24" i="15"/>
  <c r="DN25" i="15"/>
  <c r="DN26" i="15"/>
  <c r="DN27" i="15"/>
  <c r="DN28" i="15"/>
  <c r="DN29" i="15"/>
  <c r="DN30" i="15"/>
  <c r="DN31" i="15"/>
  <c r="DN32" i="15"/>
  <c r="DN33" i="15"/>
  <c r="DN34" i="15"/>
  <c r="DN35" i="15"/>
  <c r="DN36" i="15"/>
  <c r="DN37" i="15"/>
  <c r="DN38" i="15"/>
  <c r="DN39" i="15"/>
  <c r="DN40" i="15"/>
  <c r="DN41" i="15"/>
  <c r="DN3" i="15"/>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2" i="4"/>
  <c r="M136" i="131" l="1"/>
  <c r="O136" i="131"/>
  <c r="O129" i="131"/>
  <c r="K126" i="131"/>
  <c r="M129" i="131" s="1"/>
  <c r="AQ203" i="131" a="1"/>
  <c r="AQ203" i="131" s="1"/>
  <c r="AQ214" i="131" a="1"/>
  <c r="AQ214" i="131" s="1"/>
  <c r="AQ212" i="131" a="1"/>
  <c r="AQ212" i="131" s="1"/>
  <c r="AQ213" i="131" a="1"/>
  <c r="AQ213" i="131" s="1"/>
  <c r="AQ174" i="131" a="1"/>
  <c r="AQ174" i="131" s="1"/>
  <c r="AQ200" i="131" a="1"/>
  <c r="AQ200" i="131" s="1"/>
  <c r="AQ175" i="131" a="1"/>
  <c r="AQ175" i="131" s="1"/>
  <c r="AQ161" i="131" a="1"/>
  <c r="AQ161" i="131" s="1"/>
  <c r="AQ210" i="131" a="1"/>
  <c r="AQ210" i="131" s="1"/>
  <c r="AQ209" i="131" a="1"/>
  <c r="AQ209" i="131" s="1"/>
  <c r="AQ208" i="131" a="1"/>
  <c r="AQ208" i="131" s="1"/>
  <c r="AQ207" i="131" a="1"/>
  <c r="AQ207" i="131" s="1"/>
  <c r="AQ177" i="131" a="1"/>
  <c r="AQ177" i="131" s="1"/>
  <c r="AQ204" i="131" a="1"/>
  <c r="AQ204" i="131" s="1"/>
  <c r="AQ171" i="131" a="1"/>
  <c r="AQ171" i="131" s="1"/>
  <c r="AQ193" i="131" a="1"/>
  <c r="AQ193" i="131" s="1"/>
  <c r="AQ194" i="131" a="1"/>
  <c r="AQ194" i="131" s="1"/>
  <c r="AQ172" i="131" a="1"/>
  <c r="AQ172" i="131" s="1"/>
  <c r="AQ164" i="131" a="1"/>
  <c r="AQ164" i="131" s="1"/>
  <c r="AQ196" i="131" a="1"/>
  <c r="AQ196" i="131" s="1"/>
  <c r="AQ165" i="131" a="1"/>
  <c r="AQ165" i="131" s="1"/>
  <c r="AQ191" i="131" a="1"/>
  <c r="AQ191" i="131" s="1"/>
  <c r="AQ162" i="131" a="1"/>
  <c r="AQ162" i="131" s="1"/>
  <c r="AQ173" i="131" a="1"/>
  <c r="AQ173" i="131" s="1"/>
  <c r="AQ197" i="131" a="1"/>
  <c r="AQ197" i="131" s="1"/>
  <c r="AQ198" i="131" a="1"/>
  <c r="AQ198" i="131" s="1"/>
  <c r="AQ169" i="131" a="1"/>
  <c r="AQ169" i="131" s="1"/>
  <c r="AQ170" i="131" a="1"/>
  <c r="AQ170" i="131" s="1"/>
  <c r="AQ192" i="131" a="1"/>
  <c r="AQ192" i="131" s="1"/>
  <c r="AQ168" i="131" a="1"/>
  <c r="AQ168" i="131" s="1"/>
  <c r="AQ166" i="131" a="1"/>
  <c r="AQ166" i="131" s="1"/>
  <c r="AQ167" i="131" a="1"/>
  <c r="AQ167" i="131" s="1"/>
  <c r="AQ205" i="131" a="1"/>
  <c r="AQ205" i="131" s="1"/>
  <c r="AQ195" i="131" a="1"/>
  <c r="AQ195" i="131" s="1"/>
  <c r="AQ160" i="131" a="1"/>
  <c r="AQ160" i="131" s="1"/>
  <c r="AQ189" i="131" a="1"/>
  <c r="AQ189" i="131" s="1"/>
  <c r="AQ190" i="131" a="1"/>
  <c r="AQ190" i="131" s="1"/>
  <c r="AQ188" i="131" a="1"/>
  <c r="AQ188" i="131" s="1"/>
  <c r="AQ199" i="131" a="1"/>
  <c r="AQ199" i="131" s="1"/>
  <c r="AQ187" i="131" a="1"/>
  <c r="AQ187" i="131" s="1"/>
  <c r="AQ211" i="131" a="1"/>
  <c r="AQ211" i="131" s="1"/>
  <c r="AQ184" i="131" a="1"/>
  <c r="AQ184" i="131" s="1"/>
  <c r="AQ185" i="131" a="1"/>
  <c r="AQ185" i="131" s="1"/>
  <c r="AQ202" i="131" a="1"/>
  <c r="AQ202" i="131" s="1"/>
  <c r="AQ182" i="131" a="1"/>
  <c r="AQ182" i="131" s="1"/>
  <c r="AQ180" i="131" a="1"/>
  <c r="AQ180" i="131" s="1"/>
  <c r="AQ181" i="131" a="1"/>
  <c r="AQ181" i="131" s="1"/>
  <c r="AQ179" i="131" a="1"/>
  <c r="AQ179" i="131" s="1"/>
  <c r="AQ183" i="131" a="1"/>
  <c r="AQ183" i="131" s="1"/>
  <c r="AQ186" i="131" a="1"/>
  <c r="AQ186" i="131" s="1"/>
  <c r="AQ201" i="131" a="1"/>
  <c r="AQ201" i="131" s="1"/>
  <c r="AQ163" i="131" a="1"/>
  <c r="AQ163" i="131" s="1"/>
  <c r="AQ176" i="131" a="1"/>
  <c r="AQ176" i="131" s="1"/>
  <c r="AQ206" i="131" a="1"/>
  <c r="AQ206" i="131" s="1"/>
  <c r="AQ178" i="131" a="1"/>
  <c r="AQ178" i="131" s="1"/>
  <c r="AQ219" i="131" l="1"/>
  <c r="AQ218" i="131"/>
  <c r="AQ217" i="131"/>
  <c r="P129" i="131"/>
  <c r="P136" i="131"/>
  <c r="G192" i="1" l="1" a="1"/>
  <c r="G192" i="1" s="1"/>
  <c r="W40" i="4" l="1"/>
  <c r="W39" i="4"/>
  <c r="W38" i="4"/>
  <c r="W37" i="4"/>
  <c r="W36" i="4"/>
  <c r="W35" i="4"/>
  <c r="W34" i="4"/>
  <c r="W33" i="4"/>
  <c r="W32" i="4"/>
  <c r="W31" i="4"/>
  <c r="W30" i="4"/>
  <c r="W29" i="4"/>
  <c r="W28" i="4"/>
  <c r="W27" i="4"/>
  <c r="W26" i="4"/>
  <c r="W25" i="4"/>
  <c r="W24" i="4"/>
  <c r="W23" i="4"/>
  <c r="W22" i="4"/>
  <c r="W21" i="4"/>
  <c r="W20" i="4"/>
  <c r="W19" i="4"/>
  <c r="W18" i="4"/>
  <c r="W17" i="4"/>
  <c r="W16" i="4"/>
  <c r="W15" i="4"/>
  <c r="W14" i="4"/>
  <c r="W13" i="4"/>
  <c r="W12" i="4"/>
  <c r="W11" i="4"/>
  <c r="W10" i="4"/>
  <c r="W9" i="4"/>
  <c r="W8" i="4"/>
  <c r="W7" i="4"/>
  <c r="W6" i="4"/>
  <c r="W5" i="4"/>
  <c r="W4" i="4"/>
  <c r="W3" i="4"/>
  <c r="W2" i="4"/>
  <c r="AH33" i="4"/>
  <c r="C2" i="1"/>
  <c r="C3" i="1"/>
  <c r="B3" i="93" s="1" a="1"/>
  <c r="B3" i="93" s="1"/>
  <c r="C4" i="1"/>
  <c r="B4" i="93" s="1" a="1"/>
  <c r="B4" i="93" s="1"/>
  <c r="C5" i="1"/>
  <c r="B5" i="93" s="1" a="1"/>
  <c r="B5" i="93" s="1"/>
  <c r="C6" i="1"/>
  <c r="B6" i="93" s="1" a="1"/>
  <c r="B6" i="93" s="1"/>
  <c r="C7" i="1"/>
  <c r="B7" i="93" s="1" a="1"/>
  <c r="B7" i="93" s="1"/>
  <c r="C8" i="1"/>
  <c r="B8" i="93" s="1" a="1"/>
  <c r="B8" i="93" s="1"/>
  <c r="C9" i="1"/>
  <c r="B9" i="93" s="1" a="1"/>
  <c r="B9" i="93" s="1"/>
  <c r="C10" i="1"/>
  <c r="B10" i="93" s="1" a="1"/>
  <c r="B10" i="93" s="1"/>
  <c r="C11" i="1"/>
  <c r="B11" i="93" s="1" a="1"/>
  <c r="B11" i="93" s="1"/>
  <c r="C12" i="1"/>
  <c r="B12" i="93" s="1" a="1"/>
  <c r="B12" i="93" s="1"/>
  <c r="C13" i="1"/>
  <c r="B13" i="93" s="1" a="1"/>
  <c r="B13" i="93" s="1"/>
  <c r="C14" i="1"/>
  <c r="B14" i="93" s="1" a="1"/>
  <c r="B14" i="93" s="1"/>
  <c r="C15" i="1"/>
  <c r="B15" i="93" s="1" a="1"/>
  <c r="B15" i="93" s="1"/>
  <c r="C16" i="1"/>
  <c r="B16" i="93" s="1" a="1"/>
  <c r="B16" i="93" s="1"/>
  <c r="C17" i="1"/>
  <c r="B17" i="93" s="1" a="1"/>
  <c r="B17" i="93" s="1"/>
  <c r="C18" i="1"/>
  <c r="B18" i="93" s="1" a="1"/>
  <c r="B18" i="93" s="1"/>
  <c r="C19" i="1"/>
  <c r="B19" i="93" s="1" a="1"/>
  <c r="B19" i="93" s="1"/>
  <c r="C20" i="1"/>
  <c r="B20" i="93" s="1" a="1"/>
  <c r="B20" i="93" s="1"/>
  <c r="C21" i="1"/>
  <c r="B21" i="93" s="1" a="1"/>
  <c r="B21" i="93" s="1"/>
  <c r="C22" i="1"/>
  <c r="B22" i="93" s="1" a="1"/>
  <c r="B22" i="93" s="1"/>
  <c r="C23" i="1"/>
  <c r="B23" i="93" s="1" a="1"/>
  <c r="B23" i="93" s="1"/>
  <c r="C24" i="1"/>
  <c r="B24" i="93" s="1" a="1"/>
  <c r="B24" i="93" s="1"/>
  <c r="C25" i="1"/>
  <c r="B25" i="93" s="1" a="1"/>
  <c r="B25" i="93" s="1"/>
  <c r="C26" i="1"/>
  <c r="B26" i="93" s="1" a="1"/>
  <c r="B26" i="93" s="1"/>
  <c r="C27" i="1"/>
  <c r="B27" i="93" s="1" a="1"/>
  <c r="B27" i="93" s="1"/>
  <c r="C28" i="1"/>
  <c r="B28" i="93" s="1" a="1"/>
  <c r="B28" i="93" s="1"/>
  <c r="C29" i="1"/>
  <c r="B29" i="93" s="1" a="1"/>
  <c r="B29" i="93" s="1"/>
  <c r="C30" i="1"/>
  <c r="B30" i="93" s="1" a="1"/>
  <c r="B30" i="93" s="1"/>
  <c r="C31" i="1"/>
  <c r="B31" i="93" s="1" a="1"/>
  <c r="B31" i="93" s="1"/>
  <c r="C32" i="1"/>
  <c r="B32" i="93" s="1" a="1"/>
  <c r="B32" i="93" s="1"/>
  <c r="C33" i="1"/>
  <c r="B33" i="93" s="1" a="1"/>
  <c r="B33" i="93" s="1"/>
  <c r="C34" i="1"/>
  <c r="B34" i="93" s="1" a="1"/>
  <c r="B34" i="93" s="1"/>
  <c r="C35" i="1"/>
  <c r="B35" i="93" s="1" a="1"/>
  <c r="B35" i="93" s="1"/>
  <c r="C36" i="1"/>
  <c r="B36" i="93" s="1" a="1"/>
  <c r="B36" i="93" s="1"/>
  <c r="C37" i="1"/>
  <c r="B37" i="93" s="1" a="1"/>
  <c r="B37" i="93" s="1"/>
  <c r="C38" i="1"/>
  <c r="B38" i="93" s="1" a="1"/>
  <c r="B38" i="93" s="1"/>
  <c r="C39" i="1"/>
  <c r="B39" i="93" s="1" a="1"/>
  <c r="B39" i="93" s="1"/>
  <c r="C40" i="1"/>
  <c r="B40" i="93" s="1" a="1"/>
  <c r="B40" i="93" s="1"/>
  <c r="C41" i="1"/>
  <c r="B41" i="93" s="1" a="1"/>
  <c r="B41" i="93" s="1"/>
  <c r="C42" i="1"/>
  <c r="B42" i="93" s="1" a="1"/>
  <c r="B42" i="93" s="1"/>
  <c r="C43" i="1"/>
  <c r="B43" i="93" s="1" a="1"/>
  <c r="B43" i="93" s="1"/>
  <c r="C44" i="1"/>
  <c r="B44" i="93" s="1" a="1"/>
  <c r="B44" i="93" s="1"/>
  <c r="C45" i="1"/>
  <c r="B45" i="93" s="1" a="1"/>
  <c r="B45" i="93" s="1"/>
  <c r="C46" i="1"/>
  <c r="B46" i="93" s="1" a="1"/>
  <c r="B46" i="93" s="1"/>
  <c r="C47" i="1"/>
  <c r="B47" i="93" s="1" a="1"/>
  <c r="B47" i="93" s="1"/>
  <c r="C48" i="1"/>
  <c r="B48" i="93" s="1" a="1"/>
  <c r="B48" i="93" s="1"/>
  <c r="C49" i="1"/>
  <c r="B49" i="93" s="1" a="1"/>
  <c r="B49" i="93" s="1"/>
  <c r="C50" i="1"/>
  <c r="B50" i="93" s="1" a="1"/>
  <c r="B50" i="93" s="1"/>
  <c r="C51" i="1"/>
  <c r="B51" i="93" s="1" a="1"/>
  <c r="B51" i="93" s="1"/>
  <c r="C52" i="1"/>
  <c r="B52" i="93" s="1" a="1"/>
  <c r="B52" i="93" s="1"/>
  <c r="C53" i="1"/>
  <c r="B53" i="93" s="1" a="1"/>
  <c r="B53" i="93" s="1"/>
  <c r="C54" i="1"/>
  <c r="B54" i="93" s="1" a="1"/>
  <c r="B54" i="93" s="1"/>
  <c r="C55" i="1"/>
  <c r="B55" i="93" s="1" a="1"/>
  <c r="B55" i="93" s="1"/>
  <c r="C56" i="1"/>
  <c r="B56" i="93" s="1" a="1"/>
  <c r="B56" i="93" s="1"/>
  <c r="C57" i="1"/>
  <c r="B57" i="93" s="1" a="1"/>
  <c r="B57" i="93" s="1"/>
  <c r="C58" i="1"/>
  <c r="B58" i="93" s="1" a="1"/>
  <c r="B58" i="93" s="1"/>
  <c r="C59" i="1"/>
  <c r="B59" i="93" s="1" a="1"/>
  <c r="B59" i="93" s="1"/>
  <c r="C60" i="1"/>
  <c r="B60" i="93" s="1" a="1"/>
  <c r="B60" i="93" s="1"/>
  <c r="C61" i="1"/>
  <c r="B61" i="93" s="1" a="1"/>
  <c r="B61" i="93" s="1"/>
  <c r="C62" i="1"/>
  <c r="B62" i="93" s="1" a="1"/>
  <c r="B62" i="93" s="1"/>
  <c r="C63" i="1"/>
  <c r="B63" i="93" s="1" a="1"/>
  <c r="B63" i="93" s="1"/>
  <c r="C64" i="1"/>
  <c r="B64" i="93" s="1" a="1"/>
  <c r="B64" i="93" s="1"/>
  <c r="C65" i="1"/>
  <c r="B65" i="93" s="1" a="1"/>
  <c r="B65" i="93" s="1"/>
  <c r="C66" i="1"/>
  <c r="B66" i="93" s="1" a="1"/>
  <c r="B66" i="93" s="1"/>
  <c r="C67" i="1"/>
  <c r="B67" i="93" s="1" a="1"/>
  <c r="B67" i="93" s="1"/>
  <c r="C68" i="1"/>
  <c r="B68" i="93" s="1" a="1"/>
  <c r="B68" i="93" s="1"/>
  <c r="C69" i="1"/>
  <c r="B69" i="93" s="1" a="1"/>
  <c r="B69" i="93" s="1"/>
  <c r="C70" i="1"/>
  <c r="B70" i="93" s="1" a="1"/>
  <c r="B70" i="93" s="1"/>
  <c r="C71" i="1"/>
  <c r="B71" i="93" s="1" a="1"/>
  <c r="B71" i="93" s="1"/>
  <c r="C72" i="1"/>
  <c r="B72" i="93" s="1" a="1"/>
  <c r="B72" i="93" s="1"/>
  <c r="C73" i="1"/>
  <c r="B73" i="93" s="1" a="1"/>
  <c r="B73" i="93" s="1"/>
  <c r="C74" i="1"/>
  <c r="B74" i="93" s="1" a="1"/>
  <c r="B74" i="93" s="1"/>
  <c r="C75" i="1"/>
  <c r="B75" i="93" s="1" a="1"/>
  <c r="B75" i="93" s="1"/>
  <c r="C76" i="1"/>
  <c r="B76" i="93" s="1" a="1"/>
  <c r="B76" i="93" s="1"/>
  <c r="C77" i="1"/>
  <c r="B77" i="93" s="1" a="1"/>
  <c r="B77" i="93" s="1"/>
  <c r="C78" i="1"/>
  <c r="B78" i="93" s="1" a="1"/>
  <c r="B78" i="93" s="1"/>
  <c r="C79" i="1"/>
  <c r="B79" i="93" s="1" a="1"/>
  <c r="B79" i="93" s="1"/>
  <c r="C80" i="1"/>
  <c r="B80" i="93" s="1" a="1"/>
  <c r="B80" i="93" s="1"/>
  <c r="C81" i="1"/>
  <c r="B81" i="93" s="1" a="1"/>
  <c r="B81" i="93" s="1"/>
  <c r="C82" i="1"/>
  <c r="B82" i="93" s="1" a="1"/>
  <c r="B82" i="93" s="1"/>
  <c r="C83" i="1"/>
  <c r="B83" i="93" s="1" a="1"/>
  <c r="B83" i="93" s="1"/>
  <c r="C84" i="1"/>
  <c r="B84" i="93" s="1" a="1"/>
  <c r="B84" i="93" s="1"/>
  <c r="C85" i="1"/>
  <c r="B85" i="93" s="1" a="1"/>
  <c r="B85" i="93" s="1"/>
  <c r="C86" i="1"/>
  <c r="B86" i="93" s="1" a="1"/>
  <c r="B86" i="93" s="1"/>
  <c r="C87" i="1"/>
  <c r="B87" i="93" s="1" a="1"/>
  <c r="B87" i="93" s="1"/>
  <c r="C88" i="1"/>
  <c r="B88" i="93" s="1" a="1"/>
  <c r="B88" i="93" s="1"/>
  <c r="C89" i="1"/>
  <c r="B89" i="93" s="1" a="1"/>
  <c r="B89" i="93" s="1"/>
  <c r="C90" i="1"/>
  <c r="B90" i="93" s="1" a="1"/>
  <c r="B90" i="93" s="1"/>
  <c r="C91" i="1"/>
  <c r="B91" i="93" s="1" a="1"/>
  <c r="B91" i="93" s="1"/>
  <c r="C92" i="1"/>
  <c r="B92" i="93" s="1" a="1"/>
  <c r="B92" i="93" s="1"/>
  <c r="C93" i="1"/>
  <c r="B93" i="93" s="1" a="1"/>
  <c r="B93" i="93" s="1"/>
  <c r="C94" i="1"/>
  <c r="B94" i="93" s="1" a="1"/>
  <c r="B94" i="93" s="1"/>
  <c r="C95" i="1"/>
  <c r="B95" i="93" s="1" a="1"/>
  <c r="B95" i="93" s="1"/>
  <c r="C96" i="1"/>
  <c r="B96" i="93" s="1" a="1"/>
  <c r="B96" i="93" s="1"/>
  <c r="C97" i="1"/>
  <c r="B97" i="93" s="1" a="1"/>
  <c r="B97" i="93" s="1"/>
  <c r="C98" i="1"/>
  <c r="B98" i="93" s="1" a="1"/>
  <c r="B98" i="93" s="1"/>
  <c r="C99" i="1"/>
  <c r="B99" i="93" s="1" a="1"/>
  <c r="B99" i="93" s="1"/>
  <c r="C100" i="1"/>
  <c r="B100" i="93" s="1" a="1"/>
  <c r="B100" i="93" s="1"/>
  <c r="C101" i="1"/>
  <c r="B101" i="93" s="1" a="1"/>
  <c r="B101" i="93" s="1"/>
  <c r="C102" i="1"/>
  <c r="B102" i="93" s="1" a="1"/>
  <c r="B102" i="93" s="1"/>
  <c r="C103" i="1"/>
  <c r="B103" i="93" s="1" a="1"/>
  <c r="B103" i="93" s="1"/>
  <c r="C104" i="1"/>
  <c r="B104" i="93" s="1" a="1"/>
  <c r="B104" i="93" s="1"/>
  <c r="C105" i="1"/>
  <c r="B105" i="93" s="1" a="1"/>
  <c r="B105" i="93" s="1"/>
  <c r="C106" i="1"/>
  <c r="B106" i="93" s="1" a="1"/>
  <c r="B106" i="93" s="1"/>
  <c r="C107" i="1"/>
  <c r="B107" i="93" s="1" a="1"/>
  <c r="B107" i="93" s="1"/>
  <c r="C108" i="1"/>
  <c r="B108" i="93" s="1" a="1"/>
  <c r="B108" i="93" s="1"/>
  <c r="C109" i="1"/>
  <c r="B109" i="93" s="1" a="1"/>
  <c r="B109" i="93" s="1"/>
  <c r="C110" i="1"/>
  <c r="B110" i="93" s="1" a="1"/>
  <c r="B110" i="93" s="1"/>
  <c r="C111" i="1"/>
  <c r="B111" i="93" s="1" a="1"/>
  <c r="B111" i="93" s="1"/>
  <c r="C112" i="1"/>
  <c r="B112" i="93" s="1" a="1"/>
  <c r="B112" i="93" s="1"/>
  <c r="C113" i="1"/>
  <c r="B113" i="93" s="1" a="1"/>
  <c r="B113" i="93" s="1"/>
  <c r="C114" i="1"/>
  <c r="B114" i="93" s="1" a="1"/>
  <c r="B114" i="93" s="1"/>
  <c r="C115" i="1"/>
  <c r="B115" i="93" s="1" a="1"/>
  <c r="B115" i="93" s="1"/>
  <c r="C116" i="1"/>
  <c r="B116" i="93" s="1" a="1"/>
  <c r="B116" i="93" s="1"/>
  <c r="C117" i="1"/>
  <c r="B117" i="93" s="1" a="1"/>
  <c r="B117" i="93" s="1"/>
  <c r="C118" i="1"/>
  <c r="B118" i="93" s="1" a="1"/>
  <c r="B118" i="93" s="1"/>
  <c r="C119" i="1"/>
  <c r="B119" i="93" s="1" a="1"/>
  <c r="B119" i="93" s="1"/>
  <c r="C120" i="1"/>
  <c r="B120" i="93" s="1" a="1"/>
  <c r="B120" i="93" s="1"/>
  <c r="C121" i="1"/>
  <c r="B121" i="93" s="1" a="1"/>
  <c r="B121" i="93" s="1"/>
  <c r="C122" i="1"/>
  <c r="B122" i="93" s="1" a="1"/>
  <c r="B122" i="93" s="1"/>
  <c r="C123" i="1"/>
  <c r="B123" i="93" s="1" a="1"/>
  <c r="B123" i="93" s="1"/>
  <c r="C124" i="1"/>
  <c r="B124" i="93" s="1" a="1"/>
  <c r="B124" i="93" s="1"/>
  <c r="C125" i="1"/>
  <c r="B125" i="93" s="1" a="1"/>
  <c r="B125" i="93" s="1"/>
  <c r="C126" i="1"/>
  <c r="B126" i="93" s="1" a="1"/>
  <c r="B126" i="93" s="1"/>
  <c r="C127" i="1"/>
  <c r="B127" i="93" s="1" a="1"/>
  <c r="B127" i="93" s="1"/>
  <c r="C128" i="1"/>
  <c r="B128" i="93" s="1" a="1"/>
  <c r="B128" i="93" s="1"/>
  <c r="C129" i="1"/>
  <c r="B129" i="93" s="1" a="1"/>
  <c r="B129" i="93" s="1"/>
  <c r="C130" i="1"/>
  <c r="B130" i="93" s="1" a="1"/>
  <c r="B130" i="93" s="1"/>
  <c r="C131" i="1"/>
  <c r="B131" i="93" s="1" a="1"/>
  <c r="B131" i="93" s="1"/>
  <c r="C132" i="1"/>
  <c r="B132" i="93" s="1" a="1"/>
  <c r="B132" i="93" s="1"/>
  <c r="C133" i="1"/>
  <c r="B133" i="93" s="1" a="1"/>
  <c r="B133" i="93" s="1"/>
  <c r="C134" i="1"/>
  <c r="B134" i="93" s="1" a="1"/>
  <c r="B134" i="93" s="1"/>
  <c r="C135" i="1"/>
  <c r="B135" i="93" s="1" a="1"/>
  <c r="B135" i="93" s="1"/>
  <c r="C136" i="1"/>
  <c r="B136" i="93" s="1" a="1"/>
  <c r="B136" i="93" s="1"/>
  <c r="C137" i="1"/>
  <c r="B137" i="93" s="1" a="1"/>
  <c r="B137" i="93" s="1"/>
  <c r="C138" i="1"/>
  <c r="B138" i="93" s="1" a="1"/>
  <c r="B138" i="93" s="1"/>
  <c r="C139" i="1"/>
  <c r="B139" i="93" s="1" a="1"/>
  <c r="B139" i="93" s="1"/>
  <c r="C140" i="1"/>
  <c r="B140" i="93" s="1" a="1"/>
  <c r="B140" i="93" s="1"/>
  <c r="C141" i="1"/>
  <c r="B141" i="93" s="1" a="1"/>
  <c r="B141" i="93" s="1"/>
  <c r="C142" i="1"/>
  <c r="B142" i="93" s="1" a="1"/>
  <c r="B142" i="93" s="1"/>
  <c r="C143" i="1"/>
  <c r="B143" i="93" s="1" a="1"/>
  <c r="B143" i="93" s="1"/>
  <c r="C144" i="1"/>
  <c r="B144" i="93" s="1" a="1"/>
  <c r="B144" i="93" s="1"/>
  <c r="C145" i="1"/>
  <c r="B145" i="93" s="1" a="1"/>
  <c r="B145" i="93" s="1"/>
  <c r="C146" i="1"/>
  <c r="B146" i="93" s="1" a="1"/>
  <c r="B146" i="93" s="1"/>
  <c r="C147" i="1"/>
  <c r="B147" i="93" s="1" a="1"/>
  <c r="B147" i="93" s="1"/>
  <c r="C148" i="1"/>
  <c r="B148" i="93" s="1" a="1"/>
  <c r="B148" i="93" s="1"/>
  <c r="C149" i="1"/>
  <c r="B149" i="93" s="1" a="1"/>
  <c r="B149" i="93" s="1"/>
  <c r="C150" i="1"/>
  <c r="B150" i="93" s="1" a="1"/>
  <c r="B150" i="93" s="1"/>
  <c r="C151" i="1"/>
  <c r="B151" i="93" s="1" a="1"/>
  <c r="B151" i="93" s="1"/>
  <c r="C152" i="1"/>
  <c r="B152" i="93" s="1" a="1"/>
  <c r="B152" i="93" s="1"/>
  <c r="C153" i="1"/>
  <c r="B153" i="93" s="1" a="1"/>
  <c r="B153" i="93" s="1"/>
  <c r="C154" i="1"/>
  <c r="B154" i="93" s="1" a="1"/>
  <c r="B154" i="93" s="1"/>
  <c r="C155" i="1"/>
  <c r="B155" i="93" s="1" a="1"/>
  <c r="B155" i="93" s="1"/>
  <c r="C156" i="1"/>
  <c r="B156" i="93" s="1" a="1"/>
  <c r="B156" i="93" s="1"/>
  <c r="C157" i="1"/>
  <c r="B157" i="93" s="1" a="1"/>
  <c r="B157" i="93" s="1"/>
  <c r="C158" i="1"/>
  <c r="B158" i="93" s="1" a="1"/>
  <c r="B158" i="93" s="1"/>
  <c r="C159" i="1"/>
  <c r="B159" i="93" s="1" a="1"/>
  <c r="B159" i="93" s="1"/>
  <c r="C160" i="1"/>
  <c r="B160" i="93" s="1" a="1"/>
  <c r="B160" i="93" s="1"/>
  <c r="C161" i="1"/>
  <c r="B161" i="93" s="1" a="1"/>
  <c r="B161" i="93" s="1"/>
  <c r="C162" i="1"/>
  <c r="B162" i="93" s="1" a="1"/>
  <c r="B162" i="93" s="1"/>
  <c r="C163" i="1"/>
  <c r="B163" i="93" s="1" a="1"/>
  <c r="B163" i="93" s="1"/>
  <c r="C164" i="1"/>
  <c r="B164" i="93" s="1" a="1"/>
  <c r="B164" i="93" s="1"/>
  <c r="C165" i="1"/>
  <c r="B165" i="93" s="1" a="1"/>
  <c r="B165" i="93" s="1"/>
  <c r="B158" i="4"/>
  <c r="B156" i="4"/>
  <c r="B148" i="4"/>
  <c r="B137" i="4"/>
  <c r="B136" i="4"/>
  <c r="B130" i="4"/>
  <c r="B118" i="4"/>
  <c r="B111" i="4"/>
  <c r="B110" i="4"/>
  <c r="B167" i="4"/>
  <c r="B143" i="4"/>
  <c r="B102" i="4"/>
  <c r="B6" i="4"/>
  <c r="B90" i="4"/>
  <c r="B77" i="4"/>
  <c r="B73" i="4"/>
  <c r="B71" i="4"/>
  <c r="B65" i="4"/>
  <c r="B60" i="4"/>
  <c r="B47" i="4"/>
  <c r="H83" i="4"/>
  <c r="B2" i="93" l="1" a="1"/>
  <c r="B2" i="93" s="1"/>
  <c r="B3" i="131"/>
  <c r="B4" i="131"/>
  <c r="AP185" i="131" a="1"/>
  <c r="AP185" i="131" s="1"/>
  <c r="AP184" i="131" a="1"/>
  <c r="AP184" i="131" s="1"/>
  <c r="AP190" i="131" a="1"/>
  <c r="AP190" i="131" s="1"/>
  <c r="AP188" i="131" a="1"/>
  <c r="AP188" i="131" s="1"/>
  <c r="AP189" i="131" a="1"/>
  <c r="AP189" i="131" s="1"/>
  <c r="AP160" i="131" a="1"/>
  <c r="AP160" i="131" s="1"/>
  <c r="AP195" i="131" a="1"/>
  <c r="AP195" i="131" s="1"/>
  <c r="AP205" i="131" a="1"/>
  <c r="AP205" i="131" s="1"/>
  <c r="AP162" i="131" a="1"/>
  <c r="AP162" i="131" s="1"/>
  <c r="AP191" i="131" a="1"/>
  <c r="AP191" i="131" s="1"/>
  <c r="AP165" i="131" a="1"/>
  <c r="AP165" i="131" s="1"/>
  <c r="AP196" i="131" a="1"/>
  <c r="AP196" i="131" s="1"/>
  <c r="AP164" i="131" a="1"/>
  <c r="AP164" i="131" s="1"/>
  <c r="AP187" i="131" a="1"/>
  <c r="AP187" i="131" s="1"/>
  <c r="AP168" i="131" a="1"/>
  <c r="AP168" i="131" s="1"/>
  <c r="AP167" i="131" a="1"/>
  <c r="AP167" i="131" s="1"/>
  <c r="AP166" i="131" a="1"/>
  <c r="AP166" i="131" s="1"/>
  <c r="AP192" i="131" a="1"/>
  <c r="AP192" i="131" s="1"/>
  <c r="AP170" i="131" a="1"/>
  <c r="AP170" i="131" s="1"/>
  <c r="AP169" i="131" a="1"/>
  <c r="AP169" i="131" s="1"/>
  <c r="AP198" i="131" a="1"/>
  <c r="AP198" i="131" s="1"/>
  <c r="AP197" i="131" a="1"/>
  <c r="AP197" i="131" s="1"/>
  <c r="AP173" i="131" a="1"/>
  <c r="AP173" i="131" s="1"/>
  <c r="AP161" i="131" a="1"/>
  <c r="AP161" i="131" s="1"/>
  <c r="AP199" i="131" a="1"/>
  <c r="AP199" i="131" s="1"/>
  <c r="AP172" i="131" a="1"/>
  <c r="AP172" i="131" s="1"/>
  <c r="AP194" i="131" a="1"/>
  <c r="AP194" i="131" s="1"/>
  <c r="AP193" i="131" a="1"/>
  <c r="AP193" i="131" s="1"/>
  <c r="AP171" i="131" a="1"/>
  <c r="AP171" i="131" s="1"/>
  <c r="AP204" i="131" a="1"/>
  <c r="AP204" i="131" s="1"/>
  <c r="AP177" i="131" a="1"/>
  <c r="AP177" i="131" s="1"/>
  <c r="B19" i="131"/>
  <c r="AP175" i="131" a="1"/>
  <c r="AP175" i="131" s="1"/>
  <c r="AP200" i="131" a="1"/>
  <c r="AP200" i="131" s="1"/>
  <c r="AP174" i="131" a="1"/>
  <c r="AP174" i="131" s="1"/>
  <c r="AP203" i="131" a="1"/>
  <c r="AP203" i="131" s="1"/>
  <c r="AP178" i="131" a="1"/>
  <c r="AP178" i="131" s="1"/>
  <c r="AP206" i="131" a="1"/>
  <c r="AP206" i="131" s="1"/>
  <c r="AP176" i="131" a="1"/>
  <c r="AP176" i="131" s="1"/>
  <c r="AP163" i="131" a="1"/>
  <c r="AP163" i="131" s="1"/>
  <c r="AP201" i="131" a="1"/>
  <c r="AP201" i="131" s="1"/>
  <c r="AP182" i="131" a="1"/>
  <c r="AP182" i="131" s="1"/>
  <c r="AP181" i="131" a="1"/>
  <c r="AP181" i="131" s="1"/>
  <c r="AP180" i="131" a="1"/>
  <c r="AP180" i="131" s="1"/>
  <c r="AP179" i="131" a="1"/>
  <c r="AP179" i="131" s="1"/>
  <c r="AP209" i="131" a="1"/>
  <c r="AP209" i="131" s="1"/>
  <c r="AP210" i="131" a="1"/>
  <c r="AP210" i="131" s="1"/>
  <c r="AP207" i="131" a="1"/>
  <c r="AP207" i="131" s="1"/>
  <c r="AP208" i="131" a="1"/>
  <c r="AP208" i="131" s="1"/>
  <c r="AP186" i="131" a="1"/>
  <c r="AP186" i="131" s="1"/>
  <c r="AP183" i="131" a="1"/>
  <c r="AP183" i="131" s="1"/>
  <c r="AP202" i="131" a="1"/>
  <c r="AP202" i="131" s="1"/>
  <c r="T3" i="3" a="1"/>
  <c r="E3" i="3" a="1"/>
  <c r="A73" i="90" a="1"/>
  <c r="A73" i="43" a="1"/>
  <c r="A26" i="105" a="1"/>
  <c r="A22" i="111" a="1"/>
  <c r="A24" i="110" a="1"/>
  <c r="A18" i="109" a="1"/>
  <c r="BX2" i="15" a="1"/>
  <c r="BX2" i="15" s="1"/>
  <c r="AM2" i="15" a="1"/>
  <c r="BR1" i="105" l="1" a="1"/>
  <c r="B23" i="105"/>
  <c r="BX1" i="105" a="1"/>
  <c r="BX1" i="105" s="1"/>
  <c r="BY1" i="105" s="1"/>
  <c r="CB1" i="105" a="1"/>
  <c r="CB1" i="105" s="1"/>
  <c r="CC1" i="105" s="1"/>
  <c r="AS3" i="15"/>
  <c r="BA3" i="15"/>
  <c r="BI3" i="15"/>
  <c r="BQ3" i="15"/>
  <c r="AT3" i="15"/>
  <c r="BB3" i="15"/>
  <c r="BJ3" i="15"/>
  <c r="BR3" i="15"/>
  <c r="AR3" i="15"/>
  <c r="BP3" i="15"/>
  <c r="AU3" i="15"/>
  <c r="BC3" i="15"/>
  <c r="BK3" i="15"/>
  <c r="BS3" i="15"/>
  <c r="BH3" i="15"/>
  <c r="AN3" i="15"/>
  <c r="AV3" i="15"/>
  <c r="BD3" i="15"/>
  <c r="BL3" i="15"/>
  <c r="BT3" i="15"/>
  <c r="AO3" i="15"/>
  <c r="AW3" i="15"/>
  <c r="BE3" i="15"/>
  <c r="BM3" i="15"/>
  <c r="BU3" i="15"/>
  <c r="AP3" i="15"/>
  <c r="AX3" i="15"/>
  <c r="BF3" i="15"/>
  <c r="BN3" i="15"/>
  <c r="BV3" i="15"/>
  <c r="AZ3" i="15"/>
  <c r="AQ3" i="15"/>
  <c r="AY3" i="15"/>
  <c r="BG3" i="15"/>
  <c r="BO3" i="15"/>
  <c r="AM2" i="15"/>
  <c r="AR58" i="15"/>
  <c r="BP58" i="15"/>
  <c r="BK58" i="15"/>
  <c r="BE58" i="15"/>
  <c r="AQ58" i="15"/>
  <c r="BP42" i="15"/>
  <c r="AQ45" i="15"/>
  <c r="BV46" i="15"/>
  <c r="BT52" i="15"/>
  <c r="AV44" i="15"/>
  <c r="BU44" i="15"/>
  <c r="BN46" i="15"/>
  <c r="BC46" i="15"/>
  <c r="AQ46" i="15"/>
  <c r="BV49" i="15"/>
  <c r="BJ48" i="15"/>
  <c r="AU48" i="15"/>
  <c r="BP46" i="15"/>
  <c r="AN46" i="15"/>
  <c r="AN47" i="15"/>
  <c r="BT48" i="15"/>
  <c r="AR48" i="15"/>
  <c r="BE48" i="15"/>
  <c r="BK47" i="15"/>
  <c r="BA50" i="15"/>
  <c r="AO52" i="15"/>
  <c r="BO53" i="15"/>
  <c r="BM56" i="15"/>
  <c r="BR50" i="15"/>
  <c r="BF52" i="15"/>
  <c r="BE54" i="15"/>
  <c r="BA49" i="15"/>
  <c r="AO51" i="15"/>
  <c r="BO52" i="15"/>
  <c r="BT54" i="15"/>
  <c r="AX47" i="15"/>
  <c r="AN50" i="15"/>
  <c r="BN51" i="15"/>
  <c r="BJ53" i="15"/>
  <c r="BM50" i="15"/>
  <c r="BA52" i="15"/>
  <c r="BR54" i="15"/>
  <c r="AQ54" i="15"/>
  <c r="BT55" i="15"/>
  <c r="AT55" i="15"/>
  <c r="AR55" i="15"/>
  <c r="BH56" i="15"/>
  <c r="BL49" i="15"/>
  <c r="AZ51" i="15"/>
  <c r="AV53" i="15"/>
  <c r="BS55" i="15"/>
  <c r="BO50" i="15"/>
  <c r="AW53" i="15"/>
  <c r="BO57" i="15"/>
  <c r="AR50" i="15"/>
  <c r="BD52" i="15"/>
  <c r="BP54" i="15"/>
  <c r="BJ57" i="15"/>
  <c r="BB56" i="15"/>
  <c r="BU57" i="15"/>
  <c r="BN57" i="15"/>
  <c r="BH57" i="15"/>
  <c r="BA42" i="15"/>
  <c r="BS44" i="15"/>
  <c r="AS43" i="15"/>
  <c r="BJ43" i="15"/>
  <c r="BR44" i="15"/>
  <c r="BV42" i="15"/>
  <c r="AU45" i="15"/>
  <c r="BG43" i="15"/>
  <c r="BV45" i="15"/>
  <c r="AZ44" i="15"/>
  <c r="BL42" i="15"/>
  <c r="AO43" i="15"/>
  <c r="AZ45" i="15"/>
  <c r="AV43" i="15"/>
  <c r="AT58" i="15"/>
  <c r="AN58" i="15"/>
  <c r="BM58" i="15"/>
  <c r="AY58" i="15"/>
  <c r="BQ48" i="15"/>
  <c r="BE56" i="15"/>
  <c r="BU53" i="15"/>
  <c r="BM54" i="15"/>
  <c r="AP44" i="15"/>
  <c r="AO44" i="15"/>
  <c r="AQ47" i="15"/>
  <c r="BO46" i="15"/>
  <c r="BE46" i="15"/>
  <c r="AT46" i="15"/>
  <c r="BU49" i="15"/>
  <c r="BK48" i="15"/>
  <c r="BH46" i="15"/>
  <c r="BQ46" i="15"/>
  <c r="AZ47" i="15"/>
  <c r="BL48" i="15"/>
  <c r="BV48" i="15"/>
  <c r="AW48" i="15"/>
  <c r="BS47" i="15"/>
  <c r="BI50" i="15"/>
  <c r="AW52" i="15"/>
  <c r="AR49" i="15"/>
  <c r="AN51" i="15"/>
  <c r="BN52" i="15"/>
  <c r="BS54" i="15"/>
  <c r="BI49" i="15"/>
  <c r="AW51" i="15"/>
  <c r="AW55" i="15"/>
  <c r="BF47" i="15"/>
  <c r="AV50" i="15"/>
  <c r="BV51" i="15"/>
  <c r="BR53" i="15"/>
  <c r="AU49" i="15"/>
  <c r="BU50" i="15"/>
  <c r="BI52" i="15"/>
  <c r="BJ54" i="15"/>
  <c r="BV54" i="15"/>
  <c r="BL55" i="15"/>
  <c r="BQ55" i="15"/>
  <c r="AY55" i="15"/>
  <c r="AZ56" i="15"/>
  <c r="BT49" i="15"/>
  <c r="BH51" i="15"/>
  <c r="BD53" i="15"/>
  <c r="AY56" i="15"/>
  <c r="AS51" i="15"/>
  <c r="BE53" i="15"/>
  <c r="AT47" i="15"/>
  <c r="AZ50" i="15"/>
  <c r="BL52" i="15"/>
  <c r="AP55" i="15"/>
  <c r="BR57" i="15"/>
  <c r="BJ56" i="15"/>
  <c r="AU56" i="15"/>
  <c r="AN56" i="15"/>
  <c r="BV57" i="15"/>
  <c r="BS43" i="15"/>
  <c r="AS42" i="15"/>
  <c r="BK44" i="15"/>
  <c r="AT43" i="15"/>
  <c r="BJ44" i="15"/>
  <c r="BN42" i="15"/>
  <c r="AY43" i="15"/>
  <c r="BR43" i="15"/>
  <c r="AR44" i="15"/>
  <c r="BD42" i="15"/>
  <c r="BO44" i="15"/>
  <c r="BS42" i="15"/>
  <c r="BV44" i="15"/>
  <c r="BR42" i="15"/>
  <c r="BS58" i="15"/>
  <c r="AZ58" i="15"/>
  <c r="BB58" i="15"/>
  <c r="AV58" i="15"/>
  <c r="BU58" i="15"/>
  <c r="BG58" i="15"/>
  <c r="BI51" i="15"/>
  <c r="BG45" i="15"/>
  <c r="BU54" i="15"/>
  <c r="BE44" i="15"/>
  <c r="BP50" i="15"/>
  <c r="BO47" i="15"/>
  <c r="BD47" i="15"/>
  <c r="AR47" i="15"/>
  <c r="BR46" i="15"/>
  <c r="BF46" i="15"/>
  <c r="AU46" i="15"/>
  <c r="AW46" i="15"/>
  <c r="AZ46" i="15"/>
  <c r="BI46" i="15"/>
  <c r="BA48" i="15"/>
  <c r="BD48" i="15"/>
  <c r="BN48" i="15"/>
  <c r="AO48" i="15"/>
  <c r="AQ49" i="15"/>
  <c r="BQ50" i="15"/>
  <c r="BE52" i="15"/>
  <c r="AR54" i="15"/>
  <c r="AZ49" i="15"/>
  <c r="AV51" i="15"/>
  <c r="BV52" i="15"/>
  <c r="AU55" i="15"/>
  <c r="BQ49" i="15"/>
  <c r="BE51" i="15"/>
  <c r="AS53" i="15"/>
  <c r="BM55" i="15"/>
  <c r="BN47" i="15"/>
  <c r="BD50" i="15"/>
  <c r="AR52" i="15"/>
  <c r="AV54" i="15"/>
  <c r="BC49" i="15"/>
  <c r="AQ51" i="15"/>
  <c r="BQ52" i="15"/>
  <c r="BB54" i="15"/>
  <c r="BN54" i="15"/>
  <c r="BD55" i="15"/>
  <c r="BI55" i="15"/>
  <c r="BO55" i="15"/>
  <c r="AR56" i="15"/>
  <c r="AP50" i="15"/>
  <c r="BP51" i="15"/>
  <c r="BL53" i="15"/>
  <c r="AO49" i="15"/>
  <c r="BA51" i="15"/>
  <c r="BM53" i="15"/>
  <c r="BB47" i="15"/>
  <c r="BH50" i="15"/>
  <c r="AP53" i="15"/>
  <c r="BF55" i="15"/>
  <c r="BR56" i="15"/>
  <c r="BC56" i="15"/>
  <c r="AV56" i="15"/>
  <c r="AP56" i="15"/>
  <c r="BK43" i="15"/>
  <c r="AN44" i="15"/>
  <c r="BC44" i="15"/>
  <c r="BO42" i="15"/>
  <c r="AR42" i="15"/>
  <c r="BB44" i="15"/>
  <c r="BF42" i="15"/>
  <c r="BQ44" i="15"/>
  <c r="AQ43" i="15"/>
  <c r="BR45" i="15"/>
  <c r="BV43" i="15"/>
  <c r="AV42" i="15"/>
  <c r="BG44" i="15"/>
  <c r="BK42" i="15"/>
  <c r="BN44" i="15"/>
  <c r="BJ42" i="15"/>
  <c r="BH58" i="15"/>
  <c r="BJ58" i="15"/>
  <c r="BD58" i="15"/>
  <c r="AP58" i="15"/>
  <c r="BO58" i="15"/>
  <c r="BT53" i="15"/>
  <c r="BR51" i="15"/>
  <c r="BG50" i="15"/>
  <c r="AW44" i="15"/>
  <c r="BP47" i="15"/>
  <c r="BE47" i="15"/>
  <c r="AS47" i="15"/>
  <c r="BS46" i="15"/>
  <c r="BG46" i="15"/>
  <c r="BJ46" i="15"/>
  <c r="AR46" i="15"/>
  <c r="BA46" i="15"/>
  <c r="AV48" i="15"/>
  <c r="BF48" i="15"/>
  <c r="BB48" i="15"/>
  <c r="AY49" i="15"/>
  <c r="BM52" i="15"/>
  <c r="BD54" i="15"/>
  <c r="BH49" i="15"/>
  <c r="BD51" i="15"/>
  <c r="AR53" i="15"/>
  <c r="BK55" i="15"/>
  <c r="BM51" i="15"/>
  <c r="BA53" i="15"/>
  <c r="BV56" i="15"/>
  <c r="BV47" i="15"/>
  <c r="BL50" i="15"/>
  <c r="AZ52" i="15"/>
  <c r="BI54" i="15"/>
  <c r="BK49" i="15"/>
  <c r="AY51" i="15"/>
  <c r="AT54" i="15"/>
  <c r="BF54" i="15"/>
  <c r="AV55" i="15"/>
  <c r="BA55" i="15"/>
  <c r="BQ56" i="15"/>
  <c r="AW56" i="15"/>
  <c r="AX50" i="15"/>
  <c r="AT52" i="15"/>
  <c r="AW49" i="15"/>
  <c r="AN54" i="15"/>
  <c r="BJ47" i="15"/>
  <c r="AT51" i="15"/>
  <c r="AX53" i="15"/>
  <c r="BV55" i="15"/>
  <c r="AU57" i="15"/>
  <c r="AN57" i="15"/>
  <c r="BK56" i="15"/>
  <c r="BD56" i="15"/>
  <c r="AX56" i="15"/>
  <c r="BC43" i="15"/>
  <c r="BU45" i="15"/>
  <c r="AU44" i="15"/>
  <c r="BG42" i="15"/>
  <c r="BT45" i="15"/>
  <c r="AT44" i="15"/>
  <c r="AX42" i="15"/>
  <c r="BI44" i="15"/>
  <c r="BU42" i="15"/>
  <c r="BJ45" i="15"/>
  <c r="BN43" i="15"/>
  <c r="AN42" i="15"/>
  <c r="AY44" i="15"/>
  <c r="BC42" i="15"/>
  <c r="BF44" i="15"/>
  <c r="BB42" i="15"/>
  <c r="AS58" i="15"/>
  <c r="BR58" i="15"/>
  <c r="BL58" i="15"/>
  <c r="AX58" i="15"/>
  <c r="AO55" i="15"/>
  <c r="BU55" i="15"/>
  <c r="AQ44" i="15"/>
  <c r="AS45" i="15"/>
  <c r="AY48" i="15"/>
  <c r="AN43" i="15"/>
  <c r="BV53" i="15"/>
  <c r="BQ47" i="15"/>
  <c r="BG47" i="15"/>
  <c r="AV47" i="15"/>
  <c r="BU46" i="15"/>
  <c r="BR47" i="15"/>
  <c r="BT46" i="15"/>
  <c r="AS46" i="15"/>
  <c r="AY46" i="15"/>
  <c r="AN48" i="15"/>
  <c r="AX48" i="15"/>
  <c r="BR48" i="15"/>
  <c r="BG49" i="15"/>
  <c r="AU51" i="15"/>
  <c r="BU52" i="15"/>
  <c r="BQ54" i="15"/>
  <c r="BP49" i="15"/>
  <c r="BL51" i="15"/>
  <c r="AZ53" i="15"/>
  <c r="BS56" i="15"/>
  <c r="AU50" i="15"/>
  <c r="BU51" i="15"/>
  <c r="BI53" i="15"/>
  <c r="AO56" i="15"/>
  <c r="AT49" i="15"/>
  <c r="BT50" i="15"/>
  <c r="BH52" i="15"/>
  <c r="AX55" i="15"/>
  <c r="BS49" i="15"/>
  <c r="BG51" i="15"/>
  <c r="AU53" i="15"/>
  <c r="AX54" i="15"/>
  <c r="AN55" i="15"/>
  <c r="AS55" i="15"/>
  <c r="BI56" i="15"/>
  <c r="AY57" i="15"/>
  <c r="BF50" i="15"/>
  <c r="BB52" i="15"/>
  <c r="AZ54" i="15"/>
  <c r="BE49" i="15"/>
  <c r="AU52" i="15"/>
  <c r="BA54" i="15"/>
  <c r="AP49" i="15"/>
  <c r="BB51" i="15"/>
  <c r="BF53" i="15"/>
  <c r="BG56" i="15"/>
  <c r="BC57" i="15"/>
  <c r="AV57" i="15"/>
  <c r="AO57" i="15"/>
  <c r="BL56" i="15"/>
  <c r="BF56" i="15"/>
  <c r="AU43" i="15"/>
  <c r="BM45" i="15"/>
  <c r="AY42" i="15"/>
  <c r="BL45" i="15"/>
  <c r="BP43" i="15"/>
  <c r="AP42" i="15"/>
  <c r="BA44" i="15"/>
  <c r="BM42" i="15"/>
  <c r="BB45" i="15"/>
  <c r="BF43" i="15"/>
  <c r="BB43" i="15"/>
  <c r="BU43" i="15"/>
  <c r="AU42" i="15"/>
  <c r="AX44" i="15"/>
  <c r="BA58" i="15"/>
  <c r="BT58" i="15"/>
  <c r="BF58" i="15"/>
  <c r="AZ42" i="15"/>
  <c r="BH42" i="15"/>
  <c r="AY45" i="15"/>
  <c r="BD44" i="15"/>
  <c r="BS52" i="15"/>
  <c r="AT42" i="15"/>
  <c r="BE55" i="15"/>
  <c r="BC48" i="15"/>
  <c r="AQ48" i="15"/>
  <c r="BT47" i="15"/>
  <c r="BH47" i="15"/>
  <c r="AW47" i="15"/>
  <c r="AY47" i="15"/>
  <c r="BL46" i="15"/>
  <c r="AX46" i="15"/>
  <c r="BM46" i="15"/>
  <c r="BP48" i="15"/>
  <c r="AP48" i="15"/>
  <c r="BO49" i="15"/>
  <c r="BC51" i="15"/>
  <c r="AQ53" i="15"/>
  <c r="AQ55" i="15"/>
  <c r="AT50" i="15"/>
  <c r="BT51" i="15"/>
  <c r="BH53" i="15"/>
  <c r="BO56" i="15"/>
  <c r="BC50" i="15"/>
  <c r="AQ52" i="15"/>
  <c r="BQ53" i="15"/>
  <c r="BU56" i="15"/>
  <c r="BB49" i="15"/>
  <c r="AP51" i="15"/>
  <c r="BP52" i="15"/>
  <c r="BT56" i="15"/>
  <c r="AO50" i="15"/>
  <c r="BO51" i="15"/>
  <c r="BC53" i="15"/>
  <c r="BO54" i="15"/>
  <c r="AP54" i="15"/>
  <c r="BR55" i="15"/>
  <c r="BP55" i="15"/>
  <c r="BA56" i="15"/>
  <c r="AN49" i="15"/>
  <c r="BN50" i="15"/>
  <c r="BJ52" i="15"/>
  <c r="BL54" i="15"/>
  <c r="BM49" i="15"/>
  <c r="BC52" i="15"/>
  <c r="BQ57" i="15"/>
  <c r="AX49" i="15"/>
  <c r="BJ51" i="15"/>
  <c r="BN53" i="15"/>
  <c r="BK57" i="15"/>
  <c r="BD57" i="15"/>
  <c r="AW57" i="15"/>
  <c r="AP57" i="15"/>
  <c r="BN56" i="15"/>
  <c r="BE45" i="15"/>
  <c r="BQ43" i="15"/>
  <c r="AQ42" i="15"/>
  <c r="BD45" i="15"/>
  <c r="BH43" i="15"/>
  <c r="BS45" i="15"/>
  <c r="AS44" i="15"/>
  <c r="BE42" i="15"/>
  <c r="AT45" i="15"/>
  <c r="AX43" i="15"/>
  <c r="BQ45" i="15"/>
  <c r="BM43" i="15"/>
  <c r="BT43" i="15"/>
  <c r="BI58" i="15"/>
  <c r="AU58" i="15"/>
  <c r="AO58" i="15"/>
  <c r="BN58" i="15"/>
  <c r="BO45" i="15"/>
  <c r="AX45" i="15"/>
  <c r="AR45" i="15"/>
  <c r="BM47" i="15"/>
  <c r="BN55" i="15"/>
  <c r="AO46" i="15"/>
  <c r="BS48" i="15"/>
  <c r="BG48" i="15"/>
  <c r="AS48" i="15"/>
  <c r="BU47" i="15"/>
  <c r="BI47" i="15"/>
  <c r="BL47" i="15"/>
  <c r="BD46" i="15"/>
  <c r="BK46" i="15"/>
  <c r="AO47" i="15"/>
  <c r="BH48" i="15"/>
  <c r="BU48" i="15"/>
  <c r="AU47" i="15"/>
  <c r="BK51" i="15"/>
  <c r="AY53" i="15"/>
  <c r="BG55" i="15"/>
  <c r="BB50" i="15"/>
  <c r="AP52" i="15"/>
  <c r="BP53" i="15"/>
  <c r="BP57" i="15"/>
  <c r="BK50" i="15"/>
  <c r="AY52" i="15"/>
  <c r="AU54" i="15"/>
  <c r="AQ57" i="15"/>
  <c r="BJ49" i="15"/>
  <c r="AX51" i="15"/>
  <c r="AT53" i="15"/>
  <c r="AQ56" i="15"/>
  <c r="AW50" i="15"/>
  <c r="BK53" i="15"/>
  <c r="BG54" i="15"/>
  <c r="AW54" i="15"/>
  <c r="BJ55" i="15"/>
  <c r="BH55" i="15"/>
  <c r="AS56" i="15"/>
  <c r="AV49" i="15"/>
  <c r="BV50" i="15"/>
  <c r="BR52" i="15"/>
  <c r="AQ50" i="15"/>
  <c r="BK52" i="15"/>
  <c r="BI57" i="15"/>
  <c r="BF49" i="15"/>
  <c r="AN52" i="15"/>
  <c r="AO54" i="15"/>
  <c r="AT57" i="15"/>
  <c r="BS57" i="15"/>
  <c r="BL57" i="15"/>
  <c r="BE57" i="15"/>
  <c r="AX57" i="15"/>
  <c r="AR57" i="15"/>
  <c r="BQ42" i="15"/>
  <c r="AW45" i="15"/>
  <c r="BI43" i="15"/>
  <c r="BF45" i="15"/>
  <c r="AV45" i="15"/>
  <c r="AZ43" i="15"/>
  <c r="BK45" i="15"/>
  <c r="AW42" i="15"/>
  <c r="BP44" i="15"/>
  <c r="AP43" i="15"/>
  <c r="BI45" i="15"/>
  <c r="BE43" i="15"/>
  <c r="BP45" i="15"/>
  <c r="BL43" i="15"/>
  <c r="BQ58" i="15"/>
  <c r="BC58" i="15"/>
  <c r="AW58" i="15"/>
  <c r="BV58" i="15"/>
  <c r="BT44" i="15"/>
  <c r="BM44" i="15"/>
  <c r="BL44" i="15"/>
  <c r="BQ51" i="15"/>
  <c r="BG57" i="15"/>
  <c r="BN45" i="15"/>
  <c r="BB46" i="15"/>
  <c r="AP46" i="15"/>
  <c r="BI48" i="15"/>
  <c r="AT48" i="15"/>
  <c r="BO48" i="15"/>
  <c r="AV46" i="15"/>
  <c r="BA47" i="15"/>
  <c r="AZ48" i="15"/>
  <c r="BM48" i="15"/>
  <c r="BC47" i="15"/>
  <c r="AS50" i="15"/>
  <c r="BS51" i="15"/>
  <c r="BG53" i="15"/>
  <c r="BJ50" i="15"/>
  <c r="AX52" i="15"/>
  <c r="AS54" i="15"/>
  <c r="AS49" i="15"/>
  <c r="BS50" i="15"/>
  <c r="BG52" i="15"/>
  <c r="BH54" i="15"/>
  <c r="AP47" i="15"/>
  <c r="BR49" i="15"/>
  <c r="BF51" i="15"/>
  <c r="BB53" i="15"/>
  <c r="AS57" i="15"/>
  <c r="BE50" i="15"/>
  <c r="AS52" i="15"/>
  <c r="BS53" i="15"/>
  <c r="AY54" i="15"/>
  <c r="BK54" i="15"/>
  <c r="BB55" i="15"/>
  <c r="AZ55" i="15"/>
  <c r="BP56" i="15"/>
  <c r="BD49" i="15"/>
  <c r="AR51" i="15"/>
  <c r="AN53" i="15"/>
  <c r="BC55" i="15"/>
  <c r="AY50" i="15"/>
  <c r="AO53" i="15"/>
  <c r="BA57" i="15"/>
  <c r="BN49" i="15"/>
  <c r="AV52" i="15"/>
  <c r="BC54" i="15"/>
  <c r="BB57" i="15"/>
  <c r="AT56" i="15"/>
  <c r="BT57" i="15"/>
  <c r="BM57" i="15"/>
  <c r="BF57" i="15"/>
  <c r="AZ57" i="15"/>
  <c r="BI42" i="15"/>
  <c r="AO45" i="15"/>
  <c r="BA43" i="15"/>
  <c r="AP45" i="15"/>
  <c r="AN45" i="15"/>
  <c r="AR43" i="15"/>
  <c r="BC45" i="15"/>
  <c r="BO43" i="15"/>
  <c r="AO42" i="15"/>
  <c r="BH44" i="15"/>
  <c r="BT42" i="15"/>
  <c r="BA45" i="15"/>
  <c r="AW43" i="15"/>
  <c r="BH45" i="15"/>
  <c r="BD43" i="15"/>
  <c r="AP217" i="131"/>
  <c r="AP218" i="131"/>
  <c r="AP219" i="131"/>
  <c r="AV69" i="43" a="1"/>
  <c r="AV69" i="43" s="1"/>
  <c r="AW69" i="43" s="1"/>
  <c r="AV60" i="43" a="1"/>
  <c r="AW67" i="43" s="1"/>
  <c r="A39" i="43" a="1"/>
  <c r="I39" i="43" a="1"/>
  <c r="E39" i="43" a="1"/>
  <c r="E3" i="3"/>
  <c r="F35" i="3"/>
  <c r="F27" i="3"/>
  <c r="F19" i="3"/>
  <c r="F11" i="3"/>
  <c r="F33" i="3"/>
  <c r="F25" i="3"/>
  <c r="F17" i="3"/>
  <c r="F9" i="3"/>
  <c r="F39" i="3"/>
  <c r="F31" i="3"/>
  <c r="F23" i="3"/>
  <c r="F15" i="3"/>
  <c r="F7" i="3"/>
  <c r="F38" i="3"/>
  <c r="F30" i="3"/>
  <c r="F22" i="3"/>
  <c r="F14" i="3"/>
  <c r="F6" i="3"/>
  <c r="F37" i="3"/>
  <c r="F29" i="3"/>
  <c r="F21" i="3"/>
  <c r="F13" i="3"/>
  <c r="F5" i="3"/>
  <c r="F20" i="3"/>
  <c r="F18" i="3"/>
  <c r="F24" i="3"/>
  <c r="F36" i="3"/>
  <c r="F16" i="3"/>
  <c r="F34" i="3"/>
  <c r="F12" i="3"/>
  <c r="F26" i="3"/>
  <c r="F4" i="3"/>
  <c r="F32" i="3"/>
  <c r="F10" i="3"/>
  <c r="F28" i="3"/>
  <c r="F8" i="3"/>
  <c r="T3" i="3"/>
  <c r="U30" i="3"/>
  <c r="U22" i="3"/>
  <c r="U27" i="3"/>
  <c r="U25" i="3"/>
  <c r="U31" i="3"/>
  <c r="U14" i="3"/>
  <c r="U6" i="3"/>
  <c r="U19" i="3"/>
  <c r="U17" i="3"/>
  <c r="U23" i="3"/>
  <c r="U37" i="3"/>
  <c r="U36" i="3"/>
  <c r="U11" i="3"/>
  <c r="U9" i="3"/>
  <c r="U15" i="3"/>
  <c r="U21" i="3"/>
  <c r="U20" i="3"/>
  <c r="U26" i="3"/>
  <c r="U24" i="3"/>
  <c r="U29" i="3"/>
  <c r="U28" i="3"/>
  <c r="U34" i="3"/>
  <c r="U32" i="3"/>
  <c r="U7" i="3"/>
  <c r="U5" i="3"/>
  <c r="U4" i="3"/>
  <c r="U10" i="3"/>
  <c r="U8" i="3"/>
  <c r="U38" i="3"/>
  <c r="U35" i="3"/>
  <c r="U33" i="3"/>
  <c r="U39" i="3"/>
  <c r="U13" i="3"/>
  <c r="U12" i="3"/>
  <c r="U18" i="3"/>
  <c r="U16" i="3"/>
  <c r="A26" i="105"/>
  <c r="B22" i="105" s="1"/>
  <c r="A73" i="90"/>
  <c r="B4" i="90" s="1"/>
  <c r="AM83" i="90" a="1"/>
  <c r="AW29" i="90" a="1"/>
  <c r="AW29" i="90" s="1"/>
  <c r="AX29" i="90" s="1"/>
  <c r="A73" i="43"/>
  <c r="B4" i="43" s="1"/>
  <c r="AZ26" i="43" a="1"/>
  <c r="AZ26" i="43" s="1"/>
  <c r="BA26" i="43" s="1"/>
  <c r="B5" i="43"/>
  <c r="AZ2" i="43" a="1"/>
  <c r="A7" i="43"/>
  <c r="AV2" i="43" a="1"/>
  <c r="I7" i="43"/>
  <c r="AQ94" i="43" a="1"/>
  <c r="AQ94" i="43" s="1"/>
  <c r="AR94" i="43" s="1"/>
  <c r="E7" i="43"/>
  <c r="AQ84" i="43" a="1"/>
  <c r="AQ2" i="43" a="1"/>
  <c r="AX133" i="43" a="1"/>
  <c r="AM2" i="90" a="1"/>
  <c r="AO30" i="90" s="1"/>
  <c r="AS56" i="90" a="1"/>
  <c r="AS2" i="90" a="1"/>
  <c r="A18" i="109"/>
  <c r="B14" i="109" s="1"/>
  <c r="B15" i="109"/>
  <c r="A24" i="110"/>
  <c r="B20" i="110" s="1"/>
  <c r="B21" i="110"/>
  <c r="A22" i="111"/>
  <c r="B18" i="111" s="1"/>
  <c r="B19" i="111"/>
  <c r="BZ68" i="105" a="1"/>
  <c r="BV68" i="105" a="1"/>
  <c r="BR68" i="105" a="1"/>
  <c r="AP133" i="43" a="1"/>
  <c r="AT133" i="43" a="1"/>
  <c r="AW124" i="90" a="1"/>
  <c r="AW124" i="90" s="1"/>
  <c r="AN124" i="90" a="1"/>
  <c r="AS124" i="90" a="1"/>
  <c r="AS124" i="90" s="1"/>
  <c r="I38" i="90" a="1"/>
  <c r="I38" i="90" s="1"/>
  <c r="A38" i="90" a="1"/>
  <c r="E38" i="90" a="1"/>
  <c r="E38" i="90" s="1"/>
  <c r="AW2" i="90" a="1"/>
  <c r="E7" i="90"/>
  <c r="I7" i="90"/>
  <c r="B5" i="90"/>
  <c r="A7" i="90"/>
  <c r="AM19" i="15"/>
  <c r="BO4" i="15"/>
  <c r="AS18" i="15"/>
  <c r="BO11" i="15"/>
  <c r="BQ11" i="15"/>
  <c r="AY12" i="15"/>
  <c r="AN31" i="15"/>
  <c r="BD38" i="15"/>
  <c r="BE29" i="15"/>
  <c r="BK24" i="15"/>
  <c r="BR27" i="15"/>
  <c r="BC35" i="15"/>
  <c r="AS26" i="15"/>
  <c r="AQ19" i="15"/>
  <c r="AP35" i="15"/>
  <c r="BO35" i="15"/>
  <c r="BI12" i="15"/>
  <c r="BN17" i="15"/>
  <c r="AN7" i="15"/>
  <c r="BL38" i="15"/>
  <c r="BR22" i="15"/>
  <c r="BF4" i="15"/>
  <c r="AR4" i="15"/>
  <c r="AT4" i="15"/>
  <c r="BK4" i="15"/>
  <c r="BE4" i="15"/>
  <c r="BJ11" i="15"/>
  <c r="BR19" i="15"/>
  <c r="BG34" i="15"/>
  <c r="AQ35" i="15"/>
  <c r="BK11" i="15"/>
  <c r="BK19" i="15"/>
  <c r="BK27" i="15"/>
  <c r="BK35" i="15"/>
  <c r="BQ10" i="15"/>
  <c r="BI18" i="15"/>
  <c r="BA26" i="15"/>
  <c r="AS34" i="15"/>
  <c r="BT35" i="15"/>
  <c r="BO19" i="15"/>
  <c r="BB18" i="15"/>
  <c r="BU27" i="15"/>
  <c r="BK10" i="15"/>
  <c r="AU26" i="15"/>
  <c r="BN35" i="15"/>
  <c r="BN18" i="15"/>
  <c r="AX34" i="15"/>
  <c r="AQ26" i="15"/>
  <c r="BJ23" i="15"/>
  <c r="BB6" i="15"/>
  <c r="BD13" i="15"/>
  <c r="BV17" i="15"/>
  <c r="BT9" i="15"/>
  <c r="BM18" i="15"/>
  <c r="AV13" i="15"/>
  <c r="AP5" i="15"/>
  <c r="AY8" i="15"/>
  <c r="AR13" i="15"/>
  <c r="BM36" i="15"/>
  <c r="BJ40" i="15"/>
  <c r="AX38" i="15"/>
  <c r="BO21" i="15"/>
  <c r="BV25" i="15"/>
  <c r="BP30" i="15"/>
  <c r="BR14" i="15"/>
  <c r="BP16" i="15"/>
  <c r="AU20" i="15"/>
  <c r="BS4" i="15"/>
  <c r="BJ27" i="15"/>
  <c r="AU27" i="15"/>
  <c r="BD35" i="15"/>
  <c r="BG11" i="15"/>
  <c r="BG22" i="15"/>
  <c r="BL16" i="15"/>
  <c r="BN41" i="15"/>
  <c r="AO15" i="15"/>
  <c r="AW4" i="15"/>
  <c r="BC11" i="15"/>
  <c r="BI10" i="15"/>
  <c r="BT27" i="15"/>
  <c r="AQ27" i="15"/>
  <c r="AP18" i="15"/>
  <c r="BO22" i="15"/>
  <c r="AT17" i="15"/>
  <c r="BL10" i="15"/>
  <c r="AO12" i="15"/>
  <c r="BV41" i="15"/>
  <c r="AW29" i="15"/>
  <c r="BV21" i="15"/>
  <c r="BF31" i="15"/>
  <c r="BN4" i="15"/>
  <c r="AZ4" i="15"/>
  <c r="BB4" i="15"/>
  <c r="AN4" i="15"/>
  <c r="BM4" i="15"/>
  <c r="BR11" i="15"/>
  <c r="AY26" i="15"/>
  <c r="AY35" i="15"/>
  <c r="BS11" i="15"/>
  <c r="BS19" i="15"/>
  <c r="BS27" i="15"/>
  <c r="BS35" i="15"/>
  <c r="AN11" i="15"/>
  <c r="BQ18" i="15"/>
  <c r="BI26" i="15"/>
  <c r="BA34" i="15"/>
  <c r="AM10" i="15"/>
  <c r="BR18" i="15"/>
  <c r="BB34" i="15"/>
  <c r="AP11" i="15"/>
  <c r="BK26" i="15"/>
  <c r="AS19" i="15"/>
  <c r="BN34" i="15"/>
  <c r="AP4" i="15"/>
  <c r="AN21" i="15"/>
  <c r="BV6" i="15"/>
  <c r="AO14" i="15"/>
  <c r="AQ5" i="15"/>
  <c r="BJ12" i="15"/>
  <c r="BK31" i="15"/>
  <c r="BF13" i="15"/>
  <c r="AW5" i="15"/>
  <c r="AQ8" i="15"/>
  <c r="BT14" i="15"/>
  <c r="BU36" i="15"/>
  <c r="BR40" i="15"/>
  <c r="BF38" i="15"/>
  <c r="BF21" i="15"/>
  <c r="BN25" i="15"/>
  <c r="BH30" i="15"/>
  <c r="BC21" i="15"/>
  <c r="AY13" i="15"/>
  <c r="AZ11" i="15"/>
  <c r="AS12" i="15"/>
  <c r="AU19" i="15"/>
  <c r="BL27" i="15"/>
  <c r="AX19" i="15"/>
  <c r="AR25" i="15"/>
  <c r="AV7" i="15"/>
  <c r="BQ4" i="15"/>
  <c r="AY27" i="15"/>
  <c r="BA18" i="15"/>
  <c r="BL35" i="15"/>
  <c r="BF19" i="15"/>
  <c r="BI27" i="15"/>
  <c r="BB5" i="15"/>
  <c r="BM8" i="15"/>
  <c r="BV5" i="15"/>
  <c r="BM17" i="15"/>
  <c r="BA20" i="15"/>
  <c r="BO5" i="15"/>
  <c r="BV4" i="15"/>
  <c r="BH4" i="15"/>
  <c r="BJ4" i="15"/>
  <c r="AV4" i="15"/>
  <c r="BU4" i="15"/>
  <c r="AY18" i="15"/>
  <c r="BG26" i="15"/>
  <c r="BR35" i="15"/>
  <c r="AR10" i="15"/>
  <c r="AR18" i="15"/>
  <c r="AR26" i="15"/>
  <c r="AR34" i="15"/>
  <c r="BG19" i="15"/>
  <c r="AV11" i="15"/>
  <c r="AN19" i="15"/>
  <c r="BQ26" i="15"/>
  <c r="BI34" i="15"/>
  <c r="AM18" i="15"/>
  <c r="BB10" i="15"/>
  <c r="AW19" i="15"/>
  <c r="BR34" i="15"/>
  <c r="BF11" i="15"/>
  <c r="AP27" i="15"/>
  <c r="AP10" i="15"/>
  <c r="BI19" i="15"/>
  <c r="AS35" i="15"/>
  <c r="AT19" i="15"/>
  <c r="AT23" i="15"/>
  <c r="BG7" i="15"/>
  <c r="BI14" i="15"/>
  <c r="BQ5" i="15"/>
  <c r="BT12" i="15"/>
  <c r="BD6" i="15"/>
  <c r="BA14" i="15"/>
  <c r="AO5" i="15"/>
  <c r="BB9" i="15"/>
  <c r="AU14" i="15"/>
  <c r="BF39" i="15"/>
  <c r="BL40" i="15"/>
  <c r="AN22" i="15"/>
  <c r="BP27" i="15"/>
  <c r="BV7" i="15"/>
  <c r="AY38" i="15"/>
  <c r="AU30" i="15"/>
  <c r="BI4" i="15"/>
  <c r="AU35" i="15"/>
  <c r="BG27" i="15"/>
  <c r="BJ19" i="15"/>
  <c r="BR4" i="15"/>
  <c r="AZ10" i="15"/>
  <c r="BD11" i="15"/>
  <c r="BJ10" i="15"/>
  <c r="BN11" i="15"/>
  <c r="BQ19" i="15"/>
  <c r="BA35" i="15"/>
  <c r="AT27" i="15"/>
  <c r="BU14" i="15"/>
  <c r="AQ6" i="15"/>
  <c r="AP14" i="15"/>
  <c r="BN6" i="15"/>
  <c r="BR15" i="15"/>
  <c r="AV5" i="15"/>
  <c r="AT9" i="15"/>
  <c r="BO15" i="15"/>
  <c r="BN39" i="15"/>
  <c r="AT37" i="15"/>
  <c r="BT40" i="15"/>
  <c r="BN22" i="15"/>
  <c r="BH27" i="15"/>
  <c r="BP7" i="15"/>
  <c r="BO9" i="15"/>
  <c r="BK6" i="15"/>
  <c r="AX25" i="15"/>
  <c r="BB19" i="15"/>
  <c r="BA10" i="15"/>
  <c r="BE11" i="15"/>
  <c r="BS34" i="15"/>
  <c r="BU16" i="15"/>
  <c r="AY9" i="15"/>
  <c r="BU17" i="15"/>
  <c r="AV24" i="15"/>
  <c r="AZ19" i="15"/>
  <c r="AU4" i="15"/>
  <c r="BC19" i="15"/>
  <c r="BM11" i="15"/>
  <c r="AQ4" i="15"/>
  <c r="BD4" i="15"/>
  <c r="CO4" i="15" s="1"/>
  <c r="BG18" i="15"/>
  <c r="BO26" i="15"/>
  <c r="AZ18" i="15"/>
  <c r="AZ34" i="15"/>
  <c r="AV19" i="15"/>
  <c r="BQ34" i="15"/>
  <c r="AO35" i="15"/>
  <c r="AX10" i="15"/>
  <c r="BQ7" i="15"/>
  <c r="AY4" i="15"/>
  <c r="AS4" i="15"/>
  <c r="AM4" i="15"/>
  <c r="BL4" i="15"/>
  <c r="BG10" i="15"/>
  <c r="BO18" i="15"/>
  <c r="AY11" i="15"/>
  <c r="BH10" i="15"/>
  <c r="BH18" i="15"/>
  <c r="BH26" i="15"/>
  <c r="BH34" i="15"/>
  <c r="BG35" i="15"/>
  <c r="BL11" i="15"/>
  <c r="BD19" i="15"/>
  <c r="AV27" i="15"/>
  <c r="CG27" i="15" s="1"/>
  <c r="AN35" i="15"/>
  <c r="AM34" i="15"/>
  <c r="AO11" i="15"/>
  <c r="AT26" i="15"/>
  <c r="BM35" i="15"/>
  <c r="BC18" i="15"/>
  <c r="BV27" i="15"/>
  <c r="BV10" i="15"/>
  <c r="BF26" i="15"/>
  <c r="AY34" i="15"/>
  <c r="BD21" i="15"/>
  <c r="AW24" i="15"/>
  <c r="BL8" i="15"/>
  <c r="BP15" i="15"/>
  <c r="AU15" i="15"/>
  <c r="BI7" i="15"/>
  <c r="AQ16" i="15"/>
  <c r="BI6" i="15"/>
  <c r="AN10" i="15"/>
  <c r="AP15" i="15"/>
  <c r="AP36" i="15"/>
  <c r="AZ39" i="15"/>
  <c r="AY20" i="15"/>
  <c r="AN23" i="15"/>
  <c r="BI28" i="15"/>
  <c r="BL22" i="15"/>
  <c r="BO12" i="15"/>
  <c r="BA38" i="15"/>
  <c r="BA31" i="15"/>
  <c r="AO4" i="15"/>
  <c r="AU11" i="15"/>
  <c r="BT19" i="15"/>
  <c r="AO27" i="15"/>
  <c r="BA27" i="15"/>
  <c r="BC8" i="15"/>
  <c r="AW12" i="15"/>
  <c r="BI20" i="15"/>
  <c r="AV6" i="15"/>
  <c r="AX4" i="15"/>
  <c r="BB11" i="15"/>
  <c r="BC27" i="15"/>
  <c r="AW27" i="15"/>
  <c r="BP4" i="15"/>
  <c r="AY10" i="15"/>
  <c r="AQ11" i="15"/>
  <c r="AZ26" i="15"/>
  <c r="AN27" i="15"/>
  <c r="AM26" i="15"/>
  <c r="BX26" i="15" s="1"/>
  <c r="BE19" i="15"/>
  <c r="AX27" i="15"/>
  <c r="BU24" i="15"/>
  <c r="BG4" i="15"/>
  <c r="BA4" i="15"/>
  <c r="BC4" i="15"/>
  <c r="BT4" i="15"/>
  <c r="BO10" i="15"/>
  <c r="BB27" i="15"/>
  <c r="AY19" i="15"/>
  <c r="BP10" i="15"/>
  <c r="BP18" i="15"/>
  <c r="BP26" i="15"/>
  <c r="BP34" i="15"/>
  <c r="AS10" i="15"/>
  <c r="BT11" i="15"/>
  <c r="BL19" i="15"/>
  <c r="BD27" i="15"/>
  <c r="AV35" i="15"/>
  <c r="AM11" i="15"/>
  <c r="AW11" i="15"/>
  <c r="BJ26" i="15"/>
  <c r="BS18" i="15"/>
  <c r="BC34" i="15"/>
  <c r="BA11" i="15"/>
  <c r="BV26" i="15"/>
  <c r="AT35" i="15"/>
  <c r="BT21" i="15"/>
  <c r="BH25" i="15"/>
  <c r="BG9" i="15"/>
  <c r="AY16" i="15"/>
  <c r="BR7" i="15"/>
  <c r="BE15" i="15"/>
  <c r="AO9" i="15"/>
  <c r="AV17" i="15"/>
  <c r="AS6" i="15"/>
  <c r="BV12" i="15"/>
  <c r="BR16" i="15"/>
  <c r="AX36" i="15"/>
  <c r="BH39" i="15"/>
  <c r="AP20" i="15"/>
  <c r="BA28" i="15"/>
  <c r="AY23" i="15"/>
  <c r="BB25" i="15"/>
  <c r="AT20" i="15"/>
  <c r="BM40" i="15"/>
  <c r="AM27" i="15"/>
  <c r="AM35" i="15"/>
  <c r="BX35" i="15" s="1"/>
  <c r="AT10" i="15"/>
  <c r="BU11" i="15"/>
  <c r="BM19" i="15"/>
  <c r="BE27" i="15"/>
  <c r="AW35" i="15"/>
  <c r="AU10" i="15"/>
  <c r="BV11" i="15"/>
  <c r="BN19" i="15"/>
  <c r="BF27" i="15"/>
  <c r="AX35" i="15"/>
  <c r="BF10" i="15"/>
  <c r="AX18" i="15"/>
  <c r="AP26" i="15"/>
  <c r="BQ27" i="15"/>
  <c r="BI35" i="15"/>
  <c r="AQ10" i="15"/>
  <c r="CB10" i="15" s="1"/>
  <c r="BB35" i="15"/>
  <c r="BM24" i="15"/>
  <c r="BP5" i="15"/>
  <c r="AR8" i="15"/>
  <c r="BS12" i="15"/>
  <c r="AT15" i="15"/>
  <c r="BC17" i="15"/>
  <c r="BC6" i="15"/>
  <c r="AN9" i="15"/>
  <c r="AU13" i="15"/>
  <c r="AP16" i="15"/>
  <c r="AU31" i="15"/>
  <c r="AO7" i="15"/>
  <c r="BK9" i="15"/>
  <c r="BR13" i="15"/>
  <c r="BC16" i="15"/>
  <c r="BN5" i="15"/>
  <c r="BL5" i="15"/>
  <c r="BP6" i="15"/>
  <c r="BS7" i="15"/>
  <c r="BV8" i="15"/>
  <c r="BQ9" i="15"/>
  <c r="BN12" i="15"/>
  <c r="BQ13" i="15"/>
  <c r="BD14" i="15"/>
  <c r="BG15" i="15"/>
  <c r="BJ16" i="15"/>
  <c r="BE17" i="15"/>
  <c r="AZ37" i="15"/>
  <c r="BV39" i="15"/>
  <c r="BN36" i="15"/>
  <c r="BT38" i="15"/>
  <c r="AW41" i="15"/>
  <c r="BJ37" i="15"/>
  <c r="BP39" i="15"/>
  <c r="AZ36" i="15"/>
  <c r="BV38" i="15"/>
  <c r="AQ41" i="15"/>
  <c r="BG20" i="15"/>
  <c r="BQ21" i="15"/>
  <c r="AW21" i="15"/>
  <c r="AV22" i="15"/>
  <c r="BE23" i="15"/>
  <c r="BN24" i="15"/>
  <c r="AV25" i="15"/>
  <c r="BK28" i="15"/>
  <c r="AS28" i="15"/>
  <c r="BT29" i="15"/>
  <c r="AR30" i="15"/>
  <c r="AR12" i="15"/>
  <c r="AR29" i="15"/>
  <c r="AR27" i="15"/>
  <c r="BM28" i="15"/>
  <c r="BP14" i="15"/>
  <c r="BT28" i="15"/>
  <c r="BJ25" i="15"/>
  <c r="AP17" i="15"/>
  <c r="AW10" i="15"/>
  <c r="AS23" i="15"/>
  <c r="AX32" i="15"/>
  <c r="AO8" i="15"/>
  <c r="BA24" i="15"/>
  <c r="BK39" i="15"/>
  <c r="AQ40" i="15"/>
  <c r="BF9" i="15"/>
  <c r="AT18" i="15"/>
  <c r="BU19" i="15"/>
  <c r="BM27" i="15"/>
  <c r="BE35" i="15"/>
  <c r="BC10" i="15"/>
  <c r="AU18" i="15"/>
  <c r="BV19" i="15"/>
  <c r="BN27" i="15"/>
  <c r="BF35" i="15"/>
  <c r="BN10" i="15"/>
  <c r="BF18" i="15"/>
  <c r="AX26" i="15"/>
  <c r="AP34" i="15"/>
  <c r="BQ35" i="15"/>
  <c r="AQ18" i="15"/>
  <c r="AV21" i="15"/>
  <c r="BB23" i="15"/>
  <c r="BE24" i="15"/>
  <c r="AP6" i="15"/>
  <c r="BB8" i="15"/>
  <c r="AT13" i="15"/>
  <c r="BD15" i="15"/>
  <c r="BL17" i="15"/>
  <c r="BM6" i="15"/>
  <c r="AX9" i="15"/>
  <c r="BO13" i="15"/>
  <c r="AZ16" i="15"/>
  <c r="BC31" i="15"/>
  <c r="AY7" i="15"/>
  <c r="BU9" i="15"/>
  <c r="AQ14" i="15"/>
  <c r="BM16" i="15"/>
  <c r="AX5" i="15"/>
  <c r="BD5" i="15"/>
  <c r="BH6" i="15"/>
  <c r="BK7" i="15"/>
  <c r="BN8" i="15"/>
  <c r="BI9" i="15"/>
  <c r="BF12" i="15"/>
  <c r="BA13" i="15"/>
  <c r="AV14" i="15"/>
  <c r="AY15" i="15"/>
  <c r="BB16" i="15"/>
  <c r="AW17" i="15"/>
  <c r="BH37" i="15"/>
  <c r="BA40" i="15"/>
  <c r="BV36" i="15"/>
  <c r="DG36" i="15" s="1"/>
  <c r="AQ39" i="15"/>
  <c r="BE41" i="15"/>
  <c r="BR37" i="15"/>
  <c r="AU40" i="15"/>
  <c r="BH36" i="15"/>
  <c r="AS39" i="15"/>
  <c r="AY41" i="15"/>
  <c r="AX20" i="15"/>
  <c r="BH21" i="15"/>
  <c r="BQ22" i="15"/>
  <c r="BP23" i="15"/>
  <c r="AV23" i="15"/>
  <c r="BD24" i="15"/>
  <c r="BU25" i="15"/>
  <c r="BC28" i="15"/>
  <c r="BV29" i="15"/>
  <c r="BL29" i="15"/>
  <c r="BO30" i="15"/>
  <c r="BS9" i="15"/>
  <c r="AO13" i="15"/>
  <c r="AY32" i="15"/>
  <c r="BI31" i="15"/>
  <c r="AN30" i="15"/>
  <c r="BE20" i="15"/>
  <c r="BH32" i="15"/>
  <c r="AP32" i="15"/>
  <c r="AQ20" i="15"/>
  <c r="BK13" i="15"/>
  <c r="AN26" i="15"/>
  <c r="BJ33" i="15"/>
  <c r="AP7" i="15"/>
  <c r="BD23" i="15"/>
  <c r="BK36" i="15"/>
  <c r="BE37" i="15"/>
  <c r="BO6" i="15"/>
  <c r="AZ6" i="15"/>
  <c r="BC7" i="15"/>
  <c r="BF8" i="15"/>
  <c r="BA9" i="15"/>
  <c r="AP12" i="15"/>
  <c r="AS13" i="15"/>
  <c r="AN14" i="15"/>
  <c r="AQ15" i="15"/>
  <c r="AT16" i="15"/>
  <c r="AO17" i="15"/>
  <c r="BP37" i="15"/>
  <c r="BQ40" i="15"/>
  <c r="AS37" i="15"/>
  <c r="BG39" i="15"/>
  <c r="BU41" i="15"/>
  <c r="AO38" i="15"/>
  <c r="BK40" i="15"/>
  <c r="AU37" i="15"/>
  <c r="BA39" i="15"/>
  <c r="BO41" i="15"/>
  <c r="BO20" i="15"/>
  <c r="AY21" i="15"/>
  <c r="AX22" i="15"/>
  <c r="AX23" i="15"/>
  <c r="BP24" i="15"/>
  <c r="BD25" i="15"/>
  <c r="AU28" i="15"/>
  <c r="BF29" i="15"/>
  <c r="AV29" i="15"/>
  <c r="BG30" i="15"/>
  <c r="AU38" i="15"/>
  <c r="BS13" i="15"/>
  <c r="AN33" i="15"/>
  <c r="BN33" i="15"/>
  <c r="AQ32" i="15"/>
  <c r="AO32" i="15"/>
  <c r="BT33" i="15"/>
  <c r="BB33" i="15"/>
  <c r="BC24" i="15"/>
  <c r="BI21" i="15"/>
  <c r="AO39" i="15"/>
  <c r="BT39" i="15"/>
  <c r="BM39" i="15"/>
  <c r="BU18" i="15"/>
  <c r="AS32" i="15"/>
  <c r="BT32" i="15"/>
  <c r="BR10" i="15"/>
  <c r="BJ18" i="15"/>
  <c r="BB26" i="15"/>
  <c r="AT34" i="15"/>
  <c r="BU35" i="15"/>
  <c r="BS10" i="15"/>
  <c r="BK18" i="15"/>
  <c r="BC26" i="15"/>
  <c r="AU34" i="15"/>
  <c r="BV35" i="15"/>
  <c r="AS11" i="15"/>
  <c r="BV18" i="15"/>
  <c r="BN26" i="15"/>
  <c r="BF34" i="15"/>
  <c r="BO34" i="15"/>
  <c r="AQ34" i="15"/>
  <c r="BL21" i="15"/>
  <c r="BR23" i="15"/>
  <c r="AO24" i="15"/>
  <c r="BL6" i="15"/>
  <c r="AW9" i="15"/>
  <c r="BN13" i="15"/>
  <c r="AO16" i="15"/>
  <c r="BL18" i="15"/>
  <c r="BH7" i="15"/>
  <c r="BE10" i="15"/>
  <c r="AZ14" i="15"/>
  <c r="BV16" i="15"/>
  <c r="AR5" i="15"/>
  <c r="BU7" i="15"/>
  <c r="AQ12" i="15"/>
  <c r="BF17" i="15"/>
  <c r="BU5" i="15"/>
  <c r="AN5" i="15"/>
  <c r="AR6" i="15"/>
  <c r="AU7" i="15"/>
  <c r="AX8" i="15"/>
  <c r="BU10" i="15"/>
  <c r="BU12" i="15"/>
  <c r="BP13" i="15"/>
  <c r="BS14" i="15"/>
  <c r="BV15" i="15"/>
  <c r="BQ16" i="15"/>
  <c r="AN17" i="15"/>
  <c r="BK38" i="15"/>
  <c r="AV41" i="15"/>
  <c r="BA37" i="15"/>
  <c r="BO39" i="15"/>
  <c r="AQ36" i="15"/>
  <c r="AW38" i="15"/>
  <c r="BS40" i="15"/>
  <c r="BC37" i="15"/>
  <c r="BI39" i="15"/>
  <c r="BD18" i="15"/>
  <c r="BF20" i="15"/>
  <c r="AP21" i="15"/>
  <c r="AO22" i="15"/>
  <c r="AO23" i="15"/>
  <c r="BG24" i="15"/>
  <c r="BO25" i="15"/>
  <c r="AU25" i="15"/>
  <c r="BR28" i="15"/>
  <c r="AX29" i="15"/>
  <c r="AN29" i="15"/>
  <c r="AY30" i="15"/>
  <c r="BI15" i="15"/>
  <c r="AY33" i="15"/>
  <c r="BG6" i="15"/>
  <c r="BP32" i="15"/>
  <c r="BO38" i="15"/>
  <c r="AX6" i="15"/>
  <c r="AW34" i="15"/>
  <c r="AX31" i="15"/>
  <c r="BP28" i="15"/>
  <c r="BP11" i="15"/>
  <c r="BQ25" i="15"/>
  <c r="BM34" i="15"/>
  <c r="BV13" i="15"/>
  <c r="AT25" i="15"/>
  <c r="BO28" i="15"/>
  <c r="AN12" i="15"/>
  <c r="BJ14" i="15"/>
  <c r="AU17" i="15"/>
  <c r="BG5" i="15"/>
  <c r="AT8" i="15"/>
  <c r="BK12" i="15"/>
  <c r="AV15" i="15"/>
  <c r="BO17" i="15"/>
  <c r="BM5" i="15"/>
  <c r="AU5" i="15"/>
  <c r="BT7" i="15"/>
  <c r="BR9" i="15"/>
  <c r="AO10" i="15"/>
  <c r="BM12" i="15"/>
  <c r="BH13" i="15"/>
  <c r="BK14" i="15"/>
  <c r="BN15" i="15"/>
  <c r="BI16" i="15"/>
  <c r="AW36" i="15"/>
  <c r="BS38" i="15"/>
  <c r="BD41" i="15"/>
  <c r="BQ37" i="15"/>
  <c r="AT40" i="15"/>
  <c r="AY36" i="15"/>
  <c r="BM38" i="15"/>
  <c r="AX41" i="15"/>
  <c r="BK37" i="15"/>
  <c r="AN40" i="15"/>
  <c r="BR20" i="15"/>
  <c r="AW20" i="15"/>
  <c r="BG21" i="15"/>
  <c r="BF22" i="15"/>
  <c r="BO23" i="15"/>
  <c r="AN24" i="15"/>
  <c r="AW25" i="15"/>
  <c r="BL26" i="15"/>
  <c r="BB28" i="15"/>
  <c r="BU29" i="15"/>
  <c r="BI30" i="15"/>
  <c r="AR21" i="15"/>
  <c r="BK33" i="15"/>
  <c r="BV9" i="15"/>
  <c r="BS36" i="15"/>
  <c r="BA41" i="15"/>
  <c r="BQ14" i="15"/>
  <c r="BR36" i="15"/>
  <c r="AR32" i="15"/>
  <c r="AP30" i="15"/>
  <c r="BB15" i="15"/>
  <c r="BV23" i="15"/>
  <c r="BM33" i="15"/>
  <c r="AR11" i="15"/>
  <c r="AZ24" i="15"/>
  <c r="AP28" i="15"/>
  <c r="AO19" i="15"/>
  <c r="BZ19" i="15" s="1"/>
  <c r="BR26" i="15"/>
  <c r="BJ34" i="15"/>
  <c r="AX11" i="15"/>
  <c r="AP19" i="15"/>
  <c r="BS26" i="15"/>
  <c r="BK34" i="15"/>
  <c r="BO27" i="15"/>
  <c r="BI11" i="15"/>
  <c r="CT11" i="15" s="1"/>
  <c r="BA19" i="15"/>
  <c r="AS27" i="15"/>
  <c r="BV34" i="15"/>
  <c r="BJ35" i="15"/>
  <c r="AT11" i="15"/>
  <c r="AY22" i="15"/>
  <c r="AQ22" i="15"/>
  <c r="AZ25" i="15"/>
  <c r="AW7" i="15"/>
  <c r="BD10" i="15"/>
  <c r="AY14" i="15"/>
  <c r="BK16" i="15"/>
  <c r="BC5" i="15"/>
  <c r="AS8" i="15"/>
  <c r="AZ12" i="15"/>
  <c r="BV14" i="15"/>
  <c r="BD17" i="15"/>
  <c r="BR5" i="15"/>
  <c r="BP8" i="15"/>
  <c r="BH15" i="15"/>
  <c r="BT18" i="15"/>
  <c r="BE5" i="15"/>
  <c r="BQ6" i="15"/>
  <c r="BL7" i="15"/>
  <c r="CW7" i="15" s="1"/>
  <c r="BG8" i="15"/>
  <c r="BJ9" i="15"/>
  <c r="BT10" i="15"/>
  <c r="BE12" i="15"/>
  <c r="AZ13" i="15"/>
  <c r="BC14" i="15"/>
  <c r="BF15" i="15"/>
  <c r="AS16" i="15"/>
  <c r="BE36" i="15"/>
  <c r="AX39" i="15"/>
  <c r="BL41" i="15"/>
  <c r="AN38" i="15"/>
  <c r="BB40" i="15"/>
  <c r="BG36" i="15"/>
  <c r="BU38" i="15"/>
  <c r="BF41" i="15"/>
  <c r="BS37" i="15"/>
  <c r="AV40" i="15"/>
  <c r="BH20" i="15"/>
  <c r="AN20" i="15"/>
  <c r="AX21" i="15"/>
  <c r="AW22" i="15"/>
  <c r="BF23" i="15"/>
  <c r="BO24" i="15"/>
  <c r="CZ24" i="15" s="1"/>
  <c r="AN25" i="15"/>
  <c r="BE26" i="15"/>
  <c r="AT28" i="15"/>
  <c r="BM29" i="15"/>
  <c r="BA30" i="15"/>
  <c r="AS40" i="15"/>
  <c r="BU21" i="15"/>
  <c r="BH38" i="15"/>
  <c r="AX13" i="15"/>
  <c r="AZ5" i="15"/>
  <c r="BK41" i="15"/>
  <c r="BH16" i="15"/>
  <c r="BP40" i="15"/>
  <c r="BQ32" i="15"/>
  <c r="BG32" i="15"/>
  <c r="AS17" i="15"/>
  <c r="BK22" i="15"/>
  <c r="BM32" i="15"/>
  <c r="AR9" i="15"/>
  <c r="BJ21" i="15"/>
  <c r="AS24" i="15"/>
  <c r="BE34" i="15"/>
  <c r="AZ15" i="15"/>
  <c r="AV33" i="15"/>
  <c r="BS32" i="15"/>
  <c r="BC20" i="15"/>
  <c r="AZ35" i="15"/>
  <c r="BB20" i="15"/>
  <c r="AT32" i="15"/>
  <c r="BK21" i="15"/>
  <c r="AN8" i="15"/>
  <c r="BL34" i="15"/>
  <c r="CW34" i="15" s="1"/>
  <c r="BM20" i="15"/>
  <c r="BJ36" i="15"/>
  <c r="BA23" i="15"/>
  <c r="BK5" i="15"/>
  <c r="BT41" i="15"/>
  <c r="BI37" i="15"/>
  <c r="AY39" i="15"/>
  <c r="AO41" i="15"/>
  <c r="BO36" i="15"/>
  <c r="BE38" i="15"/>
  <c r="BC40" i="15"/>
  <c r="AR36" i="15"/>
  <c r="AP38" i="15"/>
  <c r="BQ39" i="15"/>
  <c r="BG41" i="15"/>
  <c r="BP20" i="15"/>
  <c r="BQ20" i="15"/>
  <c r="BP21" i="15"/>
  <c r="BH22" i="15"/>
  <c r="BE22" i="15"/>
  <c r="AW23" i="15"/>
  <c r="AX24" i="15"/>
  <c r="AU24" i="15"/>
  <c r="BE25" i="15"/>
  <c r="BD26" i="15"/>
  <c r="BJ28" i="15"/>
  <c r="BN29" i="15"/>
  <c r="AO29" i="15"/>
  <c r="AS30" i="15"/>
  <c r="AQ30" i="15"/>
  <c r="AN41" i="15"/>
  <c r="BO14" i="15"/>
  <c r="BU26" i="15"/>
  <c r="AX37" i="15"/>
  <c r="BN32" i="15"/>
  <c r="BP19" i="15"/>
  <c r="BE33" i="15"/>
  <c r="BG16" i="15"/>
  <c r="BE8" i="15"/>
  <c r="BO37" i="15"/>
  <c r="AT24" i="15"/>
  <c r="BD39" i="15"/>
  <c r="BE21" i="15"/>
  <c r="BT36" i="15"/>
  <c r="AR20" i="15"/>
  <c r="BS33" i="15"/>
  <c r="AR35" i="15"/>
  <c r="AU23" i="15"/>
  <c r="AW37" i="15"/>
  <c r="BR17" i="15"/>
  <c r="BN40" i="15"/>
  <c r="BL31" i="15"/>
  <c r="BN20" i="15"/>
  <c r="BS5" i="15"/>
  <c r="BK32" i="15"/>
  <c r="AU16" i="15"/>
  <c r="AZ33" i="15"/>
  <c r="AO36" i="15"/>
  <c r="AU6" i="15"/>
  <c r="BF16" i="15"/>
  <c r="BK29" i="15"/>
  <c r="BB39" i="15"/>
  <c r="BC39" i="15"/>
  <c r="BS22" i="15"/>
  <c r="AT38" i="15"/>
  <c r="BT24" i="15"/>
  <c r="BA15" i="15"/>
  <c r="AV8" i="15"/>
  <c r="BN37" i="15"/>
  <c r="BS25" i="15"/>
  <c r="BV40" i="15"/>
  <c r="AR23" i="15"/>
  <c r="BR39" i="15"/>
  <c r="BS6" i="15"/>
  <c r="AO26" i="15"/>
  <c r="AU41" i="15"/>
  <c r="BH14" i="15"/>
  <c r="BJ38" i="15"/>
  <c r="BA29" i="15"/>
  <c r="AV16" i="15"/>
  <c r="BT26" i="15"/>
  <c r="AT30" i="15"/>
  <c r="BM10" i="15"/>
  <c r="BG31" i="15"/>
  <c r="BU15" i="15"/>
  <c r="BB31" i="15"/>
  <c r="AX7" i="15"/>
  <c r="BH9" i="15"/>
  <c r="BE13" i="15"/>
  <c r="BQ15" i="15"/>
  <c r="AT6" i="15"/>
  <c r="BD8" i="15"/>
  <c r="BA12" i="15"/>
  <c r="BM14" i="15"/>
  <c r="BF5" i="15"/>
  <c r="BT5" i="15"/>
  <c r="BA6" i="15"/>
  <c r="BD7" i="15"/>
  <c r="BO8" i="15"/>
  <c r="AP8" i="15"/>
  <c r="AS9" i="15"/>
  <c r="AX12" i="15"/>
  <c r="BI13" i="15"/>
  <c r="BL14" i="15"/>
  <c r="AX15" i="15"/>
  <c r="BA16" i="15"/>
  <c r="AT31" i="15"/>
  <c r="BC38" i="15"/>
  <c r="BI40" i="15"/>
  <c r="BF36" i="15"/>
  <c r="AV38" i="15"/>
  <c r="BM41" i="15"/>
  <c r="BB37" i="15"/>
  <c r="AR39" i="15"/>
  <c r="AP41" i="15"/>
  <c r="BP36" i="15"/>
  <c r="BN38" i="15"/>
  <c r="BD40" i="15"/>
  <c r="BH19" i="15"/>
  <c r="AO20" i="15"/>
  <c r="AS20" i="15"/>
  <c r="AO21" i="15"/>
  <c r="BP22" i="15"/>
  <c r="BG23" i="15"/>
  <c r="BN23" i="15"/>
  <c r="BF24" i="15"/>
  <c r="BF25" i="15"/>
  <c r="BM25" i="15"/>
  <c r="BS28" i="15"/>
  <c r="BQ28" i="15"/>
  <c r="AP29" i="15"/>
  <c r="BD29" i="15"/>
  <c r="AZ30" i="15"/>
  <c r="AR37" i="15"/>
  <c r="AQ7" i="15"/>
  <c r="BD20" i="15"/>
  <c r="BC30" i="15"/>
  <c r="BU39" i="15"/>
  <c r="BS41" i="15"/>
  <c r="BR25" i="15"/>
  <c r="BE39" i="15"/>
  <c r="BE28" i="15"/>
  <c r="BB22" i="15"/>
  <c r="BP9" i="15"/>
  <c r="DA9" i="15" s="1"/>
  <c r="AS31" i="15"/>
  <c r="AZ8" i="15"/>
  <c r="BN28" i="15"/>
  <c r="BB38" i="15"/>
  <c r="BT25" i="15"/>
  <c r="BQ8" i="15"/>
  <c r="BB30" i="15"/>
  <c r="BM31" i="15"/>
  <c r="BG13" i="15"/>
  <c r="BL36" i="15"/>
  <c r="BG28" i="15"/>
  <c r="AR15" i="15"/>
  <c r="BB24" i="15"/>
  <c r="AZ29" i="15"/>
  <c r="AP9" i="15"/>
  <c r="BU30" i="15"/>
  <c r="AN15" i="15"/>
  <c r="AZ28" i="15"/>
  <c r="BJ32" i="15"/>
  <c r="BV37" i="15"/>
  <c r="AV18" i="15"/>
  <c r="AZ32" i="15"/>
  <c r="BO40" i="15"/>
  <c r="BD12" i="15"/>
  <c r="BL20" i="15"/>
  <c r="AN28" i="15"/>
  <c r="BE32" i="15"/>
  <c r="BF37" i="15"/>
  <c r="AR7" i="15"/>
  <c r="BM15" i="15"/>
  <c r="BI25" i="15"/>
  <c r="AO40" i="15"/>
  <c r="BC9" i="15"/>
  <c r="BS23" i="15"/>
  <c r="AW33" i="15"/>
  <c r="AT7" i="15"/>
  <c r="BS15" i="15"/>
  <c r="BI23" i="15"/>
  <c r="BE30" i="15"/>
  <c r="BO33" i="15"/>
  <c r="AP40" i="15"/>
  <c r="AV9" i="15"/>
  <c r="BJ17" i="15"/>
  <c r="AQ25" i="15"/>
  <c r="BQ31" i="15"/>
  <c r="BA36" i="15"/>
  <c r="BH41" i="15"/>
  <c r="BL12" i="15"/>
  <c r="BU20" i="15"/>
  <c r="AW28" i="15"/>
  <c r="BR32" i="15"/>
  <c r="AN39" i="15"/>
  <c r="BN21" i="15"/>
  <c r="BI33" i="15"/>
  <c r="BO7" i="15"/>
  <c r="BD16" i="15"/>
  <c r="AP24" i="15"/>
  <c r="BT30" i="15"/>
  <c r="BF40" i="15"/>
  <c r="BS24" i="15"/>
  <c r="AR19" i="15"/>
  <c r="AR14" i="15"/>
  <c r="BF7" i="15"/>
  <c r="AW40" i="15"/>
  <c r="AU36" i="15"/>
  <c r="BC32" i="15"/>
  <c r="BP29" i="15"/>
  <c r="BR24" i="15"/>
  <c r="AT21" i="15"/>
  <c r="BK15" i="15"/>
  <c r="BM9" i="15"/>
  <c r="AT5" i="15"/>
  <c r="CE5" i="15" s="1"/>
  <c r="AY25" i="15"/>
  <c r="AR40" i="15"/>
  <c r="AS36" i="15"/>
  <c r="BB32" i="15"/>
  <c r="BO29" i="15"/>
  <c r="BQ24" i="15"/>
  <c r="AS21" i="15"/>
  <c r="BJ15" i="15"/>
  <c r="BL9" i="15"/>
  <c r="BG40" i="15"/>
  <c r="AO37" i="15"/>
  <c r="AR33" i="15"/>
  <c r="AW31" i="15"/>
  <c r="BD28" i="15"/>
  <c r="BQ23" i="15"/>
  <c r="BK20" i="15"/>
  <c r="CV20" i="15" s="1"/>
  <c r="BC15" i="15"/>
  <c r="AV10" i="15"/>
  <c r="AW6" i="15"/>
  <c r="AR24" i="15"/>
  <c r="BA33" i="15"/>
  <c r="BH5" i="15"/>
  <c r="AT14" i="15"/>
  <c r="AU22" i="15"/>
  <c r="AY29" i="15"/>
  <c r="AQ33" i="15"/>
  <c r="BR38" i="15"/>
  <c r="BS8" i="15"/>
  <c r="BG17" i="15"/>
  <c r="BD30" i="15"/>
  <c r="BR31" i="15"/>
  <c r="BL13" i="15"/>
  <c r="AX28" i="15"/>
  <c r="BC36" i="15"/>
  <c r="BT8" i="15"/>
  <c r="BH17" i="15"/>
  <c r="AO25" i="15"/>
  <c r="BN31" i="15"/>
  <c r="AN36" i="15"/>
  <c r="BB41" i="15"/>
  <c r="BG12" i="15"/>
  <c r="BT20" i="15"/>
  <c r="AO28" i="15"/>
  <c r="BF32" i="15"/>
  <c r="BG37" i="15"/>
  <c r="BJ5" i="15"/>
  <c r="AX14" i="15"/>
  <c r="BA22" i="15"/>
  <c r="CL22" i="15" s="1"/>
  <c r="BH29" i="15"/>
  <c r="BG33" i="15"/>
  <c r="AZ40" i="15"/>
  <c r="BJ24" i="15"/>
  <c r="AP37" i="15"/>
  <c r="BD9" i="15"/>
  <c r="AN18" i="15"/>
  <c r="BC25" i="15"/>
  <c r="BV31" i="15"/>
  <c r="BD36" i="15"/>
  <c r="BQ41" i="15"/>
  <c r="AQ23" i="15"/>
  <c r="AZ17" i="15"/>
  <c r="AN13" i="15"/>
  <c r="BF6" i="15"/>
  <c r="AU39" i="15"/>
  <c r="CF39" i="15" s="1"/>
  <c r="BV33" i="15"/>
  <c r="BU31" i="15"/>
  <c r="BV28" i="15"/>
  <c r="BU23" i="15"/>
  <c r="AZ20" i="15"/>
  <c r="BG14" i="15"/>
  <c r="BI8" i="15"/>
  <c r="BL30" i="15"/>
  <c r="BH23" i="15"/>
  <c r="AT39" i="15"/>
  <c r="BU33" i="15"/>
  <c r="BT31" i="15"/>
  <c r="BU28" i="15"/>
  <c r="BT23" i="15"/>
  <c r="AV20" i="15"/>
  <c r="BE14" i="15"/>
  <c r="CP14" i="15" s="1"/>
  <c r="BH8" i="15"/>
  <c r="BL39" i="15"/>
  <c r="AT36" i="15"/>
  <c r="BL32" i="15"/>
  <c r="BJ30" i="15"/>
  <c r="AW26" i="15"/>
  <c r="BV22" i="15"/>
  <c r="BE18" i="15"/>
  <c r="CP18" i="15" s="1"/>
  <c r="BF14" i="15"/>
  <c r="AQ9" i="15"/>
  <c r="AS5" i="15"/>
  <c r="AW30" i="15"/>
  <c r="AS22" i="15"/>
  <c r="BI38" i="15"/>
  <c r="BL33" i="15"/>
  <c r="BJ31" i="15"/>
  <c r="BF28" i="15"/>
  <c r="BC23" i="15"/>
  <c r="AW18" i="15"/>
  <c r="BU13" i="15"/>
  <c r="AV39" i="15"/>
  <c r="BT34" i="15"/>
  <c r="BD32" i="15"/>
  <c r="AV30" i="15"/>
  <c r="CG30" i="15" s="1"/>
  <c r="BP25" i="15"/>
  <c r="BJ22" i="15"/>
  <c r="BQ17" i="15"/>
  <c r="BJ8" i="15"/>
  <c r="AQ24" i="15"/>
  <c r="AQ31" i="15"/>
  <c r="AO34" i="15"/>
  <c r="BH40" i="15"/>
  <c r="AT29" i="15"/>
  <c r="BP35" i="15"/>
  <c r="AZ7" i="15"/>
  <c r="BT15" i="15"/>
  <c r="BK23" i="15"/>
  <c r="BM30" i="15"/>
  <c r="BQ33" i="15"/>
  <c r="AX40" i="15"/>
  <c r="AT12" i="15"/>
  <c r="AZ21" i="15"/>
  <c r="AO33" i="15"/>
  <c r="AN6" i="15"/>
  <c r="AX16" i="15"/>
  <c r="AX30" i="15"/>
  <c r="BS39" i="15"/>
  <c r="AU12" i="15"/>
  <c r="CF12" i="15" s="1"/>
  <c r="BJ20" i="15"/>
  <c r="AZ27" i="15"/>
  <c r="BA32" i="15"/>
  <c r="BD37" i="15"/>
  <c r="BI5" i="15"/>
  <c r="AW14" i="15"/>
  <c r="AZ22" i="15"/>
  <c r="BC29" i="15"/>
  <c r="AS33" i="15"/>
  <c r="BJ7" i="15"/>
  <c r="AR16" i="15"/>
  <c r="BM23" i="15"/>
  <c r="BR30" i="15"/>
  <c r="BU34" i="15"/>
  <c r="BH11" i="15"/>
  <c r="BI29" i="15"/>
  <c r="BE40" i="15"/>
  <c r="BP12" i="15"/>
  <c r="AQ21" i="15"/>
  <c r="AY28" i="15"/>
  <c r="BI32" i="15"/>
  <c r="BT37" i="15"/>
  <c r="AP31" i="15"/>
  <c r="BM21" i="15"/>
  <c r="AW16" i="15"/>
  <c r="BN9" i="15"/>
  <c r="AY5" i="15"/>
  <c r="AS38" i="15"/>
  <c r="BD33" i="15"/>
  <c r="AZ31" i="15"/>
  <c r="AR28" i="15"/>
  <c r="AP23" i="15"/>
  <c r="CA23" i="15" s="1"/>
  <c r="BP17" i="15"/>
  <c r="BC13" i="15"/>
  <c r="BE7" i="15"/>
  <c r="BB29" i="15"/>
  <c r="BC12" i="15"/>
  <c r="AR38" i="15"/>
  <c r="BC33" i="15"/>
  <c r="AY31" i="15"/>
  <c r="CJ31" i="15" s="1"/>
  <c r="AQ28" i="15"/>
  <c r="BU22" i="15"/>
  <c r="BK17" i="15"/>
  <c r="BB13" i="15"/>
  <c r="BB7" i="15"/>
  <c r="BP38" i="15"/>
  <c r="AN34" i="15"/>
  <c r="AV32" i="15"/>
  <c r="BR29" i="15"/>
  <c r="BA25" i="15"/>
  <c r="AT22" i="15"/>
  <c r="BA17" i="15"/>
  <c r="BJ13" i="15"/>
  <c r="AU8" i="15"/>
  <c r="BR8" i="15"/>
  <c r="BB17" i="15"/>
  <c r="BL24" i="15"/>
  <c r="BH31" i="15"/>
  <c r="BH35" i="15"/>
  <c r="AZ41" i="15"/>
  <c r="BS29" i="15"/>
  <c r="AY37" i="15"/>
  <c r="AW8" i="15"/>
  <c r="BS16" i="15"/>
  <c r="AY24" i="15"/>
  <c r="AV31" i="15"/>
  <c r="BD34" i="15"/>
  <c r="BU40" i="15"/>
  <c r="AQ13" i="15"/>
  <c r="BM22" i="15"/>
  <c r="AV34" i="15"/>
  <c r="BR6" i="15"/>
  <c r="BT17" i="15"/>
  <c r="BS30" i="15"/>
  <c r="AR41" i="15"/>
  <c r="AW13" i="15"/>
  <c r="BA21" i="15"/>
  <c r="BL28" i="15"/>
  <c r="BO32" i="15"/>
  <c r="AQ38" i="15"/>
  <c r="CB38" i="15" s="1"/>
  <c r="BJ6" i="15"/>
  <c r="AW15" i="15"/>
  <c r="BT22" i="15"/>
  <c r="AO30" i="15"/>
  <c r="BF33" i="15"/>
  <c r="BJ39" i="15"/>
  <c r="BA8" i="15"/>
  <c r="AQ17" i="15"/>
  <c r="CB17" i="15" s="1"/>
  <c r="BH24" i="15"/>
  <c r="BD31" i="15"/>
  <c r="BB36" i="15"/>
  <c r="BB14" i="15"/>
  <c r="BE31" i="15"/>
  <c r="BP41" i="15"/>
  <c r="BM13" i="15"/>
  <c r="BS21" i="15"/>
  <c r="DD21" i="15" s="1"/>
  <c r="AQ29" i="15"/>
  <c r="BG38" i="15"/>
  <c r="BQ29" i="15"/>
  <c r="AU21" i="15"/>
  <c r="BL15" i="15"/>
  <c r="AU9" i="15"/>
  <c r="BJ41" i="15"/>
  <c r="BM37" i="15"/>
  <c r="CX37" i="15" s="1"/>
  <c r="AU33" i="15"/>
  <c r="AO31" i="15"/>
  <c r="BM26" i="15"/>
  <c r="BI22" i="15"/>
  <c r="AY17" i="15"/>
  <c r="BR12" i="15"/>
  <c r="BU6" i="15"/>
  <c r="BI41" i="15"/>
  <c r="BL37" i="15"/>
  <c r="AT33" i="15"/>
  <c r="BV30" i="15"/>
  <c r="AV26" i="15"/>
  <c r="BD22" i="15"/>
  <c r="AX17" i="15"/>
  <c r="BQ12" i="15"/>
  <c r="BT6" i="15"/>
  <c r="AZ38" i="15"/>
  <c r="BP33" i="15"/>
  <c r="AN32" i="15"/>
  <c r="BG29" i="15"/>
  <c r="BV24" i="15"/>
  <c r="BR21" i="15"/>
  <c r="BT16" i="15"/>
  <c r="AP13" i="15"/>
  <c r="BM7" i="15"/>
  <c r="BQ30" i="15"/>
  <c r="AP39" i="15"/>
  <c r="BE9" i="15"/>
  <c r="AO18" i="15"/>
  <c r="BG25" i="15"/>
  <c r="BI36" i="15"/>
  <c r="BR41" i="15"/>
  <c r="DC41" i="15" s="1"/>
  <c r="AR31" i="15"/>
  <c r="BU8" i="15"/>
  <c r="DF8" i="15" s="1"/>
  <c r="BI17" i="15"/>
  <c r="AP25" i="15"/>
  <c r="BO31" i="15"/>
  <c r="AV36" i="15"/>
  <c r="BC41" i="15"/>
  <c r="BT13" i="15"/>
  <c r="DE13" i="15" s="1"/>
  <c r="AZ23" i="15"/>
  <c r="BQ36" i="15"/>
  <c r="BN7" i="15"/>
  <c r="BV20" i="15"/>
  <c r="BS31" i="15"/>
  <c r="BA5" i="15"/>
  <c r="AS14" i="15"/>
  <c r="AU29" i="15"/>
  <c r="AP33" i="15"/>
  <c r="BQ38" i="15"/>
  <c r="BA7" i="15"/>
  <c r="AN16" i="15"/>
  <c r="BL23" i="15"/>
  <c r="BN30" i="15"/>
  <c r="BR33" i="15"/>
  <c r="AY40" i="15"/>
  <c r="CJ40" i="15" s="1"/>
  <c r="AZ9" i="15"/>
  <c r="BS17" i="15"/>
  <c r="AS25" i="15"/>
  <c r="AU32" i="15"/>
  <c r="AN37" i="15"/>
  <c r="AR17" i="15"/>
  <c r="AW32" i="15"/>
  <c r="AO6" i="15"/>
  <c r="BZ6" i="15" s="1"/>
  <c r="BN14" i="15"/>
  <c r="BC22" i="15"/>
  <c r="BJ29" i="15"/>
  <c r="AX33" i="15"/>
  <c r="AW39" i="15"/>
  <c r="BH28" i="15"/>
  <c r="BS20" i="15"/>
  <c r="AS15" i="15"/>
  <c r="CD15" i="15" s="1"/>
  <c r="BK8" i="15"/>
  <c r="AT41" i="15"/>
  <c r="AV37" i="15"/>
  <c r="BV32" i="15"/>
  <c r="BK30" i="15"/>
  <c r="BL25" i="15"/>
  <c r="AR22" i="15"/>
  <c r="BO16" i="15"/>
  <c r="CZ16" i="15" s="1"/>
  <c r="BB12" i="15"/>
  <c r="BE6" i="15"/>
  <c r="AV28" i="15"/>
  <c r="AS41" i="15"/>
  <c r="AQ37" i="15"/>
  <c r="BU32" i="15"/>
  <c r="BF30" i="15"/>
  <c r="BK25" i="15"/>
  <c r="AP22" i="15"/>
  <c r="BN16" i="15"/>
  <c r="AV12" i="15"/>
  <c r="AY6" i="15"/>
  <c r="BU37" i="15"/>
  <c r="BH33" i="15"/>
  <c r="BP31" i="15"/>
  <c r="AS29" i="15"/>
  <c r="CD29" i="15" s="1"/>
  <c r="BI24" i="15"/>
  <c r="BB21" i="15"/>
  <c r="BE16" i="15"/>
  <c r="BH12" i="15"/>
  <c r="AS7" i="15"/>
  <c r="AM6" i="15"/>
  <c r="AM16" i="15"/>
  <c r="AM28" i="15"/>
  <c r="BX28" i="15" s="1"/>
  <c r="AM38" i="15"/>
  <c r="AM7" i="15"/>
  <c r="AM17" i="15"/>
  <c r="AM29" i="15"/>
  <c r="AM39" i="15"/>
  <c r="AM15" i="15"/>
  <c r="AM31" i="15"/>
  <c r="AM32" i="15"/>
  <c r="BX32" i="15" s="1"/>
  <c r="AM8" i="15"/>
  <c r="AM22" i="15"/>
  <c r="AM36" i="15"/>
  <c r="AM20" i="15"/>
  <c r="AM13" i="15"/>
  <c r="AM5" i="15"/>
  <c r="AM21" i="15"/>
  <c r="AM33" i="15"/>
  <c r="BX33" i="15" s="1"/>
  <c r="AM9" i="15"/>
  <c r="AM23" i="15"/>
  <c r="AM37" i="15"/>
  <c r="AM41" i="15"/>
  <c r="AM12" i="15"/>
  <c r="AM24" i="15"/>
  <c r="AM40" i="15"/>
  <c r="AM25" i="15"/>
  <c r="BX25" i="15" s="1"/>
  <c r="AM14" i="15"/>
  <c r="AM30" i="15"/>
  <c r="BR1" i="105" l="1"/>
  <c r="BT1" i="105" s="1"/>
  <c r="BT2" i="105"/>
  <c r="BT5" i="105"/>
  <c r="BT3" i="105"/>
  <c r="BT4" i="105"/>
  <c r="B44" i="90"/>
  <c r="B39" i="90"/>
  <c r="B40" i="90"/>
  <c r="B41" i="90"/>
  <c r="B42" i="90"/>
  <c r="B43" i="90"/>
  <c r="CF29" i="15"/>
  <c r="DE6" i="15"/>
  <c r="DC6" i="15"/>
  <c r="CT29" i="15"/>
  <c r="CM41" i="15"/>
  <c r="CO16" i="15"/>
  <c r="CS9" i="15"/>
  <c r="CZ37" i="15"/>
  <c r="CG33" i="15"/>
  <c r="CD16" i="15"/>
  <c r="CE40" i="15"/>
  <c r="CQ20" i="15"/>
  <c r="CV18" i="15"/>
  <c r="DG29" i="15"/>
  <c r="CB40" i="15"/>
  <c r="DE19" i="15"/>
  <c r="CI10" i="15"/>
  <c r="CR27" i="15"/>
  <c r="CL20" i="15"/>
  <c r="DD35" i="15"/>
  <c r="CB35" i="15"/>
  <c r="DD56" i="15"/>
  <c r="BX23" i="15"/>
  <c r="CM21" i="15"/>
  <c r="CP6" i="15"/>
  <c r="CN22" i="15"/>
  <c r="DB38" i="15"/>
  <c r="DB36" i="15"/>
  <c r="DB30" i="15"/>
  <c r="CE33" i="15"/>
  <c r="CR38" i="15"/>
  <c r="CO31" i="15"/>
  <c r="BX14" i="15"/>
  <c r="BX9" i="15"/>
  <c r="BX8" i="15"/>
  <c r="BX38" i="15"/>
  <c r="CT24" i="15"/>
  <c r="CA22" i="15"/>
  <c r="CM12" i="15"/>
  <c r="CV8" i="15"/>
  <c r="CY14" i="15"/>
  <c r="CK9" i="15"/>
  <c r="CA33" i="15"/>
  <c r="CK23" i="15"/>
  <c r="CC31" i="15"/>
  <c r="CX7" i="15"/>
  <c r="CK38" i="15"/>
  <c r="CW37" i="15"/>
  <c r="CF33" i="15"/>
  <c r="CB29" i="15"/>
  <c r="CS24" i="15"/>
  <c r="CV25" i="15"/>
  <c r="CG32" i="15"/>
  <c r="CI40" i="15"/>
  <c r="CH40" i="15"/>
  <c r="CX31" i="15"/>
  <c r="DE5" i="15"/>
  <c r="CF23" i="15"/>
  <c r="CR21" i="15"/>
  <c r="CL37" i="15"/>
  <c r="DE33" i="15"/>
  <c r="CB14" i="15"/>
  <c r="CU25" i="15"/>
  <c r="CN6" i="15"/>
  <c r="BY19" i="15"/>
  <c r="CZ21" i="15"/>
  <c r="CJ12" i="15"/>
  <c r="CL47" i="15"/>
  <c r="CE44" i="15"/>
  <c r="CE46" i="15"/>
  <c r="DA46" i="15"/>
  <c r="CT41" i="15"/>
  <c r="CZ33" i="15"/>
  <c r="CX25" i="15"/>
  <c r="DD22" i="15"/>
  <c r="CC32" i="15"/>
  <c r="CE25" i="15"/>
  <c r="DF12" i="15"/>
  <c r="CD32" i="15"/>
  <c r="CO23" i="15"/>
  <c r="CW17" i="15"/>
  <c r="DE38" i="15"/>
  <c r="CS39" i="15"/>
  <c r="CM11" i="15"/>
  <c r="CJ11" i="15"/>
  <c r="CE9" i="15"/>
  <c r="CR26" i="15"/>
  <c r="CA11" i="15"/>
  <c r="CD34" i="15"/>
  <c r="CX57" i="15"/>
  <c r="BX24" i="15"/>
  <c r="BX5" i="15"/>
  <c r="BX15" i="15"/>
  <c r="BX6" i="15"/>
  <c r="CS33" i="15"/>
  <c r="DF32" i="15"/>
  <c r="CM17" i="15"/>
  <c r="CO12" i="15"/>
  <c r="CO20" i="15"/>
  <c r="CG16" i="15"/>
  <c r="DA20" i="15"/>
  <c r="DG14" i="15"/>
  <c r="CT30" i="15"/>
  <c r="CI29" i="15"/>
  <c r="CG29" i="15"/>
  <c r="DG19" i="15"/>
  <c r="CN16" i="15"/>
  <c r="DC7" i="15"/>
  <c r="CW40" i="15"/>
  <c r="CL18" i="15"/>
  <c r="BY4" i="15"/>
  <c r="CB19" i="15"/>
  <c r="CM50" i="15"/>
  <c r="BX13" i="15"/>
  <c r="CD7" i="15"/>
  <c r="CH39" i="15"/>
  <c r="CW23" i="15"/>
  <c r="CZ31" i="15"/>
  <c r="BZ18" i="15"/>
  <c r="DG24" i="15"/>
  <c r="CO22" i="15"/>
  <c r="CJ17" i="15"/>
  <c r="CW15" i="15"/>
  <c r="CP31" i="15"/>
  <c r="CQ33" i="15"/>
  <c r="CL21" i="15"/>
  <c r="CB13" i="15"/>
  <c r="DD29" i="15"/>
  <c r="CU13" i="15"/>
  <c r="CM7" i="15"/>
  <c r="CN12" i="15"/>
  <c r="CO33" i="15"/>
  <c r="CT32" i="15"/>
  <c r="DC30" i="15"/>
  <c r="CT5" i="15"/>
  <c r="CI16" i="15"/>
  <c r="CA13" i="15"/>
  <c r="DD16" i="15"/>
  <c r="CN29" i="15"/>
  <c r="CU31" i="15"/>
  <c r="CW13" i="15"/>
  <c r="BZ40" i="15"/>
  <c r="CX41" i="15"/>
  <c r="CZ14" i="15"/>
  <c r="CS38" i="15"/>
  <c r="CI6" i="15"/>
  <c r="CZ34" i="15"/>
  <c r="CA12" i="15"/>
  <c r="CQ12" i="15"/>
  <c r="DE29" i="15"/>
  <c r="DE11" i="15"/>
  <c r="CT7" i="15"/>
  <c r="CZ9" i="15"/>
  <c r="CA27" i="15"/>
  <c r="CD12" i="15"/>
  <c r="CF27" i="15"/>
  <c r="CY18" i="15"/>
  <c r="CS45" i="15"/>
  <c r="BX12" i="15"/>
  <c r="DF37" i="15"/>
  <c r="CV30" i="15"/>
  <c r="DD31" i="15"/>
  <c r="BX29" i="15"/>
  <c r="CI33" i="15"/>
  <c r="DF40" i="15"/>
  <c r="CS40" i="15"/>
  <c r="CW30" i="15"/>
  <c r="CF22" i="15"/>
  <c r="CW12" i="15"/>
  <c r="CW14" i="15"/>
  <c r="CF16" i="15"/>
  <c r="BZ41" i="15"/>
  <c r="CQ41" i="15"/>
  <c r="CK25" i="15"/>
  <c r="CG15" i="15"/>
  <c r="CB12" i="15"/>
  <c r="CD37" i="15"/>
  <c r="CI20" i="15"/>
  <c r="CB18" i="15"/>
  <c r="DB13" i="15"/>
  <c r="CN34" i="15"/>
  <c r="BY23" i="15"/>
  <c r="CJ9" i="15"/>
  <c r="DB5" i="15"/>
  <c r="CB5" i="15"/>
  <c r="BZ12" i="15"/>
  <c r="CX18" i="15"/>
  <c r="CN48" i="15"/>
  <c r="BX39" i="15"/>
  <c r="CB37" i="15"/>
  <c r="BY37" i="15"/>
  <c r="BX41" i="15"/>
  <c r="BX20" i="15"/>
  <c r="CS12" i="15"/>
  <c r="CJ6" i="15"/>
  <c r="CD41" i="15"/>
  <c r="DG32" i="15"/>
  <c r="CF32" i="15"/>
  <c r="BY16" i="15"/>
  <c r="DG20" i="15"/>
  <c r="CA25" i="15"/>
  <c r="CP9" i="15"/>
  <c r="CR29" i="15"/>
  <c r="CG26" i="15"/>
  <c r="CT22" i="15"/>
  <c r="CF21" i="15"/>
  <c r="CM14" i="15"/>
  <c r="BZ30" i="15"/>
  <c r="CH13" i="15"/>
  <c r="CX21" i="15"/>
  <c r="CN25" i="15"/>
  <c r="CU15" i="15"/>
  <c r="DF30" i="15"/>
  <c r="BZ20" i="15"/>
  <c r="CC23" i="15"/>
  <c r="CP25" i="15"/>
  <c r="CD17" i="15"/>
  <c r="CS13" i="15"/>
  <c r="BZ16" i="15"/>
  <c r="CZ20" i="15"/>
  <c r="CP20" i="15"/>
  <c r="DB21" i="15"/>
  <c r="CY19" i="15"/>
  <c r="CZ10" i="15"/>
  <c r="DG10" i="15"/>
  <c r="CL35" i="15"/>
  <c r="DC40" i="15"/>
  <c r="CN11" i="15"/>
  <c r="CQ4" i="15"/>
  <c r="BX30" i="15"/>
  <c r="BX22" i="15"/>
  <c r="BX7" i="15"/>
  <c r="CY16" i="15"/>
  <c r="CE41" i="15"/>
  <c r="DD17" i="15"/>
  <c r="DA33" i="15"/>
  <c r="BZ31" i="15"/>
  <c r="CH15" i="15"/>
  <c r="DD30" i="15"/>
  <c r="CG31" i="15"/>
  <c r="CS31" i="15"/>
  <c r="CL25" i="15"/>
  <c r="DF22" i="15"/>
  <c r="CN13" i="15"/>
  <c r="CU6" i="15"/>
  <c r="DE17" i="15"/>
  <c r="CJ24" i="15"/>
  <c r="CW24" i="15"/>
  <c r="DC29" i="15"/>
  <c r="CB28" i="15"/>
  <c r="DA17" i="15"/>
  <c r="CH16" i="15"/>
  <c r="CP40" i="15"/>
  <c r="CD33" i="15"/>
  <c r="CU20" i="15"/>
  <c r="CE12" i="15"/>
  <c r="CE29" i="15"/>
  <c r="DA25" i="15"/>
  <c r="CQ28" i="15"/>
  <c r="CQ14" i="15"/>
  <c r="CS8" i="15"/>
  <c r="CS23" i="15"/>
  <c r="DG33" i="15"/>
  <c r="DG31" i="15"/>
  <c r="CS29" i="15"/>
  <c r="CR12" i="15"/>
  <c r="CI28" i="15"/>
  <c r="CJ29" i="15"/>
  <c r="CN15" i="15"/>
  <c r="CW9" i="15"/>
  <c r="CJ25" i="15"/>
  <c r="CF36" i="15"/>
  <c r="CA24" i="15"/>
  <c r="DF20" i="15"/>
  <c r="CA40" i="15"/>
  <c r="CN9" i="15"/>
  <c r="CW20" i="15"/>
  <c r="BY15" i="15"/>
  <c r="CR13" i="15"/>
  <c r="CD31" i="15"/>
  <c r="CN30" i="15"/>
  <c r="DD28" i="15"/>
  <c r="CD20" i="15"/>
  <c r="CM37" i="15"/>
  <c r="CI15" i="15"/>
  <c r="CL6" i="15"/>
  <c r="CP13" i="15"/>
  <c r="DE26" i="15"/>
  <c r="DC39" i="15"/>
  <c r="CE38" i="15"/>
  <c r="CK33" i="15"/>
  <c r="CH37" i="15"/>
  <c r="CE24" i="15"/>
  <c r="DF26" i="15"/>
  <c r="CO26" i="15"/>
  <c r="DB20" i="15"/>
  <c r="CZ36" i="15"/>
  <c r="CX20" i="15"/>
  <c r="DD32" i="15"/>
  <c r="CV22" i="15"/>
  <c r="CI13" i="15"/>
  <c r="BY25" i="15"/>
  <c r="DD37" i="15"/>
  <c r="CP36" i="15"/>
  <c r="CR8" i="15"/>
  <c r="CO17" i="15"/>
  <c r="CH7" i="15"/>
  <c r="CL19" i="15"/>
  <c r="DC26" i="15"/>
  <c r="CA30" i="15"/>
  <c r="CC21" i="15"/>
  <c r="CQ22" i="15"/>
  <c r="CJ36" i="15"/>
  <c r="CV14" i="15"/>
  <c r="CZ17" i="15"/>
  <c r="CZ28" i="15"/>
  <c r="CH34" i="15"/>
  <c r="BY29" i="15"/>
  <c r="CA21" i="15"/>
  <c r="CZ39" i="15"/>
  <c r="DA13" i="15"/>
  <c r="CQ17" i="15"/>
  <c r="CW18" i="15"/>
  <c r="CB34" i="15"/>
  <c r="CN26" i="15"/>
  <c r="DE32" i="15"/>
  <c r="CM33" i="15"/>
  <c r="CR30" i="15"/>
  <c r="CJ21" i="15"/>
  <c r="BX40" i="15"/>
  <c r="BX21" i="15"/>
  <c r="BX31" i="15"/>
  <c r="BX16" i="15"/>
  <c r="DA31" i="15"/>
  <c r="CQ30" i="15"/>
  <c r="CC22" i="15"/>
  <c r="DD20" i="15"/>
  <c r="CH32" i="15"/>
  <c r="DC33" i="15"/>
  <c r="CD14" i="15"/>
  <c r="CN41" i="15"/>
  <c r="CT36" i="15"/>
  <c r="DE16" i="15"/>
  <c r="DB12" i="15"/>
  <c r="DF6" i="15"/>
  <c r="CU41" i="15"/>
  <c r="CX13" i="15"/>
  <c r="CL8" i="15"/>
  <c r="CZ32" i="15"/>
  <c r="CG34" i="15"/>
  <c r="CH8" i="15"/>
  <c r="DC8" i="15"/>
  <c r="BY34" i="15"/>
  <c r="CN33" i="15"/>
  <c r="CC28" i="15"/>
  <c r="CA31" i="15"/>
  <c r="CS11" i="15"/>
  <c r="CK22" i="15"/>
  <c r="DD39" i="15"/>
  <c r="DB33" i="15"/>
  <c r="BZ34" i="15"/>
  <c r="CO32" i="15"/>
  <c r="CW33" i="15"/>
  <c r="DG22" i="15"/>
  <c r="CG20" i="15"/>
  <c r="CT8" i="15"/>
  <c r="CQ6" i="15"/>
  <c r="BY18" i="15"/>
  <c r="CI14" i="15"/>
  <c r="BY36" i="15"/>
  <c r="DC31" i="15"/>
  <c r="CE14" i="15"/>
  <c r="DB23" i="15"/>
  <c r="CD21" i="15"/>
  <c r="CX9" i="15"/>
  <c r="CQ7" i="15"/>
  <c r="CZ7" i="15"/>
  <c r="CS41" i="15"/>
  <c r="CP30" i="15"/>
  <c r="CT25" i="15"/>
  <c r="CZ40" i="15"/>
  <c r="CA9" i="15"/>
  <c r="CM30" i="15"/>
  <c r="CM22" i="15"/>
  <c r="CB7" i="15"/>
  <c r="CQ25" i="15"/>
  <c r="CS19" i="15"/>
  <c r="CG38" i="15"/>
  <c r="CT13" i="15"/>
  <c r="CQ5" i="15"/>
  <c r="CI7" i="15"/>
  <c r="CL29" i="15"/>
  <c r="DG40" i="15"/>
  <c r="CN39" i="15"/>
  <c r="CV32" i="15"/>
  <c r="CC35" i="15"/>
  <c r="CP8" i="15"/>
  <c r="BY41" i="15"/>
  <c r="CF24" i="15"/>
  <c r="CR41" i="15"/>
  <c r="CJ39" i="15"/>
  <c r="BY8" i="15"/>
  <c r="CK15" i="15"/>
  <c r="CR32" i="15"/>
  <c r="DF21" i="15"/>
  <c r="CQ23" i="15"/>
  <c r="DF38" i="15"/>
  <c r="CQ15" i="15"/>
  <c r="DB6" i="15"/>
  <c r="CK12" i="15"/>
  <c r="CB22" i="15"/>
  <c r="CZ27" i="15"/>
  <c r="CA28" i="15"/>
  <c r="DC36" i="15"/>
  <c r="DF29" i="15"/>
  <c r="CW25" i="15"/>
  <c r="CS28" i="15"/>
  <c r="CC17" i="15"/>
  <c r="CY30" i="15"/>
  <c r="CL5" i="15"/>
  <c r="CG36" i="15"/>
  <c r="CR25" i="15"/>
  <c r="DC21" i="15"/>
  <c r="CI17" i="15"/>
  <c r="DC12" i="15"/>
  <c r="CF9" i="15"/>
  <c r="DA41" i="15"/>
  <c r="CU39" i="15"/>
  <c r="CW28" i="15"/>
  <c r="CX22" i="15"/>
  <c r="CJ37" i="15"/>
  <c r="CF8" i="15"/>
  <c r="DA38" i="15"/>
  <c r="CC38" i="15"/>
  <c r="CK31" i="15"/>
  <c r="DE37" i="15"/>
  <c r="DF34" i="15"/>
  <c r="CH14" i="15"/>
  <c r="CI30" i="15"/>
  <c r="CX30" i="15"/>
  <c r="CB31" i="15"/>
  <c r="DE34" i="15"/>
  <c r="CT38" i="15"/>
  <c r="CH26" i="15"/>
  <c r="DE23" i="15"/>
  <c r="CR14" i="15"/>
  <c r="BY13" i="15"/>
  <c r="CO9" i="15"/>
  <c r="CU5" i="15"/>
  <c r="CY31" i="15"/>
  <c r="CO30" i="15"/>
  <c r="CS5" i="15"/>
  <c r="CO28" i="15"/>
  <c r="DB24" i="15"/>
  <c r="CV15" i="15"/>
  <c r="CC14" i="15"/>
  <c r="CT33" i="15"/>
  <c r="CL36" i="15"/>
  <c r="CT23" i="15"/>
  <c r="CX15" i="15"/>
  <c r="CK32" i="15"/>
  <c r="CK29" i="15"/>
  <c r="DB8" i="15"/>
  <c r="CP28" i="15"/>
  <c r="CC37" i="15"/>
  <c r="CQ24" i="15"/>
  <c r="CO40" i="15"/>
  <c r="CQ36" i="15"/>
  <c r="CI12" i="15"/>
  <c r="CX14" i="15"/>
  <c r="CM31" i="15"/>
  <c r="CU38" i="15"/>
  <c r="DD25" i="15"/>
  <c r="CM39" i="15"/>
  <c r="DD5" i="15"/>
  <c r="DD33" i="15"/>
  <c r="CR16" i="15"/>
  <c r="CB30" i="15"/>
  <c r="CI24" i="15"/>
  <c r="DB39" i="15"/>
  <c r="CT37" i="15"/>
  <c r="CV21" i="15"/>
  <c r="CP34" i="15"/>
  <c r="DB32" i="15"/>
  <c r="CD40" i="15"/>
  <c r="CH22" i="15"/>
  <c r="CR36" i="15"/>
  <c r="CN14" i="15"/>
  <c r="CP5" i="15"/>
  <c r="CD8" i="15"/>
  <c r="CJ22" i="15"/>
  <c r="CV34" i="15"/>
  <c r="CK24" i="15"/>
  <c r="DB14" i="15"/>
  <c r="CM28" i="15"/>
  <c r="DC20" i="15"/>
  <c r="CO41" i="15"/>
  <c r="BZ10" i="15"/>
  <c r="CE8" i="15"/>
  <c r="CX34" i="15"/>
  <c r="CV23" i="15"/>
  <c r="CB24" i="15"/>
  <c r="CG39" i="15"/>
  <c r="CD22" i="15"/>
  <c r="CU30" i="15"/>
  <c r="DF28" i="15"/>
  <c r="CK20" i="15"/>
  <c r="CK17" i="15"/>
  <c r="CA37" i="15"/>
  <c r="CR37" i="15"/>
  <c r="BZ25" i="15"/>
  <c r="CR17" i="15"/>
  <c r="CL33" i="15"/>
  <c r="CH31" i="15"/>
  <c r="CZ29" i="15"/>
  <c r="CE21" i="15"/>
  <c r="CC19" i="15"/>
  <c r="CY21" i="15"/>
  <c r="DB31" i="15"/>
  <c r="DD15" i="15"/>
  <c r="CC7" i="15"/>
  <c r="CG18" i="15"/>
  <c r="CM24" i="15"/>
  <c r="DE25" i="15"/>
  <c r="CP39" i="15"/>
  <c r="CK30" i="15"/>
  <c r="CY23" i="15"/>
  <c r="CY38" i="15"/>
  <c r="CT40" i="15"/>
  <c r="CD9" i="15"/>
  <c r="CL12" i="15"/>
  <c r="DF15" i="15"/>
  <c r="CS14" i="15"/>
  <c r="CY37" i="15"/>
  <c r="CV29" i="15"/>
  <c r="CY20" i="15"/>
  <c r="CC20" i="15"/>
  <c r="CP33" i="15"/>
  <c r="CD30" i="15"/>
  <c r="CH23" i="15"/>
  <c r="CA38" i="15"/>
  <c r="DE41" i="15"/>
  <c r="CE32" i="15"/>
  <c r="CD24" i="15"/>
  <c r="DA40" i="15"/>
  <c r="CL30" i="15"/>
  <c r="CI21" i="15"/>
  <c r="CM40" i="15"/>
  <c r="CK13" i="15"/>
  <c r="DE18" i="15"/>
  <c r="CN5" i="15"/>
  <c r="CE11" i="15"/>
  <c r="DD26" i="15"/>
  <c r="CC11" i="15"/>
  <c r="CL41" i="15"/>
  <c r="CW26" i="15"/>
  <c r="BY40" i="15"/>
  <c r="DD38" i="15"/>
  <c r="DC9" i="15"/>
  <c r="CR5" i="15"/>
  <c r="DB25" i="15"/>
  <c r="CR6" i="15"/>
  <c r="CZ25" i="15"/>
  <c r="CN37" i="15"/>
  <c r="BY17" i="15"/>
  <c r="CF7" i="15"/>
  <c r="DG16" i="15"/>
  <c r="CW6" i="15"/>
  <c r="DG18" i="15"/>
  <c r="CE34" i="15"/>
  <c r="DE39" i="15"/>
  <c r="CY33" i="15"/>
  <c r="CO25" i="15"/>
  <c r="CF37" i="15"/>
  <c r="BZ17" i="15"/>
  <c r="CN7" i="15"/>
  <c r="BY26" i="15"/>
  <c r="CJ32" i="15"/>
  <c r="CO24" i="15"/>
  <c r="CS36" i="15"/>
  <c r="CH17" i="15"/>
  <c r="CV7" i="15"/>
  <c r="CN31" i="15"/>
  <c r="CM8" i="15"/>
  <c r="CI26" i="15"/>
  <c r="CP35" i="15"/>
  <c r="BZ8" i="15"/>
  <c r="CL17" i="15"/>
  <c r="CM29" i="15"/>
  <c r="CJ28" i="15"/>
  <c r="CX23" i="15"/>
  <c r="BY6" i="15"/>
  <c r="DE15" i="15"/>
  <c r="CU8" i="15"/>
  <c r="DF13" i="15"/>
  <c r="CH30" i="15"/>
  <c r="CW32" i="15"/>
  <c r="DE31" i="15"/>
  <c r="DF23" i="15"/>
  <c r="CB23" i="15"/>
  <c r="CU24" i="15"/>
  <c r="CQ32" i="15"/>
  <c r="CS17" i="15"/>
  <c r="DD8" i="15"/>
  <c r="CC24" i="15"/>
  <c r="CC33" i="15"/>
  <c r="CM32" i="15"/>
  <c r="DC24" i="15"/>
  <c r="DD24" i="15"/>
  <c r="BY39" i="15"/>
  <c r="CB25" i="15"/>
  <c r="CE7" i="15"/>
  <c r="CQ37" i="15"/>
  <c r="DG37" i="15"/>
  <c r="CC15" i="15"/>
  <c r="CM38" i="15"/>
  <c r="DC25" i="15"/>
  <c r="CO29" i="15"/>
  <c r="CR23" i="15"/>
  <c r="DA36" i="15"/>
  <c r="CN38" i="15"/>
  <c r="CA8" i="15"/>
  <c r="CO8" i="15"/>
  <c r="CR31" i="15"/>
  <c r="CF41" i="15"/>
  <c r="CG8" i="15"/>
  <c r="CQ16" i="15"/>
  <c r="CW31" i="15"/>
  <c r="DE36" i="15"/>
  <c r="DA19" i="15"/>
  <c r="BZ29" i="15"/>
  <c r="CP22" i="15"/>
  <c r="CC36" i="15"/>
  <c r="CV5" i="15"/>
  <c r="CM20" i="15"/>
  <c r="CU21" i="15"/>
  <c r="CS16" i="15"/>
  <c r="CX29" i="15"/>
  <c r="BY20" i="15"/>
  <c r="BY38" i="15"/>
  <c r="CP12" i="15"/>
  <c r="CS15" i="15"/>
  <c r="CV16" i="15"/>
  <c r="CU35" i="15"/>
  <c r="CA19" i="15"/>
  <c r="CX33" i="15"/>
  <c r="DD36" i="15"/>
  <c r="CH25" i="15"/>
  <c r="CV37" i="15"/>
  <c r="CH36" i="15"/>
  <c r="DE7" i="15"/>
  <c r="CF17" i="15"/>
  <c r="DA11" i="15"/>
  <c r="CJ33" i="15"/>
  <c r="CR24" i="15"/>
  <c r="DD40" i="15"/>
  <c r="DB16" i="15"/>
  <c r="CC6" i="15"/>
  <c r="CK14" i="15"/>
  <c r="BZ24" i="15"/>
  <c r="CD11" i="15"/>
  <c r="CM26" i="15"/>
  <c r="BZ39" i="15"/>
  <c r="BY33" i="15"/>
  <c r="DA24" i="15"/>
  <c r="CV40" i="15"/>
  <c r="CE16" i="15"/>
  <c r="CK6" i="15"/>
  <c r="CV13" i="15"/>
  <c r="BZ13" i="15"/>
  <c r="CG23" i="15"/>
  <c r="CF40" i="15"/>
  <c r="CM16" i="15"/>
  <c r="CS6" i="15"/>
  <c r="CK16" i="15"/>
  <c r="CA6" i="15"/>
  <c r="CQ18" i="15"/>
  <c r="CK41" i="15"/>
  <c r="CM13" i="15"/>
  <c r="CD38" i="15"/>
  <c r="CO37" i="15"/>
  <c r="BX37" i="15"/>
  <c r="BX36" i="15"/>
  <c r="BX17" i="15"/>
  <c r="CP16" i="15"/>
  <c r="CG12" i="15"/>
  <c r="CG28" i="15"/>
  <c r="CG37" i="15"/>
  <c r="CU29" i="15"/>
  <c r="CD25" i="15"/>
  <c r="CL7" i="15"/>
  <c r="CY7" i="15"/>
  <c r="CT17" i="15"/>
  <c r="CA39" i="15"/>
  <c r="BY32" i="15"/>
  <c r="DG30" i="15"/>
  <c r="CX26" i="15"/>
  <c r="DB29" i="15"/>
  <c r="CM36" i="15"/>
  <c r="DE22" i="15"/>
  <c r="CC41" i="15"/>
  <c r="CO34" i="15"/>
  <c r="CS35" i="15"/>
  <c r="CE22" i="15"/>
  <c r="CV17" i="15"/>
  <c r="CP7" i="15"/>
  <c r="CJ5" i="15"/>
  <c r="CB21" i="15"/>
  <c r="CC16" i="15"/>
  <c r="CL32" i="15"/>
  <c r="BZ33" i="15"/>
  <c r="CK7" i="15"/>
  <c r="DB17" i="15"/>
  <c r="CH18" i="15"/>
  <c r="CD5" i="15"/>
  <c r="CE36" i="15"/>
  <c r="DF33" i="15"/>
  <c r="DG28" i="15"/>
  <c r="DB41" i="15"/>
  <c r="CK40" i="15"/>
  <c r="BZ28" i="15"/>
  <c r="DE8" i="15"/>
  <c r="DC38" i="15"/>
  <c r="CH6" i="15"/>
  <c r="BZ37" i="15"/>
  <c r="CD36" i="15"/>
  <c r="DA29" i="15"/>
  <c r="CQ40" i="15"/>
  <c r="DC32" i="15"/>
  <c r="CU17" i="15"/>
  <c r="CH33" i="15"/>
  <c r="CP32" i="15"/>
  <c r="CU32" i="15"/>
  <c r="CR28" i="15"/>
  <c r="CY28" i="15"/>
  <c r="DD41" i="15"/>
  <c r="CA29" i="15"/>
  <c r="DA22" i="15"/>
  <c r="CA41" i="15"/>
  <c r="CE31" i="15"/>
  <c r="CZ8" i="15"/>
  <c r="CE6" i="15"/>
  <c r="CX10" i="15"/>
  <c r="BZ26" i="15"/>
  <c r="CL15" i="15"/>
  <c r="CF6" i="15"/>
  <c r="CY40" i="15"/>
  <c r="CP21" i="15"/>
  <c r="CY32" i="15"/>
  <c r="CY29" i="15"/>
  <c r="CS22" i="15"/>
  <c r="CN40" i="15"/>
  <c r="CL23" i="15"/>
  <c r="CK35" i="15"/>
  <c r="CC9" i="15"/>
  <c r="CV41" i="15"/>
  <c r="CE28" i="15"/>
  <c r="CS20" i="15"/>
  <c r="CW41" i="15"/>
  <c r="DE10" i="15"/>
  <c r="DA8" i="15"/>
  <c r="CJ14" i="15"/>
  <c r="DG34" i="15"/>
  <c r="CI11" i="15"/>
  <c r="DG23" i="15"/>
  <c r="DG9" i="15"/>
  <c r="BY24" i="15"/>
  <c r="CI41" i="15"/>
  <c r="CT16" i="15"/>
  <c r="CY9" i="15"/>
  <c r="DA12" i="15"/>
  <c r="CU7" i="15"/>
  <c r="CK27" i="15"/>
  <c r="CK21" i="15"/>
  <c r="DA35" i="15"/>
  <c r="CU22" i="15"/>
  <c r="CN23" i="15"/>
  <c r="CB9" i="15"/>
  <c r="CW39" i="15"/>
  <c r="CE39" i="15"/>
  <c r="DF31" i="15"/>
  <c r="CO36" i="15"/>
  <c r="CR33" i="15"/>
  <c r="DE20" i="15"/>
  <c r="CN36" i="15"/>
  <c r="CB33" i="15"/>
  <c r="CG10" i="15"/>
  <c r="CR40" i="15"/>
  <c r="CC40" i="15"/>
  <c r="CN32" i="15"/>
  <c r="DE30" i="15"/>
  <c r="CH28" i="15"/>
  <c r="CG9" i="15"/>
  <c r="DD23" i="15"/>
  <c r="BY28" i="15"/>
  <c r="CK28" i="15"/>
  <c r="CW36" i="15"/>
  <c r="CK8" i="15"/>
  <c r="DF39" i="15"/>
  <c r="DB28" i="15"/>
  <c r="BZ21" i="15"/>
  <c r="CC39" i="15"/>
  <c r="CL16" i="15"/>
  <c r="CO7" i="15"/>
  <c r="DB15" i="15"/>
  <c r="CE30" i="15"/>
  <c r="DD6" i="15"/>
  <c r="DE24" i="15"/>
  <c r="BZ36" i="15"/>
  <c r="DC17" i="15"/>
  <c r="CO39" i="15"/>
  <c r="CI37" i="15"/>
  <c r="CU28" i="15"/>
  <c r="DA21" i="15"/>
  <c r="CP38" i="15"/>
  <c r="CU36" i="15"/>
  <c r="CN20" i="15"/>
  <c r="CX32" i="15"/>
  <c r="CK5" i="15"/>
  <c r="CP26" i="15"/>
  <c r="CG40" i="15"/>
  <c r="CI39" i="15"/>
  <c r="CU9" i="15"/>
  <c r="DC5" i="15"/>
  <c r="CO10" i="15"/>
  <c r="CD27" i="15"/>
  <c r="CU34" i="15"/>
  <c r="CM15" i="15"/>
  <c r="CV33" i="15"/>
  <c r="CZ23" i="15"/>
  <c r="CX38" i="15"/>
  <c r="CY15" i="15"/>
  <c r="CX5" i="15"/>
  <c r="BY12" i="15"/>
  <c r="CI31" i="15"/>
  <c r="CJ30" i="15"/>
  <c r="BZ22" i="15"/>
  <c r="CB36" i="15"/>
  <c r="DD14" i="15"/>
  <c r="DF5" i="15"/>
  <c r="CS7" i="15"/>
  <c r="CW21" i="15"/>
  <c r="CF34" i="15"/>
  <c r="DC10" i="15"/>
  <c r="CN24" i="15"/>
  <c r="CF38" i="15"/>
  <c r="CI22" i="15"/>
  <c r="DF41" i="15"/>
  <c r="BY14" i="15"/>
  <c r="CP37" i="15"/>
  <c r="CA32" i="15"/>
  <c r="CZ30" i="15"/>
  <c r="DB22" i="15"/>
  <c r="CP41" i="15"/>
  <c r="CG14" i="15"/>
  <c r="CI5" i="15"/>
  <c r="CI9" i="15"/>
  <c r="CM23" i="15"/>
  <c r="CQ35" i="15"/>
  <c r="CR39" i="15"/>
  <c r="CD13" i="15"/>
  <c r="CV36" i="15"/>
  <c r="CS32" i="15"/>
  <c r="CW29" i="15"/>
  <c r="CS21" i="15"/>
  <c r="CB39" i="15"/>
  <c r="CL13" i="15"/>
  <c r="CX16" i="15"/>
  <c r="CX6" i="15"/>
  <c r="CG21" i="15"/>
  <c r="CY27" i="15"/>
  <c r="CQ9" i="15"/>
  <c r="CA17" i="15"/>
  <c r="CC30" i="15"/>
  <c r="CH21" i="15"/>
  <c r="CH41" i="15"/>
  <c r="CO14" i="15"/>
  <c r="CY5" i="15"/>
  <c r="BY9" i="15"/>
  <c r="CM35" i="15"/>
  <c r="CQ27" i="15"/>
  <c r="CE10" i="15"/>
  <c r="CA20" i="15"/>
  <c r="CP15" i="15"/>
  <c r="CL11" i="15"/>
  <c r="CW19" i="15"/>
  <c r="CM27" i="15"/>
  <c r="CP19" i="15"/>
  <c r="CN27" i="15"/>
  <c r="BZ27" i="15"/>
  <c r="CT28" i="15"/>
  <c r="CB16" i="15"/>
  <c r="CQ26" i="15"/>
  <c r="BY35" i="15"/>
  <c r="CS10" i="15"/>
  <c r="DB7" i="15"/>
  <c r="CR18" i="15"/>
  <c r="DF17" i="15"/>
  <c r="CV6" i="15"/>
  <c r="CZ15" i="15"/>
  <c r="CE27" i="15"/>
  <c r="CU19" i="15"/>
  <c r="BY22" i="15"/>
  <c r="DE12" i="15"/>
  <c r="CA10" i="15"/>
  <c r="DB26" i="15"/>
  <c r="DC35" i="15"/>
  <c r="CZ5" i="15"/>
  <c r="CW35" i="15"/>
  <c r="CF19" i="15"/>
  <c r="CQ38" i="15"/>
  <c r="CU12" i="15"/>
  <c r="CV26" i="15"/>
  <c r="BY11" i="15"/>
  <c r="CX4" i="15"/>
  <c r="DG41" i="15"/>
  <c r="CT10" i="15"/>
  <c r="CO35" i="15"/>
  <c r="DG25" i="15"/>
  <c r="CG13" i="15"/>
  <c r="CI34" i="15"/>
  <c r="DE35" i="15"/>
  <c r="CV11" i="15"/>
  <c r="CC4" i="15"/>
  <c r="CA35" i="15"/>
  <c r="BY31" i="15"/>
  <c r="CH20" i="15"/>
  <c r="DB37" i="15"/>
  <c r="CX12" i="15"/>
  <c r="CV12" i="15"/>
  <c r="DG13" i="15"/>
  <c r="CZ38" i="15"/>
  <c r="DC28" i="15"/>
  <c r="CO18" i="15"/>
  <c r="CG41" i="15"/>
  <c r="DF10" i="15"/>
  <c r="DF7" i="15"/>
  <c r="CY13" i="15"/>
  <c r="CQ34" i="15"/>
  <c r="DD10" i="15"/>
  <c r="DF18" i="15"/>
  <c r="BZ32" i="15"/>
  <c r="CQ29" i="15"/>
  <c r="CZ41" i="15"/>
  <c r="DB40" i="15"/>
  <c r="CL9" i="15"/>
  <c r="CA7" i="15"/>
  <c r="BY30" i="15"/>
  <c r="CN28" i="15"/>
  <c r="CJ41" i="15"/>
  <c r="CL40" i="15"/>
  <c r="CT9" i="15"/>
  <c r="DF9" i="15"/>
  <c r="CO15" i="15"/>
  <c r="DB35" i="15"/>
  <c r="CF18" i="15"/>
  <c r="CV39" i="15"/>
  <c r="DE28" i="15"/>
  <c r="CD28" i="15"/>
  <c r="CR20" i="15"/>
  <c r="CY36" i="15"/>
  <c r="CY12" i="15"/>
  <c r="DC13" i="15"/>
  <c r="CN17" i="15"/>
  <c r="CT35" i="15"/>
  <c r="DG11" i="15"/>
  <c r="BX27" i="15"/>
  <c r="CI36" i="15"/>
  <c r="CJ16" i="15"/>
  <c r="DD18" i="15"/>
  <c r="CD10" i="15"/>
  <c r="DE4" i="15"/>
  <c r="BY27" i="15"/>
  <c r="CI4" i="15"/>
  <c r="CF11" i="15"/>
  <c r="CJ20" i="15"/>
  <c r="CF15" i="15"/>
  <c r="DG27" i="15"/>
  <c r="CO19" i="15"/>
  <c r="CZ18" i="15"/>
  <c r="BZ35" i="15"/>
  <c r="CB4" i="15"/>
  <c r="DF16" i="15"/>
  <c r="DA7" i="15"/>
  <c r="CG5" i="15"/>
  <c r="DB19" i="15"/>
  <c r="CF35" i="15"/>
  <c r="CQ39" i="15"/>
  <c r="CT14" i="15"/>
  <c r="CQ11" i="15"/>
  <c r="CG11" i="15"/>
  <c r="CJ18" i="15"/>
  <c r="CX17" i="15"/>
  <c r="CJ27" i="15"/>
  <c r="CK11" i="15"/>
  <c r="DF36" i="15"/>
  <c r="BZ14" i="15"/>
  <c r="CM34" i="15"/>
  <c r="DD27" i="15"/>
  <c r="CM4" i="15"/>
  <c r="CW10" i="15"/>
  <c r="CH4" i="15"/>
  <c r="CU27" i="15"/>
  <c r="CI38" i="15"/>
  <c r="DE9" i="15"/>
  <c r="CY35" i="15"/>
  <c r="CL26" i="15"/>
  <c r="CR34" i="15"/>
  <c r="DC22" i="15"/>
  <c r="CD26" i="15"/>
  <c r="DB11" i="15"/>
  <c r="DA32" i="15"/>
  <c r="CF25" i="15"/>
  <c r="CT39" i="15"/>
  <c r="CV38" i="15"/>
  <c r="CI8" i="15"/>
  <c r="CC5" i="15"/>
  <c r="CH9" i="15"/>
  <c r="CY26" i="15"/>
  <c r="DF35" i="15"/>
  <c r="CX39" i="15"/>
  <c r="CB32" i="15"/>
  <c r="CF28" i="15"/>
  <c r="CL39" i="15"/>
  <c r="DA37" i="15"/>
  <c r="CQ8" i="15"/>
  <c r="CU33" i="15"/>
  <c r="CT31" i="15"/>
  <c r="DF25" i="15"/>
  <c r="CD39" i="15"/>
  <c r="CS37" i="15"/>
  <c r="CY8" i="15"/>
  <c r="CJ7" i="15"/>
  <c r="CE13" i="15"/>
  <c r="CA34" i="15"/>
  <c r="CN10" i="15"/>
  <c r="CL24" i="15"/>
  <c r="DA14" i="15"/>
  <c r="CV28" i="15"/>
  <c r="CB41" i="15"/>
  <c r="DG39" i="15"/>
  <c r="DB9" i="15"/>
  <c r="CV9" i="15"/>
  <c r="CE15" i="15"/>
  <c r="DB27" i="15"/>
  <c r="CF10" i="15"/>
  <c r="CX40" i="15"/>
  <c r="DC16" i="15"/>
  <c r="CR9" i="15"/>
  <c r="CU26" i="15"/>
  <c r="DA34" i="15"/>
  <c r="CN4" i="15"/>
  <c r="CK26" i="15"/>
  <c r="CG6" i="15"/>
  <c r="BZ4" i="15"/>
  <c r="CK39" i="15"/>
  <c r="DA15" i="15"/>
  <c r="CN18" i="15"/>
  <c r="CW11" i="15"/>
  <c r="CR10" i="15"/>
  <c r="DB34" i="15"/>
  <c r="CX11" i="15"/>
  <c r="DD34" i="15"/>
  <c r="CS27" i="15"/>
  <c r="DC15" i="15"/>
  <c r="CY11" i="15"/>
  <c r="CT4" i="15"/>
  <c r="CF14" i="15"/>
  <c r="CR7" i="15"/>
  <c r="DC34" i="15"/>
  <c r="CR19" i="15"/>
  <c r="DF4" i="15"/>
  <c r="DG5" i="15"/>
  <c r="DB4" i="15"/>
  <c r="CJ13" i="15"/>
  <c r="DE14" i="15"/>
  <c r="DG6" i="15"/>
  <c r="DC18" i="15"/>
  <c r="DD19" i="15"/>
  <c r="CK4" i="15"/>
  <c r="CE17" i="15"/>
  <c r="BZ15" i="15"/>
  <c r="DD4" i="15"/>
  <c r="CU40" i="15"/>
  <c r="CX28" i="15"/>
  <c r="CG25" i="15"/>
  <c r="DG38" i="15"/>
  <c r="CK37" i="15"/>
  <c r="DG8" i="15"/>
  <c r="BZ7" i="15"/>
  <c r="DD12" i="15"/>
  <c r="CA26" i="15"/>
  <c r="CH35" i="15"/>
  <c r="CE20" i="15"/>
  <c r="DG12" i="15"/>
  <c r="CS25" i="15"/>
  <c r="CH11" i="15"/>
  <c r="DA26" i="15"/>
  <c r="CL4" i="15"/>
  <c r="CB11" i="15"/>
  <c r="CT20" i="15"/>
  <c r="CL31" i="15"/>
  <c r="CA36" i="15"/>
  <c r="CW8" i="15"/>
  <c r="CX35" i="15"/>
  <c r="CR35" i="15"/>
  <c r="CW4" i="15"/>
  <c r="CG19" i="15"/>
  <c r="CN19" i="15"/>
  <c r="CP11" i="15"/>
  <c r="CY22" i="15"/>
  <c r="CY6" i="15"/>
  <c r="CU10" i="15"/>
  <c r="CF30" i="15"/>
  <c r="CM9" i="15"/>
  <c r="CE23" i="15"/>
  <c r="CH19" i="15"/>
  <c r="CC34" i="15"/>
  <c r="CG4" i="15"/>
  <c r="CX8" i="15"/>
  <c r="CG7" i="15"/>
  <c r="CN21" i="15"/>
  <c r="CB8" i="15"/>
  <c r="BY21" i="15"/>
  <c r="BX10" i="15"/>
  <c r="DD11" i="15"/>
  <c r="CY4" i="15"/>
  <c r="CZ22" i="15"/>
  <c r="CY41" i="15"/>
  <c r="CF20" i="15"/>
  <c r="CX36" i="15"/>
  <c r="CO13" i="15"/>
  <c r="CV10" i="15"/>
  <c r="DB10" i="15"/>
  <c r="CU11" i="15"/>
  <c r="BY7" i="15"/>
  <c r="DC27" i="15"/>
  <c r="CD18" i="15"/>
  <c r="DD51" i="15"/>
  <c r="CE48" i="15"/>
  <c r="CX27" i="15"/>
  <c r="CI32" i="15"/>
  <c r="CC27" i="15"/>
  <c r="CY24" i="15"/>
  <c r="CK36" i="15"/>
  <c r="CP17" i="15"/>
  <c r="DD7" i="15"/>
  <c r="CF31" i="15"/>
  <c r="CC8" i="15"/>
  <c r="CI18" i="15"/>
  <c r="CP27" i="15"/>
  <c r="CM25" i="15"/>
  <c r="CD6" i="15"/>
  <c r="DE21" i="15"/>
  <c r="BX11" i="15"/>
  <c r="DA18" i="15"/>
  <c r="CR4" i="15"/>
  <c r="CJ10" i="15"/>
  <c r="CH12" i="15"/>
  <c r="CL38" i="15"/>
  <c r="CA15" i="15"/>
  <c r="CH24" i="15"/>
  <c r="CE26" i="15"/>
  <c r="CS34" i="15"/>
  <c r="BX4" i="15"/>
  <c r="CK34" i="15"/>
  <c r="CF4" i="15"/>
  <c r="CL10" i="15"/>
  <c r="DE40" i="15"/>
  <c r="CA14" i="15"/>
  <c r="CO11" i="15"/>
  <c r="CJ38" i="15"/>
  <c r="BZ5" i="15"/>
  <c r="CE19" i="15"/>
  <c r="CM10" i="15"/>
  <c r="CC26" i="15"/>
  <c r="CU4" i="15"/>
  <c r="CM5" i="15"/>
  <c r="CC25" i="15"/>
  <c r="CS30" i="15"/>
  <c r="CH5" i="15"/>
  <c r="CA4" i="15"/>
  <c r="CL34" i="15"/>
  <c r="CJ35" i="15"/>
  <c r="CQ31" i="15"/>
  <c r="CA18" i="15"/>
  <c r="CW16" i="15"/>
  <c r="DA16" i="15"/>
  <c r="CC13" i="15"/>
  <c r="CM6" i="15"/>
  <c r="DF27" i="15"/>
  <c r="CV35" i="15"/>
  <c r="CP4" i="15"/>
  <c r="CY17" i="15"/>
  <c r="CV24" i="15"/>
  <c r="CZ4" i="15"/>
  <c r="CF5" i="15"/>
  <c r="CU14" i="15"/>
  <c r="DA28" i="15"/>
  <c r="CT15" i="15"/>
  <c r="BZ23" i="15"/>
  <c r="CH38" i="15"/>
  <c r="DG15" i="15"/>
  <c r="BY5" i="15"/>
  <c r="CP10" i="15"/>
  <c r="DC23" i="15"/>
  <c r="DG35" i="15"/>
  <c r="CU18" i="15"/>
  <c r="CT21" i="15"/>
  <c r="DD13" i="15"/>
  <c r="CI23" i="15"/>
  <c r="BZ38" i="15"/>
  <c r="CB15" i="15"/>
  <c r="CZ6" i="15"/>
  <c r="CB20" i="15"/>
  <c r="DD9" i="15"/>
  <c r="DA23" i="15"/>
  <c r="DC37" i="15"/>
  <c r="CJ15" i="15"/>
  <c r="CO5" i="15"/>
  <c r="CZ13" i="15"/>
  <c r="CP24" i="15"/>
  <c r="CY10" i="15"/>
  <c r="DF19" i="15"/>
  <c r="CD23" i="15"/>
  <c r="CC29" i="15"/>
  <c r="CP23" i="15"/>
  <c r="DA39" i="15"/>
  <c r="CU16" i="15"/>
  <c r="DA6" i="15"/>
  <c r="CA16" i="15"/>
  <c r="DA5" i="15"/>
  <c r="CQ10" i="15"/>
  <c r="CX19" i="15"/>
  <c r="CJ23" i="15"/>
  <c r="CG17" i="15"/>
  <c r="CE35" i="15"/>
  <c r="CG35" i="15"/>
  <c r="DA10" i="15"/>
  <c r="DF24" i="15"/>
  <c r="DA4" i="15"/>
  <c r="CN8" i="15"/>
  <c r="CZ12" i="15"/>
  <c r="BY10" i="15"/>
  <c r="CO21" i="15"/>
  <c r="BZ11" i="15"/>
  <c r="CS26" i="15"/>
  <c r="CD4" i="15"/>
  <c r="CK18" i="15"/>
  <c r="CK19" i="15"/>
  <c r="CM19" i="15"/>
  <c r="CE37" i="15"/>
  <c r="CB6" i="15"/>
  <c r="CK10" i="15"/>
  <c r="DG7" i="15"/>
  <c r="CL14" i="15"/>
  <c r="CD35" i="15"/>
  <c r="BX18" i="15"/>
  <c r="CC18" i="15"/>
  <c r="CS4" i="15"/>
  <c r="CT27" i="15"/>
  <c r="CI19" i="15"/>
  <c r="CY25" i="15"/>
  <c r="CQ13" i="15"/>
  <c r="CY34" i="15"/>
  <c r="CT26" i="15"/>
  <c r="CJ26" i="15"/>
  <c r="DG21" i="15"/>
  <c r="CB27" i="15"/>
  <c r="CR22" i="15"/>
  <c r="DC14" i="15"/>
  <c r="CJ8" i="15"/>
  <c r="CU23" i="15"/>
  <c r="CM18" i="15"/>
  <c r="CV27" i="15"/>
  <c r="CV4" i="15"/>
  <c r="CT12" i="15"/>
  <c r="CP29" i="15"/>
  <c r="CE18" i="15"/>
  <c r="CH10" i="15"/>
  <c r="CC12" i="15"/>
  <c r="CG22" i="15"/>
  <c r="CU37" i="15"/>
  <c r="CR15" i="15"/>
  <c r="CW5" i="15"/>
  <c r="CF13" i="15"/>
  <c r="CX24" i="15"/>
  <c r="CI35" i="15"/>
  <c r="DF11" i="15"/>
  <c r="CL28" i="15"/>
  <c r="BZ9" i="15"/>
  <c r="DG26" i="15"/>
  <c r="CO27" i="15"/>
  <c r="CJ19" i="15"/>
  <c r="CI27" i="15"/>
  <c r="CH27" i="15"/>
  <c r="CL27" i="15"/>
  <c r="CW22" i="15"/>
  <c r="CT6" i="15"/>
  <c r="CJ34" i="15"/>
  <c r="BX34" i="15"/>
  <c r="CS18" i="15"/>
  <c r="CJ4" i="15"/>
  <c r="CZ26" i="15"/>
  <c r="CG24" i="15"/>
  <c r="CI25" i="15"/>
  <c r="CY39" i="15"/>
  <c r="DF14" i="15"/>
  <c r="DC4" i="15"/>
  <c r="DA27" i="15"/>
  <c r="CO6" i="15"/>
  <c r="CT19" i="15"/>
  <c r="CT34" i="15"/>
  <c r="CC10" i="15"/>
  <c r="DG4" i="15"/>
  <c r="CQ19" i="15"/>
  <c r="CW27" i="15"/>
  <c r="CQ21" i="15"/>
  <c r="CV31" i="15"/>
  <c r="CD19" i="15"/>
  <c r="DB18" i="15"/>
  <c r="DC11" i="15"/>
  <c r="CH29" i="15"/>
  <c r="DE27" i="15"/>
  <c r="CR11" i="15"/>
  <c r="DA30" i="15"/>
  <c r="CA5" i="15"/>
  <c r="CB26" i="15"/>
  <c r="CZ19" i="15"/>
  <c r="CV19" i="15"/>
  <c r="CE4" i="15"/>
  <c r="CZ35" i="15"/>
  <c r="CO38" i="15"/>
  <c r="BX19" i="15"/>
  <c r="CO43" i="15"/>
  <c r="CK48" i="15"/>
  <c r="CY45" i="15"/>
  <c r="CI51" i="15"/>
  <c r="CA52" i="15"/>
  <c r="BZ47" i="15"/>
  <c r="DA52" i="15"/>
  <c r="CQ50" i="15"/>
  <c r="CO56" i="15"/>
  <c r="CM44" i="15"/>
  <c r="CO47" i="15"/>
  <c r="DF58" i="15"/>
  <c r="CZ44" i="15"/>
  <c r="DD47" i="15"/>
  <c r="CZ53" i="15"/>
  <c r="BY46" i="15"/>
  <c r="DC3" i="15"/>
  <c r="CH43" i="15"/>
  <c r="BY45" i="15"/>
  <c r="CG46" i="15"/>
  <c r="DB51" i="15"/>
  <c r="CW43" i="15"/>
  <c r="CO46" i="15"/>
  <c r="CE50" i="15"/>
  <c r="CI46" i="15"/>
  <c r="CT56" i="15"/>
  <c r="CS52" i="15"/>
  <c r="BY57" i="15"/>
  <c r="CE52" i="15"/>
  <c r="CJ51" i="15"/>
  <c r="DA51" i="15"/>
  <c r="CM58" i="15"/>
  <c r="CC44" i="15"/>
  <c r="DD43" i="15"/>
  <c r="CP46" i="15"/>
  <c r="DB48" i="15"/>
  <c r="CL50" i="15"/>
  <c r="CF48" i="15"/>
  <c r="DG17" i="15"/>
  <c r="CF26" i="15"/>
  <c r="CT18" i="15"/>
  <c r="DC19" i="15"/>
  <c r="CW38" i="15"/>
  <c r="CN35" i="15"/>
  <c r="CZ11" i="15"/>
  <c r="CA45" i="15"/>
  <c r="CE56" i="15"/>
  <c r="DA45" i="15"/>
  <c r="CG45" i="15"/>
  <c r="CW57" i="15"/>
  <c r="CX47" i="15"/>
  <c r="DE43" i="15"/>
  <c r="CS43" i="15"/>
  <c r="CW46" i="15"/>
  <c r="CE42" i="15"/>
  <c r="CL58" i="15"/>
  <c r="CW51" i="15"/>
  <c r="BY48" i="15"/>
  <c r="DB47" i="15"/>
  <c r="CQ48" i="15"/>
  <c r="CA50" i="15"/>
  <c r="CB51" i="15"/>
  <c r="CP51" i="15"/>
  <c r="DG57" i="15"/>
  <c r="CE47" i="15"/>
  <c r="CK44" i="15"/>
  <c r="DD44" i="15"/>
  <c r="DG46" i="15"/>
  <c r="AM3" i="15"/>
  <c r="BX3" i="15" s="1"/>
  <c r="CV51" i="15"/>
  <c r="CT47" i="15"/>
  <c r="CC45" i="15"/>
  <c r="CB53" i="15"/>
  <c r="CJ47" i="15"/>
  <c r="CH56" i="15"/>
  <c r="BY44" i="15"/>
  <c r="CS50" i="15"/>
  <c r="DD58" i="15"/>
  <c r="CJ43" i="15"/>
  <c r="CB47" i="15"/>
  <c r="CX58" i="15"/>
  <c r="DG45" i="15"/>
  <c r="CP48" i="15"/>
  <c r="CB45" i="15"/>
  <c r="BZ45" i="15"/>
  <c r="CC51" i="15"/>
  <c r="CT45" i="15"/>
  <c r="CT43" i="15"/>
  <c r="CE57" i="15"/>
  <c r="CI45" i="15"/>
  <c r="DB45" i="15"/>
  <c r="CH47" i="15"/>
  <c r="CO44" i="15"/>
  <c r="CD46" i="15"/>
  <c r="BY43" i="15"/>
  <c r="CK52" i="15"/>
  <c r="CO51" i="15"/>
  <c r="CL46" i="15"/>
  <c r="CF56" i="15"/>
  <c r="CD51" i="15"/>
  <c r="CR43" i="15"/>
  <c r="CS57" i="15"/>
  <c r="CZ57" i="15"/>
  <c r="CY51" i="15"/>
  <c r="CZ3" i="15"/>
  <c r="CI3" i="15"/>
  <c r="CG52" i="15"/>
  <c r="CP50" i="15"/>
  <c r="CH45" i="15"/>
  <c r="CI43" i="15"/>
  <c r="DB43" i="15"/>
  <c r="CU51" i="15"/>
  <c r="CJ45" i="15"/>
  <c r="DF43" i="15"/>
  <c r="CW45" i="15"/>
  <c r="DE46" i="15"/>
  <c r="CJ48" i="15"/>
  <c r="CD58" i="15"/>
  <c r="CC46" i="15"/>
  <c r="CR50" i="15"/>
  <c r="CC52" i="15"/>
  <c r="DG52" i="15"/>
  <c r="CY48" i="15"/>
  <c r="CT51" i="15"/>
  <c r="CJ56" i="15"/>
  <c r="CQ47" i="15"/>
  <c r="CY57" i="15"/>
  <c r="CH53" i="15"/>
  <c r="CR3" i="15"/>
  <c r="CA3" i="15"/>
  <c r="CO3" i="15"/>
  <c r="DA56" i="15"/>
  <c r="CD57" i="15"/>
  <c r="BY52" i="15"/>
  <c r="CD56" i="15"/>
  <c r="CP45" i="15"/>
  <c r="CM43" i="15"/>
  <c r="CJ42" i="15"/>
  <c r="CR51" i="15"/>
  <c r="DF51" i="15"/>
  <c r="DC47" i="15"/>
  <c r="CD45" i="15"/>
  <c r="CM42" i="15"/>
  <c r="CT44" i="15"/>
  <c r="CU47" i="15"/>
  <c r="CU46" i="15"/>
  <c r="DC51" i="15"/>
  <c r="CY44" i="15"/>
  <c r="CL51" i="15"/>
  <c r="CG51" i="15"/>
  <c r="CO48" i="15"/>
  <c r="CC47" i="15"/>
  <c r="CT50" i="15"/>
  <c r="CZ50" i="15"/>
  <c r="CI47" i="15"/>
  <c r="BY47" i="15"/>
  <c r="DF3" i="15"/>
  <c r="CG3" i="15"/>
  <c r="CC3" i="15"/>
  <c r="AM49" i="15"/>
  <c r="BX49" i="15" s="1"/>
  <c r="AM56" i="15"/>
  <c r="BX56" i="15" s="1"/>
  <c r="AM45" i="15"/>
  <c r="BX45" i="15" s="1"/>
  <c r="AM57" i="15"/>
  <c r="BX57" i="15" s="1"/>
  <c r="AM46" i="15"/>
  <c r="BX46" i="15" s="1"/>
  <c r="AM51" i="15"/>
  <c r="BX51" i="15" s="1"/>
  <c r="AM50" i="15"/>
  <c r="BX50" i="15" s="1"/>
  <c r="AM53" i="15"/>
  <c r="BX53" i="15" s="1"/>
  <c r="AM54" i="15"/>
  <c r="BX54" i="15" s="1"/>
  <c r="AM52" i="15"/>
  <c r="BX52" i="15" s="1"/>
  <c r="AM48" i="15"/>
  <c r="BX48" i="15" s="1"/>
  <c r="AM44" i="15"/>
  <c r="BX44" i="15" s="1"/>
  <c r="AM58" i="15"/>
  <c r="BX58" i="15" s="1"/>
  <c r="AM47" i="15"/>
  <c r="BX47" i="15" s="1"/>
  <c r="AM43" i="15"/>
  <c r="BX43" i="15" s="1"/>
  <c r="AM42" i="15"/>
  <c r="BX42" i="15" s="1"/>
  <c r="AM55" i="15"/>
  <c r="BX55" i="15" s="1"/>
  <c r="AU138" i="43"/>
  <c r="AU139" i="43"/>
  <c r="AU134" i="43"/>
  <c r="AU135" i="43"/>
  <c r="AU136" i="43"/>
  <c r="AU137" i="43"/>
  <c r="AX133" i="43"/>
  <c r="AY133" i="43" s="1"/>
  <c r="AY135" i="43"/>
  <c r="AY136" i="43"/>
  <c r="AY137" i="43"/>
  <c r="AY138" i="43"/>
  <c r="AY139" i="43"/>
  <c r="AY134" i="43"/>
  <c r="AV60" i="43"/>
  <c r="AW60" i="43" s="1"/>
  <c r="AW68" i="43"/>
  <c r="AQ136" i="43"/>
  <c r="AQ137" i="43"/>
  <c r="AQ138" i="43"/>
  <c r="AQ139" i="43"/>
  <c r="AQ134" i="43"/>
  <c r="AQ135" i="43"/>
  <c r="A38" i="90"/>
  <c r="B38" i="90" s="1"/>
  <c r="F46" i="43"/>
  <c r="F47" i="43"/>
  <c r="F44" i="43"/>
  <c r="F40" i="43"/>
  <c r="E39" i="43"/>
  <c r="F39" i="43" s="1"/>
  <c r="F43" i="43"/>
  <c r="F45" i="43"/>
  <c r="F42" i="43"/>
  <c r="F41" i="43"/>
  <c r="J46" i="43"/>
  <c r="J47" i="43"/>
  <c r="J41" i="43"/>
  <c r="J44" i="43"/>
  <c r="J45" i="43"/>
  <c r="J40" i="43"/>
  <c r="I39" i="43"/>
  <c r="J39" i="43" s="1"/>
  <c r="J42" i="43"/>
  <c r="J43" i="43"/>
  <c r="B40" i="43"/>
  <c r="B41" i="43"/>
  <c r="B47" i="43"/>
  <c r="B42" i="43"/>
  <c r="B43" i="43"/>
  <c r="B44" i="43"/>
  <c r="B45" i="43"/>
  <c r="B46" i="43"/>
  <c r="A39" i="43"/>
  <c r="B39" i="43" s="1"/>
  <c r="U3" i="3"/>
  <c r="Q3" i="3" s="1" a="1"/>
  <c r="F3" i="3"/>
  <c r="A3" i="3" s="1" a="1"/>
  <c r="AM83" i="90"/>
  <c r="AO83" i="90" s="1"/>
  <c r="AO86" i="90"/>
  <c r="AV2" i="43"/>
  <c r="AW2" i="43" s="1"/>
  <c r="AW9" i="43"/>
  <c r="AW17" i="43"/>
  <c r="AW25" i="43"/>
  <c r="AW33" i="43"/>
  <c r="AW41" i="43"/>
  <c r="AW49" i="43"/>
  <c r="AW57" i="43"/>
  <c r="AW10" i="43"/>
  <c r="AW18" i="43"/>
  <c r="AW26" i="43"/>
  <c r="AW34" i="43"/>
  <c r="AW42" i="43"/>
  <c r="AW50" i="43"/>
  <c r="AW3" i="43"/>
  <c r="AW11" i="43"/>
  <c r="AW19" i="43"/>
  <c r="AW27" i="43"/>
  <c r="AW35" i="43"/>
  <c r="AW43" i="43"/>
  <c r="AW51" i="43"/>
  <c r="AW4" i="43"/>
  <c r="AW12" i="43"/>
  <c r="AW20" i="43"/>
  <c r="AW28" i="43"/>
  <c r="AW36" i="43"/>
  <c r="AW44" i="43"/>
  <c r="AW52" i="43"/>
  <c r="AW5" i="43"/>
  <c r="AW13" i="43"/>
  <c r="AW21" i="43"/>
  <c r="AW29" i="43"/>
  <c r="AW37" i="43"/>
  <c r="AW45" i="43"/>
  <c r="AW53" i="43"/>
  <c r="AW6" i="43"/>
  <c r="AW14" i="43"/>
  <c r="AW22" i="43"/>
  <c r="AW30" i="43"/>
  <c r="AW38" i="43"/>
  <c r="AW46" i="43"/>
  <c r="AW54" i="43"/>
  <c r="AW7" i="43"/>
  <c r="AW15" i="43"/>
  <c r="AW23" i="43"/>
  <c r="AW31" i="43"/>
  <c r="AW39" i="43"/>
  <c r="AW47" i="43"/>
  <c r="AW55" i="43"/>
  <c r="AW8" i="43"/>
  <c r="AW16" i="43"/>
  <c r="AW24" i="43"/>
  <c r="AW32" i="43"/>
  <c r="AW40" i="43"/>
  <c r="AW48" i="43"/>
  <c r="AW56" i="43"/>
  <c r="AQ2" i="43"/>
  <c r="AR2" i="43" s="1"/>
  <c r="AR10" i="43"/>
  <c r="AR18" i="43"/>
  <c r="AR26" i="43"/>
  <c r="AR34" i="43"/>
  <c r="AR42" i="43"/>
  <c r="AR50" i="43"/>
  <c r="AR58" i="43"/>
  <c r="AR66" i="43"/>
  <c r="AR74" i="43"/>
  <c r="AR82" i="43"/>
  <c r="AR3" i="43"/>
  <c r="AR11" i="43"/>
  <c r="AR19" i="43"/>
  <c r="AR27" i="43"/>
  <c r="AR35" i="43"/>
  <c r="AR43" i="43"/>
  <c r="AR51" i="43"/>
  <c r="AR59" i="43"/>
  <c r="AR67" i="43"/>
  <c r="AR75" i="43"/>
  <c r="AR83" i="43"/>
  <c r="AR4" i="43"/>
  <c r="AR12" i="43"/>
  <c r="AR20" i="43"/>
  <c r="AR28" i="43"/>
  <c r="AR36" i="43"/>
  <c r="AR44" i="43"/>
  <c r="AR52" i="43"/>
  <c r="AR60" i="43"/>
  <c r="AR68" i="43"/>
  <c r="AR76" i="43"/>
  <c r="AR5" i="43"/>
  <c r="AR13" i="43"/>
  <c r="AR21" i="43"/>
  <c r="AR29" i="43"/>
  <c r="AR37" i="43"/>
  <c r="AR45" i="43"/>
  <c r="AR53" i="43"/>
  <c r="AR61" i="43"/>
  <c r="AR69" i="43"/>
  <c r="AR77" i="43"/>
  <c r="AR6" i="43"/>
  <c r="AR14" i="43"/>
  <c r="AR22" i="43"/>
  <c r="AR30" i="43"/>
  <c r="AR38" i="43"/>
  <c r="AR46" i="43"/>
  <c r="AR54" i="43"/>
  <c r="AR62" i="43"/>
  <c r="AR70" i="43"/>
  <c r="AR78" i="43"/>
  <c r="AR7" i="43"/>
  <c r="AR15" i="43"/>
  <c r="AR23" i="43"/>
  <c r="AR31" i="43"/>
  <c r="AR39" i="43"/>
  <c r="AR47" i="43"/>
  <c r="AR55" i="43"/>
  <c r="AR63" i="43"/>
  <c r="AR71" i="43"/>
  <c r="AR79" i="43"/>
  <c r="AR8" i="43"/>
  <c r="AR16" i="43"/>
  <c r="AR24" i="43"/>
  <c r="AR32" i="43"/>
  <c r="AR40" i="43"/>
  <c r="AR48" i="43"/>
  <c r="AR56" i="43"/>
  <c r="AR64" i="43"/>
  <c r="AR72" i="43"/>
  <c r="AR80" i="43"/>
  <c r="AR9" i="43"/>
  <c r="AR17" i="43"/>
  <c r="AR25" i="43"/>
  <c r="AR33" i="43"/>
  <c r="AR41" i="43"/>
  <c r="AR49" i="43"/>
  <c r="AR57" i="43"/>
  <c r="AR65" i="43"/>
  <c r="AR73" i="43"/>
  <c r="AR81" i="43"/>
  <c r="AZ2" i="43"/>
  <c r="BA2" i="43" s="1"/>
  <c r="BA6" i="43"/>
  <c r="BA14" i="43"/>
  <c r="BA22" i="43"/>
  <c r="BA7" i="43"/>
  <c r="BA15" i="43"/>
  <c r="BA23" i="43"/>
  <c r="BA8" i="43"/>
  <c r="BA16" i="43"/>
  <c r="BA24" i="43"/>
  <c r="BA9" i="43"/>
  <c r="BA17" i="43"/>
  <c r="BA25" i="43"/>
  <c r="BA10" i="43"/>
  <c r="BA18" i="43"/>
  <c r="BA3" i="43"/>
  <c r="BA11" i="43"/>
  <c r="BA19" i="43"/>
  <c r="BA4" i="43"/>
  <c r="BA12" i="43"/>
  <c r="BA20" i="43"/>
  <c r="BA5" i="43"/>
  <c r="BA13" i="43"/>
  <c r="BA21" i="43"/>
  <c r="AQ84" i="43"/>
  <c r="AR84" i="43" s="1"/>
  <c r="AR90" i="43"/>
  <c r="AR91" i="43"/>
  <c r="AR92" i="43"/>
  <c r="AR85" i="43"/>
  <c r="AR93" i="43"/>
  <c r="AR86" i="43"/>
  <c r="AR87" i="43"/>
  <c r="AR88" i="43"/>
  <c r="AR89" i="43"/>
  <c r="AW65" i="43"/>
  <c r="AW66" i="43"/>
  <c r="AW59" i="43"/>
  <c r="AW61" i="43"/>
  <c r="AW62" i="43"/>
  <c r="AW63" i="43"/>
  <c r="AW64" i="43"/>
  <c r="AS2" i="90"/>
  <c r="AT2" i="90" s="1"/>
  <c r="AT52" i="90"/>
  <c r="AT53" i="90"/>
  <c r="AT54" i="90"/>
  <c r="AT55" i="90"/>
  <c r="AT124" i="90"/>
  <c r="AS56" i="90"/>
  <c r="AT56" i="90" s="1"/>
  <c r="AT58" i="90"/>
  <c r="AT57" i="90"/>
  <c r="AM2" i="90"/>
  <c r="AO2" i="90" s="1"/>
  <c r="AO82" i="90"/>
  <c r="AO58" i="90"/>
  <c r="AO66" i="90"/>
  <c r="AO74" i="90"/>
  <c r="AO6" i="90"/>
  <c r="AO14" i="90"/>
  <c r="AO22" i="90"/>
  <c r="AO38" i="90"/>
  <c r="AO46" i="90"/>
  <c r="AO54" i="90"/>
  <c r="AO59" i="90"/>
  <c r="AO67" i="90"/>
  <c r="AO75" i="90"/>
  <c r="AO7" i="90"/>
  <c r="AO15" i="90"/>
  <c r="AO23" i="90"/>
  <c r="AO31" i="90"/>
  <c r="AO39" i="90"/>
  <c r="AO47" i="90"/>
  <c r="AO55" i="90"/>
  <c r="AO84" i="90"/>
  <c r="AO60" i="90"/>
  <c r="AO68" i="90"/>
  <c r="AO76" i="90"/>
  <c r="AO8" i="90"/>
  <c r="AO16" i="90"/>
  <c r="AO24" i="90"/>
  <c r="AO32" i="90"/>
  <c r="AO40" i="90"/>
  <c r="AO48" i="90"/>
  <c r="AO56" i="90"/>
  <c r="AO61" i="90"/>
  <c r="AO69" i="90"/>
  <c r="AO77" i="90"/>
  <c r="AO9" i="90"/>
  <c r="AO17" i="90"/>
  <c r="AO25" i="90"/>
  <c r="AO33" i="90"/>
  <c r="AO41" i="90"/>
  <c r="AO49" i="90"/>
  <c r="AO62" i="90"/>
  <c r="AO70" i="90"/>
  <c r="AO78" i="90"/>
  <c r="AO10" i="90"/>
  <c r="AO18" i="90"/>
  <c r="AO26" i="90"/>
  <c r="AO34" i="90"/>
  <c r="AO42" i="90"/>
  <c r="AO50" i="90"/>
  <c r="AO79" i="90"/>
  <c r="AO63" i="90"/>
  <c r="AO71" i="90"/>
  <c r="AO3" i="90"/>
  <c r="AO11" i="90"/>
  <c r="AO19" i="90"/>
  <c r="AO27" i="90"/>
  <c r="AO35" i="90"/>
  <c r="AO43" i="90"/>
  <c r="AO51" i="90"/>
  <c r="AO80" i="90"/>
  <c r="AO64" i="90"/>
  <c r="AO72" i="90"/>
  <c r="AO4" i="90"/>
  <c r="AO12" i="90"/>
  <c r="AO20" i="90"/>
  <c r="AO28" i="90"/>
  <c r="AO36" i="90"/>
  <c r="AO44" i="90"/>
  <c r="AO52" i="90"/>
  <c r="AO81" i="90"/>
  <c r="AO57" i="90"/>
  <c r="AO65" i="90"/>
  <c r="AO73" i="90"/>
  <c r="AO5" i="90"/>
  <c r="AO13" i="90"/>
  <c r="AO21" i="90"/>
  <c r="AO29" i="90"/>
  <c r="AO37" i="90"/>
  <c r="AO45" i="90"/>
  <c r="AO53" i="90"/>
  <c r="BS72" i="105"/>
  <c r="BS71" i="105"/>
  <c r="BS73" i="105"/>
  <c r="BS69" i="105"/>
  <c r="BS74" i="105"/>
  <c r="BS70" i="105"/>
  <c r="BR68" i="105"/>
  <c r="CA70" i="105"/>
  <c r="CA73" i="105"/>
  <c r="CA69" i="105"/>
  <c r="CA74" i="105"/>
  <c r="CA71" i="105"/>
  <c r="CA72" i="105"/>
  <c r="BZ68" i="105"/>
  <c r="BW72" i="105"/>
  <c r="BV68" i="105"/>
  <c r="BW74" i="105"/>
  <c r="BW70" i="105"/>
  <c r="BW71" i="105"/>
  <c r="BW73" i="105"/>
  <c r="BW69" i="105"/>
  <c r="AW58" i="43"/>
  <c r="AT133" i="43"/>
  <c r="AU133" i="43" s="1"/>
  <c r="AP133" i="43"/>
  <c r="AQ133" i="43" s="1"/>
  <c r="AN124" i="90"/>
  <c r="AO125" i="90"/>
  <c r="AO126" i="90"/>
  <c r="AO127" i="90"/>
  <c r="AO128" i="90"/>
  <c r="AO129" i="90"/>
  <c r="AO130" i="90"/>
  <c r="F43" i="90"/>
  <c r="F39" i="90"/>
  <c r="F40" i="90"/>
  <c r="F44" i="90"/>
  <c r="F38" i="90"/>
  <c r="F42" i="90"/>
  <c r="F41" i="90"/>
  <c r="AT49" i="90"/>
  <c r="AT51" i="90"/>
  <c r="AT50" i="90"/>
  <c r="J40" i="90"/>
  <c r="J38" i="90"/>
  <c r="J43" i="90"/>
  <c r="J41" i="90"/>
  <c r="J44" i="90"/>
  <c r="J42" i="90"/>
  <c r="J39" i="90"/>
  <c r="AX16" i="90"/>
  <c r="AX5" i="90"/>
  <c r="AX27" i="90"/>
  <c r="AX25" i="90"/>
  <c r="AX13" i="90"/>
  <c r="AX7" i="90"/>
  <c r="AX19" i="90"/>
  <c r="AW2" i="90"/>
  <c r="AX2" i="90" s="1"/>
  <c r="AX21" i="90"/>
  <c r="AX6" i="90"/>
  <c r="AX15" i="90"/>
  <c r="AX26" i="90"/>
  <c r="AX17" i="90"/>
  <c r="AX4" i="90"/>
  <c r="AX14" i="90"/>
  <c r="AX23" i="90"/>
  <c r="AX9" i="90"/>
  <c r="AX28" i="90"/>
  <c r="AX3" i="90"/>
  <c r="AX12" i="90"/>
  <c r="AX8" i="90"/>
  <c r="AX22" i="90"/>
  <c r="AX18" i="90"/>
  <c r="AX11" i="90"/>
  <c r="AX20" i="90"/>
  <c r="AX24" i="90"/>
  <c r="AX10" i="90"/>
  <c r="AT126" i="90"/>
  <c r="AX126" i="90"/>
  <c r="AX129" i="90"/>
  <c r="AX128" i="90"/>
  <c r="AT127" i="90"/>
  <c r="AT130" i="90"/>
  <c r="AX127" i="90"/>
  <c r="AT128" i="90"/>
  <c r="AX125" i="90"/>
  <c r="AT129" i="90"/>
  <c r="AX130" i="90"/>
  <c r="AT125" i="90"/>
  <c r="AT35" i="90"/>
  <c r="AT44" i="90"/>
  <c r="AT34" i="90"/>
  <c r="AT20" i="90"/>
  <c r="AT47" i="90"/>
  <c r="AT31" i="90"/>
  <c r="AT18" i="90"/>
  <c r="AT42" i="90"/>
  <c r="AT26" i="90"/>
  <c r="AT30" i="90"/>
  <c r="AT37" i="90"/>
  <c r="AT27" i="90"/>
  <c r="AT10" i="90"/>
  <c r="AT40" i="90"/>
  <c r="AT21" i="90"/>
  <c r="AT13" i="90"/>
  <c r="AT29" i="90"/>
  <c r="AT39" i="90"/>
  <c r="AT22" i="90"/>
  <c r="AT19" i="90"/>
  <c r="AT5" i="90"/>
  <c r="AT38" i="90"/>
  <c r="AT7" i="90"/>
  <c r="AT45" i="90"/>
  <c r="AT23" i="90"/>
  <c r="AT14" i="90"/>
  <c r="AT11" i="90"/>
  <c r="AT3" i="90"/>
  <c r="AT36" i="90"/>
  <c r="AT48" i="90"/>
  <c r="AT43" i="90"/>
  <c r="AT9" i="90"/>
  <c r="AT8" i="90"/>
  <c r="AT6" i="90"/>
  <c r="AT12" i="90"/>
  <c r="AT28" i="90"/>
  <c r="AT33" i="90"/>
  <c r="AT41" i="90"/>
  <c r="AT4" i="90"/>
  <c r="AT24" i="90"/>
  <c r="AT17" i="90"/>
  <c r="AT16" i="90"/>
  <c r="AT46" i="90"/>
  <c r="AT15" i="90"/>
  <c r="AT32" i="90"/>
  <c r="AT25" i="90"/>
  <c r="AO85" i="90"/>
  <c r="AO135" i="43" l="1"/>
  <c r="AO139" i="43"/>
  <c r="AM130" i="90"/>
  <c r="AO138" i="43"/>
  <c r="AO137" i="43"/>
  <c r="CI55" i="15"/>
  <c r="CI52" i="15"/>
  <c r="CN52" i="15"/>
  <c r="CV56" i="15"/>
  <c r="CR57" i="15"/>
  <c r="CG44" i="15"/>
  <c r="CP56" i="15"/>
  <c r="CO42" i="15"/>
  <c r="CH49" i="15"/>
  <c r="CT57" i="15"/>
  <c r="CH55" i="15"/>
  <c r="DB53" i="15"/>
  <c r="CJ3" i="15"/>
  <c r="DF57" i="15"/>
  <c r="CO53" i="15"/>
  <c r="CO50" i="15"/>
  <c r="CO54" i="15"/>
  <c r="CS42" i="15"/>
  <c r="CE45" i="15"/>
  <c r="DB42" i="15"/>
  <c r="CY49" i="15"/>
  <c r="CB58" i="15"/>
  <c r="CF45" i="15"/>
  <c r="CU56" i="15"/>
  <c r="CT55" i="15"/>
  <c r="CW50" i="15"/>
  <c r="DF52" i="15"/>
  <c r="CS47" i="15"/>
  <c r="CZ45" i="15"/>
  <c r="CA43" i="15"/>
  <c r="CT42" i="15"/>
  <c r="CB46" i="15"/>
  <c r="BY58" i="15"/>
  <c r="CY42" i="15"/>
  <c r="CM47" i="15"/>
  <c r="DB56" i="15"/>
  <c r="BZ56" i="15"/>
  <c r="CN51" i="15"/>
  <c r="DF47" i="15"/>
  <c r="DE44" i="15"/>
  <c r="CS44" i="15"/>
  <c r="CP54" i="15"/>
  <c r="CK47" i="15"/>
  <c r="DF54" i="15"/>
  <c r="DC45" i="15"/>
  <c r="CF44" i="15"/>
  <c r="CF52" i="15"/>
  <c r="CN53" i="15"/>
  <c r="CJ52" i="15"/>
  <c r="CU48" i="15"/>
  <c r="CJ58" i="15"/>
  <c r="DC43" i="15"/>
  <c r="CA53" i="15"/>
  <c r="CI50" i="15"/>
  <c r="DE50" i="15"/>
  <c r="CB55" i="15"/>
  <c r="CW47" i="15"/>
  <c r="CW44" i="15"/>
  <c r="CL45" i="15"/>
  <c r="CM3" i="15"/>
  <c r="BZ51" i="15"/>
  <c r="DH51" i="15" s="1" a="1"/>
  <c r="DH51" i="15" s="1"/>
  <c r="DG48" i="15"/>
  <c r="DA50" i="15"/>
  <c r="CG42" i="15"/>
  <c r="DE45" i="15"/>
  <c r="CA49" i="15"/>
  <c r="CA54" i="15"/>
  <c r="CB57" i="15"/>
  <c r="CU50" i="15"/>
  <c r="BY3" i="15"/>
  <c r="CB54" i="15"/>
  <c r="CH51" i="15"/>
  <c r="CL48" i="15"/>
  <c r="DE53" i="15"/>
  <c r="CQ44" i="15"/>
  <c r="CX45" i="15"/>
  <c r="DB57" i="15"/>
  <c r="CS55" i="15"/>
  <c r="CM53" i="15"/>
  <c r="CV53" i="15"/>
  <c r="CS54" i="15"/>
  <c r="DC55" i="15"/>
  <c r="CV45" i="15"/>
  <c r="CG53" i="15"/>
  <c r="CG47" i="15"/>
  <c r="BZ52" i="15"/>
  <c r="CH48" i="15"/>
  <c r="CX55" i="15"/>
  <c r="DF55" i="15"/>
  <c r="CC43" i="15"/>
  <c r="BZ53" i="15"/>
  <c r="CI49" i="15"/>
  <c r="DG49" i="15"/>
  <c r="CQ55" i="15"/>
  <c r="DA42" i="15"/>
  <c r="CR55" i="15"/>
  <c r="CV42" i="15"/>
  <c r="CP58" i="15"/>
  <c r="DG42" i="15"/>
  <c r="DC57" i="15"/>
  <c r="CO55" i="15"/>
  <c r="DG47" i="15"/>
  <c r="CF51" i="15"/>
  <c r="DE47" i="15"/>
  <c r="CY58" i="15"/>
  <c r="DA44" i="15"/>
  <c r="CK57" i="15"/>
  <c r="CN46" i="15"/>
  <c r="CE58" i="15"/>
  <c r="CU44" i="15"/>
  <c r="CX53" i="15"/>
  <c r="CL55" i="15"/>
  <c r="CT53" i="15"/>
  <c r="CZ49" i="15"/>
  <c r="CD48" i="15"/>
  <c r="DG58" i="15"/>
  <c r="BZ42" i="15"/>
  <c r="CC48" i="15"/>
  <c r="BZ44" i="15"/>
  <c r="DC42" i="15"/>
  <c r="CV43" i="15"/>
  <c r="CI53" i="15"/>
  <c r="CI54" i="15"/>
  <c r="CB52" i="15"/>
  <c r="CF47" i="15"/>
  <c r="DH47" i="15" s="1" a="1"/>
  <c r="DH47" i="15" s="1"/>
  <c r="CT48" i="15"/>
  <c r="DB3" i="15"/>
  <c r="CU53" i="15"/>
  <c r="BY51" i="15"/>
  <c r="CF46" i="15"/>
  <c r="CU58" i="15"/>
  <c r="CY43" i="15"/>
  <c r="BZ57" i="15"/>
  <c r="DH57" i="15" s="1" a="1"/>
  <c r="DH57" i="15" s="1"/>
  <c r="CU52" i="15"/>
  <c r="CE3" i="15"/>
  <c r="CV47" i="15"/>
  <c r="CZ46" i="15"/>
  <c r="CK58" i="15"/>
  <c r="CN44" i="15"/>
  <c r="CF57" i="15"/>
  <c r="CD55" i="15"/>
  <c r="DF56" i="15"/>
  <c r="CJ53" i="15"/>
  <c r="CZ48" i="15"/>
  <c r="DD3" i="15"/>
  <c r="CL52" i="15"/>
  <c r="DD54" i="15"/>
  <c r="CK46" i="15"/>
  <c r="CA58" i="15"/>
  <c r="CJ44" i="15"/>
  <c r="CQ56" i="15"/>
  <c r="CX49" i="15"/>
  <c r="CH54" i="15"/>
  <c r="DC49" i="15"/>
  <c r="CX3" i="15"/>
  <c r="DD55" i="15"/>
  <c r="CT52" i="15"/>
  <c r="CK49" i="15"/>
  <c r="CR46" i="15"/>
  <c r="CB44" i="15"/>
  <c r="DH44" i="15" s="1" a="1"/>
  <c r="DH44" i="15" s="1"/>
  <c r="CQ43" i="15"/>
  <c r="CY56" i="15"/>
  <c r="CQ49" i="15"/>
  <c r="CK55" i="15"/>
  <c r="DC52" i="15"/>
  <c r="DD53" i="15"/>
  <c r="CF58" i="15"/>
  <c r="CM55" i="15"/>
  <c r="CW53" i="15"/>
  <c r="CM51" i="15"/>
  <c r="CZ52" i="15"/>
  <c r="CT49" i="15"/>
  <c r="CM54" i="15"/>
  <c r="DC48" i="15"/>
  <c r="CU3" i="15"/>
  <c r="DE55" i="15"/>
  <c r="DG54" i="15"/>
  <c r="CO49" i="15"/>
  <c r="CN54" i="15"/>
  <c r="CU54" i="15"/>
  <c r="DB54" i="15"/>
  <c r="CY46" i="15"/>
  <c r="CG43" i="15"/>
  <c r="CE43" i="15"/>
  <c r="DH43" i="15" s="1" a="1"/>
  <c r="DH43" i="15" s="1"/>
  <c r="CG55" i="15"/>
  <c r="CA48" i="15"/>
  <c r="CR48" i="15"/>
  <c r="CH58" i="15"/>
  <c r="CZ43" i="15"/>
  <c r="DE48" i="15"/>
  <c r="CA44" i="15"/>
  <c r="DG44" i="15"/>
  <c r="CA56" i="15"/>
  <c r="CE51" i="15"/>
  <c r="CF53" i="15"/>
  <c r="CN50" i="15"/>
  <c r="DF48" i="15"/>
  <c r="CA46" i="15"/>
  <c r="CT3" i="15"/>
  <c r="CQ52" i="15"/>
  <c r="DB46" i="15"/>
  <c r="CR45" i="15"/>
  <c r="CB43" i="15"/>
  <c r="DF45" i="15"/>
  <c r="CP49" i="15"/>
  <c r="CZ51" i="15"/>
  <c r="CV50" i="15"/>
  <c r="CD50" i="15"/>
  <c r="DH50" i="15" s="1" a="1"/>
  <c r="DH50" i="15" s="1"/>
  <c r="CN3" i="15"/>
  <c r="CS56" i="15"/>
  <c r="DG51" i="15"/>
  <c r="CB49" i="15"/>
  <c r="DA47" i="15"/>
  <c r="CW58" i="15"/>
  <c r="CA42" i="15"/>
  <c r="CV57" i="15"/>
  <c r="CV3" i="15"/>
  <c r="CL49" i="15"/>
  <c r="CW48" i="15"/>
  <c r="CP44" i="15"/>
  <c r="DG43" i="15"/>
  <c r="CR42" i="15"/>
  <c r="CL54" i="15"/>
  <c r="CZ54" i="15"/>
  <c r="CF54" i="15"/>
  <c r="CR53" i="15"/>
  <c r="CH3" i="15"/>
  <c r="CK51" i="15"/>
  <c r="CF49" i="15"/>
  <c r="CP52" i="15"/>
  <c r="CD47" i="15"/>
  <c r="BZ55" i="15"/>
  <c r="DH55" i="15" s="1" a="1"/>
  <c r="DH55" i="15" s="1"/>
  <c r="CX42" i="15"/>
  <c r="CH57" i="15"/>
  <c r="CV52" i="15"/>
  <c r="CV54" i="15"/>
  <c r="CB3" i="15"/>
  <c r="DI3" i="15" s="1"/>
  <c r="H160" i="131" s="1" a="1"/>
  <c r="H160" i="131" s="1"/>
  <c r="CM56" i="15"/>
  <c r="CS51" i="15"/>
  <c r="CY47" i="15"/>
  <c r="CX52" i="15"/>
  <c r="DF46" i="15"/>
  <c r="CK42" i="15"/>
  <c r="CP42" i="15"/>
  <c r="CC57" i="15"/>
  <c r="CL57" i="15"/>
  <c r="DD57" i="15"/>
  <c r="BY53" i="15"/>
  <c r="DH53" i="15" s="1" a="1"/>
  <c r="DH53" i="15" s="1"/>
  <c r="CU55" i="15"/>
  <c r="CZ47" i="15"/>
  <c r="CC42" i="15"/>
  <c r="CQ58" i="15"/>
  <c r="CS3" i="15"/>
  <c r="DC54" i="15"/>
  <c r="DF50" i="15"/>
  <c r="DC56" i="15"/>
  <c r="CF43" i="15"/>
  <c r="DF49" i="15"/>
  <c r="BY55" i="15"/>
  <c r="CV49" i="15"/>
  <c r="CZ42" i="15"/>
  <c r="CI42" i="15"/>
  <c r="CD54" i="15"/>
  <c r="CX54" i="15"/>
  <c r="DD42" i="15"/>
  <c r="CG56" i="15"/>
  <c r="CZ56" i="15"/>
  <c r="CS48" i="15"/>
  <c r="CM46" i="15"/>
  <c r="CL3" i="15"/>
  <c r="DC50" i="15"/>
  <c r="CS46" i="15"/>
  <c r="DB44" i="15"/>
  <c r="CN43" i="15"/>
  <c r="CK54" i="15"/>
  <c r="BZ50" i="15"/>
  <c r="DA57" i="15"/>
  <c r="CN47" i="15"/>
  <c r="CF3" i="15"/>
  <c r="CC49" i="15"/>
  <c r="CQ46" i="15"/>
  <c r="CS58" i="15"/>
  <c r="CU45" i="15"/>
  <c r="CG57" i="15"/>
  <c r="CY50" i="15"/>
  <c r="CH50" i="15"/>
  <c r="CR52" i="15"/>
  <c r="DE3" i="15"/>
  <c r="CC50" i="15"/>
  <c r="DB55" i="15"/>
  <c r="DB49" i="15"/>
  <c r="CG48" i="15"/>
  <c r="DG53" i="15"/>
  <c r="CI44" i="15"/>
  <c r="CO45" i="15"/>
  <c r="BZ3" i="15"/>
  <c r="DH3" i="15" s="1" a="1"/>
  <c r="DH3" i="15" s="1"/>
  <c r="G160" i="131" s="1" a="1"/>
  <c r="G160" i="131" s="1"/>
  <c r="CX50" i="15"/>
  <c r="CY52" i="15"/>
  <c r="CH46" i="15"/>
  <c r="CO58" i="15"/>
  <c r="BY42" i="15"/>
  <c r="DH42" i="15" s="1" a="1"/>
  <c r="DH42" i="15" s="1"/>
  <c r="CW56" i="15"/>
  <c r="CW54" i="15"/>
  <c r="CR54" i="15"/>
  <c r="CA47" i="15"/>
  <c r="DG3" i="15"/>
  <c r="DA54" i="15"/>
  <c r="CK56" i="15"/>
  <c r="CD53" i="15"/>
  <c r="CM48" i="15"/>
  <c r="CR47" i="15"/>
  <c r="DE58" i="15"/>
  <c r="DD45" i="15"/>
  <c r="CP57" i="15"/>
  <c r="CJ50" i="15"/>
  <c r="CV58" i="15"/>
  <c r="DC44" i="15"/>
  <c r="CA55" i="15"/>
  <c r="CY54" i="15"/>
  <c r="DG56" i="15"/>
  <c r="CR49" i="15"/>
  <c r="CB48" i="15"/>
  <c r="BZ58" i="15"/>
  <c r="CH42" i="15"/>
  <c r="CQ57" i="15"/>
  <c r="CQ45" i="15"/>
  <c r="CM57" i="15"/>
  <c r="CJ57" i="15"/>
  <c r="DB58" i="15"/>
  <c r="DE51" i="15"/>
  <c r="CZ58" i="15"/>
  <c r="CA51" i="15"/>
  <c r="CP3" i="15"/>
  <c r="CU57" i="15"/>
  <c r="DE49" i="15"/>
  <c r="CR44" i="15"/>
  <c r="CX46" i="15"/>
  <c r="BZ54" i="15"/>
  <c r="CG54" i="15"/>
  <c r="CV55" i="15"/>
  <c r="DG55" i="15"/>
  <c r="CM49" i="15"/>
  <c r="DE54" i="15"/>
  <c r="DA55" i="15"/>
  <c r="CN42" i="15"/>
  <c r="CC54" i="15"/>
  <c r="CD3" i="15"/>
  <c r="CX56" i="15"/>
  <c r="CV48" i="15"/>
  <c r="CR58" i="15"/>
  <c r="CQ42" i="15"/>
  <c r="CI56" i="15"/>
  <c r="CM52" i="15"/>
  <c r="DE56" i="15"/>
  <c r="DA53" i="15"/>
  <c r="CX48" i="15"/>
  <c r="DA3" i="15"/>
  <c r="BY50" i="15"/>
  <c r="CH52" i="15"/>
  <c r="DC46" i="15"/>
  <c r="CU42" i="15"/>
  <c r="DF42" i="15"/>
  <c r="CN57" i="15"/>
  <c r="BY49" i="15"/>
  <c r="CB56" i="15"/>
  <c r="DD50" i="15"/>
  <c r="CW3" i="15"/>
  <c r="CC55" i="15"/>
  <c r="CG50" i="15"/>
  <c r="BZ48" i="15"/>
  <c r="CH44" i="15"/>
  <c r="DC58" i="15"/>
  <c r="DA43" i="15"/>
  <c r="CY53" i="15"/>
  <c r="DG50" i="15"/>
  <c r="CD52" i="15"/>
  <c r="DH52" i="15" s="1" a="1"/>
  <c r="DH52" i="15" s="1"/>
  <c r="CQ3" i="15"/>
  <c r="CL42" i="15"/>
  <c r="CP53" i="15"/>
  <c r="CN49" i="15"/>
  <c r="CC53" i="15"/>
  <c r="CJ46" i="15"/>
  <c r="DD52" i="15"/>
  <c r="CX43" i="15"/>
  <c r="CY3" i="15"/>
  <c r="CW49" i="15"/>
  <c r="DC53" i="15"/>
  <c r="DB50" i="15"/>
  <c r="CP47" i="15"/>
  <c r="CI58" i="15"/>
  <c r="CL44" i="15"/>
  <c r="CO57" i="15"/>
  <c r="CB50" i="15"/>
  <c r="CJ54" i="15"/>
  <c r="CC58" i="15"/>
  <c r="CD43" i="15"/>
  <c r="CK50" i="15"/>
  <c r="DB52" i="15"/>
  <c r="CX51" i="15"/>
  <c r="CI48" i="15"/>
  <c r="DH48" i="15" s="1" a="1"/>
  <c r="DH48" i="15" s="1"/>
  <c r="CP55" i="15"/>
  <c r="CT58" i="15"/>
  <c r="CK43" i="15"/>
  <c r="DE57" i="15"/>
  <c r="DF44" i="15"/>
  <c r="CK45" i="15"/>
  <c r="CV44" i="15"/>
  <c r="BZ49" i="15"/>
  <c r="DH49" i="15" s="1" a="1"/>
  <c r="DH49" i="15" s="1"/>
  <c r="CQ54" i="15"/>
  <c r="CF50" i="15"/>
  <c r="DA48" i="15"/>
  <c r="DD48" i="15"/>
  <c r="CN58" i="15"/>
  <c r="CN45" i="15"/>
  <c r="CP43" i="15"/>
  <c r="CL43" i="15"/>
  <c r="CQ51" i="15"/>
  <c r="BZ46" i="15"/>
  <c r="CT46" i="15"/>
  <c r="CJ49" i="15"/>
  <c r="CD44" i="15"/>
  <c r="CK3" i="15"/>
  <c r="CU43" i="15"/>
  <c r="CW52" i="15"/>
  <c r="DD46" i="15"/>
  <c r="CA57" i="15"/>
  <c r="CE49" i="15"/>
  <c r="CS49" i="15"/>
  <c r="CZ55" i="15"/>
  <c r="CQ53" i="15"/>
  <c r="CR56" i="15"/>
  <c r="CL56" i="15"/>
  <c r="CE53" i="15"/>
  <c r="CD49" i="15"/>
  <c r="CE55" i="15"/>
  <c r="CG49" i="15"/>
  <c r="CW55" i="15"/>
  <c r="CF55" i="15"/>
  <c r="CF42" i="15"/>
  <c r="CB42" i="15"/>
  <c r="BY56" i="15"/>
  <c r="CC56" i="15"/>
  <c r="CT54" i="15"/>
  <c r="DA49" i="15"/>
  <c r="CO52" i="15"/>
  <c r="CJ55" i="15"/>
  <c r="CN55" i="15"/>
  <c r="DE52" i="15"/>
  <c r="CW42" i="15"/>
  <c r="CK53" i="15"/>
  <c r="CY55" i="15"/>
  <c r="DF53" i="15"/>
  <c r="CN56" i="15"/>
  <c r="BY54" i="15"/>
  <c r="DD49" i="15"/>
  <c r="CS53" i="15"/>
  <c r="CX44" i="15"/>
  <c r="DE42" i="15"/>
  <c r="CG58" i="15"/>
  <c r="CI57" i="15"/>
  <c r="CM45" i="15"/>
  <c r="DH45" i="15" s="1" a="1"/>
  <c r="DH45" i="15" s="1"/>
  <c r="CE54" i="15"/>
  <c r="CU49" i="15"/>
  <c r="DA58" i="15"/>
  <c r="BZ43" i="15"/>
  <c r="CD42" i="15"/>
  <c r="CL53" i="15"/>
  <c r="CV46" i="15"/>
  <c r="DH31" i="15" a="1"/>
  <c r="DH31" i="15" s="1"/>
  <c r="DH21" i="15" a="1"/>
  <c r="DH21" i="15" s="1"/>
  <c r="DH39" i="15" a="1"/>
  <c r="DH39" i="15" s="1"/>
  <c r="DH29" i="15" a="1"/>
  <c r="DH29" i="15" s="1"/>
  <c r="G186" i="131" s="1" a="1"/>
  <c r="G186" i="131" s="1"/>
  <c r="DH18" i="15" a="1"/>
  <c r="DH18" i="15" s="1"/>
  <c r="DH16" i="15" a="1"/>
  <c r="DH16" i="15" s="1"/>
  <c r="G173" i="131" s="1" a="1"/>
  <c r="G173" i="131" s="1"/>
  <c r="DH28" i="15" a="1"/>
  <c r="DH28" i="15" s="1"/>
  <c r="G185" i="131" s="1" a="1"/>
  <c r="G185" i="131" s="1"/>
  <c r="DH8" i="15" a="1"/>
  <c r="DH8" i="15" s="1"/>
  <c r="G165" i="131" s="1" a="1"/>
  <c r="G165" i="131" s="1"/>
  <c r="DH23" i="15" a="1"/>
  <c r="DH23" i="15" s="1"/>
  <c r="G180" i="131" s="1" a="1"/>
  <c r="G180" i="131" s="1"/>
  <c r="DH37" i="15" a="1"/>
  <c r="DH37" i="15" s="1"/>
  <c r="DH20" i="15" a="1"/>
  <c r="DH20" i="15" s="1"/>
  <c r="G177" i="131" s="1" a="1"/>
  <c r="G177" i="131" s="1"/>
  <c r="G189" i="131" a="1"/>
  <c r="G189" i="131" s="1"/>
  <c r="DH10" i="15" a="1"/>
  <c r="DH10" i="15" s="1"/>
  <c r="G163" i="131" a="1"/>
  <c r="G163" i="131" s="1"/>
  <c r="DH38" i="15" a="1"/>
  <c r="DH38" i="15" s="1"/>
  <c r="G195" i="131" s="1" a="1"/>
  <c r="G195" i="131" s="1"/>
  <c r="DH25" i="15" a="1"/>
  <c r="DH25" i="15" s="1"/>
  <c r="G182" i="131" s="1" a="1"/>
  <c r="G182" i="131" s="1"/>
  <c r="DH14" i="15" a="1"/>
  <c r="DH14" i="15" s="1"/>
  <c r="DH33" i="15" a="1"/>
  <c r="DH33" i="15" s="1"/>
  <c r="DH9" i="15" a="1"/>
  <c r="DH9" i="15" s="1"/>
  <c r="G166" i="131" s="1" a="1"/>
  <c r="G166" i="131" s="1"/>
  <c r="DH22" i="15" a="1"/>
  <c r="DH22" i="15" s="1"/>
  <c r="G179" i="131" s="1" a="1"/>
  <c r="G179" i="131" s="1"/>
  <c r="DH30" i="15" a="1"/>
  <c r="DH30" i="15" s="1"/>
  <c r="DH17" i="15" a="1"/>
  <c r="DH17" i="15" s="1"/>
  <c r="G174" i="131" s="1" a="1"/>
  <c r="G174" i="131" s="1"/>
  <c r="DH4" i="15" a="1"/>
  <c r="DH4" i="15" s="1"/>
  <c r="G161" i="131" s="1" a="1"/>
  <c r="G161" i="131" s="1"/>
  <c r="DH36" i="15" a="1"/>
  <c r="DH36" i="15" s="1"/>
  <c r="G193" i="131" s="1" a="1"/>
  <c r="G193" i="131" s="1"/>
  <c r="DH26" i="15" a="1"/>
  <c r="DH26" i="15" s="1"/>
  <c r="DH27" i="15" a="1"/>
  <c r="DH27" i="15" s="1"/>
  <c r="DH5" i="15" a="1"/>
  <c r="DH5" i="15" s="1"/>
  <c r="DH41" i="15" a="1"/>
  <c r="DH41" i="15" s="1"/>
  <c r="G198" i="131" s="1" a="1"/>
  <c r="G198" i="131" s="1"/>
  <c r="DH19" i="15" a="1"/>
  <c r="DH19" i="15" s="1"/>
  <c r="G176" i="131" s="1" a="1"/>
  <c r="G176" i="131" s="1"/>
  <c r="DH35" i="15" a="1"/>
  <c r="DH35" i="15" s="1"/>
  <c r="G192" i="131" s="1" a="1"/>
  <c r="G192" i="131" s="1"/>
  <c r="DH15" i="15" a="1"/>
  <c r="DH15" i="15" s="1"/>
  <c r="DH24" i="15" a="1"/>
  <c r="DH24" i="15" s="1"/>
  <c r="DH13" i="15" a="1"/>
  <c r="DH13" i="15" s="1"/>
  <c r="DH7" i="15" a="1"/>
  <c r="DH7" i="15" s="1"/>
  <c r="DH40" i="15" a="1"/>
  <c r="DH40" i="15" s="1"/>
  <c r="G197" i="131" s="1" a="1"/>
  <c r="G197" i="131" s="1"/>
  <c r="DH34" i="15" a="1"/>
  <c r="DH34" i="15" s="1"/>
  <c r="G191" i="131" s="1" a="1"/>
  <c r="G191" i="131" s="1"/>
  <c r="AM129" i="90"/>
  <c r="AM128" i="90"/>
  <c r="AM127" i="90"/>
  <c r="AM126" i="90"/>
  <c r="AM125" i="90"/>
  <c r="AO133" i="43"/>
  <c r="AO136" i="43"/>
  <c r="DH58" i="15" a="1"/>
  <c r="DH58" i="15" s="1"/>
  <c r="DH54" i="15" a="1"/>
  <c r="DH54" i="15" s="1"/>
  <c r="DH56" i="15" a="1"/>
  <c r="DH56" i="15" s="1"/>
  <c r="DH46" i="15" a="1"/>
  <c r="DH46" i="15" s="1"/>
  <c r="AO134" i="43"/>
  <c r="D42" i="90"/>
  <c r="D41" i="90"/>
  <c r="D39" i="90"/>
  <c r="D38" i="90"/>
  <c r="D44" i="90"/>
  <c r="D40" i="90"/>
  <c r="D43" i="90"/>
  <c r="CB41" i="105" a="1"/>
  <c r="CB41" i="105" s="1"/>
  <c r="K39" i="43"/>
  <c r="G41" i="43"/>
  <c r="D43" i="43"/>
  <c r="C43" i="43"/>
  <c r="K40" i="43"/>
  <c r="G42" i="43"/>
  <c r="C42" i="43"/>
  <c r="D42" i="43"/>
  <c r="K45" i="43"/>
  <c r="G45" i="43"/>
  <c r="AV137" i="43"/>
  <c r="D47" i="43"/>
  <c r="C47" i="43"/>
  <c r="K44" i="43"/>
  <c r="G43" i="43"/>
  <c r="AR134" i="43"/>
  <c r="C41" i="43"/>
  <c r="D41" i="43"/>
  <c r="K41" i="43"/>
  <c r="G39" i="43"/>
  <c r="C39" i="43"/>
  <c r="D39" i="43"/>
  <c r="C40" i="43"/>
  <c r="D40" i="43"/>
  <c r="K47" i="43"/>
  <c r="G40" i="43"/>
  <c r="D46" i="43"/>
  <c r="C46" i="43"/>
  <c r="K43" i="43"/>
  <c r="K46" i="43"/>
  <c r="G44" i="43"/>
  <c r="D45" i="43"/>
  <c r="C45" i="43"/>
  <c r="K42" i="43"/>
  <c r="G47" i="43"/>
  <c r="D44" i="43"/>
  <c r="C44" i="43"/>
  <c r="G46" i="43"/>
  <c r="Q3" i="3"/>
  <c r="S7" i="3"/>
  <c r="S15" i="3"/>
  <c r="S23" i="3"/>
  <c r="S31" i="3"/>
  <c r="S39" i="3"/>
  <c r="S10" i="3"/>
  <c r="S18" i="3"/>
  <c r="S26" i="3"/>
  <c r="S34" i="3"/>
  <c r="S11" i="3"/>
  <c r="S19" i="3"/>
  <c r="S27" i="3"/>
  <c r="S35" i="3"/>
  <c r="S12" i="3"/>
  <c r="S24" i="3"/>
  <c r="S37" i="3"/>
  <c r="S9" i="3"/>
  <c r="S36" i="3"/>
  <c r="S13" i="3"/>
  <c r="S25" i="3"/>
  <c r="S38" i="3"/>
  <c r="S14" i="3"/>
  <c r="S28" i="3"/>
  <c r="S3" i="3"/>
  <c r="S4" i="3"/>
  <c r="S16" i="3"/>
  <c r="S29" i="3"/>
  <c r="S6" i="3"/>
  <c r="S20" i="3"/>
  <c r="S22" i="3"/>
  <c r="S5" i="3"/>
  <c r="S17" i="3"/>
  <c r="S30" i="3"/>
  <c r="S32" i="3"/>
  <c r="S8" i="3"/>
  <c r="S21" i="3"/>
  <c r="S33" i="3"/>
  <c r="C12" i="3"/>
  <c r="C37" i="3"/>
  <c r="C23" i="3"/>
  <c r="C9" i="3"/>
  <c r="C26" i="3"/>
  <c r="C27" i="3"/>
  <c r="C20" i="3"/>
  <c r="C6" i="3"/>
  <c r="C31" i="3"/>
  <c r="C17" i="3"/>
  <c r="C34" i="3"/>
  <c r="C28" i="3"/>
  <c r="C14" i="3"/>
  <c r="C39" i="3"/>
  <c r="C25" i="3"/>
  <c r="C11" i="3"/>
  <c r="C36" i="3"/>
  <c r="C22" i="3"/>
  <c r="C8" i="3"/>
  <c r="C33" i="3"/>
  <c r="C35" i="3"/>
  <c r="C13" i="3"/>
  <c r="C38" i="3"/>
  <c r="C24" i="3"/>
  <c r="C5" i="3"/>
  <c r="C30" i="3"/>
  <c r="C16" i="3"/>
  <c r="C19" i="3"/>
  <c r="A3" i="3"/>
  <c r="C21" i="3"/>
  <c r="C7" i="3"/>
  <c r="C32" i="3"/>
  <c r="C10" i="3"/>
  <c r="C4" i="3"/>
  <c r="C29" i="3"/>
  <c r="C15" i="3"/>
  <c r="C3" i="3"/>
  <c r="C18" i="3"/>
  <c r="AS97" i="90" a="1"/>
  <c r="AS97" i="90" s="1"/>
  <c r="AV102" i="43" a="1"/>
  <c r="AZ102" i="43" a="1"/>
  <c r="AQ102" i="43" a="1"/>
  <c r="CA68" i="105"/>
  <c r="CB68" i="105" s="1"/>
  <c r="BS68" i="105"/>
  <c r="BT68" i="105" s="1"/>
  <c r="BW68" i="105"/>
  <c r="BX68" i="105" s="1"/>
  <c r="BX41" i="105" a="1"/>
  <c r="BS41" i="105" a="1"/>
  <c r="K44" i="90"/>
  <c r="G39" i="90"/>
  <c r="C39" i="90"/>
  <c r="K41" i="90"/>
  <c r="G43" i="90"/>
  <c r="K43" i="90"/>
  <c r="C41" i="90"/>
  <c r="K38" i="90"/>
  <c r="G41" i="90"/>
  <c r="C40" i="90"/>
  <c r="K40" i="90"/>
  <c r="G42" i="90"/>
  <c r="C42" i="90"/>
  <c r="G38" i="90"/>
  <c r="C44" i="90"/>
  <c r="AX124" i="90"/>
  <c r="AY130" i="90" s="1"/>
  <c r="AU127" i="90"/>
  <c r="AO124" i="90"/>
  <c r="K39" i="90"/>
  <c r="AN97" i="90" a="1"/>
  <c r="AO120" i="90" s="1"/>
  <c r="AW97" i="90" a="1"/>
  <c r="G44" i="90"/>
  <c r="C43" i="90"/>
  <c r="K42" i="90"/>
  <c r="G40" i="90"/>
  <c r="C38" i="90"/>
  <c r="AZ133" i="43"/>
  <c r="DI16" i="15"/>
  <c r="H173" i="131" s="1" a="1"/>
  <c r="H173" i="131" s="1"/>
  <c r="DM16" i="15"/>
  <c r="L173" i="131" s="1" a="1"/>
  <c r="L173" i="131" s="1"/>
  <c r="DM28" i="15"/>
  <c r="L185" i="131" s="1" a="1"/>
  <c r="L185" i="131" s="1"/>
  <c r="DI28" i="15"/>
  <c r="H185" i="131" s="1" a="1"/>
  <c r="H185" i="131" s="1"/>
  <c r="DI8" i="15"/>
  <c r="H165" i="131" s="1" a="1"/>
  <c r="H165" i="131" s="1"/>
  <c r="DM8" i="15"/>
  <c r="L165" i="131" s="1" a="1"/>
  <c r="L165" i="131" s="1"/>
  <c r="DM23" i="15"/>
  <c r="L180" i="131" s="1" a="1"/>
  <c r="L180" i="131" s="1"/>
  <c r="DI23" i="15"/>
  <c r="H180" i="131" s="1" a="1"/>
  <c r="H180" i="131" s="1"/>
  <c r="DM37" i="15"/>
  <c r="L194" i="131" s="1" a="1"/>
  <c r="L194" i="131" s="1"/>
  <c r="G194" i="131" a="1"/>
  <c r="G194" i="131" s="1"/>
  <c r="DI37" i="15"/>
  <c r="H194" i="131" s="1" a="1"/>
  <c r="H194" i="131" s="1"/>
  <c r="DI26" i="15"/>
  <c r="H183" i="131" s="1" a="1"/>
  <c r="H183" i="131" s="1"/>
  <c r="DM26" i="15"/>
  <c r="L183" i="131" s="1" a="1"/>
  <c r="L183" i="131" s="1"/>
  <c r="G183" i="131" a="1"/>
  <c r="G183" i="131" s="1"/>
  <c r="DI6" i="15"/>
  <c r="H163" i="131" s="1" a="1"/>
  <c r="H163" i="131" s="1"/>
  <c r="DM6" i="15"/>
  <c r="L163" i="131" s="1" a="1"/>
  <c r="L163" i="131" s="1"/>
  <c r="DI38" i="15"/>
  <c r="H195" i="131" s="1" a="1"/>
  <c r="H195" i="131" s="1"/>
  <c r="DM38" i="15"/>
  <c r="L195" i="131" s="1" a="1"/>
  <c r="L195" i="131" s="1"/>
  <c r="DI25" i="15"/>
  <c r="H182" i="131" s="1" a="1"/>
  <c r="H182" i="131" s="1"/>
  <c r="DM25" i="15"/>
  <c r="L182" i="131" s="1" a="1"/>
  <c r="L182" i="131" s="1"/>
  <c r="G171" i="131" a="1"/>
  <c r="G171" i="131" s="1"/>
  <c r="DI14" i="15"/>
  <c r="H171" i="131" s="1" a="1"/>
  <c r="H171" i="131" s="1"/>
  <c r="DM14" i="15"/>
  <c r="L171" i="131" s="1" a="1"/>
  <c r="L171" i="131" s="1"/>
  <c r="G190" i="131" a="1"/>
  <c r="G190" i="131" s="1"/>
  <c r="DI33" i="15"/>
  <c r="H190" i="131" s="1" a="1"/>
  <c r="H190" i="131" s="1"/>
  <c r="DM33" i="15"/>
  <c r="L190" i="131" s="1" a="1"/>
  <c r="L190" i="131" s="1"/>
  <c r="DI9" i="15"/>
  <c r="H166" i="131" s="1" a="1"/>
  <c r="H166" i="131" s="1"/>
  <c r="DM9" i="15"/>
  <c r="L166" i="131" s="1" a="1"/>
  <c r="L166" i="131" s="1"/>
  <c r="DI22" i="15"/>
  <c r="H179" i="131" s="1" a="1"/>
  <c r="H179" i="131" s="1"/>
  <c r="DM22" i="15"/>
  <c r="L179" i="131" s="1" a="1"/>
  <c r="L179" i="131" s="1"/>
  <c r="G187" i="131" a="1"/>
  <c r="G187" i="131" s="1"/>
  <c r="DI30" i="15"/>
  <c r="H187" i="131" s="1" a="1"/>
  <c r="H187" i="131" s="1"/>
  <c r="DM30" i="15"/>
  <c r="L187" i="131" s="1" a="1"/>
  <c r="L187" i="131" s="1"/>
  <c r="DI17" i="15"/>
  <c r="H174" i="131" s="1" a="1"/>
  <c r="H174" i="131" s="1"/>
  <c r="DM17" i="15"/>
  <c r="L174" i="131" s="1" a="1"/>
  <c r="L174" i="131" s="1"/>
  <c r="DI10" i="15"/>
  <c r="H167" i="131" s="1" a="1"/>
  <c r="H167" i="131" s="1"/>
  <c r="DM10" i="15"/>
  <c r="L167" i="131" s="1" a="1"/>
  <c r="L167" i="131" s="1"/>
  <c r="G167" i="131" a="1"/>
  <c r="G167" i="131" s="1"/>
  <c r="DM20" i="15"/>
  <c r="L177" i="131" s="1" a="1"/>
  <c r="L177" i="131" s="1"/>
  <c r="DI20" i="15"/>
  <c r="H177" i="131" s="1" a="1"/>
  <c r="H177" i="131" s="1"/>
  <c r="DI32" i="15"/>
  <c r="H189" i="131" s="1" a="1"/>
  <c r="H189" i="131" s="1"/>
  <c r="DM32" i="15"/>
  <c r="L189" i="131" s="1" a="1"/>
  <c r="L189" i="131" s="1"/>
  <c r="DM36" i="15"/>
  <c r="L193" i="131" s="1" a="1"/>
  <c r="L193" i="131" s="1"/>
  <c r="DI36" i="15"/>
  <c r="H193" i="131" s="1" a="1"/>
  <c r="H193" i="131" s="1"/>
  <c r="DM5" i="15"/>
  <c r="L162" i="131" s="1" a="1"/>
  <c r="L162" i="131" s="1"/>
  <c r="G162" i="131" a="1"/>
  <c r="G162" i="131" s="1"/>
  <c r="DI5" i="15"/>
  <c r="H162" i="131" s="1" a="1"/>
  <c r="H162" i="131" s="1"/>
  <c r="DI41" i="15"/>
  <c r="H198" i="131" s="1" a="1"/>
  <c r="H198" i="131" s="1"/>
  <c r="DM41" i="15"/>
  <c r="L198" i="131" s="1" a="1"/>
  <c r="L198" i="131" s="1"/>
  <c r="DM15" i="15"/>
  <c r="L172" i="131" s="1" a="1"/>
  <c r="L172" i="131" s="1"/>
  <c r="G172" i="131" a="1"/>
  <c r="G172" i="131" s="1"/>
  <c r="DI15" i="15"/>
  <c r="H172" i="131" s="1" a="1"/>
  <c r="H172" i="131" s="1"/>
  <c r="DI24" i="15"/>
  <c r="H181" i="131" s="1" a="1"/>
  <c r="H181" i="131" s="1"/>
  <c r="G181" i="131" a="1"/>
  <c r="G181" i="131" s="1"/>
  <c r="DM24" i="15"/>
  <c r="L181" i="131" s="1" a="1"/>
  <c r="L181" i="131" s="1"/>
  <c r="DM13" i="15"/>
  <c r="L170" i="131" s="1" a="1"/>
  <c r="L170" i="131" s="1"/>
  <c r="G170" i="131" a="1"/>
  <c r="G170" i="131" s="1"/>
  <c r="DI13" i="15"/>
  <c r="H170" i="131" s="1" a="1"/>
  <c r="H170" i="131" s="1"/>
  <c r="DM12" i="15"/>
  <c r="DI12" i="15"/>
  <c r="G164" i="131" a="1"/>
  <c r="G164" i="131" s="1"/>
  <c r="DM7" i="15"/>
  <c r="L164" i="131" s="1" a="1"/>
  <c r="L164" i="131" s="1"/>
  <c r="DI7" i="15"/>
  <c r="H164" i="131" s="1" a="1"/>
  <c r="H164" i="131" s="1"/>
  <c r="DM19" i="15"/>
  <c r="L176" i="131" s="1" a="1"/>
  <c r="L176" i="131" s="1"/>
  <c r="DI19" i="15"/>
  <c r="H176" i="131" s="1" a="1"/>
  <c r="H176" i="131" s="1"/>
  <c r="G175" i="131" a="1"/>
  <c r="G175" i="131" s="1"/>
  <c r="DI18" i="15"/>
  <c r="H175" i="131" s="1" a="1"/>
  <c r="H175" i="131" s="1"/>
  <c r="DM18" i="15"/>
  <c r="L175" i="131" s="1" a="1"/>
  <c r="L175" i="131" s="1"/>
  <c r="DM4" i="15"/>
  <c r="L161" i="131" s="1" a="1"/>
  <c r="L161" i="131" s="1"/>
  <c r="DI4" i="15"/>
  <c r="H161" i="131" s="1" a="1"/>
  <c r="H161" i="131" s="1"/>
  <c r="DI40" i="15"/>
  <c r="H197" i="131" s="1" a="1"/>
  <c r="H197" i="131" s="1"/>
  <c r="DM40" i="15"/>
  <c r="L197" i="131" s="1" a="1"/>
  <c r="L197" i="131" s="1"/>
  <c r="DI34" i="15"/>
  <c r="H191" i="131" s="1" a="1"/>
  <c r="H191" i="131" s="1"/>
  <c r="DM34" i="15"/>
  <c r="L191" i="131" s="1" a="1"/>
  <c r="L191" i="131" s="1"/>
  <c r="DM11" i="15"/>
  <c r="L168" i="131" s="1" a="1"/>
  <c r="L168" i="131" s="1"/>
  <c r="DI11" i="15"/>
  <c r="H168" i="131" s="1" a="1"/>
  <c r="H168" i="131" s="1"/>
  <c r="G168" i="131" a="1"/>
  <c r="G168" i="131" s="1"/>
  <c r="DM27" i="15"/>
  <c r="L184" i="131" s="1" a="1"/>
  <c r="L184" i="131" s="1"/>
  <c r="DI27" i="15"/>
  <c r="H184" i="131" s="1" a="1"/>
  <c r="H184" i="131" s="1"/>
  <c r="G184" i="131" a="1"/>
  <c r="G184" i="131" s="1"/>
  <c r="DM31" i="15"/>
  <c r="L188" i="131" s="1" a="1"/>
  <c r="L188" i="131" s="1"/>
  <c r="G188" i="131" a="1"/>
  <c r="G188" i="131" s="1"/>
  <c r="DI31" i="15"/>
  <c r="H188" i="131" s="1" a="1"/>
  <c r="H188" i="131" s="1"/>
  <c r="DM21" i="15"/>
  <c r="L178" i="131" s="1" a="1"/>
  <c r="L178" i="131" s="1"/>
  <c r="G178" i="131" a="1"/>
  <c r="G178" i="131" s="1"/>
  <c r="DI21" i="15"/>
  <c r="H178" i="131" s="1" a="1"/>
  <c r="H178" i="131" s="1"/>
  <c r="G196" i="131" a="1"/>
  <c r="G196" i="131" s="1"/>
  <c r="DM39" i="15"/>
  <c r="L196" i="131" s="1" a="1"/>
  <c r="L196" i="131" s="1"/>
  <c r="DI39" i="15"/>
  <c r="H196" i="131" s="1" a="1"/>
  <c r="H196" i="131" s="1"/>
  <c r="DM29" i="15"/>
  <c r="L186" i="131" s="1" a="1"/>
  <c r="L186" i="131" s="1"/>
  <c r="DI29" i="15"/>
  <c r="H186" i="131" s="1" a="1"/>
  <c r="H186" i="131" s="1"/>
  <c r="DM35" i="15"/>
  <c r="L192" i="131" s="1" a="1"/>
  <c r="L192" i="131" s="1"/>
  <c r="DI35" i="15"/>
  <c r="H192" i="131" s="1" a="1"/>
  <c r="H192" i="131" s="1"/>
  <c r="DM3" i="15" l="1"/>
  <c r="L160" i="131" s="1" a="1"/>
  <c r="L160" i="131" s="1"/>
  <c r="DM51" i="15"/>
  <c r="DL51" i="15" s="1" a="1"/>
  <c r="DL51" i="15" s="1"/>
  <c r="K208" i="131" s="1" a="1"/>
  <c r="K208" i="131" s="1"/>
  <c r="DM43" i="15"/>
  <c r="DL43" i="15" s="1" a="1"/>
  <c r="DL43" i="15" s="1"/>
  <c r="K200" i="131" s="1" a="1"/>
  <c r="K200" i="131" s="1"/>
  <c r="AP124" i="90"/>
  <c r="AM124" i="90"/>
  <c r="DM55" i="15"/>
  <c r="DL55" i="15" s="1" a="1"/>
  <c r="DL55" i="15" s="1"/>
  <c r="K212" i="131" s="1" a="1"/>
  <c r="K212" i="131" s="1"/>
  <c r="DI51" i="15"/>
  <c r="DM47" i="15"/>
  <c r="DL47" i="15" s="1" a="1"/>
  <c r="DL47" i="15" s="1"/>
  <c r="K204" i="131" s="1" a="1"/>
  <c r="K204" i="131" s="1"/>
  <c r="G203" i="131" a="1"/>
  <c r="G203" i="131" s="1"/>
  <c r="DM45" i="15"/>
  <c r="DL45" i="15" s="1" a="1"/>
  <c r="DL45" i="15" s="1"/>
  <c r="K202" i="131" s="1" a="1"/>
  <c r="K202" i="131" s="1"/>
  <c r="DM53" i="15"/>
  <c r="DL53" i="15" s="1" a="1"/>
  <c r="DL53" i="15" s="1"/>
  <c r="K210" i="131" s="1" a="1"/>
  <c r="K210" i="131" s="1"/>
  <c r="G200" i="131" a="1"/>
  <c r="G200" i="131" s="1"/>
  <c r="DM42" i="15"/>
  <c r="DL42" i="15" s="1" a="1"/>
  <c r="DL42" i="15" s="1"/>
  <c r="K199" i="131" s="1" a="1"/>
  <c r="K199" i="131" s="1"/>
  <c r="DI53" i="15"/>
  <c r="DJ53" i="15" s="1" a="1"/>
  <c r="DJ53" i="15" s="1"/>
  <c r="I210" i="131" s="1" a="1"/>
  <c r="I210" i="131" s="1"/>
  <c r="DI52" i="15"/>
  <c r="DM58" i="15"/>
  <c r="L215" i="131" s="1" a="1"/>
  <c r="L215" i="131" s="1"/>
  <c r="DI54" i="15"/>
  <c r="DJ54" i="15" s="1" a="1"/>
  <c r="DJ54" i="15" s="1"/>
  <c r="I211" i="131" s="1" a="1"/>
  <c r="I211" i="131" s="1"/>
  <c r="DI46" i="15"/>
  <c r="DJ46" i="15" s="1" a="1"/>
  <c r="DJ46" i="15" s="1"/>
  <c r="I203" i="131" s="1" a="1"/>
  <c r="I203" i="131" s="1"/>
  <c r="DM48" i="15"/>
  <c r="L205" i="131" s="1" a="1"/>
  <c r="L205" i="131" s="1"/>
  <c r="DI58" i="15"/>
  <c r="DM57" i="15"/>
  <c r="DL57" i="15" s="1" a="1"/>
  <c r="DL57" i="15" s="1"/>
  <c r="K214" i="131" s="1" a="1"/>
  <c r="K214" i="131" s="1"/>
  <c r="DI50" i="15"/>
  <c r="H207" i="131" s="1" a="1"/>
  <c r="H207" i="131" s="1"/>
  <c r="DM44" i="15"/>
  <c r="DM49" i="15"/>
  <c r="DL49" i="15" s="1" a="1"/>
  <c r="DL49" i="15" s="1"/>
  <c r="K206" i="131" s="1" a="1"/>
  <c r="K206" i="131" s="1"/>
  <c r="G208" i="131" a="1"/>
  <c r="G208" i="131" s="1"/>
  <c r="DM56" i="15"/>
  <c r="DL56" i="15" s="1" a="1"/>
  <c r="DL56" i="15" s="1"/>
  <c r="K213" i="131" s="1" a="1"/>
  <c r="K213" i="131" s="1"/>
  <c r="DI49" i="15"/>
  <c r="DJ49" i="15" s="1" a="1"/>
  <c r="DJ49" i="15" s="1"/>
  <c r="I206" i="131" s="1" a="1"/>
  <c r="I206" i="131" s="1"/>
  <c r="L214" i="131" a="1"/>
  <c r="L214" i="131" s="1"/>
  <c r="DJ50" i="15" a="1"/>
  <c r="DJ50" i="15" s="1"/>
  <c r="I207" i="131" s="1" a="1"/>
  <c r="I207" i="131" s="1"/>
  <c r="L200" i="131" a="1"/>
  <c r="L200" i="131" s="1"/>
  <c r="DL44" i="15" a="1"/>
  <c r="DL44" i="15" s="1"/>
  <c r="K201" i="131" s="1" a="1"/>
  <c r="K201" i="131" s="1"/>
  <c r="L201" i="131" a="1"/>
  <c r="L201" i="131" s="1"/>
  <c r="L213" i="131" a="1"/>
  <c r="L213" i="131" s="1"/>
  <c r="L212" i="131" a="1"/>
  <c r="L212" i="131" s="1"/>
  <c r="DK51" i="15"/>
  <c r="J208" i="131" s="1" a="1"/>
  <c r="J208" i="131" s="1"/>
  <c r="DJ51" i="15" a="1"/>
  <c r="DJ51" i="15" s="1"/>
  <c r="I208" i="131" s="1" a="1"/>
  <c r="I208" i="131" s="1"/>
  <c r="H208" i="131" a="1"/>
  <c r="H208" i="131" s="1"/>
  <c r="L199" i="131" a="1"/>
  <c r="L199" i="131" s="1"/>
  <c r="H210" i="131" a="1"/>
  <c r="H210" i="131" s="1"/>
  <c r="DJ52" i="15" a="1"/>
  <c r="DJ52" i="15" s="1"/>
  <c r="I209" i="131" s="1" a="1"/>
  <c r="I209" i="131" s="1"/>
  <c r="DK52" i="15"/>
  <c r="J209" i="131" s="1" a="1"/>
  <c r="J209" i="131" s="1"/>
  <c r="H209" i="131" a="1"/>
  <c r="H209" i="131" s="1"/>
  <c r="DK46" i="15"/>
  <c r="J203" i="131" s="1" a="1"/>
  <c r="J203" i="131" s="1"/>
  <c r="H203" i="131" a="1"/>
  <c r="H203" i="131" s="1"/>
  <c r="DK58" i="15"/>
  <c r="J215" i="131" s="1" a="1"/>
  <c r="J215" i="131" s="1"/>
  <c r="DJ58" i="15" a="1"/>
  <c r="DJ58" i="15" s="1"/>
  <c r="I215" i="131" s="1" a="1"/>
  <c r="I215" i="131" s="1"/>
  <c r="H215" i="131" a="1"/>
  <c r="H215" i="131" s="1"/>
  <c r="G204" i="131" a="1"/>
  <c r="G204" i="131" s="1"/>
  <c r="DI43" i="15"/>
  <c r="G199" i="131" a="1"/>
  <c r="G199" i="131" s="1"/>
  <c r="G211" i="131" a="1"/>
  <c r="G211" i="131" s="1"/>
  <c r="G209" i="131" a="1"/>
  <c r="G209" i="131" s="1"/>
  <c r="DI47" i="15"/>
  <c r="DI42" i="15"/>
  <c r="DM54" i="15"/>
  <c r="DM52" i="15"/>
  <c r="G202" i="131" a="1"/>
  <c r="G202" i="131" s="1"/>
  <c r="G214" i="131" a="1"/>
  <c r="G214" i="131" s="1"/>
  <c r="DM46" i="15"/>
  <c r="G212" i="131" a="1"/>
  <c r="G212" i="131" s="1"/>
  <c r="DI45" i="15"/>
  <c r="DI57" i="15"/>
  <c r="G207" i="131" a="1"/>
  <c r="G207" i="131" s="1"/>
  <c r="DI55" i="15"/>
  <c r="G215" i="131" a="1"/>
  <c r="G215" i="131" s="1"/>
  <c r="DM50" i="15"/>
  <c r="G210" i="131" a="1"/>
  <c r="G210" i="131" s="1"/>
  <c r="G206" i="131" a="1"/>
  <c r="G206" i="131" s="1"/>
  <c r="G213" i="131" a="1"/>
  <c r="G213" i="131" s="1"/>
  <c r="G205" i="131" a="1"/>
  <c r="G205" i="131" s="1"/>
  <c r="G201" i="131" a="1"/>
  <c r="G201" i="131" s="1"/>
  <c r="DI56" i="15"/>
  <c r="DI48" i="15"/>
  <c r="DI44" i="15"/>
  <c r="AV139" i="43"/>
  <c r="AV138" i="43"/>
  <c r="AV134" i="43"/>
  <c r="AV136" i="43"/>
  <c r="AV135" i="43"/>
  <c r="AV133" i="43"/>
  <c r="AR136" i="43"/>
  <c r="AR137" i="43"/>
  <c r="AR135" i="43"/>
  <c r="AR138" i="43"/>
  <c r="AR139" i="43"/>
  <c r="AR133" i="43"/>
  <c r="AT98" i="90"/>
  <c r="AT110" i="90"/>
  <c r="AT109" i="90"/>
  <c r="AT102" i="90"/>
  <c r="AT107" i="90"/>
  <c r="AT100" i="90"/>
  <c r="AT121" i="90"/>
  <c r="AT105" i="90"/>
  <c r="AT108" i="90"/>
  <c r="AT117" i="90"/>
  <c r="AT120" i="90"/>
  <c r="AT114" i="90"/>
  <c r="AT104" i="90"/>
  <c r="AT101" i="90"/>
  <c r="AT118" i="90"/>
  <c r="AT116" i="90"/>
  <c r="AT119" i="90"/>
  <c r="AT112" i="90"/>
  <c r="AT103" i="90"/>
  <c r="AT113" i="90"/>
  <c r="AT99" i="90"/>
  <c r="AT111" i="90"/>
  <c r="AT115" i="90"/>
  <c r="AT106" i="90"/>
  <c r="AX98" i="90"/>
  <c r="AX105" i="90"/>
  <c r="AX111" i="90"/>
  <c r="AX101" i="90"/>
  <c r="AX120" i="90"/>
  <c r="AX99" i="90"/>
  <c r="AX112" i="90"/>
  <c r="AX118" i="90"/>
  <c r="AX107" i="90"/>
  <c r="AX100" i="90"/>
  <c r="AX106" i="90"/>
  <c r="AX113" i="90"/>
  <c r="AX119" i="90"/>
  <c r="AX108" i="90"/>
  <c r="AX114" i="90"/>
  <c r="AX121" i="90"/>
  <c r="AX102" i="90"/>
  <c r="AX109" i="90"/>
  <c r="AX115" i="90"/>
  <c r="AX103" i="90"/>
  <c r="AX116" i="90"/>
  <c r="AX104" i="90"/>
  <c r="AX110" i="90"/>
  <c r="AX117" i="90"/>
  <c r="AO121" i="90"/>
  <c r="AQ102" i="43"/>
  <c r="AR102" i="43" s="1"/>
  <c r="AR127" i="43"/>
  <c r="AR128" i="43"/>
  <c r="AR114" i="43"/>
  <c r="AR109" i="43"/>
  <c r="AR103" i="43"/>
  <c r="AR107" i="43"/>
  <c r="AR122" i="43"/>
  <c r="AR117" i="43"/>
  <c r="AR111" i="43"/>
  <c r="AR123" i="43"/>
  <c r="AR115" i="43"/>
  <c r="AR125" i="43"/>
  <c r="AR119" i="43"/>
  <c r="AR108" i="43"/>
  <c r="AR106" i="43"/>
  <c r="AR124" i="43"/>
  <c r="AR116" i="43"/>
  <c r="AR105" i="43"/>
  <c r="AR110" i="43"/>
  <c r="AR104" i="43"/>
  <c r="AR113" i="43"/>
  <c r="AR120" i="43"/>
  <c r="AR118" i="43"/>
  <c r="AR112" i="43"/>
  <c r="AR121" i="43"/>
  <c r="AR126" i="43"/>
  <c r="BA106" i="43"/>
  <c r="BA114" i="43"/>
  <c r="BA122" i="43"/>
  <c r="BA107" i="43"/>
  <c r="BA115" i="43"/>
  <c r="BA123" i="43"/>
  <c r="BA105" i="43"/>
  <c r="BA108" i="43"/>
  <c r="BA116" i="43"/>
  <c r="BA124" i="43"/>
  <c r="BA109" i="43"/>
  <c r="BA117" i="43"/>
  <c r="BA125" i="43"/>
  <c r="BA110" i="43"/>
  <c r="BA118" i="43"/>
  <c r="BA126" i="43"/>
  <c r="BA103" i="43"/>
  <c r="BA111" i="43"/>
  <c r="BA119" i="43"/>
  <c r="BA127" i="43"/>
  <c r="BA113" i="43"/>
  <c r="BA121" i="43"/>
  <c r="BA104" i="43"/>
  <c r="BA112" i="43"/>
  <c r="BA120" i="43"/>
  <c r="BA128" i="43"/>
  <c r="AZ102" i="43"/>
  <c r="BA102" i="43" s="1"/>
  <c r="AW112" i="43"/>
  <c r="AW114" i="43"/>
  <c r="AW108" i="43"/>
  <c r="AW120" i="43"/>
  <c r="AW122" i="43"/>
  <c r="AW116" i="43"/>
  <c r="AV102" i="43"/>
  <c r="AW105" i="43"/>
  <c r="AW117" i="43"/>
  <c r="AW124" i="43"/>
  <c r="AW103" i="43"/>
  <c r="AW113" i="43"/>
  <c r="AW118" i="43"/>
  <c r="AW109" i="43"/>
  <c r="AW111" i="43"/>
  <c r="AW121" i="43"/>
  <c r="AW107" i="43"/>
  <c r="AW125" i="43"/>
  <c r="AW128" i="43"/>
  <c r="AW119" i="43"/>
  <c r="AW110" i="43"/>
  <c r="AW115" i="43"/>
  <c r="AW106" i="43"/>
  <c r="AW127" i="43"/>
  <c r="AW126" i="43"/>
  <c r="AW123" i="43"/>
  <c r="AW104" i="43"/>
  <c r="AO102" i="90"/>
  <c r="AO110" i="90"/>
  <c r="AO118" i="90"/>
  <c r="AO101" i="90"/>
  <c r="AO117" i="90"/>
  <c r="AO103" i="90"/>
  <c r="AO111" i="90"/>
  <c r="AO119" i="90"/>
  <c r="AO98" i="90"/>
  <c r="AO106" i="90"/>
  <c r="AO114" i="90"/>
  <c r="AO107" i="90"/>
  <c r="AO109" i="90"/>
  <c r="AO104" i="90"/>
  <c r="AO112" i="90"/>
  <c r="AO100" i="90"/>
  <c r="AO108" i="90"/>
  <c r="AO116" i="90"/>
  <c r="AO105" i="90"/>
  <c r="AO113" i="90"/>
  <c r="AO99" i="90"/>
  <c r="AO115" i="90"/>
  <c r="CB74" i="105"/>
  <c r="BT69" i="105"/>
  <c r="CB69" i="105"/>
  <c r="BT70" i="105"/>
  <c r="BX71" i="105"/>
  <c r="CB73" i="105"/>
  <c r="CC59" i="105"/>
  <c r="CC48" i="105"/>
  <c r="CC58" i="105"/>
  <c r="CC55" i="105"/>
  <c r="CC44" i="105"/>
  <c r="CC61" i="105"/>
  <c r="CC51" i="105"/>
  <c r="CC42" i="105"/>
  <c r="CC54" i="105"/>
  <c r="CC47" i="105"/>
  <c r="CC66" i="105"/>
  <c r="CC57" i="105"/>
  <c r="CC64" i="105"/>
  <c r="CC49" i="105"/>
  <c r="CC45" i="105"/>
  <c r="CC56" i="105"/>
  <c r="CC46" i="105"/>
  <c r="CC53" i="105"/>
  <c r="CC60" i="105"/>
  <c r="CC62" i="105"/>
  <c r="CC43" i="105"/>
  <c r="CC63" i="105"/>
  <c r="CC52" i="105"/>
  <c r="CC65" i="105"/>
  <c r="CC50" i="105"/>
  <c r="BS41" i="105"/>
  <c r="BT58" i="105"/>
  <c r="BT56" i="105"/>
  <c r="BT64" i="105"/>
  <c r="BT65" i="105"/>
  <c r="BT54" i="105"/>
  <c r="BT47" i="105"/>
  <c r="BT43" i="105"/>
  <c r="BT61" i="105"/>
  <c r="BT50" i="105"/>
  <c r="BT59" i="105"/>
  <c r="BT57" i="105"/>
  <c r="BT46" i="105"/>
  <c r="BT52" i="105"/>
  <c r="BT53" i="105"/>
  <c r="BT42" i="105"/>
  <c r="BT55" i="105"/>
  <c r="BT66" i="105"/>
  <c r="BT45" i="105"/>
  <c r="BT51" i="105"/>
  <c r="BT49" i="105"/>
  <c r="BT60" i="105"/>
  <c r="BT44" i="105"/>
  <c r="BT62" i="105"/>
  <c r="BT63" i="105"/>
  <c r="BT48" i="105"/>
  <c r="BY63" i="105"/>
  <c r="BY52" i="105"/>
  <c r="BY57" i="105"/>
  <c r="BY59" i="105"/>
  <c r="BY49" i="105"/>
  <c r="BY45" i="105"/>
  <c r="BY66" i="105"/>
  <c r="BY55" i="105"/>
  <c r="BY44" i="105"/>
  <c r="BY60" i="105"/>
  <c r="BY62" i="105"/>
  <c r="BY51" i="105"/>
  <c r="BY42" i="105"/>
  <c r="BY53" i="105"/>
  <c r="BY58" i="105"/>
  <c r="BY47" i="105"/>
  <c r="BY65" i="105"/>
  <c r="BY50" i="105"/>
  <c r="BY56" i="105"/>
  <c r="BY48" i="105"/>
  <c r="BY54" i="105"/>
  <c r="BY43" i="105"/>
  <c r="BY61" i="105"/>
  <c r="BY46" i="105"/>
  <c r="BX41" i="105"/>
  <c r="BY64" i="105"/>
  <c r="BX73" i="105"/>
  <c r="BT74" i="105"/>
  <c r="BX72" i="105"/>
  <c r="CB71" i="105"/>
  <c r="CB72" i="105"/>
  <c r="BX70" i="105"/>
  <c r="CB70" i="105"/>
  <c r="BT73" i="105"/>
  <c r="BX69" i="105"/>
  <c r="BX74" i="105"/>
  <c r="BT71" i="105"/>
  <c r="BT72" i="105"/>
  <c r="AP127" i="90"/>
  <c r="AP128" i="90"/>
  <c r="AP129" i="90"/>
  <c r="AP125" i="90"/>
  <c r="AP130" i="90"/>
  <c r="AP126" i="90"/>
  <c r="AY127" i="90"/>
  <c r="AU126" i="90"/>
  <c r="AY126" i="90"/>
  <c r="AY129" i="90"/>
  <c r="AW97" i="90"/>
  <c r="AU129" i="90"/>
  <c r="AU124" i="90"/>
  <c r="AU128" i="90"/>
  <c r="AY125" i="90"/>
  <c r="AU125" i="90"/>
  <c r="AT97" i="90"/>
  <c r="AY128" i="90"/>
  <c r="AY124" i="90"/>
  <c r="AN97" i="90"/>
  <c r="AO97" i="90" s="1"/>
  <c r="AU130" i="90"/>
  <c r="AZ137" i="43"/>
  <c r="AZ134" i="43"/>
  <c r="AZ138" i="43"/>
  <c r="AZ135" i="43"/>
  <c r="AZ136" i="43"/>
  <c r="AZ139" i="43"/>
  <c r="DL30" i="15" a="1"/>
  <c r="DL30" i="15" s="1"/>
  <c r="K187" i="131" s="1" a="1"/>
  <c r="K187" i="131" s="1"/>
  <c r="DK9" i="15"/>
  <c r="J166" i="131" s="1" a="1"/>
  <c r="J166" i="131" s="1"/>
  <c r="DJ9" i="15" a="1"/>
  <c r="DJ9" i="15" s="1"/>
  <c r="I166" i="131" s="1" a="1"/>
  <c r="I166" i="131" s="1"/>
  <c r="DL12" i="15" a="1"/>
  <c r="DL12" i="15" s="1"/>
  <c r="DL25" i="15" a="1"/>
  <c r="DL25" i="15" s="1"/>
  <c r="K182" i="131" s="1" a="1"/>
  <c r="K182" i="131" s="1"/>
  <c r="DK19" i="15"/>
  <c r="J176" i="131" s="1" a="1"/>
  <c r="J176" i="131" s="1"/>
  <c r="DJ19" i="15" a="1"/>
  <c r="DJ19" i="15" s="1"/>
  <c r="I176" i="131" s="1" a="1"/>
  <c r="I176" i="131" s="1"/>
  <c r="DJ30" i="15" a="1"/>
  <c r="DJ30" i="15" s="1"/>
  <c r="I187" i="131" s="1" a="1"/>
  <c r="I187" i="131" s="1"/>
  <c r="DK30" i="15"/>
  <c r="J187" i="131" s="1" a="1"/>
  <c r="J187" i="131" s="1"/>
  <c r="DL26" i="15" a="1"/>
  <c r="DL26" i="15" s="1"/>
  <c r="K183" i="131" s="1" a="1"/>
  <c r="K183" i="131" s="1"/>
  <c r="DK16" i="15"/>
  <c r="J173" i="131" s="1" a="1"/>
  <c r="J173" i="131" s="1"/>
  <c r="DJ16" i="15" a="1"/>
  <c r="DJ16" i="15" s="1"/>
  <c r="I173" i="131" s="1" a="1"/>
  <c r="I173" i="131" s="1"/>
  <c r="DL35" i="15" a="1"/>
  <c r="DL35" i="15" s="1"/>
  <c r="K192" i="131" s="1" a="1"/>
  <c r="K192" i="131" s="1"/>
  <c r="DK40" i="15"/>
  <c r="J197" i="131" s="1" a="1"/>
  <c r="J197" i="131" s="1"/>
  <c r="DJ40" i="15" a="1"/>
  <c r="DJ40" i="15" s="1"/>
  <c r="I197" i="131" s="1" a="1"/>
  <c r="I197" i="131" s="1"/>
  <c r="DK33" i="15"/>
  <c r="J190" i="131" s="1" a="1"/>
  <c r="J190" i="131" s="1"/>
  <c r="DJ33" i="15" a="1"/>
  <c r="DJ33" i="15" s="1"/>
  <c r="I190" i="131" s="1" a="1"/>
  <c r="I190" i="131" s="1"/>
  <c r="DL21" i="15" a="1"/>
  <c r="DL21" i="15" s="1"/>
  <c r="K178" i="131" s="1" a="1"/>
  <c r="K178" i="131" s="1"/>
  <c r="DK8" i="15"/>
  <c r="J165" i="131" s="1" a="1"/>
  <c r="J165" i="131" s="1"/>
  <c r="DJ8" i="15" a="1"/>
  <c r="DJ8" i="15" s="1"/>
  <c r="I165" i="131" s="1" a="1"/>
  <c r="I165" i="131" s="1"/>
  <c r="DJ31" i="15" a="1"/>
  <c r="DJ31" i="15" s="1"/>
  <c r="I188" i="131" s="1" a="1"/>
  <c r="I188" i="131" s="1"/>
  <c r="DK31" i="15"/>
  <c r="J188" i="131" s="1" a="1"/>
  <c r="J188" i="131" s="1"/>
  <c r="DL11" i="15" a="1"/>
  <c r="DL11" i="15" s="1"/>
  <c r="K168" i="131" s="1" a="1"/>
  <c r="K168" i="131" s="1"/>
  <c r="DJ4" i="15" a="1"/>
  <c r="DJ4" i="15" s="1"/>
  <c r="I161" i="131" s="1" a="1"/>
  <c r="I161" i="131" s="1"/>
  <c r="DK4" i="15"/>
  <c r="J161" i="131" s="1" a="1"/>
  <c r="J161" i="131" s="1"/>
  <c r="DJ7" i="15" a="1"/>
  <c r="DJ7" i="15" s="1"/>
  <c r="I164" i="131" s="1" a="1"/>
  <c r="I164" i="131" s="1"/>
  <c r="DK7" i="15"/>
  <c r="J164" i="131" s="1" a="1"/>
  <c r="J164" i="131" s="1"/>
  <c r="DL13" i="15" a="1"/>
  <c r="DL13" i="15" s="1"/>
  <c r="K170" i="131" s="1" a="1"/>
  <c r="K170" i="131" s="1"/>
  <c r="DL41" i="15" a="1"/>
  <c r="DL41" i="15" s="1"/>
  <c r="K198" i="131" s="1" a="1"/>
  <c r="K198" i="131" s="1"/>
  <c r="DJ10" i="15" a="1"/>
  <c r="DJ10" i="15" s="1"/>
  <c r="I167" i="131" s="1" a="1"/>
  <c r="I167" i="131" s="1"/>
  <c r="DK10" i="15"/>
  <c r="J167" i="131" s="1" a="1"/>
  <c r="J167" i="131" s="1"/>
  <c r="DL22" i="15" a="1"/>
  <c r="DL22" i="15" s="1"/>
  <c r="K179" i="131" s="1" a="1"/>
  <c r="K179" i="131" s="1"/>
  <c r="DL14" i="15" a="1"/>
  <c r="DL14" i="15" s="1"/>
  <c r="K171" i="131" s="1" a="1"/>
  <c r="K171" i="131" s="1"/>
  <c r="DK38" i="15"/>
  <c r="J195" i="131" s="1" a="1"/>
  <c r="J195" i="131" s="1"/>
  <c r="DJ38" i="15" a="1"/>
  <c r="DJ38" i="15" s="1"/>
  <c r="I195" i="131" s="1" a="1"/>
  <c r="I195" i="131" s="1"/>
  <c r="DK28" i="15"/>
  <c r="J185" i="131" s="1" a="1"/>
  <c r="J185" i="131" s="1"/>
  <c r="DJ28" i="15" a="1"/>
  <c r="DJ28" i="15" s="1"/>
  <c r="I185" i="131" s="1" a="1"/>
  <c r="I185" i="131" s="1"/>
  <c r="DL40" i="15" a="1"/>
  <c r="DL40" i="15" s="1"/>
  <c r="K197" i="131" s="1" a="1"/>
  <c r="K197" i="131" s="1"/>
  <c r="DL5" i="15" a="1"/>
  <c r="DL5" i="15" s="1"/>
  <c r="K162" i="131" s="1" a="1"/>
  <c r="K162" i="131" s="1"/>
  <c r="DJ21" i="15" a="1"/>
  <c r="DJ21" i="15" s="1"/>
  <c r="I178" i="131" s="1" a="1"/>
  <c r="I178" i="131" s="1"/>
  <c r="DK21" i="15"/>
  <c r="J178" i="131" s="1" a="1"/>
  <c r="J178" i="131" s="1"/>
  <c r="DL20" i="15" a="1"/>
  <c r="DL20" i="15" s="1"/>
  <c r="K177" i="131" s="1" a="1"/>
  <c r="K177" i="131" s="1"/>
  <c r="DL33" i="15" a="1"/>
  <c r="DL33" i="15" s="1"/>
  <c r="K190" i="131" s="1" a="1"/>
  <c r="K190" i="131" s="1"/>
  <c r="DK25" i="15"/>
  <c r="J182" i="131" s="1" a="1"/>
  <c r="J182" i="131" s="1"/>
  <c r="DJ25" i="15" a="1"/>
  <c r="DJ25" i="15" s="1"/>
  <c r="I182" i="131" s="1" a="1"/>
  <c r="I182" i="131" s="1"/>
  <c r="DL8" i="15" a="1"/>
  <c r="DL8" i="15" s="1"/>
  <c r="K165" i="131" s="1" a="1"/>
  <c r="K165" i="131" s="1"/>
  <c r="DL15" i="15" a="1"/>
  <c r="DL15" i="15" s="1"/>
  <c r="K172" i="131" s="1" a="1"/>
  <c r="K172" i="131" s="1"/>
  <c r="DK29" i="15"/>
  <c r="J186" i="131" s="1" a="1"/>
  <c r="J186" i="131" s="1"/>
  <c r="DJ29" i="15" a="1"/>
  <c r="DJ29" i="15" s="1"/>
  <c r="I186" i="131" s="1" a="1"/>
  <c r="I186" i="131" s="1"/>
  <c r="DL19" i="15" a="1"/>
  <c r="DL19" i="15" s="1"/>
  <c r="K176" i="131" s="1" a="1"/>
  <c r="K176" i="131" s="1"/>
  <c r="DL34" i="15" a="1"/>
  <c r="DL34" i="15" s="1"/>
  <c r="K191" i="131" s="1" a="1"/>
  <c r="K191" i="131" s="1"/>
  <c r="DL4" i="15" a="1"/>
  <c r="DL4" i="15" s="1"/>
  <c r="K161" i="131" s="1" a="1"/>
  <c r="K161" i="131" s="1"/>
  <c r="DL7" i="15" a="1"/>
  <c r="DL7" i="15" s="1"/>
  <c r="K164" i="131" s="1" a="1"/>
  <c r="K164" i="131" s="1"/>
  <c r="DL24" i="15" a="1"/>
  <c r="DL24" i="15" s="1"/>
  <c r="K181" i="131" s="1" a="1"/>
  <c r="K181" i="131" s="1"/>
  <c r="DK41" i="15"/>
  <c r="J198" i="131" s="1" a="1"/>
  <c r="J198" i="131" s="1"/>
  <c r="DJ41" i="15" a="1"/>
  <c r="DJ41" i="15" s="1"/>
  <c r="I198" i="131" s="1" a="1"/>
  <c r="I198" i="131" s="1"/>
  <c r="DL32" i="15" a="1"/>
  <c r="DL32" i="15" s="1"/>
  <c r="K189" i="131" s="1" a="1"/>
  <c r="K189" i="131" s="1"/>
  <c r="DL17" i="15" a="1"/>
  <c r="DL17" i="15" s="1"/>
  <c r="K174" i="131" s="1" a="1"/>
  <c r="K174" i="131" s="1"/>
  <c r="DK22" i="15"/>
  <c r="J179" i="131" s="1" a="1"/>
  <c r="J179" i="131" s="1"/>
  <c r="DJ22" i="15" a="1"/>
  <c r="DJ22" i="15" s="1"/>
  <c r="I179" i="131" s="1" a="1"/>
  <c r="I179" i="131" s="1"/>
  <c r="DJ14" i="15" a="1"/>
  <c r="DJ14" i="15" s="1"/>
  <c r="I171" i="131" s="1" a="1"/>
  <c r="I171" i="131" s="1"/>
  <c r="DK14" i="15"/>
  <c r="J171" i="131" s="1" a="1"/>
  <c r="J171" i="131" s="1"/>
  <c r="DL37" i="15" a="1"/>
  <c r="DL37" i="15" s="1"/>
  <c r="K194" i="131" s="1" a="1"/>
  <c r="K194" i="131" s="1"/>
  <c r="DK35" i="15"/>
  <c r="J192" i="131" s="1" a="1"/>
  <c r="J192" i="131" s="1"/>
  <c r="DJ35" i="15" a="1"/>
  <c r="DJ35" i="15" s="1"/>
  <c r="I192" i="131" s="1" a="1"/>
  <c r="I192" i="131" s="1"/>
  <c r="DJ20" i="15" a="1"/>
  <c r="DJ20" i="15" s="1"/>
  <c r="I177" i="131" s="1" a="1"/>
  <c r="I177" i="131" s="1"/>
  <c r="DK20" i="15"/>
  <c r="J177" i="131" s="1" a="1"/>
  <c r="J177" i="131" s="1"/>
  <c r="DJ36" i="15" a="1"/>
  <c r="DJ36" i="15" s="1"/>
  <c r="I193" i="131" s="1" a="1"/>
  <c r="I193" i="131" s="1"/>
  <c r="DK36" i="15"/>
  <c r="J193" i="131" s="1" a="1"/>
  <c r="J193" i="131" s="1"/>
  <c r="I168" i="131" a="1"/>
  <c r="I168" i="131" s="1"/>
  <c r="DK11" i="15"/>
  <c r="J168" i="131" s="1" a="1"/>
  <c r="J168" i="131" s="1"/>
  <c r="DL10" i="15" a="1"/>
  <c r="DL10" i="15" s="1"/>
  <c r="K167" i="131" s="1" a="1"/>
  <c r="K167" i="131" s="1"/>
  <c r="DJ37" i="15" a="1"/>
  <c r="DJ37" i="15" s="1"/>
  <c r="I194" i="131" s="1" a="1"/>
  <c r="I194" i="131" s="1"/>
  <c r="DK37" i="15"/>
  <c r="J194" i="131" s="1" a="1"/>
  <c r="J194" i="131" s="1"/>
  <c r="DL29" i="15" a="1"/>
  <c r="DL29" i="15" s="1"/>
  <c r="K186" i="131" s="1" a="1"/>
  <c r="K186" i="131" s="1"/>
  <c r="DJ39" i="15" a="1"/>
  <c r="DJ39" i="15" s="1"/>
  <c r="I196" i="131" s="1" a="1"/>
  <c r="I196" i="131" s="1"/>
  <c r="DK39" i="15"/>
  <c r="J196" i="131" s="1" a="1"/>
  <c r="J196" i="131" s="1"/>
  <c r="DL31" i="15" a="1"/>
  <c r="DL31" i="15" s="1"/>
  <c r="K188" i="131" s="1" a="1"/>
  <c r="K188" i="131" s="1"/>
  <c r="DK34" i="15"/>
  <c r="J191" i="131" s="1" a="1"/>
  <c r="J191" i="131" s="1"/>
  <c r="DJ34" i="15" a="1"/>
  <c r="DJ34" i="15" s="1"/>
  <c r="I191" i="131" s="1" a="1"/>
  <c r="I191" i="131" s="1"/>
  <c r="DL18" i="15" a="1"/>
  <c r="DL18" i="15" s="1"/>
  <c r="K175" i="131" s="1" a="1"/>
  <c r="K175" i="131" s="1"/>
  <c r="DJ5" i="15" a="1"/>
  <c r="DJ5" i="15" s="1"/>
  <c r="I162" i="131" s="1" a="1"/>
  <c r="I162" i="131" s="1"/>
  <c r="DK5" i="15"/>
  <c r="J162" i="131" s="1" a="1"/>
  <c r="J162" i="131" s="1"/>
  <c r="DK32" i="15"/>
  <c r="J189" i="131" s="1" a="1"/>
  <c r="J189" i="131" s="1"/>
  <c r="I189" i="131" a="1"/>
  <c r="I189" i="131" s="1"/>
  <c r="DK17" i="15"/>
  <c r="J174" i="131" s="1" a="1"/>
  <c r="J174" i="131" s="1"/>
  <c r="DJ17" i="15" a="1"/>
  <c r="DJ17" i="15" s="1"/>
  <c r="I174" i="131" s="1" a="1"/>
  <c r="I174" i="131" s="1"/>
  <c r="DL6" i="15" a="1"/>
  <c r="DL6" i="15" s="1"/>
  <c r="K163" i="131" s="1" a="1"/>
  <c r="K163" i="131" s="1"/>
  <c r="DJ23" i="15" a="1"/>
  <c r="DJ23" i="15" s="1"/>
  <c r="I180" i="131" s="1" a="1"/>
  <c r="I180" i="131" s="1"/>
  <c r="DK23" i="15"/>
  <c r="J180" i="131" s="1" a="1"/>
  <c r="J180" i="131" s="1"/>
  <c r="DL28" i="15" a="1"/>
  <c r="DL28" i="15" s="1"/>
  <c r="K185" i="131" s="1" a="1"/>
  <c r="K185" i="131" s="1"/>
  <c r="DJ27" i="15" a="1"/>
  <c r="DJ27" i="15" s="1"/>
  <c r="I184" i="131" s="1" a="1"/>
  <c r="I184" i="131" s="1"/>
  <c r="DK27" i="15"/>
  <c r="J184" i="131" s="1" a="1"/>
  <c r="J184" i="131" s="1"/>
  <c r="DJ15" i="15" a="1"/>
  <c r="DJ15" i="15" s="1"/>
  <c r="I172" i="131" s="1" a="1"/>
  <c r="I172" i="131" s="1"/>
  <c r="DK15" i="15"/>
  <c r="J172" i="131" s="1" a="1"/>
  <c r="J172" i="131" s="1"/>
  <c r="DL16" i="15" a="1"/>
  <c r="DL16" i="15" s="1"/>
  <c r="K173" i="131" s="1" a="1"/>
  <c r="K173" i="131" s="1"/>
  <c r="DL27" i="15" a="1"/>
  <c r="DL27" i="15" s="1"/>
  <c r="K184" i="131" s="1" a="1"/>
  <c r="K184" i="131" s="1"/>
  <c r="DK13" i="15"/>
  <c r="J170" i="131" s="1" a="1"/>
  <c r="J170" i="131" s="1"/>
  <c r="DJ13" i="15" a="1"/>
  <c r="DJ13" i="15" s="1"/>
  <c r="I170" i="131" s="1" a="1"/>
  <c r="I170" i="131" s="1"/>
  <c r="DJ26" i="15" a="1"/>
  <c r="DJ26" i="15" s="1"/>
  <c r="I183" i="131" s="1" a="1"/>
  <c r="I183" i="131" s="1"/>
  <c r="DK26" i="15"/>
  <c r="J183" i="131" s="1" a="1"/>
  <c r="J183" i="131" s="1"/>
  <c r="DL36" i="15" a="1"/>
  <c r="DL36" i="15" s="1"/>
  <c r="K193" i="131" s="1" a="1"/>
  <c r="K193" i="131" s="1"/>
  <c r="DL38" i="15" a="1"/>
  <c r="DL38" i="15" s="1"/>
  <c r="K195" i="131" s="1" a="1"/>
  <c r="K195" i="131" s="1"/>
  <c r="DL39" i="15" a="1"/>
  <c r="DL39" i="15" s="1"/>
  <c r="K196" i="131" s="1" a="1"/>
  <c r="K196" i="131" s="1"/>
  <c r="DK18" i="15"/>
  <c r="J175" i="131" s="1" a="1"/>
  <c r="J175" i="131" s="1"/>
  <c r="DJ18" i="15" a="1"/>
  <c r="DJ18" i="15" s="1"/>
  <c r="I175" i="131" s="1" a="1"/>
  <c r="I175" i="131" s="1"/>
  <c r="DK12" i="15"/>
  <c r="DJ12" i="15" a="1"/>
  <c r="DJ12" i="15" s="1"/>
  <c r="DK24" i="15"/>
  <c r="J181" i="131" s="1" a="1"/>
  <c r="J181" i="131" s="1"/>
  <c r="DJ24" i="15" a="1"/>
  <c r="DJ24" i="15" s="1"/>
  <c r="I181" i="131" s="1" a="1"/>
  <c r="I181" i="131" s="1"/>
  <c r="DL9" i="15" a="1"/>
  <c r="DL9" i="15" s="1"/>
  <c r="K166" i="131" s="1" a="1"/>
  <c r="K166" i="131" s="1"/>
  <c r="DK6" i="15"/>
  <c r="J163" i="131" s="1" a="1"/>
  <c r="J163" i="131" s="1"/>
  <c r="I163" i="131" a="1"/>
  <c r="I163" i="131" s="1"/>
  <c r="DL23" i="15" a="1"/>
  <c r="DL23" i="15" s="1"/>
  <c r="K180" i="131" s="1" a="1"/>
  <c r="K180" i="131" s="1"/>
  <c r="DL3" i="15" a="1"/>
  <c r="DL3" i="15" s="1"/>
  <c r="K160" i="131" s="1" a="1"/>
  <c r="K160" i="131" s="1"/>
  <c r="DJ3" i="15" a="1"/>
  <c r="DJ3" i="15" s="1"/>
  <c r="I160" i="131" s="1" a="1"/>
  <c r="I160" i="131" s="1"/>
  <c r="DK3" i="15"/>
  <c r="J160" i="131" s="1" a="1"/>
  <c r="J160" i="131" s="1"/>
  <c r="H45" i="4"/>
  <c r="D45" i="4" s="1"/>
  <c r="H157" i="4"/>
  <c r="D157" i="4" s="1"/>
  <c r="H54" i="4"/>
  <c r="D54" i="4" s="1"/>
  <c r="H139" i="4"/>
  <c r="D139" i="4" s="1"/>
  <c r="H50" i="4"/>
  <c r="D50" i="4" s="1"/>
  <c r="H94" i="4"/>
  <c r="D94" i="4" s="1"/>
  <c r="H59" i="4"/>
  <c r="D59" i="4" s="1"/>
  <c r="H155" i="4"/>
  <c r="D155" i="4" s="1"/>
  <c r="H120" i="4"/>
  <c r="D120" i="4" s="1"/>
  <c r="H63" i="4"/>
  <c r="D63" i="4" s="1"/>
  <c r="H109" i="4"/>
  <c r="D109" i="4" s="1"/>
  <c r="H98" i="4"/>
  <c r="D98" i="4" s="1"/>
  <c r="H168" i="4"/>
  <c r="H160" i="4"/>
  <c r="H150" i="4"/>
  <c r="D150" i="4" s="1"/>
  <c r="H147" i="4"/>
  <c r="D147" i="4" s="1"/>
  <c r="H89" i="4"/>
  <c r="D89" i="4" s="1"/>
  <c r="H66" i="4"/>
  <c r="D66" i="4" s="1"/>
  <c r="H146" i="4"/>
  <c r="D146" i="4" s="1"/>
  <c r="H138" i="4"/>
  <c r="D138" i="4" s="1"/>
  <c r="H107" i="4"/>
  <c r="D107" i="4" s="1"/>
  <c r="H170" i="4"/>
  <c r="H159" i="4"/>
  <c r="D159" i="4" s="1"/>
  <c r="H116" i="4"/>
  <c r="D116" i="4" s="1"/>
  <c r="H104" i="4"/>
  <c r="D104" i="4" s="1"/>
  <c r="H123" i="4"/>
  <c r="D123" i="4" s="1"/>
  <c r="H95" i="4"/>
  <c r="D95" i="4" s="1"/>
  <c r="H108" i="4"/>
  <c r="D108" i="4" s="1"/>
  <c r="H30" i="4"/>
  <c r="D30" i="4" s="1"/>
  <c r="H144" i="4"/>
  <c r="D144" i="4" s="1"/>
  <c r="H166" i="4"/>
  <c r="H122" i="4"/>
  <c r="D122" i="4" s="1"/>
  <c r="H100" i="4"/>
  <c r="D100" i="4" s="1"/>
  <c r="H97" i="4"/>
  <c r="D97" i="4" s="1"/>
  <c r="H86" i="4"/>
  <c r="D86" i="4" s="1"/>
  <c r="H47" i="4"/>
  <c r="H48" i="4"/>
  <c r="D48" i="4" s="1"/>
  <c r="H128" i="4"/>
  <c r="D128" i="4" s="1"/>
  <c r="H117" i="4"/>
  <c r="D117" i="4" s="1"/>
  <c r="H163" i="4"/>
  <c r="H162" i="4"/>
  <c r="D162" i="4" s="1"/>
  <c r="H152" i="4"/>
  <c r="D152" i="4" s="1"/>
  <c r="H151" i="4"/>
  <c r="D151" i="4" s="1"/>
  <c r="H134" i="4"/>
  <c r="D134" i="4" s="1"/>
  <c r="H124" i="4"/>
  <c r="D124" i="4" s="1"/>
  <c r="H115" i="4"/>
  <c r="D115" i="4" s="1"/>
  <c r="H105" i="4"/>
  <c r="D105" i="4" s="1"/>
  <c r="H93" i="4"/>
  <c r="D93" i="4" s="1"/>
  <c r="H92" i="4"/>
  <c r="D92" i="4" s="1"/>
  <c r="D83" i="4"/>
  <c r="H62" i="4"/>
  <c r="D62" i="4" s="1"/>
  <c r="H171" i="4"/>
  <c r="D171" i="4" s="1"/>
  <c r="H165" i="4"/>
  <c r="H149" i="4"/>
  <c r="D149" i="4" s="1"/>
  <c r="H140" i="4"/>
  <c r="D140" i="4" s="1"/>
  <c r="H129" i="4"/>
  <c r="D129" i="4" s="1"/>
  <c r="H119" i="4"/>
  <c r="D119" i="4" s="1"/>
  <c r="H112" i="4"/>
  <c r="D112" i="4" s="1"/>
  <c r="H79" i="4"/>
  <c r="D79" i="4" s="1"/>
  <c r="H78" i="4"/>
  <c r="D78" i="4" s="1"/>
  <c r="H76" i="4"/>
  <c r="D76" i="4" s="1"/>
  <c r="H113" i="4"/>
  <c r="D113" i="4" s="1"/>
  <c r="H37" i="4"/>
  <c r="D37" i="4" s="1"/>
  <c r="H101" i="4"/>
  <c r="D101" i="4" s="1"/>
  <c r="H169" i="4"/>
  <c r="D169" i="4" s="1"/>
  <c r="H34" i="4"/>
  <c r="D34" i="4" s="1"/>
  <c r="H91" i="4"/>
  <c r="D91" i="4" s="1"/>
  <c r="H114" i="4"/>
  <c r="D114" i="4" s="1"/>
  <c r="H141" i="4"/>
  <c r="D141" i="4" s="1"/>
  <c r="H126" i="4"/>
  <c r="D126" i="4" s="1"/>
  <c r="H167" i="4"/>
  <c r="H154" i="4"/>
  <c r="D154" i="4" s="1"/>
  <c r="H136" i="4"/>
  <c r="H132" i="4"/>
  <c r="D132" i="4" s="1"/>
  <c r="H103" i="4"/>
  <c r="D103" i="4" s="1"/>
  <c r="H88" i="4"/>
  <c r="D88" i="4" s="1"/>
  <c r="H87" i="4"/>
  <c r="D87" i="4" s="1"/>
  <c r="H67" i="4"/>
  <c r="D67" i="4" s="1"/>
  <c r="H60" i="4"/>
  <c r="H46" i="4"/>
  <c r="D46" i="4" s="1"/>
  <c r="H41" i="4"/>
  <c r="D41" i="4" s="1"/>
  <c r="H27" i="4"/>
  <c r="D27" i="4" s="1"/>
  <c r="H145" i="4"/>
  <c r="D145" i="4" s="1"/>
  <c r="H99" i="4"/>
  <c r="D99" i="4" s="1"/>
  <c r="H42" i="4"/>
  <c r="D42" i="4" s="1"/>
  <c r="H72" i="4"/>
  <c r="D72" i="4" s="1"/>
  <c r="H135" i="4"/>
  <c r="D135" i="4" s="1"/>
  <c r="H137" i="4"/>
  <c r="H156" i="4"/>
  <c r="H161" i="4"/>
  <c r="D161" i="4" s="1"/>
  <c r="H131" i="4"/>
  <c r="D131" i="4" s="1"/>
  <c r="H127" i="4"/>
  <c r="D127" i="4" s="1"/>
  <c r="H125" i="4"/>
  <c r="D125" i="4" s="1"/>
  <c r="H121" i="4"/>
  <c r="D121" i="4" s="1"/>
  <c r="H57" i="4"/>
  <c r="D57" i="4" s="1"/>
  <c r="H52" i="4"/>
  <c r="D52" i="4" s="1"/>
  <c r="H158" i="4"/>
  <c r="H143" i="4"/>
  <c r="H96" i="4"/>
  <c r="D96" i="4" s="1"/>
  <c r="H80" i="4"/>
  <c r="D80" i="4" s="1"/>
  <c r="H102" i="4"/>
  <c r="H39" i="4"/>
  <c r="D39" i="4" s="1"/>
  <c r="H84" i="4"/>
  <c r="D84" i="4" s="1"/>
  <c r="H153" i="4"/>
  <c r="D153" i="4" s="1"/>
  <c r="H110" i="4"/>
  <c r="H77" i="4"/>
  <c r="H71" i="4"/>
  <c r="H130" i="4"/>
  <c r="H23" i="4"/>
  <c r="D23" i="4" s="1"/>
  <c r="H142" i="4"/>
  <c r="D142" i="4" s="1"/>
  <c r="D68" i="4"/>
  <c r="H44" i="4"/>
  <c r="H164" i="4"/>
  <c r="D164" i="4" s="1"/>
  <c r="H90" i="4"/>
  <c r="H73" i="4"/>
  <c r="H81" i="4"/>
  <c r="D81" i="4" s="1"/>
  <c r="H133" i="4"/>
  <c r="D133" i="4" s="1"/>
  <c r="H58" i="4"/>
  <c r="D58" i="4" s="1"/>
  <c r="H55" i="4"/>
  <c r="D55" i="4" s="1"/>
  <c r="H106" i="4"/>
  <c r="D106" i="4" s="1"/>
  <c r="H82" i="4"/>
  <c r="D82" i="4" s="1"/>
  <c r="H53" i="4"/>
  <c r="D53" i="4" s="1"/>
  <c r="H70" i="4"/>
  <c r="D70" i="4" s="1"/>
  <c r="H69" i="4"/>
  <c r="D69" i="4" s="1"/>
  <c r="H64" i="4"/>
  <c r="D64" i="4" s="1"/>
  <c r="H61" i="4"/>
  <c r="D61" i="4" s="1"/>
  <c r="H43" i="4"/>
  <c r="D43" i="4" s="1"/>
  <c r="H111" i="4"/>
  <c r="H65" i="4"/>
  <c r="H85" i="4"/>
  <c r="H74" i="4"/>
  <c r="D74" i="4" s="1"/>
  <c r="H118" i="4"/>
  <c r="H148" i="4"/>
  <c r="H3" i="4"/>
  <c r="D3" i="4" s="1"/>
  <c r="H15" i="4"/>
  <c r="D15" i="4" s="1"/>
  <c r="H40" i="4"/>
  <c r="D40" i="4" s="1"/>
  <c r="H14" i="4"/>
  <c r="D14" i="4" s="1"/>
  <c r="H28" i="4"/>
  <c r="D28" i="4" s="1"/>
  <c r="H13" i="4"/>
  <c r="D13" i="4" s="1"/>
  <c r="H12" i="4"/>
  <c r="D12" i="4" s="1"/>
  <c r="H6" i="4"/>
  <c r="D6" i="4" s="1"/>
  <c r="H21" i="4"/>
  <c r="D21" i="4" s="1"/>
  <c r="H33" i="4"/>
  <c r="D33" i="4" s="1"/>
  <c r="H11" i="4"/>
  <c r="D11" i="4" s="1"/>
  <c r="H24" i="4"/>
  <c r="D24" i="4" s="1"/>
  <c r="H7" i="4"/>
  <c r="D7" i="4" s="1"/>
  <c r="H20" i="4"/>
  <c r="D20" i="4" s="1"/>
  <c r="H31" i="4"/>
  <c r="D31" i="4" s="1"/>
  <c r="H2" i="4"/>
  <c r="D2" i="4" s="1"/>
  <c r="H18" i="4"/>
  <c r="D18" i="4" s="1"/>
  <c r="H16" i="4"/>
  <c r="H10" i="4"/>
  <c r="D10" i="4" s="1"/>
  <c r="H9" i="4"/>
  <c r="D9" i="4" s="1"/>
  <c r="H8" i="4"/>
  <c r="D8" i="4" s="1"/>
  <c r="H4" i="4"/>
  <c r="D4" i="4" s="1"/>
  <c r="H35" i="4"/>
  <c r="D35" i="4" s="1"/>
  <c r="H36" i="4"/>
  <c r="D36" i="4" s="1"/>
  <c r="H32" i="4"/>
  <c r="D32" i="4" s="1"/>
  <c r="H38" i="4"/>
  <c r="D38" i="4" s="1"/>
  <c r="H17" i="4"/>
  <c r="D17" i="4" s="1"/>
  <c r="H29" i="4"/>
  <c r="D29" i="4" s="1"/>
  <c r="H26" i="4"/>
  <c r="D26" i="4" s="1"/>
  <c r="H25" i="4"/>
  <c r="D25" i="4" s="1"/>
  <c r="H22" i="4"/>
  <c r="D22" i="4" s="1"/>
  <c r="H5" i="4"/>
  <c r="D5" i="4" s="1"/>
  <c r="H19" i="4"/>
  <c r="D19" i="4" s="1"/>
  <c r="K217" i="131" l="1"/>
  <c r="L217" i="131"/>
  <c r="AM120" i="90"/>
  <c r="AO120" i="43"/>
  <c r="AO108" i="43"/>
  <c r="AM116" i="90"/>
  <c r="DL58" i="15" a="1"/>
  <c r="DL58" i="15" s="1"/>
  <c r="K215" i="131" s="1" a="1"/>
  <c r="K215" i="131" s="1"/>
  <c r="B57" i="132" s="1" a="1"/>
  <c r="B57" i="132" s="1"/>
  <c r="L204" i="131" a="1"/>
  <c r="L204" i="131" s="1"/>
  <c r="L206" i="131" a="1"/>
  <c r="L206" i="131" s="1"/>
  <c r="DL48" i="15" a="1"/>
  <c r="DL48" i="15" s="1"/>
  <c r="K205" i="131" s="1" a="1"/>
  <c r="K205" i="131" s="1"/>
  <c r="L202" i="131" a="1"/>
  <c r="L202" i="131" s="1"/>
  <c r="DK53" i="15"/>
  <c r="J210" i="131" s="1" a="1"/>
  <c r="J210" i="131" s="1"/>
  <c r="DK50" i="15"/>
  <c r="J207" i="131" s="1" a="1"/>
  <c r="J207" i="131" s="1"/>
  <c r="L208" i="131" a="1"/>
  <c r="L208" i="131" s="1"/>
  <c r="G217" i="131"/>
  <c r="H206" i="131" a="1"/>
  <c r="H206" i="131" s="1"/>
  <c r="DK49" i="15"/>
  <c r="J206" i="131" s="1" a="1"/>
  <c r="J206" i="131" s="1"/>
  <c r="H211" i="131" a="1"/>
  <c r="H211" i="131" s="1"/>
  <c r="DK54" i="15"/>
  <c r="J211" i="131" s="1" a="1"/>
  <c r="J211" i="131" s="1"/>
  <c r="AM104" i="90"/>
  <c r="AM108" i="90"/>
  <c r="AM99" i="90"/>
  <c r="AM119" i="90"/>
  <c r="AM103" i="90"/>
  <c r="AM113" i="90"/>
  <c r="AM101" i="90"/>
  <c r="AM115" i="90"/>
  <c r="AM106" i="90"/>
  <c r="AM111" i="90"/>
  <c r="AM109" i="90"/>
  <c r="AM100" i="90"/>
  <c r="AM105" i="90"/>
  <c r="AM102" i="90"/>
  <c r="AM107" i="90"/>
  <c r="AM98" i="90"/>
  <c r="AM117" i="90"/>
  <c r="AM121" i="90"/>
  <c r="AM118" i="90"/>
  <c r="AM110" i="90"/>
  <c r="AM114" i="90"/>
  <c r="AM112" i="90"/>
  <c r="L210" i="131" a="1"/>
  <c r="L210" i="131" s="1"/>
  <c r="AO118" i="43"/>
  <c r="DJ45" i="15" a="1"/>
  <c r="DJ45" i="15" s="1"/>
  <c r="I202" i="131" s="1" a="1"/>
  <c r="I202" i="131" s="1"/>
  <c r="DK45" i="15"/>
  <c r="J202" i="131" s="1" a="1"/>
  <c r="J202" i="131" s="1"/>
  <c r="H202" i="131" a="1"/>
  <c r="H202" i="131" s="1"/>
  <c r="DK47" i="15"/>
  <c r="J204" i="131" s="1" a="1"/>
  <c r="J204" i="131" s="1"/>
  <c r="DJ47" i="15" a="1"/>
  <c r="DJ47" i="15" s="1"/>
  <c r="I204" i="131" s="1" a="1"/>
  <c r="I204" i="131" s="1"/>
  <c r="H204" i="131" a="1"/>
  <c r="H204" i="131" s="1"/>
  <c r="G218" i="131"/>
  <c r="G219" i="131"/>
  <c r="AO113" i="43"/>
  <c r="DL46" i="15" a="1"/>
  <c r="DL46" i="15" s="1"/>
  <c r="K203" i="131" s="1" a="1"/>
  <c r="K203" i="131" s="1"/>
  <c r="L203" i="131" a="1"/>
  <c r="L203" i="131" s="1"/>
  <c r="L219" i="131"/>
  <c r="L218" i="131"/>
  <c r="DJ44" i="15" a="1"/>
  <c r="DJ44" i="15" s="1"/>
  <c r="I201" i="131" s="1" a="1"/>
  <c r="I201" i="131" s="1"/>
  <c r="DK44" i="15"/>
  <c r="J201" i="131" s="1" a="1"/>
  <c r="J201" i="131" s="1"/>
  <c r="H201" i="131" a="1"/>
  <c r="H201" i="131" s="1"/>
  <c r="DL50" i="15" a="1"/>
  <c r="DL50" i="15" s="1"/>
  <c r="K207" i="131" s="1" a="1"/>
  <c r="K207" i="131" s="1"/>
  <c r="L207" i="131" a="1"/>
  <c r="L207" i="131" s="1"/>
  <c r="K219" i="131"/>
  <c r="K218" i="131"/>
  <c r="AO110" i="43"/>
  <c r="DK48" i="15"/>
  <c r="J205" i="131" s="1" a="1"/>
  <c r="J205" i="131" s="1"/>
  <c r="DJ48" i="15" a="1"/>
  <c r="DJ48" i="15" s="1"/>
  <c r="I205" i="131" s="1" a="1"/>
  <c r="I205" i="131" s="1"/>
  <c r="H205" i="131" a="1"/>
  <c r="H205" i="131" s="1"/>
  <c r="DK43" i="15"/>
  <c r="J200" i="131" s="1" a="1"/>
  <c r="J200" i="131" s="1"/>
  <c r="DJ43" i="15" a="1"/>
  <c r="DJ43" i="15" s="1"/>
  <c r="I200" i="131" s="1" a="1"/>
  <c r="I200" i="131" s="1"/>
  <c r="H200" i="131" a="1"/>
  <c r="H200" i="131" s="1"/>
  <c r="DJ56" i="15" a="1"/>
  <c r="DJ56" i="15" s="1"/>
  <c r="I213" i="131" s="1" a="1"/>
  <c r="I213" i="131" s="1"/>
  <c r="DK56" i="15"/>
  <c r="J213" i="131" s="1" a="1"/>
  <c r="J213" i="131" s="1"/>
  <c r="H213" i="131" a="1"/>
  <c r="H213" i="131" s="1"/>
  <c r="DK55" i="15"/>
  <c r="J212" i="131" s="1" a="1"/>
  <c r="J212" i="131" s="1"/>
  <c r="DJ55" i="15" a="1"/>
  <c r="DJ55" i="15" s="1"/>
  <c r="I212" i="131" s="1" a="1"/>
  <c r="I212" i="131" s="1"/>
  <c r="H212" i="131" a="1"/>
  <c r="H212" i="131" s="1"/>
  <c r="DL52" i="15" a="1"/>
  <c r="DL52" i="15" s="1"/>
  <c r="K209" i="131" s="1" a="1"/>
  <c r="K209" i="131" s="1"/>
  <c r="L209" i="131" a="1"/>
  <c r="L209" i="131" s="1"/>
  <c r="DL54" i="15" a="1"/>
  <c r="DL54" i="15" s="1"/>
  <c r="K211" i="131" s="1" a="1"/>
  <c r="K211" i="131" s="1"/>
  <c r="L211" i="131" a="1"/>
  <c r="L211" i="131" s="1"/>
  <c r="DK57" i="15"/>
  <c r="J214" i="131" s="1" a="1"/>
  <c r="J214" i="131" s="1"/>
  <c r="DJ57" i="15" a="1"/>
  <c r="DJ57" i="15" s="1"/>
  <c r="I214" i="131" s="1" a="1"/>
  <c r="I214" i="131" s="1"/>
  <c r="H214" i="131" a="1"/>
  <c r="H214" i="131" s="1"/>
  <c r="DK42" i="15"/>
  <c r="J199" i="131" s="1" a="1"/>
  <c r="J199" i="131" s="1"/>
  <c r="DJ42" i="15" a="1"/>
  <c r="DJ42" i="15" s="1"/>
  <c r="I199" i="131" s="1" a="1"/>
  <c r="I199" i="131" s="1"/>
  <c r="H199" i="131" a="1"/>
  <c r="H199" i="131" s="1"/>
  <c r="AO104" i="43"/>
  <c r="AO125" i="43"/>
  <c r="AO109" i="43"/>
  <c r="AO115" i="43"/>
  <c r="AO114" i="43"/>
  <c r="AO107" i="43"/>
  <c r="AO126" i="43"/>
  <c r="AO105" i="43"/>
  <c r="AO123" i="43"/>
  <c r="AO128" i="43"/>
  <c r="AO121" i="43"/>
  <c r="AO116" i="43"/>
  <c r="AO111" i="43"/>
  <c r="AO127" i="43"/>
  <c r="AO112" i="43"/>
  <c r="AO124" i="43"/>
  <c r="AO117" i="43"/>
  <c r="AO106" i="43"/>
  <c r="AO122" i="43"/>
  <c r="AO119" i="43"/>
  <c r="AO103" i="43"/>
  <c r="B19" i="132" a="1"/>
  <c r="B19" i="132" s="1"/>
  <c r="E50" i="43" a="1"/>
  <c r="E50" i="43" s="1"/>
  <c r="A50" i="43" a="1"/>
  <c r="A50" i="43" s="1"/>
  <c r="I50" i="43" a="1"/>
  <c r="AU105" i="90"/>
  <c r="AU111" i="90"/>
  <c r="AU120" i="90"/>
  <c r="AU99" i="90"/>
  <c r="AU118" i="90"/>
  <c r="AU117" i="90"/>
  <c r="AU113" i="90"/>
  <c r="AU101" i="90"/>
  <c r="AU121" i="90"/>
  <c r="AU103" i="90"/>
  <c r="AU104" i="90"/>
  <c r="AU102" i="90"/>
  <c r="AU108" i="90"/>
  <c r="AU98" i="90"/>
  <c r="AU112" i="90"/>
  <c r="AU107" i="90"/>
  <c r="AU100" i="90"/>
  <c r="AU106" i="90"/>
  <c r="AU119" i="90"/>
  <c r="AU110" i="90"/>
  <c r="AU109" i="90"/>
  <c r="AU115" i="90"/>
  <c r="AU116" i="90"/>
  <c r="AU114" i="90"/>
  <c r="BB113" i="43"/>
  <c r="BB125" i="43"/>
  <c r="AS118" i="43"/>
  <c r="BB127" i="43"/>
  <c r="BB107" i="43"/>
  <c r="BB119" i="43"/>
  <c r="BB109" i="43"/>
  <c r="BB122" i="43"/>
  <c r="AS113" i="43"/>
  <c r="AS119" i="43"/>
  <c r="AS103" i="43"/>
  <c r="AS122" i="43"/>
  <c r="AS107" i="43"/>
  <c r="BB128" i="43"/>
  <c r="BB111" i="43"/>
  <c r="BB124" i="43"/>
  <c r="BB114" i="43"/>
  <c r="AS104" i="43"/>
  <c r="AS125" i="43"/>
  <c r="AS109" i="43"/>
  <c r="AS106" i="43"/>
  <c r="BB117" i="43"/>
  <c r="AS120" i="43"/>
  <c r="BB120" i="43"/>
  <c r="BB103" i="43"/>
  <c r="BB116" i="43"/>
  <c r="BB106" i="43"/>
  <c r="AS110" i="43"/>
  <c r="AS115" i="43"/>
  <c r="AS114" i="43"/>
  <c r="BB115" i="43"/>
  <c r="AS108" i="43"/>
  <c r="BB112" i="43"/>
  <c r="BB126" i="43"/>
  <c r="BB108" i="43"/>
  <c r="AS126" i="43"/>
  <c r="AS105" i="43"/>
  <c r="AS123" i="43"/>
  <c r="AS128" i="43"/>
  <c r="BB104" i="43"/>
  <c r="BB118" i="43"/>
  <c r="BB105" i="43"/>
  <c r="AS121" i="43"/>
  <c r="AS116" i="43"/>
  <c r="AS111" i="43"/>
  <c r="AS127" i="43"/>
  <c r="BB121" i="43"/>
  <c r="BB110" i="43"/>
  <c r="BB123" i="43"/>
  <c r="AS112" i="43"/>
  <c r="AS124" i="43"/>
  <c r="AS117" i="43"/>
  <c r="AS102" i="43"/>
  <c r="E49" i="90" a="1"/>
  <c r="I49" i="90" a="1"/>
  <c r="I49" i="90" s="1"/>
  <c r="A49" i="90" a="1"/>
  <c r="A49" i="90" s="1"/>
  <c r="CC41" i="105"/>
  <c r="BY41" i="105"/>
  <c r="BZ41" i="105" s="1"/>
  <c r="BT41" i="105"/>
  <c r="BU41" i="105" s="1"/>
  <c r="AX97" i="90"/>
  <c r="AM97" i="90" s="1"/>
  <c r="AP113" i="90"/>
  <c r="D166" i="4"/>
  <c r="D165" i="4"/>
  <c r="D170" i="4"/>
  <c r="D160" i="4"/>
  <c r="D168" i="4"/>
  <c r="D16" i="4"/>
  <c r="D163" i="4"/>
  <c r="D73" i="4"/>
  <c r="D44" i="4"/>
  <c r="D148" i="4"/>
  <c r="D158" i="4"/>
  <c r="D156" i="4"/>
  <c r="D167" i="4"/>
  <c r="D111" i="4"/>
  <c r="D137" i="4"/>
  <c r="D47" i="4"/>
  <c r="D71" i="4"/>
  <c r="D110" i="4"/>
  <c r="D85" i="4"/>
  <c r="D130" i="4"/>
  <c r="D65" i="4"/>
  <c r="D143" i="4"/>
  <c r="D60" i="4"/>
  <c r="D90" i="4"/>
  <c r="D77" i="4"/>
  <c r="D136" i="4"/>
  <c r="D118" i="4"/>
  <c r="D102" i="4"/>
  <c r="I217" i="131" l="1"/>
  <c r="A2" i="110" a="1"/>
  <c r="A2" i="110" s="1"/>
  <c r="A2" i="109" a="1"/>
  <c r="A2" i="109" s="1"/>
  <c r="A2" i="105" a="1"/>
  <c r="A2" i="105" s="1"/>
  <c r="A2" i="111" a="1"/>
  <c r="A2" i="111" s="1"/>
  <c r="B49" i="132" a="1"/>
  <c r="B49" i="132" s="1"/>
  <c r="CD41" i="105"/>
  <c r="J217" i="131"/>
  <c r="J218" i="131"/>
  <c r="J219" i="131"/>
  <c r="H219" i="131"/>
  <c r="H218" i="131"/>
  <c r="H217" i="131"/>
  <c r="I219" i="131"/>
  <c r="I218" i="131"/>
  <c r="E49" i="90"/>
  <c r="D52" i="90"/>
  <c r="D53" i="90"/>
  <c r="D54" i="90"/>
  <c r="D49" i="90"/>
  <c r="D55" i="90"/>
  <c r="D50" i="90"/>
  <c r="D51" i="90"/>
  <c r="B17" i="132" a="1"/>
  <c r="B17" i="132" s="1"/>
  <c r="B28" i="132" a="1"/>
  <c r="B28" i="132" s="1"/>
  <c r="B51" i="132" a="1"/>
  <c r="B51" i="132" s="1"/>
  <c r="B12" i="132" a="1"/>
  <c r="B12" i="132" s="1"/>
  <c r="B46" i="132" a="1"/>
  <c r="B46" i="132" s="1"/>
  <c r="B48" i="132" a="1"/>
  <c r="B48" i="132" s="1"/>
  <c r="B39" i="132" a="1"/>
  <c r="B39" i="132" s="1"/>
  <c r="B5" i="132" a="1"/>
  <c r="B5" i="132" s="1"/>
  <c r="B37" i="132" a="1"/>
  <c r="B37" i="132" s="1"/>
  <c r="B56" i="132" a="1"/>
  <c r="B56" i="132" s="1"/>
  <c r="B20" i="132" a="1"/>
  <c r="B20" i="132" s="1"/>
  <c r="B16" i="132" a="1"/>
  <c r="B16" i="132" s="1"/>
  <c r="B29" i="132" a="1"/>
  <c r="B29" i="132" s="1"/>
  <c r="B11" i="132" a="1"/>
  <c r="B11" i="132" s="1"/>
  <c r="B40" i="132" a="1"/>
  <c r="B40" i="132" s="1"/>
  <c r="B33" i="132" a="1"/>
  <c r="B33" i="132" s="1"/>
  <c r="B31" i="132" a="1"/>
  <c r="B31" i="132" s="1"/>
  <c r="B26" i="132" a="1"/>
  <c r="B26" i="132" s="1"/>
  <c r="B30" i="132" a="1"/>
  <c r="B30" i="132" s="1"/>
  <c r="B9" i="132" a="1"/>
  <c r="B9" i="132" s="1"/>
  <c r="B50" i="132" a="1"/>
  <c r="B50" i="132" s="1"/>
  <c r="B55" i="132" a="1"/>
  <c r="B55" i="132" s="1"/>
  <c r="B44" i="132" a="1"/>
  <c r="B44" i="132" s="1"/>
  <c r="B27" i="132" a="1"/>
  <c r="B27" i="132" s="1"/>
  <c r="B3" i="132" a="1"/>
  <c r="B3" i="132" s="1"/>
  <c r="B23" i="132" a="1"/>
  <c r="B23" i="132" s="1"/>
  <c r="B38" i="132" a="1"/>
  <c r="B38" i="132" s="1"/>
  <c r="B45" i="132" a="1"/>
  <c r="B45" i="132" s="1"/>
  <c r="B8" i="132" a="1"/>
  <c r="B8" i="132" s="1"/>
  <c r="B6" i="132" a="1"/>
  <c r="B6" i="132" s="1"/>
  <c r="B18" i="132" a="1"/>
  <c r="B18" i="132" s="1"/>
  <c r="B43" i="132" a="1"/>
  <c r="B43" i="132" s="1"/>
  <c r="B47" i="132" a="1"/>
  <c r="B47" i="132" s="1"/>
  <c r="B2" i="132" a="1"/>
  <c r="B2" i="132" s="1"/>
  <c r="B35" i="132" a="1"/>
  <c r="B35" i="132" s="1"/>
  <c r="B34" i="132" a="1"/>
  <c r="B34" i="132" s="1"/>
  <c r="B21" i="132" a="1"/>
  <c r="B21" i="132" s="1"/>
  <c r="B15" i="132" a="1"/>
  <c r="B15" i="132" s="1"/>
  <c r="B25" i="132" a="1"/>
  <c r="B25" i="132" s="1"/>
  <c r="B53" i="132" a="1"/>
  <c r="B53" i="132" s="1"/>
  <c r="B22" i="132" a="1"/>
  <c r="B22" i="132" s="1"/>
  <c r="B4" i="132" a="1"/>
  <c r="B4" i="132" s="1"/>
  <c r="B41" i="132" a="1"/>
  <c r="B41" i="132" s="1"/>
  <c r="B10" i="132" a="1"/>
  <c r="B10" i="132" s="1"/>
  <c r="B7" i="132" a="1"/>
  <c r="B7" i="132" s="1"/>
  <c r="B36" i="132" a="1"/>
  <c r="B36" i="132" s="1"/>
  <c r="B32" i="132" a="1"/>
  <c r="B32" i="132" s="1"/>
  <c r="B52" i="132" a="1"/>
  <c r="B52" i="132" s="1"/>
  <c r="B14" i="132" a="1"/>
  <c r="B14" i="132" s="1"/>
  <c r="B42" i="132" a="1"/>
  <c r="B42" i="132" s="1"/>
  <c r="B54" i="132" a="1"/>
  <c r="B54" i="132" s="1"/>
  <c r="B24" i="132" a="1"/>
  <c r="B24" i="132" s="1"/>
  <c r="B13" i="132" a="1"/>
  <c r="B13" i="132" s="1"/>
  <c r="I50" i="43"/>
  <c r="D51" i="43"/>
  <c r="D52" i="43"/>
  <c r="D50" i="43"/>
  <c r="D53" i="43"/>
  <c r="D54" i="43"/>
  <c r="D55" i="43"/>
  <c r="D56" i="43"/>
  <c r="AY120" i="90"/>
  <c r="AY104" i="90"/>
  <c r="AY119" i="90"/>
  <c r="AY116" i="90"/>
  <c r="AY118" i="90"/>
  <c r="AY101" i="90"/>
  <c r="AY121" i="90"/>
  <c r="AY111" i="90"/>
  <c r="AY113" i="90"/>
  <c r="AY112" i="90"/>
  <c r="AY117" i="90"/>
  <c r="AY105" i="90"/>
  <c r="AY106" i="90"/>
  <c r="AY103" i="90"/>
  <c r="AY114" i="90"/>
  <c r="AY98" i="90"/>
  <c r="AY100" i="90"/>
  <c r="AY115" i="90"/>
  <c r="AY99" i="90"/>
  <c r="AY110" i="90"/>
  <c r="AY107" i="90"/>
  <c r="AY109" i="90"/>
  <c r="AY108" i="90"/>
  <c r="AY102" i="90"/>
  <c r="AP104" i="90"/>
  <c r="AP102" i="90"/>
  <c r="AP111" i="90"/>
  <c r="AP112" i="90"/>
  <c r="AP114" i="90"/>
  <c r="AP116" i="90"/>
  <c r="AP115" i="90"/>
  <c r="AP119" i="90"/>
  <c r="AP99" i="90"/>
  <c r="AP117" i="90"/>
  <c r="AP105" i="90"/>
  <c r="AP109" i="90"/>
  <c r="AP106" i="90"/>
  <c r="AP118" i="90"/>
  <c r="AP121" i="90"/>
  <c r="AP120" i="90"/>
  <c r="AP108" i="90"/>
  <c r="AP110" i="90"/>
  <c r="AP107" i="90"/>
  <c r="AP98" i="90"/>
  <c r="AP100" i="90"/>
  <c r="AP103" i="90"/>
  <c r="AP101" i="90"/>
  <c r="CD50" i="105"/>
  <c r="BU54" i="105"/>
  <c r="CD59" i="105"/>
  <c r="CD54" i="105"/>
  <c r="CD48" i="105"/>
  <c r="CD58" i="105"/>
  <c r="CD44" i="105"/>
  <c r="CD49" i="105"/>
  <c r="CD55" i="105"/>
  <c r="CD64" i="105"/>
  <c r="CD43" i="105"/>
  <c r="CD56" i="105"/>
  <c r="CD47" i="105"/>
  <c r="CD66" i="105"/>
  <c r="CD65" i="105"/>
  <c r="CD46" i="105"/>
  <c r="CD53" i="105"/>
  <c r="CD60" i="105"/>
  <c r="CD62" i="105"/>
  <c r="CD52" i="105"/>
  <c r="BZ49" i="105"/>
  <c r="BZ42" i="105"/>
  <c r="BU52" i="105"/>
  <c r="BU61" i="105"/>
  <c r="BZ48" i="105"/>
  <c r="BZ54" i="105"/>
  <c r="BU55" i="105"/>
  <c r="BZ47" i="105"/>
  <c r="BU43" i="105"/>
  <c r="BZ46" i="105"/>
  <c r="BU42" i="105"/>
  <c r="BZ43" i="105"/>
  <c r="BU53" i="105"/>
  <c r="BU44" i="105"/>
  <c r="BU60" i="105"/>
  <c r="BU62" i="105"/>
  <c r="BU63" i="105"/>
  <c r="BU56" i="105"/>
  <c r="BZ52" i="105"/>
  <c r="BZ59" i="105"/>
  <c r="BZ45" i="105"/>
  <c r="BZ66" i="105"/>
  <c r="BU58" i="105"/>
  <c r="BU59" i="105"/>
  <c r="BZ60" i="105"/>
  <c r="BU65" i="105"/>
  <c r="BZ51" i="105"/>
  <c r="BU47" i="105"/>
  <c r="BZ53" i="105"/>
  <c r="CD57" i="105"/>
  <c r="BZ58" i="105"/>
  <c r="BU50" i="105"/>
  <c r="BU45" i="105"/>
  <c r="CD51" i="105"/>
  <c r="BZ50" i="105"/>
  <c r="BU46" i="105"/>
  <c r="BZ61" i="105"/>
  <c r="BU66" i="105"/>
  <c r="BZ63" i="105"/>
  <c r="CD45" i="105"/>
  <c r="BZ64" i="105"/>
  <c r="BU49" i="105"/>
  <c r="BU48" i="105"/>
  <c r="BZ44" i="105"/>
  <c r="CD63" i="105"/>
  <c r="BZ57" i="105"/>
  <c r="BZ55" i="105"/>
  <c r="CD61" i="105"/>
  <c r="BZ65" i="105"/>
  <c r="BU64" i="105"/>
  <c r="CD42" i="105"/>
  <c r="BZ62" i="105"/>
  <c r="BU57" i="105"/>
  <c r="BZ56" i="105"/>
  <c r="BU51" i="105"/>
  <c r="AY97" i="90"/>
  <c r="AP97" i="90"/>
  <c r="AU97" i="90"/>
  <c r="E10" i="90" s="1" a="1"/>
  <c r="E10" i="90" s="1"/>
  <c r="I10" i="90" l="1" a="1"/>
  <c r="I10" i="90" s="1"/>
  <c r="A10" i="90" a="1"/>
  <c r="A10" i="90" s="1"/>
  <c r="H184" i="90"/>
  <c r="P184" i="90"/>
  <c r="X184" i="90"/>
  <c r="AF184" i="90"/>
  <c r="AN184" i="90"/>
  <c r="AV184" i="90"/>
  <c r="F185" i="90"/>
  <c r="N185" i="90"/>
  <c r="V185" i="90"/>
  <c r="AD185" i="90"/>
  <c r="AL185" i="90"/>
  <c r="AT185" i="90"/>
  <c r="B185" i="90"/>
  <c r="I184" i="90"/>
  <c r="Q184" i="90"/>
  <c r="Y184" i="90"/>
  <c r="AG184" i="90"/>
  <c r="AO184" i="90"/>
  <c r="AW184" i="90"/>
  <c r="G185" i="90"/>
  <c r="O185" i="90"/>
  <c r="W185" i="90"/>
  <c r="AE185" i="90"/>
  <c r="AM185" i="90"/>
  <c r="AU185" i="90"/>
  <c r="J184" i="90"/>
  <c r="R184" i="90"/>
  <c r="Z184" i="90"/>
  <c r="AH184" i="90"/>
  <c r="AP184" i="90"/>
  <c r="AX184" i="90"/>
  <c r="H185" i="90"/>
  <c r="P185" i="90"/>
  <c r="X185" i="90"/>
  <c r="AF185" i="90"/>
  <c r="AN185" i="90"/>
  <c r="AV185" i="90"/>
  <c r="C184" i="90"/>
  <c r="K184" i="90"/>
  <c r="S184" i="90"/>
  <c r="AA184" i="90"/>
  <c r="AI184" i="90"/>
  <c r="AQ184" i="90"/>
  <c r="AY184" i="90"/>
  <c r="I185" i="90"/>
  <c r="Q185" i="90"/>
  <c r="Y185" i="90"/>
  <c r="AG185" i="90"/>
  <c r="AO185" i="90"/>
  <c r="AW185" i="90"/>
  <c r="E184" i="90"/>
  <c r="M184" i="90"/>
  <c r="U184" i="90"/>
  <c r="AC184" i="90"/>
  <c r="AK184" i="90"/>
  <c r="AS184" i="90"/>
  <c r="K185" i="90"/>
  <c r="S185" i="90"/>
  <c r="AA185" i="90"/>
  <c r="AI185" i="90"/>
  <c r="AQ185" i="90"/>
  <c r="G184" i="90"/>
  <c r="O184" i="90"/>
  <c r="W184" i="90"/>
  <c r="AE184" i="90"/>
  <c r="AM184" i="90"/>
  <c r="AU184" i="90"/>
  <c r="E185" i="90"/>
  <c r="M185" i="90"/>
  <c r="U185" i="90"/>
  <c r="AC185" i="90"/>
  <c r="AK185" i="90"/>
  <c r="AS185" i="90"/>
  <c r="B184" i="90"/>
  <c r="D184" i="90"/>
  <c r="L184" i="90"/>
  <c r="T184" i="90"/>
  <c r="AB184" i="90"/>
  <c r="AJ184" i="90"/>
  <c r="AR184" i="90"/>
  <c r="AZ184" i="90"/>
  <c r="J185" i="90"/>
  <c r="R185" i="90"/>
  <c r="Z185" i="90"/>
  <c r="AH185" i="90"/>
  <c r="AP185" i="90"/>
  <c r="AX185" i="90"/>
  <c r="C185" i="90"/>
  <c r="AY185" i="90"/>
  <c r="F184" i="90"/>
  <c r="N184" i="90"/>
  <c r="V184" i="90"/>
  <c r="AD184" i="90"/>
  <c r="AL184" i="90"/>
  <c r="AT184" i="90"/>
  <c r="D185" i="90"/>
  <c r="L185" i="90"/>
  <c r="T185" i="90"/>
  <c r="AB185" i="90"/>
  <c r="AJ185" i="90"/>
  <c r="AR185" i="90"/>
  <c r="AZ185" i="90"/>
  <c r="D18" i="90" l="1"/>
  <c r="D26" i="90"/>
  <c r="D10" i="90"/>
  <c r="D29" i="90"/>
  <c r="D11" i="90"/>
  <c r="D19" i="90"/>
  <c r="D27" i="90"/>
  <c r="D21" i="90"/>
  <c r="D12" i="90"/>
  <c r="D20" i="90"/>
  <c r="D28" i="90"/>
  <c r="D13" i="90"/>
  <c r="D14" i="90"/>
  <c r="D22" i="90"/>
  <c r="D30" i="90"/>
  <c r="D15" i="90"/>
  <c r="D23" i="90"/>
  <c r="D31" i="90"/>
  <c r="D16" i="90"/>
  <c r="D24" i="90"/>
  <c r="D32" i="90"/>
  <c r="D17" i="90"/>
  <c r="D25" i="90"/>
  <c r="D33" i="90"/>
  <c r="H18" i="90"/>
  <c r="H26" i="90"/>
  <c r="H34" i="90"/>
  <c r="H23" i="90"/>
  <c r="H16" i="90"/>
  <c r="H33" i="90"/>
  <c r="H11" i="90"/>
  <c r="H19" i="90"/>
  <c r="H27" i="90"/>
  <c r="H10" i="90"/>
  <c r="H15" i="90"/>
  <c r="H32" i="90"/>
  <c r="H17" i="90"/>
  <c r="H12" i="90"/>
  <c r="H20" i="90"/>
  <c r="H28" i="90"/>
  <c r="H13" i="90"/>
  <c r="H21" i="90"/>
  <c r="H29" i="90"/>
  <c r="H14" i="90"/>
  <c r="H22" i="90"/>
  <c r="H30" i="90"/>
  <c r="H31" i="90"/>
  <c r="H24" i="90"/>
  <c r="H25" i="90"/>
  <c r="L11" i="90"/>
  <c r="L19" i="90"/>
  <c r="L27" i="90"/>
  <c r="L26" i="90"/>
  <c r="L12" i="90"/>
  <c r="L20" i="90"/>
  <c r="L28" i="90"/>
  <c r="L17" i="90"/>
  <c r="L13" i="90"/>
  <c r="L21" i="90"/>
  <c r="L29" i="90"/>
  <c r="L24" i="90"/>
  <c r="L33" i="90"/>
  <c r="L18" i="90"/>
  <c r="L14" i="90"/>
  <c r="L22" i="90"/>
  <c r="L30" i="90"/>
  <c r="L32" i="90"/>
  <c r="L25" i="90"/>
  <c r="L34" i="90"/>
  <c r="L15" i="90"/>
  <c r="L23" i="90"/>
  <c r="L31" i="90"/>
  <c r="L16" i="90"/>
  <c r="L10" i="90"/>
  <c r="K8" i="90"/>
  <c r="G8" i="90"/>
  <c r="A10" i="43" l="1" a="1"/>
  <c r="A10" i="43" s="1"/>
  <c r="AW102" i="43" l="1"/>
  <c r="AO102" i="43" s="1"/>
  <c r="AX102" i="43" l="1"/>
  <c r="AX115" i="43"/>
  <c r="AX111" i="43"/>
  <c r="AX110" i="43"/>
  <c r="AX103" i="43"/>
  <c r="AX123" i="43"/>
  <c r="AX119" i="43"/>
  <c r="AX121" i="43"/>
  <c r="AX116" i="43"/>
  <c r="AX128" i="43"/>
  <c r="AX126" i="43"/>
  <c r="AX124" i="43"/>
  <c r="AX122" i="43"/>
  <c r="AX108" i="43"/>
  <c r="AX106" i="43"/>
  <c r="AX127" i="43"/>
  <c r="AX109" i="43"/>
  <c r="AX117" i="43"/>
  <c r="AX120" i="43"/>
  <c r="AX114" i="43"/>
  <c r="AX104" i="43"/>
  <c r="AX125" i="43"/>
  <c r="AX118" i="43"/>
  <c r="AX105" i="43"/>
  <c r="AX112" i="43"/>
  <c r="AX107" i="43"/>
  <c r="AX113" i="43"/>
  <c r="E10" i="43" l="1" a="1"/>
  <c r="E10" i="43" s="1"/>
  <c r="G8" i="43" l="1"/>
  <c r="BB102" i="43"/>
  <c r="I10" i="43" l="1" a="1"/>
  <c r="L23" i="43" s="1"/>
  <c r="D34" i="43" l="1"/>
  <c r="H32" i="43"/>
  <c r="L35" i="43"/>
  <c r="D30" i="43"/>
  <c r="D23" i="43"/>
  <c r="L21" i="43"/>
  <c r="H28" i="43"/>
  <c r="D24" i="43"/>
  <c r="L15" i="43"/>
  <c r="L18" i="43"/>
  <c r="D25" i="43"/>
  <c r="L22" i="43"/>
  <c r="L30" i="43"/>
  <c r="D26" i="43"/>
  <c r="H35" i="43"/>
  <c r="H24" i="43"/>
  <c r="D27" i="43"/>
  <c r="L14" i="43"/>
  <c r="H15" i="43"/>
  <c r="L28" i="43"/>
  <c r="H27" i="43"/>
  <c r="D32" i="43"/>
  <c r="L25" i="43"/>
  <c r="H31" i="43"/>
  <c r="L12" i="43"/>
  <c r="H11" i="43"/>
  <c r="H23" i="43"/>
  <c r="H16" i="43"/>
  <c r="D29" i="43"/>
  <c r="H12" i="43"/>
  <c r="L19" i="43"/>
  <c r="L33" i="43"/>
  <c r="D15" i="43"/>
  <c r="L34" i="43"/>
  <c r="L31" i="43"/>
  <c r="H17" i="43"/>
  <c r="H26" i="43"/>
  <c r="H10" i="43"/>
  <c r="D20" i="43"/>
  <c r="D35" i="43"/>
  <c r="L32" i="43"/>
  <c r="D28" i="43"/>
  <c r="D18" i="43"/>
  <c r="K8" i="43"/>
  <c r="D31" i="43"/>
  <c r="H30" i="43"/>
  <c r="D22" i="43"/>
  <c r="H20" i="43"/>
  <c r="L24" i="43"/>
  <c r="H18" i="43"/>
  <c r="D17" i="43"/>
  <c r="H21" i="43"/>
  <c r="D16" i="43"/>
  <c r="I10" i="43"/>
  <c r="L10" i="43" s="1"/>
  <c r="H13" i="43"/>
  <c r="H22" i="43"/>
  <c r="D10" i="43"/>
  <c r="L26" i="43"/>
  <c r="L27" i="43"/>
  <c r="D14" i="43"/>
  <c r="H14" i="43"/>
  <c r="H29" i="43"/>
  <c r="D12" i="43"/>
  <c r="D21" i="43"/>
  <c r="L16" i="43"/>
  <c r="L13" i="43"/>
  <c r="H33" i="43"/>
  <c r="L11" i="43"/>
  <c r="L17" i="43"/>
  <c r="H25" i="43"/>
  <c r="D19" i="43"/>
  <c r="L29" i="43"/>
  <c r="D33" i="43"/>
  <c r="L20" i="43"/>
  <c r="D13" i="43"/>
  <c r="H34" i="43"/>
  <c r="H19" i="43"/>
  <c r="D11"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Eino Schulze-Steinen</author>
  </authors>
  <commentList>
    <comment ref="Z16" authorId="0" shapeId="0" xr:uid="{10300555-9B7B-47F9-9A01-5E5CD78580F9}">
      <text>
        <r>
          <rPr>
            <sz val="11"/>
            <color theme="1"/>
            <rFont val="Calibri"/>
            <scheme val="minor"/>
          </rPr>
          <t>Without beep, oxa's service would not be usable for customers</t>
        </r>
      </text>
    </comment>
    <comment ref="Z49" authorId="0" shapeId="0" xr:uid="{2E86F1C3-4514-45A3-A470-3F7F855A1213}">
      <text>
        <r>
          <rPr>
            <sz val="11"/>
            <color theme="1"/>
            <rFont val="Calibri"/>
            <scheme val="minor"/>
          </rPr>
          <t>Collaborations between L1 &amp; L2 firms oftentimes marked as Joint D&amp;D alliance</t>
        </r>
      </text>
    </comment>
    <comment ref="W82" authorId="1" shapeId="0" xr:uid="{56146416-39F9-4469-93A2-F50FB9FF2EAC}">
      <text>
        <r>
          <rPr>
            <b/>
            <sz val="9"/>
            <color indexed="81"/>
            <rFont val="Tahoma"/>
            <family val="2"/>
          </rPr>
          <t xml:space="preserve">Based on text, there is only an interest for longterm cooperation - 10year eventually announced later on- however should not extrapolate into this announcement </t>
        </r>
      </text>
    </comment>
    <comment ref="Q140" authorId="1" shapeId="0" xr:uid="{079BFB80-04D6-44EA-AD11-46CBB838493F}">
      <text>
        <r>
          <rPr>
            <b/>
            <sz val="9"/>
            <color indexed="81"/>
            <rFont val="Tahoma"/>
            <family val="2"/>
          </rPr>
          <t xml:space="preserve">What is strategic about it?
</t>
        </r>
      </text>
    </comment>
    <comment ref="Q141" authorId="1" shapeId="0" xr:uid="{45FA3C85-7262-4985-AF64-1324338A3F16}">
      <text>
        <r>
          <rPr>
            <b/>
            <sz val="9"/>
            <color indexed="81"/>
            <rFont val="Tahoma"/>
            <family val="2"/>
          </rPr>
          <t xml:space="preserve">What is strategic about it?
</t>
        </r>
      </text>
    </comment>
    <comment ref="Q143" authorId="1" shapeId="0" xr:uid="{287CA063-DF3F-4227-B4BC-C16326E03168}">
      <text>
        <r>
          <rPr>
            <b/>
            <sz val="9"/>
            <color indexed="81"/>
            <rFont val="Tahoma"/>
            <family val="2"/>
          </rPr>
          <t xml:space="preserve">What is strategic about it?
</t>
        </r>
      </text>
    </comment>
    <comment ref="Q144" authorId="1" shapeId="0" xr:uid="{13D85AE3-2D4F-4915-87BE-F422B266604C}">
      <text>
        <r>
          <rPr>
            <b/>
            <sz val="9"/>
            <color indexed="81"/>
            <rFont val="Tahoma"/>
            <family val="2"/>
          </rPr>
          <t xml:space="preserve">What is strategic about it?
</t>
        </r>
      </text>
    </comment>
    <comment ref="Q145" authorId="1" shapeId="0" xr:uid="{6A6AB3BD-D85B-4465-A9D5-A6B03E1DD2C8}">
      <text>
        <r>
          <rPr>
            <b/>
            <sz val="9"/>
            <color indexed="81"/>
            <rFont val="Tahoma"/>
            <family val="2"/>
          </rPr>
          <t xml:space="preserve">What is strategic about it?
</t>
        </r>
      </text>
    </comment>
    <comment ref="Z167" authorId="0" shapeId="0" xr:uid="{2AEA4819-B85C-4BB2-BDA9-0110B10ACD79}">
      <text>
        <r>
          <rPr>
            <sz val="11"/>
            <color theme="1"/>
            <rFont val="Calibri"/>
            <scheme val="minor"/>
          </rPr>
          <t>Without beep, oxa's service would not be usable for customers</t>
        </r>
      </text>
    </comment>
    <comment ref="Q176" authorId="1" shapeId="0" xr:uid="{8D914F93-30F5-4B9D-B27F-FC9F4939AA57}">
      <text>
        <r>
          <rPr>
            <b/>
            <sz val="9"/>
            <color indexed="81"/>
            <rFont val="Tahoma"/>
            <family val="2"/>
          </rPr>
          <t xml:space="preserve">What is strategic about 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Eino Schulze-Steinen</author>
  </authors>
  <commentList>
    <comment ref="E174" authorId="0" shapeId="0" xr:uid="{633A0183-0F09-41F6-93A1-B6FC244860DB}">
      <text>
        <r>
          <rPr>
            <b/>
            <sz val="9"/>
            <color indexed="81"/>
            <rFont val="Tahoma"/>
            <family val="2"/>
          </rPr>
          <t xml:space="preserve">Based on text, there is only an interest for longterm cooperation - 10year eventually announced later on- however should not extrapolate into this announcement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<sst xmlns="http://schemas.openxmlformats.org/spreadsheetml/2006/main" count="15471" uniqueCount="2572">
  <si>
    <t>Title</t>
  </si>
  <si>
    <t>Text_cleaned</t>
  </si>
  <si>
    <t>Reasoning Structure</t>
  </si>
  <si>
    <t>Structure</t>
  </si>
  <si>
    <t>Reasoning purpose</t>
  </si>
  <si>
    <t>Purpose 1</t>
  </si>
  <si>
    <t>2getthere Asia Joint Venture established in Singapore</t>
  </si>
  <si>
    <t>Joint Venture</t>
  </si>
  <si>
    <t>Joint Service Agreement</t>
  </si>
  <si>
    <t>2getthere partners with Benteler for the engineering of the 3rd generation GRT</t>
  </si>
  <si>
    <t>Strategic Alliance</t>
  </si>
  <si>
    <t>BENTELER Engineering Services will be responsible for the engineering of both the chassis and the body of the GRT vehicle, with the IP of the work being owned by 2getthere.</t>
  </si>
  <si>
    <t>Joint Production</t>
  </si>
  <si>
    <t>SMRT and 2getthere enter into a partnership for Singapore</t>
  </si>
  <si>
    <t>Strategic Cooperation Agreement with SLTN extended</t>
  </si>
  <si>
    <t>Joint D&amp;D</t>
  </si>
  <si>
    <t>UAE partner United Technical Services takes a stake in 2getthere</t>
  </si>
  <si>
    <t>Strategic Partnership</t>
  </si>
  <si>
    <t>ADASTEC and Vicinity Motor Corp. Collaborate to Deploy Automated Bus at Michigan State University</t>
  </si>
  <si>
    <t>redefine transportation through SAE Level-4 automated technology to the next level with Vicinity Motor Corporation. This collaboration introduces FMVSS, ADA, and Buy America-compliant automated buses to the dynamic U.S. market, leveraging our global deployment experience.</t>
  </si>
  <si>
    <t>ADASTEC and Vicinity Motor Corp. Partner to Deploy Automated Bus at the University at Buffalo</t>
  </si>
  <si>
    <t>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t>
  </si>
  <si>
    <t>Aurora Expands Commercial Operations Through Partnership with Hirschbach, Refrigerated Trucking Leader</t>
  </si>
  <si>
    <t>Aurora recently announced the Aurora Driver is Feature Complete and has entered its final phase of refinement and validation ahead of commercial launch in 2024.</t>
  </si>
  <si>
    <t>Supply Partnership (extended)</t>
  </si>
  <si>
    <t>Continental and Aurora Partner to Realize Commercially Scalable Autonomous Trucking Systems</t>
  </si>
  <si>
    <t>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t>
  </si>
  <si>
    <t>Covenant and Aurora Announce Collaboration to Transform Long-Haul Trucking</t>
  </si>
  <si>
    <t>U.S. Xpress and Aurora Announce Collaboration for the Intelligent Deployment of Autonomous Trucks</t>
  </si>
  <si>
    <t>Beep and Oxa Announce Partnership to Deploy Autonomous Vehicles Driven by Oxa in United States</t>
  </si>
  <si>
    <t>Contra Costa Transportation Authority and Beep Partner to Deliver Autonomous Vehicle Projects in California</t>
  </si>
  <si>
    <t>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t>
  </si>
  <si>
    <t>North Carolina Department of Transportation and Beep Partner for Autonomous Vehicle Testing Projects</t>
  </si>
  <si>
    <t>ZF announces partnership with Beep, unveils next-generation autonomous shuttle</t>
  </si>
  <si>
    <t>Bolt teams up with Starship Technologies for autonomous deliveries</t>
  </si>
  <si>
    <t>Grubhub and Cartken Partner to Bring Robot Delivery to College Campuses</t>
  </si>
  <si>
    <t>This collaboration perfectly aligns with our mission to use robotics and AI technology to provide friction-free and environmentally sustainable delivery</t>
  </si>
  <si>
    <t>Mitsubishi partners with Cartken to break into the robotic delivery world</t>
  </si>
  <si>
    <t>Research &amp; Collaboration</t>
  </si>
  <si>
    <t>Cruise &amp; Mothers-Against-Drunk-Driving: Partnering to combat impaired driving</t>
  </si>
  <si>
    <t>Informal Agreement</t>
  </si>
  <si>
    <t>Marketing Agreement</t>
  </si>
  <si>
    <t>Cruise and GM team up with Microsoft to commercialize self-driving vehicles</t>
  </si>
  <si>
    <t>Cruise teams up with Replate to launch national food rescue partnership</t>
  </si>
  <si>
    <t>Walmart Teams Up with Cruise to Pilot All-Electric Self-Driving Delivery Powered by 100% Renewable Energy</t>
  </si>
  <si>
    <t>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t>
  </si>
  <si>
    <t xml:space="preserve">As part of the pilot, which begins early next year, customers can place an order from their local store and have it delivered, contact-free, via one of Cruise’s all-electric self-driving cars. </t>
  </si>
  <si>
    <t>#CES2023 - Trust in Soft and EasyMile collaborate to complement product development strategies</t>
  </si>
  <si>
    <t>EasyMile, a vendor of autonomous mobility solutions, has chosen TrustInSoft Analyzer to complement its product development strategies.</t>
  </si>
  <si>
    <t>Licensing</t>
  </si>
  <si>
    <t>EasyMile and Continental Collaborate with Shanghai Jiading Industrial Zone to Develop Driverless Technology in China</t>
  </si>
  <si>
    <t>EasyMile and Kalray Strengthen Development Platform Collaboration</t>
  </si>
  <si>
    <t>“Autonomous technology provider EasyMile and intelligent processors supplier Kalray have deepened their relationship with the signature of a Memorandum of Understanding (MoU) formalizing their relationship to develop intelligent systems.</t>
  </si>
  <si>
    <t>Yes</t>
  </si>
  <si>
    <t>EasyMile and Sono Motors Reveal Collaboration on Autonomous Solar-Powered Passenger Shuttle</t>
  </si>
  <si>
    <t>EasyMile strengthens its partnership with engineering schools</t>
  </si>
  <si>
    <t>EasyMile</t>
  </si>
  <si>
    <t>After an exciting beginning of the year with UTAC and ENIT Career fair in May, and our participation in Polytechnique (X) and SUPMICROTECH-ENSMM in October of this year, EasyMile is thrilled to announce our upcoming tour of engineering schools across France. We're on a mission to connect with the brightest young minds and strengthen our partnership with educational institution</t>
  </si>
  <si>
    <t xml:space="preserve">EasyMile is thrilled to announce our upcoming tour of engineering schools across France. We're on a mission to connect with the brightest young minds and strengthen our partnership with educational institutions. </t>
  </si>
  <si>
    <t>IAA Frankfurt: Continental and EasyMile Partner to Demonstrate an EZ10</t>
  </si>
  <si>
    <t>Phoenix Motorcars and EasyMile Collaborate to Deploy Delivery Trucks as well as Autonomous Shuttle Buses</t>
  </si>
  <si>
    <t>Coca-Cola European Partners teams up with Einride for sustainable transport</t>
  </si>
  <si>
    <t>Einride and Electrolux enter innovation partnership to electrify transports</t>
  </si>
  <si>
    <t>Stockholm, Sweden - 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t>
  </si>
  <si>
    <t>Einride and innovative Swedish logistics company collaborates around sustainable transport</t>
  </si>
  <si>
    <t>Einride and UAE Ministry of Energy and Infrastructure Partner to Deploy Region's Largest Autonomous and Electric Fleet</t>
  </si>
  <si>
    <t>Einride Deploys First Full Time, Daily Autonomous Operations In Partnership With GE Appliances</t>
  </si>
  <si>
    <t>Einride Partners with Bridgestone to Create Cleaner, Safer, Low-Carbon Freight Mobility</t>
  </si>
  <si>
    <t>Einride partners with Oatly to electrify transport in Sweden</t>
  </si>
  <si>
    <t>n.a.</t>
  </si>
  <si>
    <t>Einride, a Swedish self-driving transportation startup, partners with Lidl to reduce emissions by up to 93 percent</t>
  </si>
  <si>
    <t>Einride, Ericsson and Telia partners on 5G to bring autonomous, all-electric vehicles to the market</t>
  </si>
  <si>
    <t>Polarrenen drives transition to sustainable transport by becoming Einride financing partner</t>
  </si>
  <si>
    <t>"We will see the future we choose to invest in, and therefore we choose to support investments that are made in critical and important sustainability areas, in this case electric freight mobility with Einride," said Polarrenen CEO Lars Wikman.</t>
  </si>
  <si>
    <t>SKF and Einride enter into partnership for testing autonomous and electric transport</t>
  </si>
  <si>
    <t>ChargePoint and Gatik partner to develop an electric ecosystem for autonomous electric medium-duty trucks</t>
  </si>
  <si>
    <t>Strategic ALliance</t>
  </si>
  <si>
    <t>Gatik and Pitney Bowes Partner to Deploy Autonomous Trucks for Ecommerce Shipments in Dallas Market</t>
  </si>
  <si>
    <t>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t>
  </si>
  <si>
    <t>Under the agreement, Gatik will integrate its class 6 autonomous box trucks into the Pitney Bowes ecommerce logistics network in the Dallas, Texas market beginning in Q1, 2023.</t>
  </si>
  <si>
    <t>Gatik and Walmart Partner to Enable AV Legislation in Kansas</t>
  </si>
  <si>
    <t>Goodyear Invests in Autonomous Trucking Company Gatik and Collaborates to Enhance Safety and Efficiency for Autonomous Middle Mile Logistics</t>
  </si>
  <si>
    <t>Isuzu Commercial Truck of America and Gatik Form Strategic Collaboration to Develop and Evaluate Fully Autonomous Medium Duty Truck</t>
  </si>
  <si>
    <t>Ryder Invests in Gatik and Partners to Establish North American Autonomous Delivery Network for B2B Short-Haul Logistics</t>
  </si>
  <si>
    <t>Automated public transport: ioki to be technology partner of the research project MINGA in Munich</t>
  </si>
  <si>
    <t>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t>
  </si>
  <si>
    <t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t>
  </si>
  <si>
    <t>Grubhub and Kiwibot Partner for Robot Delivery on College Campuses</t>
  </si>
  <si>
    <t>Kiwibot partners with Aramex to Test Drone and Robotic Delivery Service</t>
  </si>
  <si>
    <t>Kiwibot Secures $10M in a Tailor-Made Partnership with kineo finance To Scale Their Robotic Fleet</t>
  </si>
  <si>
    <t>Kodiak and Werner Collaborate</t>
  </si>
  <si>
    <t>Kodiak Partners with 10 Roads Express</t>
  </si>
  <si>
    <t>Kodiak, a leading self-driving trucking company, today announced that it has expanded its autonomous freight service to Florida with 10 Roads Express, a provider of time sensitive surface transportation for the U.S. Postal Service.</t>
  </si>
  <si>
    <t>Liftango and May Mobility partner to deliver dynamic on-demand shared transport solutions with autonomous vehicles</t>
  </si>
  <si>
    <t>Bridgestone invests in autonomous driving technology provider May Mobility, kicks off broader partnership</t>
  </si>
  <si>
    <t>May Mobility and Moovit partner to deploy complete autonomous mobility package</t>
  </si>
  <si>
    <t>May Mobility and Stantec partner to deliver turnkey AV microtransit solutions</t>
  </si>
  <si>
    <t>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t>
  </si>
  <si>
    <t>May Mobility and Via announce partnership that will integrate on-demand AVs into public transit</t>
  </si>
  <si>
    <t>Spare and May Mobility Partner to Deliver a Powerful On-Demand Transit Solution with Autonomous Vehicles</t>
  </si>
  <si>
    <t>CES: Mobileye, Zeekr Collaborate on Consumer AV</t>
  </si>
  <si>
    <t>expand their strategic technology partnership with the goal of developing a new all-electric consumer vehicle with Level 4 (L4) capabilities.</t>
  </si>
  <si>
    <t>ECARX announces Mobileye collaboration for Polestar, future products</t>
  </si>
  <si>
    <t>FAW Group and Mobileye Forge Strategic Alliance in Autonomous Driving</t>
  </si>
  <si>
    <t>Geely Holding Group Expands Mobileye Collaboration</t>
  </si>
  <si>
    <t xml:space="preserve">Mobileye and Geely Holding Group announced today the expansion of their ongoing collaboration for advanced driver-assistance systems (ADAS) and autonomous vehicle technology.Mobileye and Geely Holding Group announced today the expansion of their ongoing collaboration for advanced driver-assistance systems (ADAS) and autonomous vehicle technology. </t>
  </si>
  <si>
    <t>Goggo Network &amp; Mobileye collaborate on autonomous logistics vehicles</t>
  </si>
  <si>
    <t>Mobileye &amp; Wistron NeWeb Corp  collaborate on imaging radar</t>
  </si>
  <si>
    <t>Today, Mobileye announced a collaboration with Wistron NeWeb Corp. (Wistron NeWeb Corp ) for production of its software-defined imaging radars. Wistron NeWeb Corp , based in Taiwan, works as a major electronics and radar supplier for automakers worldwide. This collaboration is expected to allow Mobileye and Wistron NeWeb Corp  to begin producing automotive-grade imaging radars two years from now, with strong initial interest in the technology from key automaker customers.</t>
  </si>
  <si>
    <t>Mobileye and MAN Truck &amp; Bus launch collaboration for AV city buses</t>
  </si>
  <si>
    <t>Mobileye and MAN Truck &amp; Bus today announced a collaboration to explore autonomy in public transit, integrating state-of-the-art autonomous vehicle technology into the award-winning city buses of MAN.</t>
  </si>
  <si>
    <t>Mobileye and Valeo Launch Partnership for World-Class Imaging Radars</t>
  </si>
  <si>
    <t>Mobileye and Valeo announced a new partnership to deliver software-defined, best-in-class imaging radars for next-generation driver assist and automated driving features.</t>
  </si>
  <si>
    <t>Mobileye and WILLER Partner on Self-Driving Mobility Solutions for Japan, Southeast Asia</t>
  </si>
  <si>
    <t>Mobileye and ZEEKR Expand Partnership to Enable Future of Cars</t>
  </si>
  <si>
    <t>Porsche and Mobileye launch SuperVision collaboration</t>
  </si>
  <si>
    <t>New licensing model: MOIA opens ridepooling ecosystem to cities and local transport operators</t>
  </si>
  <si>
    <t>MOIA</t>
  </si>
  <si>
    <t>"The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t>
  </si>
  <si>
    <t>Partnership: HOCHBAHN, Volkswagen Commercial Vehicles and MOIA cooperate for the traffic turnaround</t>
  </si>
  <si>
    <t>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t>
  </si>
  <si>
    <t>Motional and Uber Announce Partnership For Autonomous Deliveries</t>
  </si>
  <si>
    <t>Motional + Derq Partner to Give Driverless Vehicles a Bird's-Eye View</t>
  </si>
  <si>
    <t>Motional, Boston University Partner on Navigational Assistance Research for the Blind</t>
  </si>
  <si>
    <t>ION And NAVYA Form Partnership To Deliver Sustainable And Autonomous Transportation Offerings In GCC Region</t>
  </si>
  <si>
    <t>Navya and Lohr form a strategic alliance to speed up their technological, industrial and commercial development in the field of autonomous mobility</t>
  </si>
  <si>
    <t>NAVYA (FR0013018041- Navya), an autonomous mobility systems leader, signs a strategic alliance with Lohr, an industrial group known worldwide for its expertise in the engineering, production and marketing of systems for the transportation of people and goods.</t>
  </si>
  <si>
    <t>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t>
  </si>
  <si>
    <t>NAVYA and VALEO partner to develop a unique safety system for the commercialization of level 4 autonomous vehicles</t>
  </si>
  <si>
    <t>Valeo and Navya strengthen their technological and industrial collaboration</t>
  </si>
  <si>
    <t>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t>
  </si>
  <si>
    <t>Uber and Nuro Announce 10-Year Partnership for Autonomous Food Deliveries Starting in California and Texas</t>
  </si>
  <si>
    <t>today announced a multi-year partnership to use Nuro's autonomous, electric vehicles for food deliveries in the United States.</t>
  </si>
  <si>
    <t>Goggo Network and Oxbotica partner to bring autonomous deliveries to Europe</t>
  </si>
  <si>
    <t>Ocado Group announce investment in and joint collaboration with Oxbotica to develop autonomous integrated mobility solution</t>
  </si>
  <si>
    <t>Oxa and eVersum Announce Partnership To Develop and Deploy Autonomous Passenger Shuttles</t>
  </si>
  <si>
    <t>Oxbotica partners with Navtech Radar</t>
  </si>
  <si>
    <t>Oxbotica partners with NEVS to reshape the future of urban mobility with fleet of shared, self-driving, all-electric vehicles</t>
  </si>
  <si>
    <t>Perrone Robotics and Rampini announce Partnership to Provide Automated 6-meter Electric Buses</t>
  </si>
  <si>
    <t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t>
  </si>
  <si>
    <t>Autonomous EV Bus Collaboration Announced</t>
  </si>
  <si>
    <t>Perrone Robotics</t>
  </si>
  <si>
    <t>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t>
  </si>
  <si>
    <t>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t>
  </si>
  <si>
    <t>GreenPower Partners with Perrone Robotics, JTA to Win Innovative Solutions Award for Autonomous Vehicles</t>
  </si>
  <si>
    <t>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t>
  </si>
  <si>
    <t>Lightning eMotors Partners with Perrone Robotics to Offer Fully Autonomous Vehicle Option to Zero-Emission Fleet Customers</t>
  </si>
  <si>
    <t>Mission Secure Announces Partnership with UVA &amp; Perrone</t>
  </si>
  <si>
    <t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
  </si>
  <si>
    <t>Perrone Robotics and Global Finance Group Partner to Bring Turnkey Autonomous Vehicle Program to University and College Campuses</t>
  </si>
  <si>
    <t>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t>
  </si>
  <si>
    <t>Perrone Robotics and Tropos Team up to Develop Autonomous Electric Compact Utility Vehicles</t>
  </si>
  <si>
    <t>Autonomous vehicle technology provider Perrone Robotics  and cleantech vehicle manufacturer Tropos Motors yesterday announced a partnership to produce a series of fully autonomous, electric low-speed vehicles (e-LSVs) and trucks.</t>
  </si>
  <si>
    <t>Perrone Robotics and Tropos Technologies Announce Partnership to Develop Fully Autonomous Electric Compact Utility Vehicles</t>
  </si>
  <si>
    <t>Perrone Robotics Collaborates with Machine Learning Pioneer</t>
  </si>
  <si>
    <t>Perrone Robotics Collaborates with UVA Foundation to Bring Autonomous Shuttle Service to North Fork</t>
  </si>
  <si>
    <t>Perrone Robotics Enters into Agreement with Sustainability Partners Bringing Autonomous Vehicles to the State of Hawaii</t>
  </si>
  <si>
    <t>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t>
  </si>
  <si>
    <t>Perrone Robotics Partners With Tropos on Self-Driving Trucks</t>
  </si>
  <si>
    <t>Perrone Robotics,  and Guident Corp. Sign Strategic Alliance</t>
  </si>
  <si>
    <t>PRI Partners with SAE in Tampa</t>
  </si>
  <si>
    <t>Revolutionizing Transportation: Perrone Robotics Unveils Historic Collaboration with E Charger Systems - Revealed at SEMA 2023</t>
  </si>
  <si>
    <t>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t>
  </si>
  <si>
    <t>First Transit, the leader in mobility solutions, announces that it will operate the Western Reserve Transit Authority (WRTA) autonomous vehicle (AV) pilot, in partnership with Perrone Robotics and GreenPower.</t>
  </si>
  <si>
    <t>Bosch and Plus Collaborate on Assisted Driving Solution for Commercial Vehicles</t>
  </si>
  <si>
    <t>Goodyear and Plus Collaborate on Autonomous Trucks</t>
  </si>
  <si>
    <t>Luminar and Plus Partner for LiDAR and AI-Based Assisted Driving Software for Trucking</t>
  </si>
  <si>
    <t>Plus Partners with IVECO to Develop Autonomous Trucks for Global Deployment</t>
  </si>
  <si>
    <t>Plus Partners with Minnesota Department of Transportation to Accelerate Adoption of Self-Driving Trucks and Prepare Them for Extreme Winter Road Conditions</t>
  </si>
  <si>
    <t>Transurban and Plus Collaborate to Advance Level 4 Autonomous Trucks in Australia</t>
  </si>
  <si>
    <t>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t>
  </si>
  <si>
    <t>The two companies will work together to build a smart logistics network featuring autonomous driving trucking technologies.</t>
  </si>
  <si>
    <t>Onsemi and Pony.ai Collaboration on Next-Gen Image Sensing and Processing Technologies for Autonomous Vehicles</t>
  </si>
  <si>
    <t>Pony.ai and Horizon Robotics Partner to Create a Comprehensive Smart Driving Solution for OEMs</t>
  </si>
  <si>
    <t>Pony.ai and SANY Establish Joint Venture to Develop Next Generation of Autonomous Trucks for Mass Production</t>
  </si>
  <si>
    <t>Pony.ai and Toyota to Form Joint Venture to Advance Mass Production of L4 Autonomous Vehicles</t>
  </si>
  <si>
    <t>Pony.ai collaborates with Toyota for future of autonomous mobility</t>
  </si>
  <si>
    <t>Pony.ai and Toyota are teaming up on an autonomous driving pilot to accelerate the development and deployment of autonomous vehicles. Together, the companies will explore a variety of possibilities to provide safe mobility services for all.</t>
  </si>
  <si>
    <t>Toyota-backed self-driving car Pony.ai partners with Luminar</t>
  </si>
  <si>
    <t>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t>
  </si>
  <si>
    <t>James Peng, Pony.ai CEO said the startup chose Luminar's Iris lidar for its performance but also as it can be integrated into the car better than traditional lidars.</t>
  </si>
  <si>
    <t>Nickelytics, Serve Robotics, and The Ad Council Partner on Innovative Smokey Bear Out-of-Home Advertising Campaign</t>
  </si>
  <si>
    <t>Piestro Partners with Serve Robotics to Automate Delivery of its Artisanal Pizzas</t>
  </si>
  <si>
    <t>Piestro, the robotic pizzeria producing high-quality artisanal pizza within just a few minutes, announced it is partnering with Serve Robotics, the leading autonomous sidewalk delivery company, to offer customers a truly contactless end-to-end robotic pizza delivery experience.</t>
  </si>
  <si>
    <t>Pizza Hut Canada Partners with Serve Robotics on New Door-to-Door Robot Delivery Service</t>
  </si>
  <si>
    <t>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t>
  </si>
  <si>
    <t>Serve Robotics and Uber Expand Partnership to Bring Robotic Delivery to Uber Eats</t>
  </si>
  <si>
    <t>Daimler Trucks and Torc partner with Luminar to enable automated trucking</t>
  </si>
  <si>
    <t>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t>
  </si>
  <si>
    <t>Torc Collaborates with Applied Intuition to Accelerate Development and Validation of Autonomous Trucks</t>
  </si>
  <si>
    <t>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t>
  </si>
  <si>
    <t>Torc Teams with Daimler Truck to Design, Build Million-Mile Vehicles</t>
  </si>
  <si>
    <t>Torc Robotics teams with Daimler Trucks to design, build million-mile vehicles Self-driving trucks have captured imaginations amid the Supply Partnership crunch. Torc Robotics believes it has a solution.</t>
  </si>
  <si>
    <t>Daimler Trucks to design, build million-mile vehicles</t>
  </si>
  <si>
    <t>Torc and Transdev partner to develop technology for i-Cristal, a shared and fully autonomous shuttle</t>
  </si>
  <si>
    <t>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t>
  </si>
  <si>
    <t>The partners have already begun testing on closed courses, while testing on public roads will proceed after obtaining successive safety authorizations and before providing public service trials in two locations in France: Paris-Saclay and Rouen.</t>
  </si>
  <si>
    <t>Transdev and Delphi Announce Commercial Partnership for Autonomous Transportation</t>
  </si>
  <si>
    <t>Transdev USA partners with LAVTA to begin testing of its shared autonomous vehicle</t>
  </si>
  <si>
    <t>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t>
  </si>
  <si>
    <t>Transdev, ZF and e.GO announce partnership to develop shared autonomous mobility</t>
  </si>
  <si>
    <t>DHL Partners with TuSimple to Adopt, Integrate and Scale Autonomous Trucking Operations</t>
  </si>
  <si>
    <t>DHL Supply Partnership, one of the world's leading contract logistics providers, have entered into a global partnership to adopt, integrate and scale TuSimple's autonomous trucking technology into DHL's operations.</t>
  </si>
  <si>
    <t>Goodyear And TuSimple Collaborate On Autonomous Vehicle Freight Operations</t>
  </si>
  <si>
    <t>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t>
  </si>
  <si>
    <t>Navistar and TuSimple Partner to Bring Autonomous Trucks to Market, Navistar Invests in Autonomous Trucking Company</t>
  </si>
  <si>
    <t xml:space="preserve">announced today that the two entities have entered into a strategic partnership to co-develop SAE Level 4 self-driving trucks targeted for production by 202
The program between TuSimple and Navistar will ensure a fully integrated engineering solution that will be ready for mass-production using Navistar's vehicle manufacturing capabilities. </t>
  </si>
  <si>
    <t>The TRATON GROUP and TuSimple Agreed on Global Partnership for Autonomous Trucks</t>
  </si>
  <si>
    <t xml:space="preserve">Our partnership with TRATON GROUP accelerates the introduction of autonomous truck technology to new international markets, and we look forward to our global partnership,"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t>
  </si>
  <si>
    <t>TuSimple and Liberty Mutual Insurance Partner to Study the Safety Benefits of Autonomous Trucks</t>
  </si>
  <si>
    <t>TuSimple and Ryder Partner to Expand Nationwide Autonomous Trucking</t>
  </si>
  <si>
    <t>TuSimple and ZF Partner to Develop Technology for Mass Produced Autonomous Trucks</t>
  </si>
  <si>
    <t>TuSimple Partners with Global Logistics Leader, Hegelmann Group</t>
  </si>
  <si>
    <t>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t>
  </si>
  <si>
    <t>TuSimple Partners with Loadsmith for 350 Unit Reservation for SAE L4 Operation</t>
  </si>
  <si>
    <t>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t>
  </si>
  <si>
    <t>Uber and Toyota Team Up on Self-Driving Cars</t>
  </si>
  <si>
    <t>Uber Freight and Waymo Via partner to accelerate the future of logistics</t>
  </si>
  <si>
    <t>Uber Freight announces strategic partnership with Volvo Autonomous Solutions</t>
  </si>
  <si>
    <t>Announcing our Walmart Partnership</t>
  </si>
  <si>
    <t>Farmstead partners with Udelv for autonomous grocery delivery</t>
  </si>
  <si>
    <t>H-E-B and Udelv announce our partnership</t>
  </si>
  <si>
    <t>Partnering with Uber Freight to build an industry-first solution for AI-powered autonomous truck deployment at scale</t>
  </si>
  <si>
    <t>Waabi Partners with MIT Center for Transportation &amp; Logistics, Becomes First AV Company to Join the Supply Partnership Exchange</t>
  </si>
  <si>
    <t>Providing COVID-19 testing to our team in partnership with Verily</t>
  </si>
  <si>
    <t>Partnering with Lyft to serve more riders in Metro Phoenix</t>
  </si>
  <si>
    <t>Partnering with The Alliance in France, Japan, and beyond</t>
  </si>
  <si>
    <t>Partnering with Valley Metro to explore public transportation solutions</t>
  </si>
  <si>
    <t>Partnering with Volvo Car Group to scale the Waymo Driver</t>
  </si>
  <si>
    <t>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t>
  </si>
  <si>
    <t>Waymo &amp; AAA Northern California, Nevada &amp; Utah team up to educate the public on self-driving</t>
  </si>
  <si>
    <t xml:space="preserve">oday, AAA Northern California, Nevada &amp; Utah is joining Waymo and our many partners in our mission to increase awareness and education about how self-driving technology can address road safety and mobility challenges. </t>
  </si>
  <si>
    <t>Waymo and Fiat Chrysler Automobiles (FCA) expand autonomous driving technology partnership</t>
  </si>
  <si>
    <t xml:space="preserve">today announced a research collaboration aimed at developing new risk assessment </t>
  </si>
  <si>
    <t>Well-oiled and squeaky-clean: Partnering with Avis to maintain our self-driving fleet</t>
  </si>
  <si>
    <t>Wayve and Ocado Group Partner to Develop Autonomous Grocery Deliveries for OSP Retailers Globally</t>
  </si>
  <si>
    <t>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t>
  </si>
  <si>
    <t>Wayve Announces Autonomous Van Trial in Partnership with Asda</t>
  </si>
  <si>
    <t>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t>
  </si>
  <si>
    <t>ZF and NIO Sign Strategic Cooperation Agreement</t>
  </si>
  <si>
    <t>Open Manufacturing Platform expands: Anheuser-Busch InBev, BMW Group, Bosch, Microsoft and ZF team up to accelerate manufacturing innovation at scale</t>
  </si>
  <si>
    <t>ZF and DB Regio agree on strategic partnership for autonomous transport systems</t>
  </si>
  <si>
    <t>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t>
  </si>
  <si>
    <t>Groups</t>
  </si>
  <si>
    <t>Organization Name</t>
  </si>
  <si>
    <t>Match in CB?</t>
  </si>
  <si>
    <t>I1</t>
  </si>
  <si>
    <t>I2</t>
  </si>
  <si>
    <t>I3</t>
  </si>
  <si>
    <t>I4</t>
  </si>
  <si>
    <t>I5</t>
  </si>
  <si>
    <t>I6</t>
  </si>
  <si>
    <t>I7</t>
  </si>
  <si>
    <t>I8</t>
  </si>
  <si>
    <t>I9</t>
  </si>
  <si>
    <t>I10</t>
  </si>
  <si>
    <t>CB Rank</t>
  </si>
  <si>
    <t>Operating Status</t>
  </si>
  <si>
    <t>Founded Date</t>
  </si>
  <si>
    <t>Company Type</t>
  </si>
  <si>
    <t>Website</t>
  </si>
  <si>
    <t>Investor Type</t>
  </si>
  <si>
    <t>Investment Stage</t>
  </si>
  <si>
    <t>Number of Funding rounds</t>
  </si>
  <si>
    <t>Funding Status</t>
  </si>
  <si>
    <t>Total Funding Amount</t>
  </si>
  <si>
    <t>Last Funding Date</t>
  </si>
  <si>
    <t>Number of Investors</t>
  </si>
  <si>
    <t>Number Acquisitions</t>
  </si>
  <si>
    <t>Acquistion Status</t>
  </si>
  <si>
    <t>Number Portfolio Companies</t>
  </si>
  <si>
    <t>Patents</t>
  </si>
  <si>
    <t>Cartken</t>
  </si>
  <si>
    <t>Last-Mile</t>
  </si>
  <si>
    <t>Artificial Intelligence (AI)</t>
  </si>
  <si>
    <t>Developer Platform</t>
  </si>
  <si>
    <t>Robotics</t>
  </si>
  <si>
    <t/>
  </si>
  <si>
    <t>Active</t>
  </si>
  <si>
    <t>For Profit</t>
  </si>
  <si>
    <t>www.cartken.com/</t>
  </si>
  <si>
    <t>—</t>
  </si>
  <si>
    <t>11-50</t>
  </si>
  <si>
    <t>Seed</t>
  </si>
  <si>
    <t>May 1, 2021</t>
  </si>
  <si>
    <t>Gatik</t>
  </si>
  <si>
    <t>L1</t>
  </si>
  <si>
    <t>Automotive</t>
  </si>
  <si>
    <t>Autonomous Vehicles</t>
  </si>
  <si>
    <t>www.gatik.ai/</t>
  </si>
  <si>
    <t>51-100</t>
  </si>
  <si>
    <t>Early Stage Venture</t>
  </si>
  <si>
    <t>Aug 31, 2021</t>
  </si>
  <si>
    <t>Kiwibot</t>
  </si>
  <si>
    <t>Delivery</t>
  </si>
  <si>
    <t>Food Delivery</t>
  </si>
  <si>
    <t>www.kiwibot.com/</t>
  </si>
  <si>
    <t>101-250</t>
  </si>
  <si>
    <t>May 3, 2023</t>
  </si>
  <si>
    <t>Made Acquisitions</t>
  </si>
  <si>
    <t>Nuro</t>
  </si>
  <si>
    <t xml:space="preserve"> Transportation</t>
  </si>
  <si>
    <t>nuro.ai</t>
  </si>
  <si>
    <t>1001-5000</t>
  </si>
  <si>
    <t>Late Stage Venture</t>
  </si>
  <si>
    <t>Nov 2, 2021</t>
  </si>
  <si>
    <t>Logistics</t>
  </si>
  <si>
    <t>www.serverobotics.com</t>
  </si>
  <si>
    <t>Aug 10, 2023</t>
  </si>
  <si>
    <t>L2</t>
  </si>
  <si>
    <t>www.udelv.com/</t>
  </si>
  <si>
    <t>Jan 1, 2019</t>
  </si>
  <si>
    <t>Wayve</t>
  </si>
  <si>
    <t>Electric Vehicle</t>
  </si>
  <si>
    <t xml:space="preserve"> Machine Learning</t>
  </si>
  <si>
    <t>Software</t>
  </si>
  <si>
    <t>wayve.ai</t>
  </si>
  <si>
    <t>Sep 21, 2022</t>
  </si>
  <si>
    <t>Uber</t>
  </si>
  <si>
    <t>Mobility Services Booking</t>
  </si>
  <si>
    <t>L4</t>
  </si>
  <si>
    <t>Mobile Apps</t>
  </si>
  <si>
    <t>Public Transportation</t>
  </si>
  <si>
    <t xml:space="preserve"> Ride Sharing</t>
  </si>
  <si>
    <t>Transportation</t>
  </si>
  <si>
    <t>Mar 2009</t>
  </si>
  <si>
    <t>www.uber.com</t>
  </si>
  <si>
    <t>10001+</t>
  </si>
  <si>
    <t>IPO</t>
  </si>
  <si>
    <t>Sep 14, 2020</t>
  </si>
  <si>
    <t>Mobility Services</t>
  </si>
  <si>
    <t>L3</t>
  </si>
  <si>
    <t>Fleet Management</t>
  </si>
  <si>
    <t>Ride Sharing</t>
  </si>
  <si>
    <t xml:space="preserve"> Sustainability</t>
  </si>
  <si>
    <t>Dec 5, 2016</t>
  </si>
  <si>
    <t>www.moia.io/</t>
  </si>
  <si>
    <t>251-500</t>
  </si>
  <si>
    <t>Ioki</t>
  </si>
  <si>
    <t>ioki.com/en/</t>
  </si>
  <si>
    <t>Bolt</t>
  </si>
  <si>
    <t>Ridehailing</t>
  </si>
  <si>
    <t>Car Sharing</t>
  </si>
  <si>
    <t>InsurTech</t>
  </si>
  <si>
    <t xml:space="preserve"> Mobile Apps</t>
  </si>
  <si>
    <t>Aug 1, 2013</t>
  </si>
  <si>
    <t>bolt.eu</t>
  </si>
  <si>
    <t>Private Equity</t>
  </si>
  <si>
    <t>Oct 18, 2023</t>
  </si>
  <si>
    <t>Cruise</t>
  </si>
  <si>
    <t>www.getcruise.com</t>
  </si>
  <si>
    <t>M&amp;A</t>
  </si>
  <si>
    <t>Mar 18, 2022</t>
  </si>
  <si>
    <t>Made Acquisitions, Was Acquired</t>
  </si>
  <si>
    <t>Mobileye</t>
  </si>
  <si>
    <t xml:space="preserve"> Fleet Management</t>
  </si>
  <si>
    <t>Machine Learning</t>
  </si>
  <si>
    <t>www.mobileye.com</t>
  </si>
  <si>
    <t>Jun 7, 2023</t>
  </si>
  <si>
    <t>Motional</t>
  </si>
  <si>
    <t xml:space="preserve"> Information Technology</t>
  </si>
  <si>
    <t>Mar 2020</t>
  </si>
  <si>
    <t>motional.com/</t>
  </si>
  <si>
    <t>501-1000</t>
  </si>
  <si>
    <t>Oxa</t>
  </si>
  <si>
    <t>www.oxbotica.com</t>
  </si>
  <si>
    <t>Jan 10, 2023</t>
  </si>
  <si>
    <t>Waymo</t>
  </si>
  <si>
    <t>Sensor</t>
  </si>
  <si>
    <t>Jan 17, 2009</t>
  </si>
  <si>
    <t>www.waymo.com</t>
  </si>
  <si>
    <t>Jun 16, 2021</t>
  </si>
  <si>
    <t>Ridepooling</t>
  </si>
  <si>
    <t>www.2getthere.eu/</t>
  </si>
  <si>
    <t>Was Acquired</t>
  </si>
  <si>
    <t>ADASTEC</t>
  </si>
  <si>
    <t>Dec 2, 2018</t>
  </si>
  <si>
    <t>www.adastec.com</t>
  </si>
  <si>
    <t>Feb 1, 2023</t>
  </si>
  <si>
    <t>Beep</t>
  </si>
  <si>
    <t>Information Technology</t>
  </si>
  <si>
    <t>ridebeep.com</t>
  </si>
  <si>
    <t>Mar 22, 2022</t>
  </si>
  <si>
    <t xml:space="preserve"> Robotics</t>
  </si>
  <si>
    <t>easymile.com/</t>
  </si>
  <si>
    <t>Apr 28, 2021</t>
  </si>
  <si>
    <t>May Mobility</t>
  </si>
  <si>
    <t xml:space="preserve"> Software</t>
  </si>
  <si>
    <t>Travel</t>
  </si>
  <si>
    <t>maymobility.com</t>
  </si>
  <si>
    <t>Nov 7, 2023</t>
  </si>
  <si>
    <t>Image Recognition</t>
  </si>
  <si>
    <t>Jun 4, 2014</t>
  </si>
  <si>
    <t>navya.tech</t>
  </si>
  <si>
    <t>Oct 20, 2022</t>
  </si>
  <si>
    <t>www.perronerobotics.com/</t>
  </si>
  <si>
    <t>Feb 21, 2021</t>
  </si>
  <si>
    <t>Transdev</t>
  </si>
  <si>
    <t>Transport Operator</t>
  </si>
  <si>
    <t>Mobile</t>
  </si>
  <si>
    <t>Mar 3, 2011</t>
  </si>
  <si>
    <t>www.transdev.com/en/</t>
  </si>
  <si>
    <t>Government Office</t>
  </si>
  <si>
    <t>Dec 12, 2013</t>
  </si>
  <si>
    <t>Einride</t>
  </si>
  <si>
    <t>Trucking</t>
  </si>
  <si>
    <t>www.einride.tech</t>
  </si>
  <si>
    <t>Dec 7, 2022</t>
  </si>
  <si>
    <t>Kodiak</t>
  </si>
  <si>
    <t>www.kodiak.ai</t>
  </si>
  <si>
    <t>Sep 8, 2023</t>
  </si>
  <si>
    <t>Plus.ai</t>
  </si>
  <si>
    <t>plus.ai</t>
  </si>
  <si>
    <t>Mar 1, 2021</t>
  </si>
  <si>
    <t>Pony.ai</t>
  </si>
  <si>
    <t>Dec 2016</t>
  </si>
  <si>
    <t>www.pony.ai</t>
  </si>
  <si>
    <t>Oct 24, 2023</t>
  </si>
  <si>
    <t>Torc</t>
  </si>
  <si>
    <t>torc.ai</t>
  </si>
  <si>
    <t>TuSimple</t>
  </si>
  <si>
    <t>Last Mile Transportation</t>
  </si>
  <si>
    <t>www.tusimple.com</t>
  </si>
  <si>
    <t>Feb 4, 2021</t>
  </si>
  <si>
    <t>Uber Freight</t>
  </si>
  <si>
    <t>Apps</t>
  </si>
  <si>
    <t xml:space="preserve"> Supply Chain Management</t>
  </si>
  <si>
    <t>Nov 15, 2021</t>
  </si>
  <si>
    <t>Waabi</t>
  </si>
  <si>
    <t>waabi.ai</t>
  </si>
  <si>
    <t>Jan 18, 2023</t>
  </si>
  <si>
    <t>Aurora</t>
  </si>
  <si>
    <t xml:space="preserve"> InsurTech</t>
  </si>
  <si>
    <t>aurora.tech</t>
  </si>
  <si>
    <t>Jul 19, 2023</t>
  </si>
  <si>
    <t>Non-Principal</t>
  </si>
  <si>
    <t>Advertising</t>
  </si>
  <si>
    <t>Marketing</t>
  </si>
  <si>
    <t>Non Profit</t>
  </si>
  <si>
    <t>adcouncil.org/</t>
  </si>
  <si>
    <t>Nickelytics</t>
  </si>
  <si>
    <t>Advertising Platforms</t>
  </si>
  <si>
    <t xml:space="preserve"> Marketing</t>
  </si>
  <si>
    <t>Mobile Advertising</t>
  </si>
  <si>
    <t>Jul 7, 2019</t>
  </si>
  <si>
    <t>www.nickelytics.com</t>
  </si>
  <si>
    <t>1-10</t>
  </si>
  <si>
    <t>Sep 1, 2022</t>
  </si>
  <si>
    <t>Farmstead</t>
  </si>
  <si>
    <t>Delivery Service</t>
  </si>
  <si>
    <t>Agriculture</t>
  </si>
  <si>
    <t xml:space="preserve"> Farmers Market</t>
  </si>
  <si>
    <t>www.farmsteadapp.com</t>
  </si>
  <si>
    <t>Oct 21, 2021</t>
  </si>
  <si>
    <t>Guident</t>
  </si>
  <si>
    <t>Analytics</t>
  </si>
  <si>
    <t>Business Development</t>
  </si>
  <si>
    <t>guident.co</t>
  </si>
  <si>
    <t>Jun 16, 2023</t>
  </si>
  <si>
    <t>Derq</t>
  </si>
  <si>
    <t xml:space="preserve"> Enterprise Software</t>
  </si>
  <si>
    <t>Internet of Things</t>
  </si>
  <si>
    <t>Predictive Analytics</t>
  </si>
  <si>
    <t>Public Safety</t>
  </si>
  <si>
    <t>Smart Cities</t>
  </si>
  <si>
    <t>en.derq.com</t>
  </si>
  <si>
    <t>May 12, 2021</t>
  </si>
  <si>
    <t>MIT Center for Transportation &amp; Logistics</t>
  </si>
  <si>
    <t>Freight Service</t>
  </si>
  <si>
    <t>Supply Chain Management</t>
  </si>
  <si>
    <t>Non-profit</t>
  </si>
  <si>
    <t>ctl.mit.edu</t>
  </si>
  <si>
    <t>Alliance Ventures (Renault, Nissan, Mitsubishi)</t>
  </si>
  <si>
    <t>Mobility Project</t>
  </si>
  <si>
    <t>Venture Capital</t>
  </si>
  <si>
    <t>Dec 20, 2017</t>
  </si>
  <si>
    <t>alliancernm.com</t>
  </si>
  <si>
    <t>Corporate Venture Capital</t>
  </si>
  <si>
    <t>Venture</t>
  </si>
  <si>
    <t>5001-10000</t>
  </si>
  <si>
    <t>Cummins</t>
  </si>
  <si>
    <t>Automotive Supplier</t>
  </si>
  <si>
    <t>Manufacturing</t>
  </si>
  <si>
    <t xml:space="preserve"> Oil and Gas</t>
  </si>
  <si>
    <t>www.cummins.com</t>
  </si>
  <si>
    <t>Oct 1, 2021</t>
  </si>
  <si>
    <t>Delphi</t>
  </si>
  <si>
    <t>Closed</t>
  </si>
  <si>
    <t>www.delphi.com</t>
  </si>
  <si>
    <t>e.GO</t>
  </si>
  <si>
    <t>OEM</t>
  </si>
  <si>
    <t>Sustainability</t>
  </si>
  <si>
    <t>e-go-mobile.com/en/</t>
  </si>
  <si>
    <t>Jul 7, 2023</t>
  </si>
  <si>
    <t>Information Services</t>
  </si>
  <si>
    <t>www.ecarxgroup.com</t>
  </si>
  <si>
    <t>Dec 21, 2022</t>
  </si>
  <si>
    <t>Bosch</t>
  </si>
  <si>
    <t>Consumer Goods</t>
  </si>
  <si>
    <t>Electronics</t>
  </si>
  <si>
    <t xml:space="preserve"> Industrial</t>
  </si>
  <si>
    <t>Industrial Engineering</t>
  </si>
  <si>
    <t>Mechanical Engineering</t>
  </si>
  <si>
    <t>Nov 15, 1886</t>
  </si>
  <si>
    <t>www.bosch.com</t>
  </si>
  <si>
    <t>Seed, Venture</t>
  </si>
  <si>
    <t>Jun 4, 2018</t>
  </si>
  <si>
    <t>Goodyear</t>
  </si>
  <si>
    <t>Sales</t>
  </si>
  <si>
    <t>www.goodyear.eu</t>
  </si>
  <si>
    <t>Michelin</t>
  </si>
  <si>
    <t>www.michelin.com/</t>
  </si>
  <si>
    <t>Bridgestone</t>
  </si>
  <si>
    <t>Mar 1, 1931</t>
  </si>
  <si>
    <t>www.bridgestone.com</t>
  </si>
  <si>
    <t>Continental</t>
  </si>
  <si>
    <t>Retail</t>
  </si>
  <si>
    <t>www.continental.com</t>
  </si>
  <si>
    <t>www.sae.org/</t>
  </si>
  <si>
    <t>Goggo Network</t>
  </si>
  <si>
    <t>Autonomous mobility network</t>
  </si>
  <si>
    <t>goggo.network/</t>
  </si>
  <si>
    <t>Dec 17, 2019</t>
  </si>
  <si>
    <t>eVersum</t>
  </si>
  <si>
    <t>Jan 1, 2017</t>
  </si>
  <si>
    <t>www.eversum.com</t>
  </si>
  <si>
    <t>Dec 31, 2022</t>
  </si>
  <si>
    <t>Horizon Robotics</t>
  </si>
  <si>
    <t>horizon.cc/</t>
  </si>
  <si>
    <t>Sep 26, 2022</t>
  </si>
  <si>
    <t>https://www.volvoautonomoussolutions.com/en-en/</t>
  </si>
  <si>
    <t>Brewing</t>
  </si>
  <si>
    <t>Craft Beer</t>
  </si>
  <si>
    <t xml:space="preserve"> Food and Beverage</t>
  </si>
  <si>
    <t>Aug 2, 1977</t>
  </si>
  <si>
    <t>ab-inbev.com</t>
  </si>
  <si>
    <t>Sep 6, 2023</t>
  </si>
  <si>
    <t>Charging System</t>
  </si>
  <si>
    <t>https://echargersystem.com/</t>
  </si>
  <si>
    <t>Stantec</t>
  </si>
  <si>
    <t>City Architecture</t>
  </si>
  <si>
    <t>Architecture</t>
  </si>
  <si>
    <t>Consulting</t>
  </si>
  <si>
    <t>Interior Design</t>
  </si>
  <si>
    <t xml:space="preserve"> Professional Services</t>
  </si>
  <si>
    <t>www.stantec.com</t>
  </si>
  <si>
    <t>Nov 20, 2023</t>
  </si>
  <si>
    <t xml:space="preserve"> Product Design</t>
  </si>
  <si>
    <t>lohr.us</t>
  </si>
  <si>
    <t>Rampini</t>
  </si>
  <si>
    <t>Construction</t>
  </si>
  <si>
    <t xml:space="preserve"> Manufacturing</t>
  </si>
  <si>
    <t>1,127,636</t>
  </si>
  <si>
    <t>www.rampini.it</t>
  </si>
  <si>
    <t>Electrolux</t>
  </si>
  <si>
    <t>Consumer Electronics</t>
  </si>
  <si>
    <t>Home Appliances</t>
  </si>
  <si>
    <t xml:space="preserve"> Machinery Manufacturing</t>
  </si>
  <si>
    <t>www.electroluxappliances.com</t>
  </si>
  <si>
    <t>Dec 10, 2021</t>
  </si>
  <si>
    <t>GE Appliances</t>
  </si>
  <si>
    <t>Energy Management</t>
  </si>
  <si>
    <t>www.geappliances.com/</t>
  </si>
  <si>
    <t>Mission Secure</t>
  </si>
  <si>
    <t>Cyber Security</t>
  </si>
  <si>
    <t>Hardware</t>
  </si>
  <si>
    <t>www.missionsecure.com</t>
  </si>
  <si>
    <t>Jan 26, 2021</t>
  </si>
  <si>
    <t>TrustInSoft</t>
  </si>
  <si>
    <t>Computer</t>
  </si>
  <si>
    <t>Network Security</t>
  </si>
  <si>
    <t>May 2, 2013</t>
  </si>
  <si>
    <t>trust-in-soft.com</t>
  </si>
  <si>
    <t>Nov 5, 2019</t>
  </si>
  <si>
    <t>Grubhub</t>
  </si>
  <si>
    <t>E-Commerce</t>
  </si>
  <si>
    <t>Food and Beverage</t>
  </si>
  <si>
    <t xml:space="preserve"> Marketplace</t>
  </si>
  <si>
    <t>www.grubhub.com</t>
  </si>
  <si>
    <t>Jul 6, 2022</t>
  </si>
  <si>
    <t>Uber Eats</t>
  </si>
  <si>
    <t>www.ubereats.com</t>
  </si>
  <si>
    <t>Lightning eMotors</t>
  </si>
  <si>
    <t>Environmental Engineering</t>
  </si>
  <si>
    <t>Renewable Energy</t>
  </si>
  <si>
    <t>lightningemotors.com</t>
  </si>
  <si>
    <t>May 7, 2021</t>
  </si>
  <si>
    <t>Global Finance Group</t>
  </si>
  <si>
    <t>Financial Services</t>
  </si>
  <si>
    <t>Banking</t>
  </si>
  <si>
    <t>Professional Services</t>
  </si>
  <si>
    <t>1,637,221</t>
  </si>
  <si>
    <t>globalfinancegroup.com/</t>
  </si>
  <si>
    <t>kineo</t>
  </si>
  <si>
    <t>FinTech</t>
  </si>
  <si>
    <t xml:space="preserve"> Medical</t>
  </si>
  <si>
    <t>kineofinance.com</t>
  </si>
  <si>
    <t>Venture Debt</t>
  </si>
  <si>
    <t>Debt, Late Stage Venture, Post-Ipo, Venture</t>
  </si>
  <si>
    <t>Sustainability Partners</t>
  </si>
  <si>
    <t>Infrastructure</t>
  </si>
  <si>
    <t>www.sustainability.partners</t>
  </si>
  <si>
    <t>UVA Foundation</t>
  </si>
  <si>
    <t>Service Industry</t>
  </si>
  <si>
    <t>www.uvafoundation.com</t>
  </si>
  <si>
    <t>Beyond Meat</t>
  </si>
  <si>
    <t>Food &amp; Beverage</t>
  </si>
  <si>
    <t>Alternative Protein</t>
  </si>
  <si>
    <t>Food Processing</t>
  </si>
  <si>
    <t xml:space="preserve"> Nutrition</t>
  </si>
  <si>
    <t>Organic Food</t>
  </si>
  <si>
    <t>Plant-Based Foods</t>
  </si>
  <si>
    <t>www.beyondmeat.com</t>
  </si>
  <si>
    <t>Oct 5, 2020</t>
  </si>
  <si>
    <t>www.cocacolaep.com/</t>
  </si>
  <si>
    <t>Oatly</t>
  </si>
  <si>
    <t>Health Care</t>
  </si>
  <si>
    <t>Nutrition</t>
  </si>
  <si>
    <t xml:space="preserve"> Wellness</t>
  </si>
  <si>
    <t>Jan 1, 1990</t>
  </si>
  <si>
    <t>www.oatly.com</t>
  </si>
  <si>
    <t>Mar 15, 2023</t>
  </si>
  <si>
    <t>Piestro</t>
  </si>
  <si>
    <t>Hotel</t>
  </si>
  <si>
    <t>Restaurants</t>
  </si>
  <si>
    <t>www.piestro.com/</t>
  </si>
  <si>
    <t>Feb 1, 2022</t>
  </si>
  <si>
    <t>Pizza Hut</t>
  </si>
  <si>
    <t>Hospitality</t>
  </si>
  <si>
    <t>pizzahut.com</t>
  </si>
  <si>
    <t>Apr 1, 2006</t>
  </si>
  <si>
    <t>Replate</t>
  </si>
  <si>
    <t>Environmental Consulting</t>
  </si>
  <si>
    <t xml:space="preserve"> Non Profit</t>
  </si>
  <si>
    <t>Waste Management</t>
  </si>
  <si>
    <t>Feb 1, 2016</t>
  </si>
  <si>
    <t>www.replate.org</t>
  </si>
  <si>
    <t>Jan 1, 2022</t>
  </si>
  <si>
    <t>Verily</t>
  </si>
  <si>
    <t>Health Care Analytics</t>
  </si>
  <si>
    <t>Enterprise Software</t>
  </si>
  <si>
    <t>verily.com</t>
  </si>
  <si>
    <t>Sep 28, 2022</t>
  </si>
  <si>
    <t>United Technical Services</t>
  </si>
  <si>
    <t>Industrial</t>
  </si>
  <si>
    <t>Oil and Gas</t>
  </si>
  <si>
    <t xml:space="preserve"> Sales</t>
  </si>
  <si>
    <t>www.uts.ae</t>
  </si>
  <si>
    <t>SKF</t>
  </si>
  <si>
    <t>Industrial Manufacturing</t>
  </si>
  <si>
    <t>www.skf.com/</t>
  </si>
  <si>
    <t>http://english.jiading.gov.cn/zones.html</t>
  </si>
  <si>
    <t>Ericsson</t>
  </si>
  <si>
    <t>Telecommunications</t>
  </si>
  <si>
    <t>Internet</t>
  </si>
  <si>
    <t xml:space="preserve"> Telecommunications</t>
  </si>
  <si>
    <t>Jan 1, 1876</t>
  </si>
  <si>
    <t>www.ericsson.com</t>
  </si>
  <si>
    <t>Hedge Fund, Micro VC</t>
  </si>
  <si>
    <t>Nov 23, 2023</t>
  </si>
  <si>
    <t>Insurance</t>
  </si>
  <si>
    <t>Jan 1, 1900</t>
  </si>
  <si>
    <t>calstate.aaa.com/</t>
  </si>
  <si>
    <t>Liberty Mutual Insurance</t>
  </si>
  <si>
    <t>Finance</t>
  </si>
  <si>
    <t>Jul 1, 1912</t>
  </si>
  <si>
    <t>www.libertymutualgroup.com</t>
  </si>
  <si>
    <t>Private Equity Firm</t>
  </si>
  <si>
    <t>Swiss Re</t>
  </si>
  <si>
    <t>CRM</t>
  </si>
  <si>
    <t xml:space="preserve"> Risk Management</t>
  </si>
  <si>
    <t>Wholesale</t>
  </si>
  <si>
    <t>www.swissre.com</t>
  </si>
  <si>
    <t>Mar 7, 2023</t>
  </si>
  <si>
    <t>Starship Technologies</t>
  </si>
  <si>
    <t>Jul 1, 2014</t>
  </si>
  <si>
    <t>www.starship.xyz/</t>
  </si>
  <si>
    <t>Feb 28, 2022</t>
  </si>
  <si>
    <t>10 Roads Express</t>
  </si>
  <si>
    <t>www.10roadsexpress.com/</t>
  </si>
  <si>
    <t>Aramex</t>
  </si>
  <si>
    <t>Courier Service</t>
  </si>
  <si>
    <t>Packaging Services</t>
  </si>
  <si>
    <t>www.aramex.co.nz/</t>
  </si>
  <si>
    <t>Covenant</t>
  </si>
  <si>
    <t>www.covenantlogistics.com/</t>
  </si>
  <si>
    <t>DHL</t>
  </si>
  <si>
    <t>Local Business</t>
  </si>
  <si>
    <t xml:space="preserve"> Logistics</t>
  </si>
  <si>
    <t>Sep 25, 1969</t>
  </si>
  <si>
    <t>www.dhl.com</t>
  </si>
  <si>
    <t>Dec 20, 2019</t>
  </si>
  <si>
    <t>Hegelmann Group</t>
  </si>
  <si>
    <t>Shipping</t>
  </si>
  <si>
    <t>hegelmann.lt/</t>
  </si>
  <si>
    <t>Hirschbach</t>
  </si>
  <si>
    <t>hirschbach.com</t>
  </si>
  <si>
    <t>Loadsmith</t>
  </si>
  <si>
    <t>Jul 1, 2019</t>
  </si>
  <si>
    <t>www.loadsmith.com/</t>
  </si>
  <si>
    <t>Ryder</t>
  </si>
  <si>
    <t>ryder.com/en</t>
  </si>
  <si>
    <t>Sinotrans</t>
  </si>
  <si>
    <t>1,046,057</t>
  </si>
  <si>
    <t>www.transgd.com.cn</t>
  </si>
  <si>
    <t>U.S. Xpress</t>
  </si>
  <si>
    <t>www.usxpress.com</t>
  </si>
  <si>
    <t>Werner</t>
  </si>
  <si>
    <t>Warehousing</t>
  </si>
  <si>
    <t>www.werner.com</t>
  </si>
  <si>
    <t>Pitney Bowes</t>
  </si>
  <si>
    <t>Document Management</t>
  </si>
  <si>
    <t xml:space="preserve"> E-Commerce</t>
  </si>
  <si>
    <t>www.pitneybowes.com</t>
  </si>
  <si>
    <t>Oct 4, 2013</t>
  </si>
  <si>
    <t>Spare</t>
  </si>
  <si>
    <t>Mobility Analytics</t>
  </si>
  <si>
    <t>Nov 3, 2015</t>
  </si>
  <si>
    <t>sparelabs.com</t>
  </si>
  <si>
    <t>Nov 16, 2023</t>
  </si>
  <si>
    <t>Mothers-Against-Drunk-Driving</t>
  </si>
  <si>
    <t>Association</t>
  </si>
  <si>
    <t>www.madd.org/</t>
  </si>
  <si>
    <t>www.ion.ae</t>
  </si>
  <si>
    <t>Via</t>
  </si>
  <si>
    <t>Real Time</t>
  </si>
  <si>
    <t>Jun 26, 2012</t>
  </si>
  <si>
    <t>www.ridewithvia.com</t>
  </si>
  <si>
    <t>Feb 13, 2023</t>
  </si>
  <si>
    <t xml:space="preserve"> Travel Agency</t>
  </si>
  <si>
    <t>2,397,408</t>
  </si>
  <si>
    <t>www.willerexpress.co.jp</t>
  </si>
  <si>
    <t>Liftango</t>
  </si>
  <si>
    <t>Parking</t>
  </si>
  <si>
    <t>liftango.com/</t>
  </si>
  <si>
    <t>May 10, 2023</t>
  </si>
  <si>
    <t>Lyft</t>
  </si>
  <si>
    <t>May 22, 2012</t>
  </si>
  <si>
    <t>lyft.com</t>
  </si>
  <si>
    <t>Feb 1, 2021</t>
  </si>
  <si>
    <t>Moovit</t>
  </si>
  <si>
    <t>Navigation</t>
  </si>
  <si>
    <t>Feb 1, 2012</t>
  </si>
  <si>
    <t>moovit.com</t>
  </si>
  <si>
    <t>Feb 21, 2018</t>
  </si>
  <si>
    <t>Fiat Chrysler Automobiles</t>
  </si>
  <si>
    <t>Jun 6, 1925</t>
  </si>
  <si>
    <t>www.fcagroup.com/</t>
  </si>
  <si>
    <t>Geely</t>
  </si>
  <si>
    <t>Innovation Management</t>
  </si>
  <si>
    <t>Nov 1, 1986</t>
  </si>
  <si>
    <t>www.zgh.com</t>
  </si>
  <si>
    <t>Sep 16, 1908</t>
  </si>
  <si>
    <t>www.gm.com</t>
  </si>
  <si>
    <t>Oct 4, 2023</t>
  </si>
  <si>
    <t>Mitsubishi</t>
  </si>
  <si>
    <t>Sep 16, 1982</t>
  </si>
  <si>
    <t>www.mcmachinery.co.jp</t>
  </si>
  <si>
    <t>NIO</t>
  </si>
  <si>
    <t xml:space="preserve"> Electronics</t>
  </si>
  <si>
    <t>www.nio.com</t>
  </si>
  <si>
    <t>Dec 18, 2023</t>
  </si>
  <si>
    <t>Porsche</t>
  </si>
  <si>
    <t>Sports</t>
  </si>
  <si>
    <t>Apr 25, 1931</t>
  </si>
  <si>
    <t>www.porsche.com</t>
  </si>
  <si>
    <t>Corporate Venture Capital, Investment Bank, Private Equity Firm, Venture Capital</t>
  </si>
  <si>
    <t>Private Equity, Venture</t>
  </si>
  <si>
    <t>Sono Motors</t>
  </si>
  <si>
    <t>B2B</t>
  </si>
  <si>
    <t xml:space="preserve"> Energy</t>
  </si>
  <si>
    <t>Solar</t>
  </si>
  <si>
    <t>www.sonomotors.com</t>
  </si>
  <si>
    <t>Jan 23, 2023</t>
  </si>
  <si>
    <t>Toyota</t>
  </si>
  <si>
    <t>Oct 31, 1957</t>
  </si>
  <si>
    <t>www.toyota.com</t>
  </si>
  <si>
    <t>Apr 14, 1927</t>
  </si>
  <si>
    <t>www.volvocars.com/</t>
  </si>
  <si>
    <t>Jan 4, 2024</t>
  </si>
  <si>
    <t>Zeekr</t>
  </si>
  <si>
    <t>Mar 2021</t>
  </si>
  <si>
    <t>zeekrlife.com</t>
  </si>
  <si>
    <t>Daimler Truck</t>
  </si>
  <si>
    <t>OEM Commercial Vehicles</t>
  </si>
  <si>
    <t>www.daimlertruck.com/</t>
  </si>
  <si>
    <t>GreenPower</t>
  </si>
  <si>
    <t>Sep 18, 2007</t>
  </si>
  <si>
    <t>www.greenpowerbus.com/</t>
  </si>
  <si>
    <t>Jan 3, 2014</t>
  </si>
  <si>
    <t>Jan 1, 2003</t>
  </si>
  <si>
    <t>isuzucv.com</t>
  </si>
  <si>
    <t>www.iveco.com</t>
  </si>
  <si>
    <t>MAN Truck &amp; Bus</t>
  </si>
  <si>
    <t>www.mantruckandbus.com</t>
  </si>
  <si>
    <t>Navistar</t>
  </si>
  <si>
    <t>www.navistar.com</t>
  </si>
  <si>
    <t>Sep 6, 2016</t>
  </si>
  <si>
    <t>Phoenix Motorcars</t>
  </si>
  <si>
    <t>Commercial</t>
  </si>
  <si>
    <t>www.phoenixmotorcars.com</t>
  </si>
  <si>
    <t>Jun 22, 2022</t>
  </si>
  <si>
    <t>Machinery Manufacturing</t>
  </si>
  <si>
    <t xml:space="preserve"> Mechanical Engineering</t>
  </si>
  <si>
    <t>Jan 1, 1989</t>
  </si>
  <si>
    <t>www.sanyhi.com</t>
  </si>
  <si>
    <t>Traton</t>
  </si>
  <si>
    <t>www.traton.com</t>
  </si>
  <si>
    <t>Tropos Technologies</t>
  </si>
  <si>
    <t>www.tropostech.com/</t>
  </si>
  <si>
    <t>Nov 22, 2022</t>
  </si>
  <si>
    <t>Vicinity Motor Corp.</t>
  </si>
  <si>
    <t>vicinitymotorcorp.com</t>
  </si>
  <si>
    <t>1,001,898</t>
  </si>
  <si>
    <t>www.volkswagen-nutzfahrzeuge.de/de.html</t>
  </si>
  <si>
    <t>Discontinued</t>
  </si>
  <si>
    <t>http://www.nevs.com/</t>
  </si>
  <si>
    <t>Real estate</t>
  </si>
  <si>
    <t>https://www.polarrenen.se/</t>
  </si>
  <si>
    <t>Avis</t>
  </si>
  <si>
    <t>Rental Services</t>
  </si>
  <si>
    <t>Taxi Service</t>
  </si>
  <si>
    <t>www.avis.com</t>
  </si>
  <si>
    <t>Asda</t>
  </si>
  <si>
    <t>www.asda.com/</t>
  </si>
  <si>
    <t>H-E-B</t>
  </si>
  <si>
    <t>E-Commerce Platforms</t>
  </si>
  <si>
    <t xml:space="preserve"> Grocery</t>
  </si>
  <si>
    <t>careers.heb.com/</t>
  </si>
  <si>
    <t>Kroger</t>
  </si>
  <si>
    <t>Grocery</t>
  </si>
  <si>
    <t>www.kroger.com</t>
  </si>
  <si>
    <t>Feb 18, 2020</t>
  </si>
  <si>
    <t>Lidl</t>
  </si>
  <si>
    <t xml:space="preserve"> Retail</t>
  </si>
  <si>
    <t>Jan 1, 1973</t>
  </si>
  <si>
    <t>www.lidl.de/</t>
  </si>
  <si>
    <t>Ocado Group</t>
  </si>
  <si>
    <t>www.ocadogroup.com/</t>
  </si>
  <si>
    <t>Jun 21, 2022</t>
  </si>
  <si>
    <t>Walmart</t>
  </si>
  <si>
    <t xml:space="preserve"> Retail Technology</t>
  </si>
  <si>
    <t>Shopping</t>
  </si>
  <si>
    <t>Jan 2, 1962</t>
  </si>
  <si>
    <t>www.walmart.com</t>
  </si>
  <si>
    <t>Apr 15, 2023</t>
  </si>
  <si>
    <t>Svenska Retursystem</t>
  </si>
  <si>
    <t>1,002,091</t>
  </si>
  <si>
    <t>www.retursystem.se/en/</t>
  </si>
  <si>
    <t>Aug 20, 1915</t>
  </si>
  <si>
    <t>zf.com</t>
  </si>
  <si>
    <t>https://www.mvg.de/ueber/mvg-projekte/bus/minga.html</t>
  </si>
  <si>
    <t>Semiconductor</t>
  </si>
  <si>
    <t>Kalray</t>
  </si>
  <si>
    <t>Cloud Computing</t>
  </si>
  <si>
    <t xml:space="preserve"> Computer Vision</t>
  </si>
  <si>
    <t>Jul 30, 2008</t>
  </si>
  <si>
    <t>www.kalrayinc.com/</t>
  </si>
  <si>
    <t>Dec 1, 2022</t>
  </si>
  <si>
    <t>Onsemi</t>
  </si>
  <si>
    <t>Energy Efficiency</t>
  </si>
  <si>
    <t>www.onsemi.com</t>
  </si>
  <si>
    <t>Dec 9, 2022</t>
  </si>
  <si>
    <t>Luminar</t>
  </si>
  <si>
    <t>www.luminartech.com/</t>
  </si>
  <si>
    <t>Jan 20, 2022</t>
  </si>
  <si>
    <t>Navtech Radar</t>
  </si>
  <si>
    <t>navtechradar.com/</t>
  </si>
  <si>
    <t>Valeo</t>
  </si>
  <si>
    <t>www.valeo.com/en/</t>
  </si>
  <si>
    <t>Oct 6, 2023</t>
  </si>
  <si>
    <t>www.wnc.com.tw/</t>
  </si>
  <si>
    <t>Microsoft</t>
  </si>
  <si>
    <t>Data Management</t>
  </si>
  <si>
    <t>Developer Tools</t>
  </si>
  <si>
    <t>DevOps</t>
  </si>
  <si>
    <t>Operating Systems</t>
  </si>
  <si>
    <t>Apr 4, 1975</t>
  </si>
  <si>
    <t>www.microsoft.com</t>
  </si>
  <si>
    <t>Late Stage Venture, Private Equity</t>
  </si>
  <si>
    <t>SLTN</t>
  </si>
  <si>
    <t>Business Intelligence</t>
  </si>
  <si>
    <t>www.sltn.nl/</t>
  </si>
  <si>
    <t>Telia</t>
  </si>
  <si>
    <t>Public Relations</t>
  </si>
  <si>
    <t xml:space="preserve"> Wireless</t>
  </si>
  <si>
    <t>www.teliacompany.com/</t>
  </si>
  <si>
    <t>Feb 16, 2023</t>
  </si>
  <si>
    <t>Deutsche Bahn</t>
  </si>
  <si>
    <t>www.bahn.de</t>
  </si>
  <si>
    <t>www.hochbahn.de</t>
  </si>
  <si>
    <t>Government</t>
  </si>
  <si>
    <t xml:space="preserve"> Railroad</t>
  </si>
  <si>
    <t>Nov 1, 2011</t>
  </si>
  <si>
    <t>www.transport.nsw.gov.au</t>
  </si>
  <si>
    <t>Communities</t>
  </si>
  <si>
    <t>Railroad</t>
  </si>
  <si>
    <t>www.transurban.com/</t>
  </si>
  <si>
    <t>Valley Metro</t>
  </si>
  <si>
    <t>Jan 1, 1985</t>
  </si>
  <si>
    <t>www.valleymetro.org/</t>
  </si>
  <si>
    <t>Western Reserve Transit Authority</t>
  </si>
  <si>
    <t>Transportation Authority</t>
  </si>
  <si>
    <t>www.wrtaonline.com</t>
  </si>
  <si>
    <t>Jun 23, 2023</t>
  </si>
  <si>
    <t>https://wheelsbus.com/</t>
  </si>
  <si>
    <t>https://www.dot.state.mn.us/</t>
  </si>
  <si>
    <t>DB Regio</t>
  </si>
  <si>
    <t>Logistics, Transportation, Travel</t>
  </si>
  <si>
    <t>https://www.dbregio.de/</t>
  </si>
  <si>
    <t>Transport Regulator</t>
  </si>
  <si>
    <t>https://www.ncdot.gov/Pages/default.aspx</t>
  </si>
  <si>
    <t>https://www.moei.gov.ae/en</t>
  </si>
  <si>
    <t>Contra Costa Transportation Authority</t>
  </si>
  <si>
    <t>Jan 1, 1988</t>
  </si>
  <si>
    <t>www.ccta.net/</t>
  </si>
  <si>
    <t>www.jtafla.com/</t>
  </si>
  <si>
    <t>Berliner Verkehrsbetriebe</t>
  </si>
  <si>
    <t>Search Engine</t>
  </si>
  <si>
    <t>Ticketing</t>
  </si>
  <si>
    <t xml:space="preserve"> Travel</t>
  </si>
  <si>
    <t>www.bvg.de/en</t>
  </si>
  <si>
    <t>SMRT</t>
  </si>
  <si>
    <t>www.smrt.com.sg</t>
  </si>
  <si>
    <t>Boston University</t>
  </si>
  <si>
    <t>University</t>
  </si>
  <si>
    <t>E-Learning</t>
  </si>
  <si>
    <t>Education</t>
  </si>
  <si>
    <t>Higher Education</t>
  </si>
  <si>
    <t xml:space="preserve"> Universities</t>
  </si>
  <si>
    <t>www.bu.edu/</t>
  </si>
  <si>
    <t>University Program</t>
  </si>
  <si>
    <t>May 4, 2022</t>
  </si>
  <si>
    <t>Continuing Education</t>
  </si>
  <si>
    <t xml:space="preserve"> STEM Education</t>
  </si>
  <si>
    <t>Universities</t>
  </si>
  <si>
    <t>Nov 18, 1960</t>
  </si>
  <si>
    <t>ucsd.edu</t>
  </si>
  <si>
    <t>Nov 9, 2023</t>
  </si>
  <si>
    <t>Applied Intuition</t>
  </si>
  <si>
    <t>V&amp;V</t>
  </si>
  <si>
    <t>appliedintuition.com</t>
  </si>
  <si>
    <t>Nov 11, 2021</t>
  </si>
  <si>
    <t xml:space="preserve">Isuzu Commercial Truck of America and Gatik have agreed to collaborate on a project to develop and evaluate fully autonomous medium-duty trucks. </t>
  </si>
  <si>
    <t>Today, the consecutive partners presented the project to the public. The pilot operation of automated shuttles accompanied by a safety driver is planned from 2025.</t>
  </si>
  <si>
    <t xml:space="preserve">Spare, the leading on-demand transit platform, and May Mobility, a leader in the development and deployment of autonomous vehicle (AV) technology, have joined forces to deliver on-demand transit solutions leveraging autonomous vehicles. </t>
  </si>
  <si>
    <t>Long term</t>
  </si>
  <si>
    <t>has signed a Memorandum of Understanding (MoU) with Mobileye
Specifically, up to 40 autonomous vehicles with SAE Level 4 features, equipped with the Mobileye Drive technology, are expected to be deployed and operated by Goggo in cities around Spain and France.</t>
  </si>
  <si>
    <t>The two companies aim to begin testing robotaxis on public roads in Japan in 2021, with plans to launch fully self-driving ride-hailing and ride-sharing mobility services in 2023, while exploring opportunities for similar services in Taiwan and other Southeast Asian markets.</t>
  </si>
  <si>
    <t>-</t>
  </si>
  <si>
    <t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
  </si>
  <si>
    <t>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t>
  </si>
  <si>
    <t>today announced a partnership to produce a series of fully autonomous, electric low speed vehicles (e-LSVs) and trucks.
Future platforms in development will include a series of emergency and first-responder solutions that will be available later this year.</t>
  </si>
  <si>
    <t>Future platforms in development will include a series of emergency and first-responder solutions that will be available later this year.</t>
  </si>
  <si>
    <t>Guident Corp., the developer of software solutions for remote monitoring and teleoperation of autonomous vehicles, and Perrone Robotics, , a leading provider of autonomous vehicle kits and full autonomy software are excited to announce the execution of a strategic alliance.</t>
  </si>
  <si>
    <t>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t>
  </si>
  <si>
    <t>Exclusivity</t>
  </si>
  <si>
    <t>The Plus and Cummins teams will begin work on the new initiative immediately. This project is an extension of an ongoing collaboration to develop fuel-efficient autonomous trucks.</t>
  </si>
  <si>
    <t>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t>
  </si>
  <si>
    <t>Today, Piestro, the robotic pizzeria producing high-quality artisanal pizza within just a few minutes, announced it is partnering with Serve Robotics, the leading autonomous sidewalk delivery company, to offer customers a truly contactless end-to-end robotic pizza delivery experience.</t>
  </si>
  <si>
    <t>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t>
  </si>
  <si>
    <t>The partners will start working together immediately to provide a fully functional solution by 2020, with priority markets in France and Germany.</t>
  </si>
  <si>
    <t>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t>
  </si>
  <si>
    <t>TuSimple and Liberty Mutual will work together to better understand how autonomous technologies perform in comparison to the same types of trucks driven manually by human drivers.</t>
  </si>
  <si>
    <t>Through the partnership, TuSimple and Ryder will work together to identify existing Ryder facilities to serve as terminals along the TuSimple AFN. 
By adding more terminals to TuSimple's AFN, shippers and fleets will have greater access to autonomous freight operations. Leveraging Ryder's existing freight trucking terminals, TuSimple can quickly scale across the country without needing to build new facilities.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t>
  </si>
  <si>
    <t>Initially, the partnership will focus on Ryder's facilities in the Southern U.S. However, with Ryder's nationwide network of more than 500 maintenance facilities, the partnership has the potential to rapidly scale.</t>
  </si>
  <si>
    <t>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t>
  </si>
  <si>
    <t>Our expanded partnership with Toyota signals our commitment to deploying self-driving technology at scale for our riders around the globe. We look forward to making progress in the years ahead with another strong partner by our side.</t>
  </si>
  <si>
    <t xml:space="preserve">Today Uber Freight and Waymo Via announce a long-term strategic partnership to connect their technologies and deploy autonomous trucks at scale on the Uber Freight network.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t>
  </si>
  <si>
    <t>Citizens of Surprise- if you want to check out the Udelv ADV, place your Walmart grocery delivery order (starting later this month).</t>
  </si>
  <si>
    <t>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t>
  </si>
  <si>
    <t>The collaboration includes an autonomous delivery trial that will see Wayve’s technology fitted onto a selection of Ocado delivery vans and trialed on urban delivery routes. This trial will help Ocado explore first-hand how Wayve can handle t</t>
  </si>
  <si>
    <t>Both companies have also agreed to establish an instant information sharing mechanism to deepen communication and conduct regular technical exchanges to jointly engage in industry-leading processes and quality standards. Meanwhile, ZF and NIO plan to extend their collaboration to brand promotion, product marketing, technology and quality enhancements, as well as customer service.
The signing of this agreement marks the first time that ZF Group cooperates with a customer i</t>
  </si>
  <si>
    <t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t>
  </si>
  <si>
    <t>Nuro , a leading autonomous vehicle company, today announced a multi-year partnership to use Nuro's autonomous, electric vehicles for food deliveries in the United States.</t>
  </si>
  <si>
    <t>Previous work relations</t>
  </si>
  <si>
    <t>Contract</t>
  </si>
  <si>
    <t>Membership</t>
  </si>
  <si>
    <t>Service Integration</t>
  </si>
  <si>
    <t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t>
  </si>
  <si>
    <t>Product cooperation</t>
  </si>
  <si>
    <t>One time - Pilot</t>
  </si>
  <si>
    <t>Duration of cooperation</t>
  </si>
  <si>
    <t xml:space="preserve">Yes </t>
  </si>
  <si>
    <t>One time - customer research</t>
  </si>
  <si>
    <t>Long term - Future years mentioned</t>
  </si>
  <si>
    <t>Long term - coming years</t>
  </si>
  <si>
    <t>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t>
  </si>
  <si>
    <t>One time -  Pilot</t>
  </si>
  <si>
    <t>One time - Tour</t>
  </si>
  <si>
    <t>One time - Trade show</t>
  </si>
  <si>
    <t>Product Integration</t>
  </si>
  <si>
    <t xml:space="preserve">The partnership begins with the installation of a 5G network, 4G radio with 5G core in collaboration with Telia, a leading telco in the Nordic-Baltic region, enabling high-performance connectivity at the site. </t>
  </si>
  <si>
    <t>Product integration</t>
  </si>
  <si>
    <t>Long term - multi year</t>
  </si>
  <si>
    <t>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t>
  </si>
  <si>
    <t>The partnership will allow riders to easily plan, pay and ride in shared AVs while providing them a safe, accessible, and sustainable form of mobility in regions around the globe.</t>
  </si>
  <si>
    <t>Product  cooperation</t>
  </si>
  <si>
    <t>Long term - 2025</t>
  </si>
  <si>
    <t>The Mobileye SuperVision projects are expected to be deployed by end of 2024, with the Mobileye Chauffeur projects targeted for launch by the end of 2025.
Mr. Qiu Xian Dong, chairman of BOD &amp; secretary of the CPC FAW Group Committee , and Professor Amnon Shashua, President and CEO of Mobileye, held the signing ceremony on September 13, in Changchun</t>
  </si>
  <si>
    <t>Today, Mobileye announced a collaboration with Wistron NeWeb Corp. (Wistron NeWeb Corp ) for production of its software-defined imaging radars. 
This collaboration is expected to allow Mobileye and Wistron NeWeb Corp  to begin producing automotive-grade imaging radars two years from now,</t>
  </si>
  <si>
    <t>At IAA Mobility 2023 in Munich today, Mobileye and Valeo announced a new partnership to deliver software-defined, best-in-class imaging radars for next-generation driver assist and automated driving features.
œThis partnership reinforces the strong relationship between Valeo and Mobileye</t>
  </si>
  <si>
    <t>Service integration</t>
  </si>
  <si>
    <t>As part of the long-term agreement, Mobileye will work with ZEEKR to create advanced ADAS systems with increasingly sophisticated capabilities for a variety of ZEEKR models.
The two companies also plan to collaborate further on a next-generation system powered by six EyeQ5 SoCs to deliver a new standard for a comprehensive ADAS experience. It is expected to make its global debut as soon as 2023.
The collaboration follows an equity investment in ZEEKR by Intel Capital.</t>
  </si>
  <si>
    <t>Service cooperation</t>
  </si>
  <si>
    <t>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t>
  </si>
  <si>
    <t xml:space="preserve">One time - Pilot </t>
  </si>
  <si>
    <t>ION will be the official distributor of NAVYA vehicles in the GCC operating and maintaining NAVYA vehicles in the region
Already operating in Masdar City since October 2018, the shuttles are also wheelchair-accessible and have a capacity of 15 passengers.</t>
  </si>
  <si>
    <t>Research cooperation</t>
  </si>
  <si>
    <t>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t>
  </si>
  <si>
    <t>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t>
  </si>
  <si>
    <t>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t>
  </si>
  <si>
    <t>Short term - 3 days</t>
  </si>
  <si>
    <t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t>
  </si>
  <si>
    <t>One time - pilot</t>
  </si>
  <si>
    <t>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t>
  </si>
  <si>
    <t>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t>
  </si>
  <si>
    <t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t>
  </si>
  <si>
    <t>One time - advertising campaign</t>
  </si>
  <si>
    <t>announced a multi-year strategic collaboration 
The engagement between the two companies started in early 2020 when the Covid-19 pandemic started. On-road testing, a critical part of autonomous vehicle system development, was temporarily halted to ensure the health and safety of Torc's staff.m</t>
  </si>
  <si>
    <t>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t>
  </si>
  <si>
    <t>One time</t>
  </si>
  <si>
    <t>One time service</t>
  </si>
  <si>
    <t>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t>
  </si>
  <si>
    <t xml:space="preserve">Today, AAA Northern California, Nevada &amp; Utah is joining Waymo and our many partners in our mission to increase awareness and education about how self-driving technology can address road safety and mobility challenges. AAA Northern California, Nevada &amp; Utah oversees operations in seven markets, including Northern California and Arizona where self-driving technology is quickly gaining speed. </t>
  </si>
  <si>
    <t>One time - Research cooperation</t>
  </si>
  <si>
    <t>Date</t>
  </si>
  <si>
    <t>2016, 4, 20</t>
  </si>
  <si>
    <t>2015, 7, 28</t>
  </si>
  <si>
    <t>2014, 6, 3</t>
  </si>
  <si>
    <t>2015, 9, 2</t>
  </si>
  <si>
    <t>2016, 1, 25</t>
  </si>
  <si>
    <t>2023, 10, 9</t>
  </si>
  <si>
    <t>2023, 10, 5</t>
  </si>
  <si>
    <t>2023, 5, 2</t>
  </si>
  <si>
    <t>2023, 4, 27</t>
  </si>
  <si>
    <t>2022, 5, 11</t>
  </si>
  <si>
    <t>2022, 2, 14</t>
  </si>
  <si>
    <t>2023, 8, 24</t>
  </si>
  <si>
    <t>2023, 4, 21</t>
  </si>
  <si>
    <t>2023, 3, 14</t>
  </si>
  <si>
    <t>2023, 1, 4</t>
  </si>
  <si>
    <t>2023, 6, 21</t>
  </si>
  <si>
    <t>2022, 6, 13</t>
  </si>
  <si>
    <t>2022, 1, 20</t>
  </si>
  <si>
    <t>2023, 6, 30</t>
  </si>
  <si>
    <t>2021, 1, 19</t>
  </si>
  <si>
    <t>2023, 6, 6</t>
  </si>
  <si>
    <t>2020, 11, 10</t>
  </si>
  <si>
    <t>2023, 1, 5</t>
  </si>
  <si>
    <t>2019, 12, 19</t>
  </si>
  <si>
    <t>2021, 1, 6</t>
  </si>
  <si>
    <t>2021, 1, 22</t>
  </si>
  <si>
    <t>2019, 9, 12</t>
  </si>
  <si>
    <t>2020, 12, 21</t>
  </si>
  <si>
    <t>2019, 6, 12</t>
  </si>
  <si>
    <t>2022, 7, 28</t>
  </si>
  <si>
    <t>2021, 2, 22</t>
  </si>
  <si>
    <t>2019, 5, 8</t>
  </si>
  <si>
    <t>2022, 6, 9</t>
  </si>
  <si>
    <t>2023, 5, 31</t>
  </si>
  <si>
    <t>2023, 11, 13</t>
  </si>
  <si>
    <t>2019, 2, 14</t>
  </si>
  <si>
    <t>2021, 8, 12</t>
  </si>
  <si>
    <t>2020, 5, 14</t>
  </si>
  <si>
    <t>2017, 10, 25</t>
  </si>
  <si>
    <t>2018, 11, 7</t>
  </si>
  <si>
    <t>2020, 10, 20</t>
  </si>
  <si>
    <t>2021, 3, 16</t>
  </si>
  <si>
    <t>2022, 3, 28</t>
  </si>
  <si>
    <t>2022, 8, 31</t>
  </si>
  <si>
    <t>2022, 5, 18</t>
  </si>
  <si>
    <t>2023, 3, 15</t>
  </si>
  <si>
    <t>2021, 9, 28</t>
  </si>
  <si>
    <t>2021, 3, 22</t>
  </si>
  <si>
    <t>2021, 10, 19</t>
  </si>
  <si>
    <t>2023, 5, 24</t>
  </si>
  <si>
    <t>2018, 4, 9</t>
  </si>
  <si>
    <t>2022, 12, 9</t>
  </si>
  <si>
    <t>2023, 2, 15</t>
  </si>
  <si>
    <t>2023, 2, 22</t>
  </si>
  <si>
    <t>2022, 9, 29</t>
  </si>
  <si>
    <t>2022, 7, 26</t>
  </si>
  <si>
    <t>2023, 10, 25</t>
  </si>
  <si>
    <t>2022, 3, 21</t>
  </si>
  <si>
    <t>2023, 4, 13</t>
  </si>
  <si>
    <t>2023, 3, 28</t>
  </si>
  <si>
    <t>2020, 11, 18</t>
  </si>
  <si>
    <t>2023, 7, 19</t>
  </si>
  <si>
    <t>2023, 9, 19</t>
  </si>
  <si>
    <t>2022, 1, 13</t>
  </si>
  <si>
    <t>2021, 12, 16</t>
  </si>
  <si>
    <t>2021, 4, 20</t>
  </si>
  <si>
    <t>2022, 7, 21</t>
  </si>
  <si>
    <t>2020, 6, 24</t>
  </si>
  <si>
    <t>2022, 6, 17</t>
  </si>
  <si>
    <t>2022, 9, 22</t>
  </si>
  <si>
    <t>2022, 1, 27</t>
  </si>
  <si>
    <t>2021, 6, 17</t>
  </si>
  <si>
    <t>2022, 9, 8</t>
  </si>
  <si>
    <t>2023, 3, 22</t>
  </si>
  <si>
    <t>2021, 4, 15</t>
  </si>
  <si>
    <t>2023, 10, 8</t>
  </si>
  <si>
    <t>2019, 7, 7</t>
  </si>
  <si>
    <t>2022, 12, 10</t>
  </si>
  <si>
    <t>2020, 3, 2</t>
  </si>
  <si>
    <t>2021, 11, 9</t>
  </si>
  <si>
    <t>2022, 5, 9</t>
  </si>
  <si>
    <t>2015, 3, 25</t>
  </si>
  <si>
    <t>2023, 5, 10</t>
  </si>
  <si>
    <t>2021, 8, 18</t>
  </si>
  <si>
    <t>2021, 8, 17</t>
  </si>
  <si>
    <t>2021, 2, 8</t>
  </si>
  <si>
    <t>2022, 12, 8</t>
  </si>
  <si>
    <t>2023, 2, 17</t>
  </si>
  <si>
    <t>2022, 4, 19</t>
  </si>
  <si>
    <t>2018, 5, 1</t>
  </si>
  <si>
    <t>2023, 11, 1</t>
  </si>
  <si>
    <t>2022, 10, 5</t>
  </si>
  <si>
    <t>2023, 5, 1</t>
  </si>
  <si>
    <t>2021, 8, 23</t>
  </si>
  <si>
    <t>2021, 4, 27</t>
  </si>
  <si>
    <t>2021, 4, 12</t>
  </si>
  <si>
    <t>2019, 10, 8</t>
  </si>
  <si>
    <t>2023, 8, 22</t>
  </si>
  <si>
    <t>2022, 1, 4</t>
  </si>
  <si>
    <t>2020, 6, 1</t>
  </si>
  <si>
    <t>2023, 1, 9</t>
  </si>
  <si>
    <t>2022, 7, 27</t>
  </si>
  <si>
    <t>2023, 8, 4</t>
  </si>
  <si>
    <t>2019, 8, 26</t>
  </si>
  <si>
    <t>2021, 5, 10</t>
  </si>
  <si>
    <t>2022, 10, 6</t>
  </si>
  <si>
    <t>2022, 7, 6</t>
  </si>
  <si>
    <t>2022, 9, 26</t>
  </si>
  <si>
    <t>2021, 11, 8</t>
  </si>
  <si>
    <t>2020, 10, 30</t>
  </si>
  <si>
    <t>2021, 12, 5</t>
  </si>
  <si>
    <t>2019, 1, 7</t>
  </si>
  <si>
    <t>2017, 6, 7</t>
  </si>
  <si>
    <t>2020, 7, 31</t>
  </si>
  <si>
    <t>2019, 1, 8</t>
  </si>
  <si>
    <t>2020, 11, 17</t>
  </si>
  <si>
    <t>2020, 7, 15</t>
  </si>
  <si>
    <t>2020, 9, 23</t>
  </si>
  <si>
    <t>2021, 5, 5</t>
  </si>
  <si>
    <t>2021, 7, 29</t>
  </si>
  <si>
    <t>2020, 3, 26</t>
  </si>
  <si>
    <t>2022, 7, 19</t>
  </si>
  <si>
    <t>2022, 3, 29</t>
  </si>
  <si>
    <t>2018, 8, 27</t>
  </si>
  <si>
    <t>2022, 6, 7</t>
  </si>
  <si>
    <t>2022, 12, 14</t>
  </si>
  <si>
    <t>2018, 10, 29</t>
  </si>
  <si>
    <t>2019, 7, 10</t>
  </si>
  <si>
    <t>2023, 9, 21</t>
  </si>
  <si>
    <t>2023, 11, 2</t>
  </si>
  <si>
    <t>2020, 9, 4</t>
  </si>
  <si>
    <t>2019, 5, 7</t>
  </si>
  <si>
    <t>2019, 6, 19</t>
  </si>
  <si>
    <t>2018, 7, 31</t>
  </si>
  <si>
    <t>2020, 6, 25</t>
  </si>
  <si>
    <t>2019, 3, 13</t>
  </si>
  <si>
    <t>2020, 7, 22</t>
  </si>
  <si>
    <t>2017, 6, 27</t>
  </si>
  <si>
    <t>2021, 10, 6</t>
  </si>
  <si>
    <t>2021, 9, 21</t>
  </si>
  <si>
    <t>2022, 10, 14</t>
  </si>
  <si>
    <t>2020, 2, 19</t>
  </si>
  <si>
    <t>2021, 10, 7</t>
  </si>
  <si>
    <t>Long term - Min 2027 (&gt;4 years)</t>
  </si>
  <si>
    <t>Long term - 2025 (&gt;1 year)</t>
  </si>
  <si>
    <t>Long term - Min 2025 (&gt;2 years)</t>
  </si>
  <si>
    <t>Long term - 2028 (&gt;6 years)</t>
  </si>
  <si>
    <t>Long term - 10 years</t>
  </si>
  <si>
    <t>Long term - 2023 (&gt;2 years)</t>
  </si>
  <si>
    <t>Long term - Min 1 year</t>
  </si>
  <si>
    <t>Long term - 5 years</t>
  </si>
  <si>
    <t>Long term - 3 years</t>
  </si>
  <si>
    <t>Long term - 4 years</t>
  </si>
  <si>
    <t>Long term - min. 2024 (&gt;1 year)</t>
  </si>
  <si>
    <t>Long term - min 2023</t>
  </si>
  <si>
    <t>Long term - Multi-year</t>
  </si>
  <si>
    <t>Long term - Min 2024 (&gt;3 years)</t>
  </si>
  <si>
    <t>Long term - n.a</t>
  </si>
  <si>
    <t>Long term - &gt;1 year</t>
  </si>
  <si>
    <t>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t>
  </si>
  <si>
    <t>Short term - 6 months</t>
  </si>
  <si>
    <t>Short term - 1 month</t>
  </si>
  <si>
    <t>Short term -  &gt;2 months</t>
  </si>
  <si>
    <t>Short term - Min 6 months</t>
  </si>
  <si>
    <t xml:space="preserve">One time  - Pilot </t>
  </si>
  <si>
    <t>Financing</t>
  </si>
  <si>
    <t>OneTime_alliance?</t>
  </si>
  <si>
    <t>Contract number</t>
  </si>
  <si>
    <t>Long term - min 12 months</t>
  </si>
  <si>
    <t>Long term - -</t>
  </si>
  <si>
    <t xml:space="preserve">Long term - - </t>
  </si>
  <si>
    <t>Short term - months</t>
  </si>
  <si>
    <t>One time - Regulation</t>
  </si>
  <si>
    <t>Other</t>
  </si>
  <si>
    <t>Supply Partnership (traditional)</t>
  </si>
  <si>
    <t>Long term - 12 months</t>
  </si>
  <si>
    <t>1. Informal Agreement</t>
  </si>
  <si>
    <t>3. Strategic Partnership</t>
  </si>
  <si>
    <t>4. Joint Venture</t>
  </si>
  <si>
    <t>Beti</t>
  </si>
  <si>
    <t>https://navette-autonome.fr/en/equipment/</t>
  </si>
  <si>
    <t>2022, 11, 28</t>
  </si>
  <si>
    <t>2023, 5, 17</t>
  </si>
  <si>
    <t>2023, 5, 9</t>
  </si>
  <si>
    <t>2023, 8, 25</t>
  </si>
  <si>
    <t>2023, 9, 14</t>
  </si>
  <si>
    <t>2020, 7, 7</t>
  </si>
  <si>
    <t>2023, 9, 26</t>
  </si>
  <si>
    <t>2023, 9, 4</t>
  </si>
  <si>
    <t>2021, 8, 27</t>
  </si>
  <si>
    <t xml:space="preserve">Current plans foresee the expansion of the test project to include operations on public streets. The project partners are working in close collaboration with local authorities in the search for a suitable route. </t>
  </si>
  <si>
    <t xml:space="preserve">Through the partnership, TuSimple and Ryder will work together to identify existing Ryder facilities to serve as terminals along the TuSimple AFN. </t>
  </si>
  <si>
    <t>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t>
  </si>
  <si>
    <t>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t>
  </si>
  <si>
    <t>The various stages of this R&amp;D project ensure the design of such a system, its realization, and a final evaluation of the concept.</t>
  </si>
  <si>
    <t>As we continue expanding our driverless service, Cruise is proud to partner with Mothers-Against-Drunk-Driving , one of the nation's leading advocacy organizations for reducing preventable traffic violence and the tragedies that have long persisted on American roads.</t>
  </si>
  <si>
    <t>Einride will showcase its 5G-connected transportation solution at Ericsson's event area between 25-28 February. Members of the press and other guests will be given the opportunity to remote control an autonomous vehicle , located at AstaZero, a test site outside Gothenburg, Sweden.</t>
  </si>
  <si>
    <t xml:space="preserve">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t>
  </si>
  <si>
    <t>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t>
  </si>
  <si>
    <t>Once across the street, Howell swiped his finger across his smartphone's screen. The vehicle's rear passenger door unlocked. Using a couple more verbal cues, Howell was able to find the vehicle, open the door, fold up his cane, and sit himself down in the backseat.</t>
  </si>
  <si>
    <t xml:space="preserve">That's why we've partnered with Verily, an Alphabet company focused on healthcare and life sciences, to provide integrated COVID-19 testing, symptom and exposure screening, and data analytics for our front-line team members and partners. </t>
  </si>
  <si>
    <t>we've partnered with Verily, an Alphabet company focused on healthcare and life sciences, to provide integrated COVID-19 testing, symptom and exposure screening, and data analytics for our front-line team members and partners.</t>
  </si>
  <si>
    <t>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t>
  </si>
  <si>
    <t>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t>
  </si>
  <si>
    <t>Waymo and Swiss Re, one of the world's leading providers of reinsurance, today announced a research collaboration aimed at developing new risk assessment methodologies, which would provide guidance for the insurance industry in properly assessing AV risk.</t>
  </si>
  <si>
    <t>This year, we've had our foot on the accelerator expanding our pickup and delivery services, so customers can get the items they need quickly and safely. In April alone, we launched Express Delivery and have since scaled it to more than 2,800 stores, reaching more than 65% of American households.
We may be growing delivery options today, but we're still experimenting with new ways we can use technology to serve customers in the future. This time, we're cruising over to Scottsdale, Arizona, to rev up a new pilot with self-driving car company, Cruise. What's unique about Cruise is they're the only self-driving car company to operate an entire fleet of all-electric vehicles powered with 100% renewable energy, which supports our road to zero emissions by 2040.
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
You’ve seen us test drive with self-driving cars in the past, and we’re continuing to learn a lot about how they can shape the future of retail. We’re excited to add Cruise to our lineup of autonomous vehicle pilots as we continue to chart a whole new roadmap for retail.</t>
  </si>
  <si>
    <t>Walmart's backing of Udelv, along with our experience from thousands of public road deliveries across multiple industries, positions Udelv at the forefront of autonomous delivery vehicle providers.</t>
  </si>
  <si>
    <t>Deutsche Bahn and Berlin's municipal public transportation operator Berliner Verkehrsbetriebe are cooperation partners in the area of autonomous driving</t>
  </si>
  <si>
    <t>EasyMile and Sono Motors are equipping an EZ10 autonomous shuttle prototype with Sono Motors' patented solar technology, testing a new energy concept for electric and driverless shuttles.</t>
  </si>
  <si>
    <t>Farmstead said that in the coming weeks, it'll partner up with Carson, California-based Udelv to deliver foodstuff to Bay Area customers via the autonomous vehicle company's modified GEM eL XD electric trucks. It's been running a limited pilot since September.</t>
  </si>
  <si>
    <t>Plus (www.plus.ai), a leading provider of self-driving trucking technology, today announced a partnership with the Minnesota Department of Transportation (MnDOT), marking the agency's first partnership with an autonomous trucking company to test on MnDOT's MnROAD cold-weather pavement testing facility.
he testing will begin with mapping the MnROAD closed test track, followed by rigorous performance testing of Plus's self-driving trucks.</t>
  </si>
  <si>
    <t>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t>
  </si>
  <si>
    <t>The two companies will explore the integration and deployment of Aurora Horizon within Covenant's operations.</t>
  </si>
  <si>
    <t>The world's largest bearing manufacturer SKF and tech company EInride have signed a pilot agreement to test Einride's self-driving, electric truck for transporting goods on public roads between SKF's factories in Gothenburg.</t>
  </si>
  <si>
    <t>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t>
  </si>
  <si>
    <t>Goodyear and Plus will explore how Plus's autonomous driving system can incorporate feedback from Goodyear's connected tires into Plus's online, machine learning-based fuel optimization, to further improve fuel economy.</t>
  </si>
  <si>
    <t>Through this collaboration, Goodyear's suite of services, including connected tires, will further enhance transportation efficiency and safety for semi-trucks powered by Plus's Level 4 autonomous driving technology while also reducing carbon impact.
Goodyear and Plus will explore how Plus's autonomous driving system can incorporate feedback from Goodyear's connected tires into Plus's online, machine learning-based fuel optimization, to further improve fuel economy.
Integrating Goodyear's intelligent tires with Plus's autonomous driving system can also improve a vehicle's overall performance in severe weather and extreme road conditions.</t>
  </si>
  <si>
    <t xml:space="preserve">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t>
  </si>
  <si>
    <t>This strategic collaboration is designed to fine-tune Aurora's autonomous Driver-as-a-Service product, Aurora Horizon, for efficient deployment at commercial scale.</t>
  </si>
  <si>
    <t>We're exciting to announce that H-E-B and Udelv are partnering to bring autonomous grocery delivery to Texas.</t>
  </si>
  <si>
    <t>We're exciting to announce that H-E-B and Udelv are partnering to bring autonomous grocery delivery to Texas.
Udelv's ADVs will be delivering for H-E-B customers in late 2019.</t>
  </si>
  <si>
    <t>We've partnered with Derq, an AI company developing innovative road solutions, to find those answers. Together, Derq and Motional are testing how driverless technology reacts when given an even broader perspective than it already has: a bird's-eye view.</t>
  </si>
  <si>
    <t>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t>
  </si>
  <si>
    <t>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t>
  </si>
  <si>
    <t>Cartken, which partnered with REEF Technology last year to bring its self-driving robots to deliver food in downtown Miami, will not only gain from Mitsubishi's expertise in electrical equipment, but it will also help the startup establish a presence in Japan.</t>
  </si>
  <si>
    <t>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t>
  </si>
  <si>
    <t>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t>
  </si>
  <si>
    <t>I'm proud to share that Cruise for Good is teaming up with food rescue platform Replate to tackle these competing challenges head on, through something that's never been done before: a first-of-its kind, driverless, all-electric food rescue initiative that we aim to scale nationally.</t>
  </si>
  <si>
    <t>Together, we'll transform the way food and grocery deliveries are made, bringing customers a new level of convenience and sustainability right to their door.</t>
  </si>
  <si>
    <t>Now, Polarrenen will take the next step towards sustainable transport by financing electric trucks operated by Einride's intelligent freight mobility platform.</t>
  </si>
  <si>
    <t>As part of the collaboration, Goggo Network will begin by deploying Oxbotica's autonomous driving software in Spain, across its growing middle-mile operations</t>
  </si>
  <si>
    <t>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t>
  </si>
  <si>
    <t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t>
  </si>
  <si>
    <t>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t>
  </si>
  <si>
    <t>Beginning later this year, Avis will be able to keep our fleet charged, refuelled and squeaky-clean. They'll also help maintain our vehicles with oil changes, brake installations, tire rotations, and more (while we'll continue to look after the self-driving hardware, including our sensors).</t>
  </si>
  <si>
    <t>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t>
  </si>
  <si>
    <t>€Customers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t>
  </si>
  <si>
    <t>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t>
  </si>
  <si>
    <t xml:space="preserve">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t>
  </si>
  <si>
    <t>The collaboration will integrate Gatik's autonomous driving technology into several Isuzu medium-duty N-Series trucks to produce SAE Level 4 delivery vehicles with redundant systems. The first vehicles will be deployed this year thanks to the cooperative efforts of Gatik's and Isuzu's engineering teams.</t>
  </si>
  <si>
    <t>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t>
  </si>
  <si>
    <t>Mobileye today announced its strategic collaboration with Porsche, one of the world's greatest sports car builders,</t>
  </si>
  <si>
    <t xml:space="preserve">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t>
  </si>
  <si>
    <t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t>
  </si>
  <si>
    <t>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t>
  </si>
  <si>
    <t>Perrone Robotics has signed a memorandum of understanding for a collaboration with Professor Robert Hecht-Nielsen of the University of California (San Diego), San Diego's Vertebrate Movement Laboratory and its research team on advanced machine learning methods</t>
  </si>
  <si>
    <t xml:space="preserve">IVECO and Plus will integrate IVECO's latest-generation S-WAY heavy-duty truck with the PlusDrive full-stack autonomous driving system. The partners will also explore using IVECO's liquefied natural gas (LNG) engine system to power the jointly developed autonomous trucks. </t>
  </si>
  <si>
    <t>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t>
  </si>
  <si>
    <t>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t>
  </si>
  <si>
    <t>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t>
  </si>
  <si>
    <t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t>
  </si>
  <si>
    <t>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t>
  </si>
  <si>
    <t>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t>
  </si>
  <si>
    <t>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t>
  </si>
  <si>
    <t>For most Americans, the AAA name is synonymous with safe driving. Whether it's coming to drivers' aid on the roadside or helping people be more careful drivers, AAA has been an advocate for safety for more than a century, and in fact helped create the California Department of Motor Vehicles (DMV). That's why we're thrilled to see their leadership extend to the future of self-driving cars.
Today, AAA Northern California, Nevada &amp; Utah is joining Waymo and our many partners in our mission to increase awareness and education about how self-driving technology can address road safety and mobility challenges. AAA Northern California, Nevada &amp; Utah oversees operations in seven markets, including Northern California and Arizona where self-driving technology is quickly gaining speed. Working together, we'll expand the Let's Talk Self-Driving public education campaign, creating new content, engaging new audiences and educating more people on benefits of self-driving technology. AAA Northern California, Nevada &amp; Utah's long-standing leadership will be instrumental in helping address curiosity about the technology.
We launched the Let's Talk Self-Driving campaign in 2017 with Mothers-Against-Drunk-Driving, the National Safety Council, and a number of like-minded organizations in the Metro Phoenix area, all committed to the promise of self-driving technology to change lives and communities for the better. A lot has changed in the last two years. This past December, we introduced our ride-hailing service Waymo One in Phoenix, AZ. It's still early, but today, riders in Phoenix are using Waymo One vehicles for daily commutes, weekly grocery trips, carpools for kids and much more. As people see more self-driving cars on the roads in Phoenix and other cities, we know education will continue to be important.
We're incredibly excited to welcome AAA Northern California, Nevada &amp; Utah to Let's Talk Self-Driving. We'll continue to grow the conversation, create a community hub for discussion, and provide opportunities for people to learn about the impact self-driving technology can have to change people's lives for the better. We welcome others to join us in this effort. You can learn more by visiting LetsTalkSelfDriving.com.</t>
  </si>
  <si>
    <t xml:space="preserve">Today, Uber Freight and Volvo Autonomous Solutions (V.A.S.) have announced a multi-phase commercial and technology partnership to deploy Volvo's autonomous transport solution on the Uber Freight network. </t>
  </si>
  <si>
    <t>We're pleased to announce the start of our strategic partnership with Navtech Radar Radar, a pioneer in technology and innovation providing the most technologically advanced and adaptable radar detection systems.
The partnership will create a solution that has the potential to transform industries. It will improve efficiencies, safety, and bottom lines by further enabling the deployment of autonomous vehicles (AV) in any environment and under any conditions. These applications range from mines and airports to warehouses and forests.</t>
  </si>
  <si>
    <t>Off-road industrial vehicles often cover remote terrain in low visibility conditions. By integrating Oxbotica's software into Navtech Radar's robust, high-definition radars, the two companies will further enhance the localisation and perception capabilities of AVs in those environments.</t>
  </si>
  <si>
    <t>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t>
  </si>
  <si>
    <t>Waymo is partnering with Valley Metro, the Phoenix area's regional public transportation authority, to explore mobility solutions that use self-driving technology to better connect travelers with the city's existing buses and light rail.</t>
  </si>
  <si>
    <t>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t>
  </si>
  <si>
    <t>Robot delivery from Kiwibot and Grubhub will first be available at the University of North Dakota before rolling out to additional schools next semester. Kiwibot joins Grubhub's existing partners, including Cartken and Starship, on nearly a dozen campuses offering robot delivery.</t>
  </si>
  <si>
    <t>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t>
  </si>
  <si>
    <t>As a first step, we'll deploy 10 Waymo vehicles on Lyft over the next few months. Once Waymo vehicles are on the platform, Lyft users in the area will have the option to select a Waymo directly from the Lyft app for eligible rides.</t>
  </si>
  <si>
    <t>Gatik Announces Collaboration with America's Grocer to Future-Proof Supply Partnership with Autonomous Box Trucks</t>
  </si>
  <si>
    <t xml:space="preserve"> Gatik, the market leader in autonomous middle mile logistics, today announced a multi-year commercial collaboration to transport
customer orders within Kroger's Dallas distribution network.</t>
  </si>
  <si>
    <t>Gatik, the market leader in autonomous middle mile logistics, today announced a multi-year commercial collaboration to transport customer orders within Kroger's Dallas distribution network.</t>
  </si>
  <si>
    <t>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t>
  </si>
  <si>
    <t>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t>
  </si>
  <si>
    <t xml:space="preserve">this partnership will see eVersum produce autonomous-ready electric base vehicles, featuring Oxa Driver, Oxa's autonomy software, along with sensors and computing technology integrated directly on the production line. </t>
  </si>
  <si>
    <t xml:space="preserve">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t>
  </si>
  <si>
    <t>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The first phase of the partnership includes the deployment of five Einride connected electric trucks and the development, installation, and building of the charging infrastructure to support it. T</t>
  </si>
  <si>
    <t>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t>
  </si>
  <si>
    <t>The goal is to launch a commercial pilot at Coca-Cola European Partners' facility outside Stockholm, where the Einride autonomous vehicle will transport goods from the company's warehouse to food retailer Axfood's warehouse in the same area.
The partnership with Coca-Cola European Partners will run over the next few years and explore the opportunities to improve sustainability and efficiency in the transport system.</t>
  </si>
  <si>
    <t>The goal is to launch a commercial pilot at Coca-Cola European Partners' facility outside Stockholm, where the Einride autonomous vehicle will transport goods from the company's warehouse to food retailer Axfood's warehouse in the same area.</t>
  </si>
  <si>
    <t>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t>
  </si>
  <si>
    <t>May Mobility will adopt Via's autonomous fleet platform to power booking, routing, passenger and vehicle assignment and identification, customer experience, and fleet management as part of their new transit solution for future autonomous vehicle deployments.</t>
  </si>
  <si>
    <t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t>
  </si>
  <si>
    <t>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t>
  </si>
  <si>
    <t>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t>
  </si>
  <si>
    <t>the signed Memorandum of Understanding (MoU) will look to deploy Einride's ecosystem, including electric and autonomous vehicles, charging infrastructure and transforming technology that unlocks digital, electric and autonomous solutions at scale throughout the Falcon Rise grid.
The Falcon Rise grid will deploy Einride's full freight mobility offering, providing over a stretch of 550 km across Abu Dhabi, Dubai, and Sharjah, encompassing 2,000 electric trucks, 200 autonomous trucks and eight charging stations with over 500 charging points.
The Falcon Rise project will look to be developed over the course of five years. Einride partners have seen an up to 95% decrease in CO2 emissions while remaining cost competitive.</t>
  </si>
  <si>
    <t>The Falcon Rise grid will deploy Einride's full freight mobility offering, providing over a stretch of 550 km across Abu Dhabi, Dubai, and Sharjah, encompassing 2,000 electric trucks, 200 autonomous trucks and eight charging stations with over 500 charging points.</t>
  </si>
  <si>
    <t>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t>
  </si>
  <si>
    <t>This partnership brings together the power of Waymo's autonomous driving technology with the scale of Uber Freight's network and leading marketplace technology, unlocking a road map for the thoughtful and safe implementation of autonomous trucks on roads across the US.</t>
  </si>
  <si>
    <t>Einride's mission is to create more sustainable solutions for movement, and this initiative will support Oatly's goal to shift to 100% sustainable ground transport by 2029.
Swedish freight technology company Einride today announced the next phase of its partnership with Oatly Group AB. The partnership will expand Einride's freight mobility solutions to Oatly's North American g</t>
  </si>
  <si>
    <t>B. The partnership will expand Einride's freight mobility solutions to Oatly's North American ground fleet by deploying connected electric vehicles through Einride's capacity as a service and software as a service offerings.</t>
  </si>
  <si>
    <t>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t>
  </si>
  <si>
    <t>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t>
  </si>
  <si>
    <t>the strategic partnership will see Oxa's autonomy software installed in a variety of vehicle types operated by Beep, from current passenger shuttles to future vehicle platforms</t>
  </si>
  <si>
    <t xml:space="preserve">In turn, Einride will supply connected electric trucks and digital services under a subscription agreement to Bridgestone for its U.S. shipping logistics network, with the aim of electrifying the majority of Bridgestone's landside transport needs by 2025.
As part of the agreement, Bridgestone will become an official US launch partner of Einride and the exclusive tire supplier for Einride in the U.S. market. </t>
  </si>
  <si>
    <t>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t>
  </si>
  <si>
    <t>The technology companies Continental and Aurora Innovation,  have entered into an exclusive partnership to deliver the first commercially scalable generation of Aurora's flagship integrated hardware and software system, the Aurora Driver. 
Continental and Aurora have signed an exclusive partnership to realize autonomous trucking systems.</t>
  </si>
  <si>
    <t>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t>
  </si>
  <si>
    <t>The cooperation concerns the realization of 2getthere's innovative automated people mover systems, with SLTN Inter Access designing and providing the Information and Communication Technology (ICT) network.</t>
  </si>
  <si>
    <t>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t>
  </si>
  <si>
    <t>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t>
  </si>
  <si>
    <t>As part of this partnership, we'll supply our proprietary self-driving system to Toyota Sienna Minivans. Rather than owning and operating the fleet of self-driving vehicles, these minivans will be owned and operated by an agreed upon third party, a new business model for Uber.</t>
  </si>
  <si>
    <t>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t>
  </si>
  <si>
    <t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t>
  </si>
  <si>
    <t>Sweden's Transport Agency released a mandate granting permits to self-driving vehicles on public roads in July 2017. Einride and Lidl have contacted the Transport Agency and are planning to submit a license application in November 2017.</t>
  </si>
  <si>
    <t>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t>
  </si>
  <si>
    <t>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t>
  </si>
  <si>
    <t>cooperation agreement for the introduction of 2getthere's innovative driverless transit systems to Singapore.</t>
  </si>
  <si>
    <t xml:space="preserve">Now, we're pleased to share that we've strengthened our partnership with FCA in several important ways.
FCA has selected Waymo as its exclusive, strategic technology partner for L4 fully self-driving technology across FCA's full product portfolio. </t>
  </si>
  <si>
    <t>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t>
  </si>
  <si>
    <t>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t>
  </si>
  <si>
    <t>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t>
  </si>
  <si>
    <t>Today we're announcing that Waymo has entered into an exclusive partnership with Renault and Nissan on behalf of The Alliance to explore driverless mobility services for passengers and deliveries in France and Japan.</t>
  </si>
  <si>
    <t>By teaming up with Renault and Nissan initially to research commercial, legal, and regulatory issues related to transportation-as-a-service in France and Japan, we're on the path to creating long-term driverless solutions hand-in-hand with the world's largest automaker.</t>
  </si>
  <si>
    <t>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t>
  </si>
  <si>
    <t>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t>
  </si>
  <si>
    <t>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t>
  </si>
  <si>
    <t>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t>
  </si>
  <si>
    <t xml:space="preserve">with a goal to advance the development of mobility solutions for the autonomous B2B short-haul logistics industry. The collaboration will contribute to safer, more sustainable goods movement while reducing costs for Gatik's customers in the B2B short-haul market nationwide.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t>
  </si>
  <si>
    <t>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t>
  </si>
  <si>
    <t>In anticipation of the growing demand for 2getthere's systems in the Middle East, the investment is used to support the road map development, organizational growth and marketing ambitions.</t>
  </si>
  <si>
    <t>Pony.ai, a leading global autonomous driving technology company, today announced a strategic joint venture with SANY Heavy Truck (SANY), a subsidiary of SANY Heavy Industry, China's number one heavy equipment manufacturer and the third largest heavy equipment manufacturer globally.
The joint venture plans to start small-scale deliveries of the robotrucks in 2022 and 2023. Mass production of the L4 truck will commence in 2024 and within a few years will reach an annual production of around 10,000 trucks.</t>
  </si>
  <si>
    <t xml:space="preserve">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
  </si>
  <si>
    <t>Intel's Mobileye teams with Udelv</t>
  </si>
  <si>
    <t>"May Mobility is a global technology leader in autonomous mobility and we're proud to partner with them to establish and scale a complete AV deployment system</t>
  </si>
  <si>
    <t>"With Transdev's deep understanding of mobility operations, this collaboration will further strengthen our AMoD and data management capabilities, while expanding our automated driving platform to include a variety of different vehicle types.</t>
  </si>
  <si>
    <t xml:space="preserve">"We have proudly worked with ZEEKR, our strategic partner, 
Mobileye and Geely Holding Group announced today the expansion of their ongoing collaboration 
between ZEEKR and Mobileye continues to deepen, Mobileye's globally leading intelligent driving technologies will be used in more ZEEKR models in the future. </t>
  </si>
  <si>
    <t>"By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t>
  </si>
  <si>
    <t>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t>
  </si>
  <si>
    <t>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t>
  </si>
  <si>
    <t>"To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t>
  </si>
  <si>
    <t>By partnering with Kodiak now, 10 Roads can build the operational expertise we need to efficiently integrate autonomous trucks into our fleet in the coming years."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t>
  </si>
  <si>
    <t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
  </si>
  <si>
    <t>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t>
  </si>
  <si>
    <t>Through a new technology agreement, Plus is offering its PlusDrive solution with the integrated steering system from 
€œOur agreement with Plus complements existing Bosch portfolio elements and is one of multiple ways we can work together to support our customers."</t>
  </si>
  <si>
    <t>"Our offer of clean, efficient and affordable mobility is convincing, and has found a partner and major customer in Beep"</t>
  </si>
  <si>
    <t>Coca-Cola European Partners is the local licensed bottling partner, responsible for all production, distribution, sales and trade marketing of the brands in the Coca-Cola portfolio in Sweden. Coca-Cola European Partners has a continuous focus on innovation and technology that is both efficient and sustainable. This step is also in line with the DLF transport initiative that was signed earlier this year aiming to achieve 100% fossil free transportation domestically by 2025.
"Our partnership with Einride is the start of a transformation journey to introduce a more sustainable and efficient transport system that will allow us to reduce our carbon footprint. As one of the leading FMCG-companies in Sweden we strive to find innovative solutions to build future capabilities. Through partnerships in innovation we can create synergies that take us forward", says Sofie Eliasson Morsink, CEO Coca-Cola European Partners Sweden.
Digitalization, electrification and automation are the most important building blocks of Einride's solution, which has the potential to reduce CO2 emissions by 90 %. The partnership with Coca-Cola European Partners will run over the next few years and explore the opportunities to improve sustainability and efficiency in the transport system.
The goal is to launch a commercial pilot at Coca-Cola European Partners' facility outside Stockholm, where the Einride autonomous vehicle will transport goods from the company's warehouse to food retailer Axfood's warehouse in the same area.
"Road freight transport is responsible for around 7 % of global CO2-emissions and has only gone through incremental changes the last decades. We are proud that a leading FMCG company like Coca-Cola European Partners has decided to join our intelligent movement. They show the industry, and society, that there is a better more sustainable solution to transport goods, which is also safer and more efficient than the system we have today", says Robert Falck, CEO &amp; Founder of Einride.</t>
  </si>
  <si>
    <t>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t>
  </si>
  <si>
    <t>By switching to electric trucks, transport emissions can decrease by up to 93 percent. Einride's self-driving Einride Pod is a big step forward in Lidl's battle for fossil free transport."</t>
  </si>
  <si>
    <t>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t>
  </si>
  <si>
    <t>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t>
  </si>
  <si>
    <t>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t>
  </si>
  <si>
    <t xml:space="preserve">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t>
  </si>
  <si>
    <t>After an exciting beginning of the year with UTAC and ENIT Career fair in May, and our participation in Polytechnique (X) and SUPMICROTECH-ENSMM in October of this year, EasyMile is thrilled to announce our upcoming tour of engineering schools across France. We're on a mission to connect with the brightest young minds and strengthen our partnership with educational institutions. As we venture out to universities like INSA, ENSEEIHT, ISAE Supaero, ESTACA, Centrale SUPELEC, and Phd Talent, we're not just looking for the next generation of innovators "we're offering them the chance to be a part of the autonomous future.
October and November are set to be exciting months for EasyMile, as we embark on a journey to build stronger connections with the academic community. Our tour kicks off on Tuesday, October 24th, at INSA Toulouse, followed by an extended visit to INP-ENSEEIHT (N7) from Thursday, October 26th, till Tuesday, October 31st. These visits will be an opportunity for us to explore avenues of collaboration, fostering innovation, and recruiting top-tier talent.
On Thursday, November 9th, we'll be at ISAE Supaero in Toulouse, where we will engage with the next generation of aerospace and engineering experts. Our aim is to create an environment where ideas can flourish, driving cutting-edge developments in autonomous mobility.
As we continue our journey, we'll be heading to ESTACA in Laval on Thursday, November 16th. Then, on Tuesday, November 21st, we'll be at Centrale SUPELEC in Paris, further expanding our reach and connecting with students from different regions.
Our tour concludes with a visit to Phd Talent career fair 2023 in the CENTQUATRE-Paris on Thursday, November 23rd. This event promises to be an excellent platform for us to engage with future experts and discuss the exciting possibilities of autonomous mobility.
EasyMile invites you to be a part of our mission. Whether you're an aspiring engineer, a forward-thinking innovator, or someone passionate about technology and its real-world applications, we want to meet you.
Mark your calendars, prepare your questions, and be ready to be part of the autonomous future. We'll see you there!</t>
  </si>
  <si>
    <t>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t>
  </si>
  <si>
    <t>"We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t>
  </si>
  <si>
    <t>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t>
  </si>
  <si>
    <t>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t>
  </si>
  <si>
    <t>For decades, American communities have struggled to combat the epidemic of impaired driving that has led to hundreds of thousands of preventable deaths and countless injuries. In 2021, there were 13,384 drunk-driving crash fatalities "an average of 37 per day.
Each of these victims is a human being, with loved ones whose lives are forever harmed.
This tragic reality drives the mission at Mothers-Against-Drunk-Driving  and our team at Cruise to safely bring autonomous vehicles to more communities with urgency. We know that our AVs "which cannot drive under the influence, don't get drowsy, and don't text while driving "can and will save lives and reduce collisions on the road .
As we continue expanding our driverless service, Cruise is proud to partner with Mothers-Against-Drunk-Driving , one of the nation's leading advocacy organizations for reducing preventable traffic violence and the tragedies that have long persisted on American roads.
"We are grateful to Cruise for their partnership and inspired by technology's potential to ensure nobody needs to worry about the potentially reckless behavior of drivers around them. Together, we can create a nation where there are No More Victims," said Mothers-Against-Drunk-Driving National President Tess Rowland.
Drunk driving is a factor in 31% of all traffic crash fatalities in the United States. Mothers-Against-Drunk-Driving's vision is a world with "No more victims of drunk/drugged driving." Cruise knows that world is possible and it's our joint mission to help achieve it.
The summer months include the three highest road fatality days of the year "Memorial Day, Fourth of July, and Labor Day "driving home the importance of Mothers-Against-Drunk-Driving's work, and the urgency of this mission.
Our work in partnership with Mothers-Against-Drunk-Driving is just beginning, and we look forward to growing our joint impact as our service scales to reach more people and more communities.</t>
  </si>
  <si>
    <t>Drunk driving is a factor in 31% of all traffic crash fatalities in the United States. Mothers-Against-Drunk-Driving's vision is a world with "No more victims of drunk/drugged driving." Cruise knows that world is possible and it's our joint mission to help achieve it.</t>
  </si>
  <si>
    <t>"Working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t>
  </si>
  <si>
    <t>Gatik, the market leader in autonomous middle mile logistics, today announced that it will be expanding
operations to Kansas following the signing of Senate Bill 313 into law by Governor
Laura Kelly. The law enables the deployment of fully autonomous trucks on public roads
in the state, paving the way for enhanced road safety, increased product flow, lower
costs and higher asset utilization on the Supply Partnership.
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Prior
to commencing operations, Gatik will work closely with state and local authorities to
provide education and training sessions to law enforcement and first responders as part
of the company's industry-leading stakeholder engagement strategy.
"We are excited to bring our autonomous fleet to the state of Kansas, and ensure that
the advantages of autonomous delivery on the middle mile can be realized by Kansans
in the near-term," said Richard Steiner, Head of Policy, Gatik. "We applaud Governor
Kelly for taking a proactive approach to enabling the safe deployment of autonomous
vehicles, and look forward to laying down roots in the state of Kansas, creating a wealth
of new jobs and delivering essential goods to Kansans with speed and efficiency."
Gatik and Walmart have an impressive track record of working closely with state
legislators and regulators across multiple jurisdictions. In 2019, Walmart and Gatik
proposed legislation in Arkansas to pave the way for commercial operations to
commence and in 2020, the companies received the first approval ever granted by the
Arkansas State Highway Commission to remove the safety driver from Gatik's
autonomous trucks, following the completion of 18 months' successful operations. The
new legislation in Kansas sees the Sunflower State become the 25th in the US to allow
fully autonomous vehicles to operate on public roads.
Since commencing commercial operations in 2019, Gatik has achieved a 100 percent
safety record across multiple operational sites in North America - including Arkansas,
Texas, Louisiana and Ontario - and in 2021 became the first company to operate fully
driverless commercial deliveries on a middle mile delivery route anywhere in the world
with Walmart, in their home state of Arkansas. Gatik focuses exclusively on fixed,
repeatable delivery routes to maximize safety, meet consumer demand for real-time
access to goods, and establish reliability and sustainability on the Supply Partnership's middle
mile.</t>
  </si>
  <si>
    <t>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t>
  </si>
  <si>
    <t>The health and safety of our team is our top priority as we continue to navigate the global pandemic and gradually resume our driving operations. That's why we've partnered with Verily, an Alphabet company focused on healthcare and life sciences, to provide integrated COVID-19 testing, symptom and exposure screening, and data analytics for our front-line team members and partners. Verily's Healthy at Work program uses the best of current recommendations from federal, state and local authorities, and Verily's operational, clinical, data science modeling and scientific testing capabilities. In addition to the rigorous COVID-19 safety protocols we've implemented, we believe that providing regular testing for our team, through Verily's CLIA-certified lab in South San Francisco, will promote our high standards for workplace safety.
Through Healthy at Work screening, onsite personnel update their symptoms in a web-based portal each day, report any potential exposure to COVID-19, and get tested as required. COVID-19 testing will be piloted with certain job functions at our Arizona, California, and Michigan locations and expanded as needed. If daily symptom reporting requirements are met and cleared, the individual will receive a "cleared for work" pass and may begin their work day. If someone tests positive, they will be notified with a phone call from a medical provider including a review of the results and next steps, and we require that they stay home and self-quarantine until they are cleared to return. Team members will need to show their "approved for work" pass upon arriving on site each day.
We are grateful to our employees and partners for actively participating in maintaining a safe workplace and community. We're monitoring evolving federal, state, and local guidance to ensure the health and safety of our team. We will continue using the best safety practices available for as long as needed to keep our teams, workplaces and vehicles safe.</t>
  </si>
  <si>
    <t>Waymo and Swiss Re, one of the world's leading providers of reinsurance, today announced a research collaboration aimed at developing new risk assessment methodologies, which would provide guidance for the insurance industry in properly assessing AV risk.
Autonomous driving technology will lead to a significant shift in risk rating factors, from human-driver-centric to vehicle-centric. Furthermore, traditional actuarial analyses are retrospective in nature and will not be effective at measuring risks associated with autonomous driving technology due to the sparsity of historical collision data.
Waymo's collaboration with Swiss Re aims to address some of these challenges and represents a first step forward towards building new insurance models to facilitate and accelerate the safe deployment of autonomous vehicles. This collaboration may also reveal new or enhanced approaches to evaluating safety, which may lead to continued improvements to Waymo's safety methodologies, while also providing the public with a new, more intuitive lens to evaluate AV technology.
Quotes from Swiss Re
"Our vision is to make the world more resilient and help close the protection gap. By entering into a partnership with Waymo, we continue our work on enabling insurance of autonomous vehicles and thereby contributing to creating safer roads. This is of great importance to the industry, which very soon needs to tackle a big paradigm shift in its largest risk pool of motor insurance." - Pranav Pasricha, Global Head of P&amp;C Solutions.
Quotes from Waymo
"As autonomous driving technology companies like Waymo progress in their mission to make roadways safer, we expect there to be fewer claims data to feed existing insurance underwriting and actuarial models. This calls for an evolution of the traditional methods and the use of new data in innovative ways. Both Waymo and Swiss Re are leaders in their fields and uniquely positioned to help solve these problems for our respective industries." - Tilia Gode, Waymo's Head of Risk &amp; Insurance</t>
  </si>
  <si>
    <t>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t>
  </si>
  <si>
    <t>The two companies will explore the integration and deployment of Aurora Horizon within Covenant's operations. 
"Covenant is excited to be collaborating with Aurora on autonomous technology to find ways to further improve efficiency within the Supply Partnership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t>
  </si>
  <si>
    <t>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t>
  </si>
  <si>
    <t>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t>
  </si>
  <si>
    <t>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
Customers will be able to use their Starbucks app to select robotic delivery for their order, and a Cartken robot will meet the customer at one of the delivery points inside or outside the mall, according to Mitsubishi. The pilot, which will take place at Aeon Mall Tokoname starting this month, will run through April 2022 with plans to scale to a porter service that resembles curbside pickup for other shoppers, according to Anjali Jindal Naik, COO and co-founder of Cartken.
The pilot with Cartken, Mitsubishi's first time trying out delivery robots, will help the company explore other use cases for the tech while tapping into the nascent Japanese autonomous delivery market.
"Mitsubishi Electric would like to create the new robot delivery market in Japan by using Cartken robots," Naoki Fujita, who manages Mitsubishi Electric's Mobility Innovation Department, told TechCrunch. "This is a totally new attempt for us, and in this process, we can utilize our knowledge, technology and even relationships with customers from Mitsubishi's various business units to see the development of this program succeed and expand into new markets where the technology can be used."
While the first phase of the partnership sees Mitsubishi as a distributor for Cartken's tech, down the line, the two companies intend to work together to develop additional technology that will support Mitsubishi's future partnerships. For example, they're currently looking into the development of facility technology that can help Cartken's robots interact with elevators, said Fujita.
Cartken, which partnered with REEF Technology last year to bring its self-driving robots to deliver food in downtown Miami, will not only gain from Mitsubishi's expertise in electrical equipment, but it will also help the startup establish a presence in Japan.
Starting a pilot at Aeon Mall will help with that. Aeon is one of the largest retailers in Asia, with a retail network that spans not just hundreds of malls, but also convenience stores and supermarkets.
"The selection of Aeon Mall is because it is the perfect ecosystem to test the robots' success in a setting that is high-volume," Naik told TechCrunch. "Also, Aeon Mall allows for a range of use-cases to be investigated, with the goal of quickly adding more robots to allow more visitors to experience delivery service, and then scaling up by 2022."
Cartken's Model C robots were chosen by Mitsubishi because of their high rating in safety and dependability in both indoor and outdoor settings, said Fujita. The startup says its robots can navigate autonomously inside and outside the mall, but they are all equipped with remote monitoring systems that allow for human override if necessary.
"So far we've only encountered a few situations that need emergency remote assistance," said Naik. "New construction that requires an alternate robot route is an example of where a remote operator gets involved. Similarly, remote assistance is also used in the setup phase, allowing us to deploy in just a few days while the robots learn a map of the service area."
Recently, competitor Serve Robotics, a spinout of Uber, announced its robots' ability to handle similar levels of autonomy. The company said in certain operational design domains, AKA geofenced areas, its robots can reach full autonomy. As with Cartken, its robots also have remote operators on standby in the case of emergency.</t>
  </si>
  <si>
    <t>"Through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t>
  </si>
  <si>
    <t>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t>
  </si>
  <si>
    <t>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t>
  </si>
  <si>
    <t xml:space="preserve">ChargePoint (NYSE: CHPT), a leading electric vehicle (EV) charging network, and 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
role in helping to decarbonize the B2B short-haul logistics sector and will offer a simple and seamless solution to help Gatik and ChargePoint's customers meet their corporate sustainability goals. 
"Our partnership with Gatik will help more fleets to realize their e-mobility and decarbonization
goals," said Rich Mohr, Vice President, Fleet at ChargePoint. "ChargePoint has proven experience across multiple customer applications and use cases. Together, ChargePoint and Gatik will provide industry-leading infrastructure and technologies for forward-thinking fleets."
"Gatik's autonomous electric fleet is uniquely positioned to increase efficiency and reliability across the Supply Partnership's middle mile, and drive sustainability across critical operational metrics for our customers," said Arjun Narang, Co-founder and CTO at Gatik. "Our partnership with ChargePoint will ensure that we're not only meeting intensifying demand for our product offering and service, but offering our customers access to national charging infrastructure and a wealth of technical advantages to support them in meeting their corporate sustainability goals.
"Customers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 This strategic electric ecosystem collaboration for the middle mile will play a key role in the electrified logistics sector. 
Powered by ChargePoint's scalable and reliable charging technology, Gatik launched the industry's first autonomous electric box trucks with Walmart in 2021, a groundbreaking solution offering hyper-efficient goods movement, significant emissions reductions and impactful savings on fuel and powertrain maintenance costs. As the retail, E-commerce and logistics sectors look to decrease their carbon footprints, demand for Gatik's product offering among national retail </t>
  </si>
  <si>
    <t>Dr. Holger Klein, Member of the Board of Management (BOM), ZF Group, William Li, Founder, Chairman and CEO of NIO, and senior management on both sides attended the signing ceremony, while discussing a wide range of cooperation topics. Kevin Pan, Associate Vice President, Supply Partnership Development, NIO, and Dr. Peter Holdmann, Executive Vice President, Head of Division Car Chassis Technology, signed the agreement.
Both companies have also agreed to establish an instant information sharing mechanism to deepen communication and conduct regular technical exchanges to jointly engage in industry-leading processes and quality standards. Meanwhile, ZF and NIO plan to extend their collaboration to brand promotion, product marketing, technology and quality enhancements, as well as customer service.
Dr. Holger Klein, Member of the Board of Management, ZF Group, said: "ZF's new steer-by-wire system is a market-leading, cutting-edge technology. We are excited to be working closely with NIO, an outstanding representative of the Chinese automotive industry that is actively engaged in technology and business model innovation, and a pioneer in the globalization of the Chinese automotive industry. We will continue to expand our cooperation with leading automotive customers against the backdrop of the connectivity, electrification and autonomous megatrends, and give full play to ZF's technology strengths to play an increasingly important role in the open automotive ecosystem."
"As vehicles become increasingly electric, autonomous, and software defined, ZF has been establishing a leading position in the industry with its comprehensive by-wire technology offerings, and has been awarded significant contracts by multiple customers with steer-by-wire launches scheduled in all major regions," said Christophe Marnat, Executive Vice President, Active Safety Systems, ZF Group.
The signing of this agreement marks the first time that ZF Group cooperates with a customer in the steer-by-wire business in the Asia Pacific region, and it also marks that the two sides will jointly promote the evolution and development of technology within many fields such as autonomous driving and electrification.</t>
  </si>
  <si>
    <t>"The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t>
  </si>
  <si>
    <t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t>
  </si>
  <si>
    <t>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t>
  </si>
  <si>
    <t>Intel subsidiary Mobileye is ratcheting up its autonomous vehicle ambitions and getting into delivery.
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
Donlen, a U.S. commercial fleet leasing and management company, has made the first preorder for 1,000 of these Udelv Transporters.
The announcement is notable for both companies. Udelv, which initially launched as an autonomous vehicle delivery startup, has opted to adopt Mobileye's self-driving system and focus on "creating the hardware and software that allows for autonomous deliveries," its CEO Daniel Laury said in an emailed statement to TechCrunch.
"This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
For Mobileye it marks yet another expansion for a company that got its start as a developer of camera-based sensors, which are now used by most automakers to support advanced driver assistance systems. Today, more than 54 million vehicles have Mobileye technology.
"This is a great combination of the two partners together and we expect some great scale," Jack Weast, a senior principal engineer at Intel and the vice president of Automated Vehicle Standards at Mobileye, said in a recent interview. "And this does kind of mark, officially, the first proof point of Mobileye's technology getting into goods delivery in addition to all the other spaces that we've already announced."
The company, which was acquired by Intel for $15.3 billion in 2017, has widened its scope in recent years, moving beyond its advanced driver assistance technology and toward the development of a self-driving vehicle system. More than two years ago, Mobileye announced plans to launch a kit that includes visual perception, sensor fusion, its REM mapping system and software algorithms. And in 2018, the company made an unlikely turn and announced plans to become a robotaxi operator, not just a supplier. Mobileye also plans to deploy autonomous shuttles with Transdev ATS and Lohr Group beginning in Europe. Mobileye also plans to begin operating an autonomous ride-hailing service in Israel in early 2022.</t>
  </si>
  <si>
    <t>"This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t>
  </si>
  <si>
    <t>At IAA Mobility 2023 in Munich today, Mobileye and Valeo announced a new partnership to deliver software-defined, best-in-class imaging radars for next-generation driver assist and automated driving features.
By joining forces, Mobileye and Valeo can quickly bring a promising new technology to automakers worldwide that enables more intelligent vehicles. As a key part of sensing systems for automated driving, imaging radar will be an enabling element for more advanced hands-off ADAS solutions and eyes-off automated driving features on highways and urban streets.
"Mobileye and Valeo's Imaging radar collaboration significantly advances a new and exciting phase in automotive safety and performance," said Nimrod Nehushtan, Mobileye's Executive Vice President of Business Development and Strategy. "In this collaboration, automakers gain access to the latest cutting edge technology from Mobileye that they can trust will exceed industry expectations as we have proven before, while benefiting from the customization, industrialization, testing and support capabilities brought by Valeo. Our collaboration to deliver imaging radar to automakers benefits the industry, and ultimately, drivers globally."
Marc Vrecko, President of Valeo's Comfort and Driving Assistance Systems Business Group, said: "This partnership reinforces the strong relationship between Valeo and Mobileye. We are proud to collaborate together on Imaging radar technology, which will be essential in the future of autonomous mobility. This is a great illustration of Valeo's technological leadership in ADAS and of its capability to produce innovative technologies at scale. This collaboration will contribute to Valeo's commitment to offer affordable, smarter and safer mobility."
Mobileye's imaging radars use advanced architecture, including Massive MIMO (multiple-input, multiple-output) antenna design, a high-end radio frequency design developed in-house, and high-fidelity sampling "all enabling accurate object detection and higher dynamic range. Thanks to an integrated system-on-chip design that maximizes processor efficiency, and world-leading algorithms for interpreting radar data, the imaging radar delivers a detailed, four-dimensional image of surroundings up to 300 meters away and beyond. With a 140-degree field-of-view at medium range and 170-degree field-of-view in close range, the radar enables more accurate detection of pedestrians, vehicles or obstructions that other sensors might miss "even on crowded urban streets.
Mobileye has already seen high market interest for its Imaging radar from the industry as automakers look to expand the operational design domains of their automated driving features. Valeo has simultaneously received indications of strong demand from the market for imaging radar that achieves optimal performance.
Valeo, world leader in Advanced Driver Assistance Systems (ADAS), has been developing and mass-producing radar technologies since 2006. Valeo will lead the system design of the new imaging radar product by integrating Mobileye's groundbreaking imaging radar technology and corresponding software and algorithms embedded in the Mobileye Radar chipset into Valeo's automotive software and hardware radar solutions. Valeo will meet and adapt to the latest and most stringent software and hardware requirements from automotive players, including functional safety, cybersecurity, fast communication protocols with vehicle networks, electromagnetic robustness, and validation of overall system performance and endurance during vehicle lifetime. Leveraging Valeo's expertise in producing the latest automotive technologies at scale and its global industrial footprint, the complete Imaging radar solution will be produced by Valeo
This new partnership expands Mobileye and Valeo successful collaboration on front-facing cameras and other driver assist solutions. Since 2015, the partners have delivered more than 15 million Smart Front Cameras worldwide.</t>
  </si>
  <si>
    <t>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t>
  </si>
  <si>
    <t>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t>
  </si>
  <si>
    <t xml:space="preserve">The partnership combines Pony.ai's industry-leading L2++ smart driving solution with Horizon Robotics' Journey series auto-grade processors to provide smart driving solutions for series production vehicles. </t>
  </si>
  <si>
    <t>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t>
  </si>
  <si>
    <t>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t>
  </si>
  <si>
    <t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"TuSimple and Navistar began joint development of pre-production units in 2018 and now we are kicking-off a full go-to-market production program," </t>
  </si>
  <si>
    <t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t>
  </si>
  <si>
    <t>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t>
  </si>
  <si>
    <t>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t>
  </si>
  <si>
    <t>Future Porsche models will benefit from the system's 11 cameras and radar-based sensing system to deliver supervised hands-free operation for identified use cases. Our cloud-connected Road Experience Management maps will provide up-to-date and highly localized intelligence about not just road features like lanes and signals, but how other drivers interact with their surroundings.</t>
  </si>
  <si>
    <t>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t>
  </si>
  <si>
    <t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
  </si>
  <si>
    <t>Today, ECARX Holdings announced a collaboration with Mobileye for future autonomous and advanced driver-assist technology. ECARX plans to serve as the integrator for the Mobileye Chauffeur platform in the Polestar 4 that will offer hands-off, eyes-off autonomous driving on controlled-access highways in operational-defined domain</t>
  </si>
  <si>
    <t>ECARX plans to serve as the integrator for the Mobileye Chauffeur platform in the Polestar 4 that will offer hands-off, eyes-off autonomous driving on controlled-access highways in operational-defined domains. ECARX and Mobileye also intend to collaborate on a EyeQ6L-based driver-assist solution, using the latest EyeQ6 automotive-grade system-on-chip, to serve the diverse needs of the Chinese market.</t>
  </si>
  <si>
    <t>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t>
  </si>
  <si>
    <t>have announced a new strategic partnership leveraging their respective industry advantages in software, hardware and technology products. The two sides will work together to create new products based on Mobileye SuperVision and Mobileye Chauffeur platforms, to empower customers with safe, enjoyable driving experiences.</t>
  </si>
  <si>
    <t xml:space="preserve">With an anticipated debut in China in 2024, the new all-electric Zeekr vehicle is expected to be the world's first consumer AV with L4 autonomous capability. Built using Mobileye Drive technology, together with the open SEA architecture, and expanding on Zeekr's existing models, this new vehicle is expected to eventually roll out across global markets.
Mobileye and Zeekr's new collaboration expands on the companies' long-term strategic technology partnership, which includes the development of advanced ADAS </t>
  </si>
  <si>
    <t>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t>
  </si>
  <si>
    <t>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t>
  </si>
  <si>
    <t>Mobileye, an Intel company, is expanding its global influence in the advanced driver-assistance systems (ADAS) industry with a new partnership with ZEEKR, the global premium electric mobility technology brand from Geely Holding Group. Together, Mobileye and ZEEKR will introduce the world's most highly advanced safety technology available in the market for advanced, intelligent vehicles.
As part of the long-term agreement, Mobileye will work with ZEEKR to create advanced ADAS systems with increasingly sophisticated capabilities for a variety of ZEEKR models. The collaboration will begin with the launch of ZEEKR vehicles in the fourth quarter of 2021 featuring Mobileye SuperVision, a full-stack ADAS solution powered by two EyeQ5 system-on-chip (SoC) devices processing data from 11 cameras. The two companies also plan to collaborate further on a next-generation system powered by six EyeQ5 SoCs to deliver a new standard for a comprehensive ADAS experience. It is expected to make its global debut as soon as 2023.
"ZEEKR's powerful vision for the future of driving make them an ideal partner to Mobileye," said Prof. Amnon Shashua, co-founder and CEO of Mobileye and senior vice president of Intel. "By working closely together, we have an exciting opportunity to reach a new level of excellence in ADAS, bringing to market what will be the industry's most state-of-the-art, full-feature system."
The collaboration follows an equity investment in ZEEKR by Intel Capital.</t>
  </si>
  <si>
    <t>As part of the long-term agreement, Mobileye will work with ZEEKR to create advanced ADAS systems with increasingly sophisticated capabilities for a variety of ZEEKR models. The collaboration will begin with the launch of ZEEKR vehicles in the fourth quarter of 2021 featuring Mobileye SuperVision, a full-stack ADAS solution powered by two EyeQ5 system-on-chip (SoC) devices processing data from 11 cameras. The two companies also plan to collaborate further on a next-generation system powered by six EyeQ5 SoCs to deliver a new standard for a comprehensive ADAS experience. It is expected to make its global debut as soon as 2023.</t>
  </si>
  <si>
    <t>Waymo and Swiss Re's new research collaboration</t>
  </si>
  <si>
    <t>Einride is teaming up with Ericsson to demonstrate the future of transport at the world's largest mobile event</t>
  </si>
  <si>
    <t>Einride and Beyond Meat Work Together to Introduce Electric Vehicles to Beyond Meat's U.S. Shipping Network</t>
  </si>
  <si>
    <t>Einride and Oatly Expand Partnership to Electrify Oatly's North American Fleet</t>
  </si>
  <si>
    <t>Michelin, Navya and beti enter into a technological partnership and launch their first autonomous mobility experimentation within the framework of the Movin On Think &amp; Do Tank</t>
  </si>
  <si>
    <t>Plus and Cummins Collaborate to Develop the Industry's First Supervised Autonomous Trucks Using a Natural Gas Powertrain</t>
  </si>
  <si>
    <t>TfNSW and Motional Partner to Lay Foundations for NSW's Driverless Future</t>
  </si>
  <si>
    <t>Autonomous Trucking Milestone: Pony.ai Forms Joint Venture with Sinotrans, One of China's Leading Logistics Firms, to Further Deployment of Autonomous Driving Technologies</t>
  </si>
  <si>
    <t>URL</t>
  </si>
  <si>
    <t>https://www.2getthere.eu/news/2getthere-asia-joint-venture/</t>
  </si>
  <si>
    <t>https://www.2getthere.eu/news/partnering-with-benteler/</t>
  </si>
  <si>
    <t>https://www.2getthere.eu/news/singapore-partnership/</t>
  </si>
  <si>
    <t>https://www.2getthere.eu/news/strategic-cooperation-agreement-with-sltn-extended/</t>
  </si>
  <si>
    <t>https://www.2getthere.eu/news/uae-partner-united-technical-services-takes-a-stake-in-2getthere/</t>
  </si>
  <si>
    <t>https://www.adastec.com/news-coverage/adastec-and-vicinity-motor-corp-collaborate-to-deploy-automated-bus-at-michigan-state-university</t>
  </si>
  <si>
    <t>https://www.adastec.com/news-coverage/adastec-and-vicinity-motor-corp-partner-to-deploy-automated-bus-at-the-university-at-buffalo</t>
  </si>
  <si>
    <t>https://ir.aurora.tech/news-events/press-releases/detail/69/aurora-expands-commercial-operations-through-partnership</t>
  </si>
  <si>
    <t>https://ir.aurora.tech/news-events/press-releases/detail/68/continental-and-aurora-partner-to-realize-commercially</t>
  </si>
  <si>
    <t>https://ir.aurora.tech/news-events/press-releases/detail/42/covenant-and-aurora-announce-collaboration-to-transform</t>
  </si>
  <si>
    <t>https://ir.aurora.tech/news-events/press-releases/detail/31/u-s-xpress-and-aurora-announce-collaboration-for-the</t>
  </si>
  <si>
    <t>https://www.ridebeep.com/press-releases/beep-and-oxa-announce-partnership-to-deploy-autonomous-vehicles-driven-by-oxa-in-united-states</t>
  </si>
  <si>
    <t>https://www.ridebeep.com/press-releases/contra-costa-transportation-authority-and-beep-partner-to-deliver-autonomous-vehicle-projects-in-california</t>
  </si>
  <si>
    <t>https://www.ridebeep.com/press-releases/north-carolina-department-of-transportation-and-beep-partner-for-autonomous-vehicle-testing-projects</t>
  </si>
  <si>
    <t>https://ridebeep.com/press-releases/zf-announces-partnership-with-beep-unveils-next-generation-autonomous-shuttle</t>
  </si>
  <si>
    <t>https://bolt.eu/en/blog/bolt-starship-technologies-partnership/</t>
  </si>
  <si>
    <t>https://about.grubhub.com/news/grubhub-and-cartken-partner-to-bring-robot-delivery-to-college-campuses/</t>
  </si>
  <si>
    <t>https://techcrunch.com/2022/01/20/mitsubishi-partners-with-cartken-to-break-into-the-robotic-delivery-world/</t>
  </si>
  <si>
    <t>https://getcruise.com/news/blog/2023/cruise-and-madd-partnering-to-combat-impaired-driving/</t>
  </si>
  <si>
    <t>https://getcruise.com/news/pressrelease/2021/cruise-and-gm-team-up-with-microsoft-to-commercialize-self-driving-vehicles/</t>
  </si>
  <si>
    <t>https://getcruise.com/news/blog/2023/cruise-teams-up-with-replate-to-launch-food-rescue-partnership/</t>
  </si>
  <si>
    <t>https://corporate.walmart.com/news/2020/11/10/walmart-teams-up-with-cruise-to-pilot-all-electric-self-driving-delivery-powered-by-100-renewable-energy</t>
  </si>
  <si>
    <t>https://easymile.com/news/ces2023-trust-soft-and-easymile-collaborate-complement-product-development-strategies</t>
  </si>
  <si>
    <t>https://easymile.com/news/easymile-and-continental-collaborate-shanghai-jiading-industrial-zone-develop-driverless</t>
  </si>
  <si>
    <t>https://easymile.com/news/easymile-and-kalray-strengthen-development-platform-collaboration</t>
  </si>
  <si>
    <t>https://easymile.com/news/easymile-and-sono-motors-reveal-collaboration-autonomous-solar-powered-passenger-shuttle</t>
  </si>
  <si>
    <t>https://easymile.com/news/easymile-strengthens-its-partnership-engineering-schools</t>
  </si>
  <si>
    <t>https://easymile.com/news/iaa-frankfurt-continental-and-easymile-partner-demonstrate-ez10</t>
  </si>
  <si>
    <t>https://easymile.com/news/phoenix-motorcars-and-easymile-collaborate-deploy-delivery-trucks-well-autonomous-shuttle</t>
  </si>
  <si>
    <t>https://einride.tech/press/coca-cola-european-partners-teams-up-with-einride-for-sustainable-transport</t>
  </si>
  <si>
    <t>https://einride.tech/press/einride-and-beyond-meat-work-together</t>
  </si>
  <si>
    <t>https://einride.tech/press/einride-and-electrolux-enter-innovation-partnership-to-electrify-transports</t>
  </si>
  <si>
    <t>https://einride.tech/press/einride-and-innovative-swedish-logistics-company-collaborates-around-sustainable-transport</t>
  </si>
  <si>
    <t>https://einride.tech/press/einride-and-oatly-expand-partnership-to-north-america</t>
  </si>
  <si>
    <t>https://einride.tech/press/uae-grid-announcement</t>
  </si>
  <si>
    <t>https://einride.tech/press/first-fulltime-autonomous-operations</t>
  </si>
  <si>
    <t>https://einride.tech/press/einride-is-teaming-up-with-ericsson-to-demonstrate-the-future-of-transport-at-the-worlds-largest-mobile-event</t>
  </si>
  <si>
    <t>https://einride.tech/press/einride-partners-with-bridgestone-to-create-cleaner-safer-low-carbon-freight</t>
  </si>
  <si>
    <t>https://einride.tech/press/einride-partners-with-oatly-to-electrify-transport-in-sweden</t>
  </si>
  <si>
    <t>https://einride.tech/press/einride-partners-with-lidl-to-reduce-emissions</t>
  </si>
  <si>
    <t>https://einride.tech/press/einride-ericsson-and-telia-partners-on-5g-to-bring-autonomous-all-electric-vehicles-to-the-market</t>
  </si>
  <si>
    <t>https://einride.tech/press/polarrenen-sustainable-transport-einride-financing-partner</t>
  </si>
  <si>
    <t>https://einride.tech/press/skf-and-einride-enter-into-partnership-for-testing-autonomous-and-electric</t>
  </si>
  <si>
    <t>https://gatik.ai/wp-content/uploads/Gatik-Partners-with-ChargePoint-to-Develop-Electric-Ecosystem_28.3.2022.pdf</t>
  </si>
  <si>
    <t>https://gatik.ai/wp-content/uploads/Gatik-and-Pitney-Bowes-Partner-to-Deploy-Autonomous-Trucks-for-Ecommerce-Shipments-in-Dallas-Market-.pdf</t>
  </si>
  <si>
    <t>https://gatik.ai/wp-content/uploads/Gatik-and-Walmart-Partner-to-Enable-AV-Legislation-in-Kansas_18.05.2022.pdf</t>
  </si>
  <si>
    <t>https://gatik.ai/wp-content/uploads/Gatik-Announces-Collaboration-with-Americas-Grocer-to-Future-Proof-Supply-Chain-with-Autonomous-Box-Trucks.pdf</t>
  </si>
  <si>
    <t>https://gatik.ai/wp-content/uploads/Goodyear-Invests-in-Autonomous-Trucking-Company-Gatik-and-Collaborates-to-Enhance-Safety-and-Efficiency_28.9.2021.pdf</t>
  </si>
  <si>
    <t>https://gatik.ai/wp-content/uploads/Isuzu-and-Gatik-Form-Strategic-Collaboration_22.03.2021.pdf</t>
  </si>
  <si>
    <t>https://gatik.ai/wp-content/uploads/Ryder-Invests-in-Gatik-and-Partners-to-Establish-North-American-Autonomous-Delivery-Network-for-B2B-Short-Haul-Logistics_19.10.2021.pdf</t>
  </si>
  <si>
    <t>https://ioki.com/en/automated-public-transport-ioki-to-be-technology-partner-of-the-research-project-minga-in-munich/</t>
  </si>
  <si>
    <t>https://ioki.com/en/deutsche-bahn-and-berlins-municipal-public-transportation-operator-berliner-verkehrsbetriebe-are-cooperation-partners-in-the-area-of-autonomous-driving/</t>
  </si>
  <si>
    <t>https://www.kiwibot.com/blog-posts/grubhub-and-kiwibot-partner-for-robot-delivery-on-college-campuses</t>
  </si>
  <si>
    <t>https://www.kiwibot.com/blog-posts/kiwibot-partners-aramex</t>
  </si>
  <si>
    <t>https://www.kiwibot.com/blog-posts/kiwibot-secures-10m-in-tailor-made-partnership-with-kineo-finance-to-scale-their-robotic-fleet</t>
  </si>
  <si>
    <t>https://kodiak.ai/news/kodiak-and-werner-collaborate</t>
  </si>
  <si>
    <t>https://kodiak.ai/news/kodiak-partners-with-10-roads-express</t>
  </si>
  <si>
    <t>https://maymobility.com/posts/liftango-and-may-mobility-partner/</t>
  </si>
  <si>
    <t>https://maymobility.com/posts/bridgestone-invests-in-autonomous-driving-technology-provider-may-mobility-kicks-off-broader-partnership/</t>
  </si>
  <si>
    <t>https://maymobility.com/posts/may-mobility-moovit-partner-to-deploy-complete-autonomous-mobility-package/</t>
  </si>
  <si>
    <t>https://maymobility.com/posts/may-mobility-and-stantec-partner-to-deliver-turnkey-av-microtransit-solutions/</t>
  </si>
  <si>
    <t>https://maymobility.com/posts/may-mobility-and-via-announce-partnership-that-will-integrate-on-demand-avs-into-public-transit/</t>
  </si>
  <si>
    <t>https://maymobility.com/posts/spare-and-may-mobility-partner-to-deliver-a-powerful-on-demand-transit-solution-with-autonomous-vehicles/</t>
  </si>
  <si>
    <t>https://www.mobileye.com/news/zeekr-mobileye-working-together/</t>
  </si>
  <si>
    <t>https://www.mobileye.com/news/ecarx-announces-mobileye-collaboration-for-polestar-future-products/</t>
  </si>
  <si>
    <t>https://www.mobileye.com/news/faw-group-and-mobileye-forge-strategic-alliance-in-autonomous-driving/</t>
  </si>
  <si>
    <t>https://www.mobileye.com/news/geely-holding-group-expands-mobileye-collaboration/</t>
  </si>
  <si>
    <t>https://www.mobileye.com/news/goggo-network-and-mobileye-plan-to-collaborate-to-introduce-level-autonomous-vehicles-for-logistics-in-europe/</t>
  </si>
  <si>
    <t>https://www.mobileye.com/news/mobileye-and-wnc-collaborate-on-imaging-radar-production/</t>
  </si>
  <si>
    <t>https://www.mobileye.com/news/mobileye-and-man-truck-bus-launch-collaboration-for-av-city-buses/</t>
  </si>
  <si>
    <t>https://www.mobileye.com/news/mobileye-and-valeo-launch-partnership-for-world-class-imaging-radars/</t>
  </si>
  <si>
    <t>https://www.mobileye.com/news/mobileye-willer-self-driving-mobility-solutions/</t>
  </si>
  <si>
    <t>https://www.mobileye.com/news/mobileye-zeekr-expand-future-cars-partnership/</t>
  </si>
  <si>
    <t>https://www.mobileye.com/news/porsche-mobileye-supervision-collaboration/</t>
  </si>
  <si>
    <t>https://www.moia.io/en/news-center/new-licensing-model-moia-opens-ridepooling-ecosystem-to-cities-and-local-transport-operators</t>
  </si>
  <si>
    <t>https://www.moia.io/en/news-center/hochbahn-volkswagen-commercial-vehicles-and-moia-cooperate-for-the-traffic-turnaround</t>
  </si>
  <si>
    <t>https://motional.com/news/motional-and-uber-announce-partnership-autonomous-deliveries</t>
  </si>
  <si>
    <t>https://motional.com/news/motional-derq-partner-give-driverless-vehicles-birds-eye-view</t>
  </si>
  <si>
    <t>https://motional.com/news/motional-boston-university-partner-navigational-assistance-research-blind</t>
  </si>
  <si>
    <t>https://motional.com/news/tfnsw-and-motional-partner-lay-foundations-nsws-driverless-future</t>
  </si>
  <si>
    <t>https://www.navya.tech/en/ion-and-navya-form-partnership-to-deliver-sustainable-and-autonomous-transportation-offerings-in-gcc-region/</t>
  </si>
  <si>
    <t>https://www.navya.tech/en/michelin-navya-and-beti-enter-into-a-technological-partnership-and-launch-their-first-autonomous-mobility-experimentation-within-the-framework-of-the-movinon-think-do-tank/</t>
  </si>
  <si>
    <t>https://www.navya.tech/en/navya-and-lohr-form-a-strategic-alliance-to-speed-up-their-technological-industrial-and-commercial-development-in-the-field-of-autonomous-mobility/</t>
  </si>
  <si>
    <t>https://www.navya.tech/en/navya-and-valeo-partner-to-develop-a-unique-safety-system-for-the-commercialization-of-level-4-autonomous-vehicles/</t>
  </si>
  <si>
    <t>https://www.navya.tech/en/valeo-navya-technological-collaboration/</t>
  </si>
  <si>
    <t>https://www.prnewswire.com/news-releases/uber-and-nuro-announce-10-year-partnership-for-autonomous-food-deliveries-starting-in-california-and-texas-301618947.html</t>
  </si>
  <si>
    <t>https://oxa.tech/news-and-insights/goggo-network-and-oxbotica-partner-to-bring-autonomous-deliveries-to-europe/</t>
  </si>
  <si>
    <t>https://oxa.tech/news-and-insights/ocado-group-and-oxbotica-announce-investment-and-joint-collaboration-to-develop-autonomous-integrated-mobility-solution/</t>
  </si>
  <si>
    <t>https://oxa.tech/news-and-insights/oxa-and-eversum-announce-partnership-to-develop-and-deploy-autonomous-passenger-shuttles/</t>
  </si>
  <si>
    <t>https://oxa.tech/news-and-insights/oxbotica-partners-with-Navtech/</t>
  </si>
  <si>
    <t>https://oxa.tech/news-and-insights/oxbotica-partners-with-nevs-to-reshape-the-future-of-urban-mobility-with-fleet-of-shared-self-driving-all-electric-vehicles/</t>
  </si>
  <si>
    <t>https://www.perronerobotics.com/news/perrone-robotics-and-rampini-announce-partnership-to-provide-automated-6-meter-electric-buses</t>
  </si>
  <si>
    <t>https://www.perronerobotics.com/news/autonomous-ev-bus-collaboration-announced</t>
  </si>
  <si>
    <t>https://www.perronerobotics.com/news/greenpower-partners-with-perrone-robotics-jta-to-win-innovative-solutions-award-for-autonomous-vehicles</t>
  </si>
  <si>
    <t>https://www.perronerobotics.com/news/lightning-emotors-partners-with-perrone-robotics-to-offer-fully-autonomous-vehicle-option-to-zero-emission-fleet-customers</t>
  </si>
  <si>
    <t>https://www.globenewswire.com/en/news-release/2015/03/23/717890/34491/en/Mission-Secure-Inc-Perrone-Robotics-and-University-of-Virginia-Demonstrate-Cyber-Attacks-and-Protections-for-Automobile-Braking-and-Acceleration.html</t>
  </si>
  <si>
    <t>https://www.perronerobotics.com/news/perrone-robotics-and-global-finance-group-partner-to-bring-turnkey-autonomous-vehicle-program-to-university-and-college-campuses</t>
  </si>
  <si>
    <t>https://www.perronerobotics.com/news/perrone-robotics-and-tropos-team-up-to-develop-autonomous-electric-compact-utility-vehicles</t>
  </si>
  <si>
    <t>https://www.perronerobotics.com/news/perrone-robotics-and-tropos-technologies-announce-partnership-to-develop-fully-autonomous-electric-compact-utility-vehicles</t>
  </si>
  <si>
    <t>https://www.perronerobotics.com/news/perrone-robotics-collaborates-machine-learning-pioneer</t>
  </si>
  <si>
    <t>https://www.perronerobotics.com/news/perrone-robotics-collaborates-with-uva-foundation-to-bring-autonomous-shuttle-service-to-north-fork</t>
  </si>
  <si>
    <t>https://www.perronerobotics.com/news/perrone-robotics-enters-into-agreement-with-sustainability-partners-bringing-autonomous-vehicles-to-the-state-of-hawaii</t>
  </si>
  <si>
    <t>https://www.perronerobotics.com/news/perrone-robotics-partners-with-tropos-on-self-driving-trucks</t>
  </si>
  <si>
    <t>https://www.perronerobotics.com/news/perrone-robotics-inc-and-guident-corp-sign-strategic-alliance</t>
  </si>
  <si>
    <t>https://www.perronerobotics.com/news/pri-partners-sae-tampa</t>
  </si>
  <si>
    <t>https://www.perronerobotics.com/news/revolutionizing-transportation-perrone-robotics-unveils-historic-collaboration-with-e-charger-systems-revealed-at-sema-2023</t>
  </si>
  <si>
    <t>https://www.perronerobotics.com/news/western-reserve-transit-authority-selects-first-transit-in-partnership-with-perrone-robotics-and-greenpower-motor-company-for-autonomous-vehicle-pilot</t>
  </si>
  <si>
    <t>https://plus.ai/news-and-insights/bosch-and-plus-collaborate-on-assisted-driving-solution-for-commercial-vehicles</t>
  </si>
  <si>
    <t>https://plus.ai/news-and-insights/goodyear-and-plus-collaborate-on-autonomous-trucks</t>
  </si>
  <si>
    <t>https://plus.ai/news-and-insights/luminar-and-plus-partner-for-lidar-and-ai-based-assisted-driving-software-for-trucking</t>
  </si>
  <si>
    <t>https://plus.ai/news-and-insights/plus-and-cummins-collaborate-to-develop-the-industry-s-first-supervised-autonomous-trucks-using-a-natural-gas-powertrain</t>
  </si>
  <si>
    <t>https://plus.ai/news-and-insights/plus-partners-with-iveco-to-develop-autonomous-trucks-for-global-deployment</t>
  </si>
  <si>
    <t>https://plus.ai/news-and-insights/plus-ai-partners-with-minnesota-department-of-transportation-to-accelerate-adoption-of-self-driving-trucks-and-prepare-them-for-extreme-winter-road-conditions</t>
  </si>
  <si>
    <t>https://plus.ai/news-and-insights/transurban-and-plus-collaborate-to-advance-level-4-autonomous-trucks-in-australia</t>
  </si>
  <si>
    <t>https://www.businesswire.com/news/home/20220104005793/en/Autonomous-Trucking-Milestone-Pony.ai-Forms-Joint-Venture-with-Sinotrans-One-of-China%E2%80%99s-Leading-Logistics-Firms-to-Further-Deployment-of-Autonomous-Driving-Technologies</t>
  </si>
  <si>
    <t>https://www.globenewswire.com/news-release/2020/01/06/1966657/0/en/ON-Semiconductor-and-Pony-ai-Collaboration-on-Next-Gen-Image-Sensing-and-Processing-Technologies-for-Autonomous-Vehicles.html</t>
  </si>
  <si>
    <t>https://www.businesswire.com/news/home/20230109005725/en/Pony.ai-and-Horizon-Robotics-Partner-to-Create-a-Comprehensive-Smart-Driving-Solution-for-OEMs</t>
  </si>
  <si>
    <t>https://www.businesswire.com/news/home/20220727006184/en/Pony.ai-and-SANY-Establish-Joint-Venture-to-Develop-Next-Generation-of-Autonomous-Trucks-for-Mass-Production</t>
  </si>
  <si>
    <t>https://www.businesswire.com/news/home/20230804774136/en/Pony.ai-and-Toyota-to-Form-Joint-Venture-to-Advance-Mass-Production-of-L4-Autonomous-Vehicles</t>
  </si>
  <si>
    <t>https://www.globenewswire.com/news-release/2019/08/26/1906248/0/en/Pony-ai-collaborates-with-Toyota-for-future-of-autonomous-mobility.html</t>
  </si>
  <si>
    <t>https://www.reuters.com/article/us-autonomous-luminar-pony-ai/toyota-backed-self-driving-car-pony-ai-partners-with-luminar-idUSKBN2CR0ZY/</t>
  </si>
  <si>
    <t>https://www.businesswire.com/news/home/20221006005368/en/Nickelytics-Serve-Robotics-and-The-Ad-Council-Partner-on-Innovative-Smokey-Bear-Out-of-Home-Advertising-Campaign</t>
  </si>
  <si>
    <t>https://www.serverobotics.com/piestro-partnership</t>
  </si>
  <si>
    <t>https://www.serverobotics.com/pizzahut-partnership</t>
  </si>
  <si>
    <t>https://www.serverobotics.com/uber-eats-partnership</t>
  </si>
  <si>
    <t>https://www.automotiveworld.com/news-releases/daimler-trucks-and-torc-partner-with-luminar-to-enable-automated-trucking-daimler-trucks-acquires-minority-stake-in-luminar/</t>
  </si>
  <si>
    <t>https://www.prnewswire.com/news-releases/torc-robotics-collaborates-with-applied-intuition-to-accelerate-development-and-validation-of-autonomous-trucks-301419986.html</t>
  </si>
  <si>
    <t>https://www.autonews.com/shift/torc-robotics-teams-daimler-trucks-design-build-million-mile-vehicles</t>
  </si>
  <si>
    <t>https://www.transdev.com/en/press-release/partnership-torc-autonomous-shuttle/</t>
  </si>
  <si>
    <t>https://www.transdev.com/en/press-release/transdev-and-delphi-announce-commercial-partnership-for-autonomous-transportation/</t>
  </si>
  <si>
    <t>https://www.transdev.com/en/sustainable-mobility/transdev-usa-partners-lavta-begin-testing-shared-autonomous-vehicle/</t>
  </si>
  <si>
    <t>https://www.transdev.com/en/press-release/zf-partnership/</t>
  </si>
  <si>
    <t>https://www.prnewswire.com/news-releases/dhl-partners-with-tusimple-to-adopt-integrate-and-scale-autonomous-trucking-operations-301446160.html</t>
  </si>
  <si>
    <t>https://www.prnewswire.com/news-releases/goodyear-and-tusimple-collaborate-on-autonomous-vehicle-freight-operations-301175138.html</t>
  </si>
  <si>
    <t>https://www.prnewswire.com/news-releases/navistar-and-tusimple-partner-to-bring-autonomous-trucks-to-market-navistar-invests-in-autonomous-trucking-company-301093698.html</t>
  </si>
  <si>
    <t>https://www.prnewswire.com/news-releases/the-traton-group-and-tusimple-agreed-on-global-partnership-for-autonomous-trucks-301136263.html</t>
  </si>
  <si>
    <t>https://www.prnewswire.com/news-releases/tusimple-and-liberty-mutual-insurance-partner-to-study-the-safety-benefits-of-autonomous-trucks-301283935.html</t>
  </si>
  <si>
    <t>https://www.prnewswire.com/news-releases/tusimple-and-ryder-partner-to-expand-nationwide-autonomous-trucking-301344048.html</t>
  </si>
  <si>
    <t>https://www.prnewswire.com/news-releases/tusimple-and-zf-partner-to-develop-technology-for-mass-produced-autonomous-trucks-301030033.html</t>
  </si>
  <si>
    <t>https://www.prnewswire.com/news-releases/tusimple-partners-with-global-logistics-leader-hegelmann-group-301588546.html</t>
  </si>
  <si>
    <t>https://www.prnewswire.com/news-releases/tusimple-partners-with-loadsmith-for-350-unit-reservation-for-sae-l4-operation-301512230.html</t>
  </si>
  <si>
    <t>https://www.uber.com/newsroom/uber-toyota-team-self-driving-cars/</t>
  </si>
  <si>
    <t>https://www.uberfreight.com/blog/uber-freight-and-waymo-via-partnership/</t>
  </si>
  <si>
    <t>https://www.uberfreight.com/blog/uber-freight-and-volvo-autonomous-solutions/</t>
  </si>
  <si>
    <t>https://udelv.com/announcing-our-walmart-partnership/</t>
  </si>
  <si>
    <t>https://venturebeat.com/ai/farmstead-partners-with-udelv-for-autonomous-grocery-delivery/#new_tab</t>
  </si>
  <si>
    <t>https://udelv.com/h-e-b-and-udelv-announce-our-partnership/</t>
  </si>
  <si>
    <t>https://techcrunch.com/2021/04/12/ntels-mobileye-teams-with-udelv-to-launch-35000-driverless-delivery-vehicles-by-2028/#new_tab</t>
  </si>
  <si>
    <t>https://waabi.ai/waabi-uber-freight/</t>
  </si>
  <si>
    <t>https://waabi.ai/mit/</t>
  </si>
  <si>
    <t>https://waymo.com/blog/2020/09/providing-covid-19-testing-to-our-team.html</t>
  </si>
  <si>
    <t>https://waymo.com/blog/2019/05/partnering-with-lyft-to-serve-more-riders/</t>
  </si>
  <si>
    <t>https://waymo.com/blog/2019/06/partnering-with-alliance-in-france-japan-and-beyond/</t>
  </si>
  <si>
    <t>https://waymo.com/blog/2018/07/partnering-with-valley-metro-to-explore-public-transport-solutions/</t>
  </si>
  <si>
    <t>https://waymo.com/blog/2020/06/partnering-with-volvo-car-group-to-scale-the-waymo-driver/</t>
  </si>
  <si>
    <t>https://waymo.com/blog/2019/03/waymo-aaa-northern-california-nevada/</t>
  </si>
  <si>
    <t>https://waymo.com/blog/2020/07/waymo-and-fiat-chrysler-automobiles-fca-expand-partnership/</t>
  </si>
  <si>
    <t>https://waymo.com/blog/2022/09/waymo-and-swiss-res-new-research.html</t>
  </si>
  <si>
    <t>https://waymo.com/blog/2017/06/well-oiled-and-squeaky-clean-partnering/</t>
  </si>
  <si>
    <t>https://wayve.ai/press/wayve-and-ocado-group-partner-to-develop-autonomous-grocery-deliveries-for-osp-retailers-globally/</t>
  </si>
  <si>
    <t>https://wayve.ai/press/wayve-announces-autonomous-van-trial-in-partnership-with-asda/</t>
  </si>
  <si>
    <t>https://press.zf.com/press/en/releases/release_45890.html</t>
  </si>
  <si>
    <t>https://press.zf.com/press/en/releases/release_14913.html</t>
  </si>
  <si>
    <t>https://press.zf.com/press/en/releases/release_31362.html</t>
  </si>
  <si>
    <t>2023, 10, 24</t>
  </si>
  <si>
    <t>Western Reserve Transit Authority Selects First Transit, in Partnership with Perrone Robotics and GreenPower for Autonomous Vehicle Pilot</t>
  </si>
  <si>
    <t>When testing is complete, the SAV will improve mobility for riders by providing first- and last-mile solutions for passengers by connecting them between the Dublin/Pleasanton Bay Area Rapid Transit (BART) station and nearby locations.</t>
  </si>
  <si>
    <t>"We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t>
  </si>
  <si>
    <t>Specifically, up to 40 autonomous vehicles with SAE Level 4 features, equipped with the Mobileye Drive technology, are expected to be deployed and operated by Goggo in cities around Spain and France.</t>
  </si>
  <si>
    <t>"At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Specifically, up to 40 autonomous vehicles with SAE Level 4 features, equipped with the Mobileye Drive technology, are expected to be deployed and operated by Goggo in cities around Spain and France.</t>
  </si>
  <si>
    <t>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t>
  </si>
  <si>
    <t>"When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t>
  </si>
  <si>
    <t>The world's largest bearing manufacturer SKF and tech company Einride have signed a pilot agreement to test Einride's self-driving, electric truck for transporting goods on public roads between SKF's factories in Gothenburg.</t>
  </si>
  <si>
    <t>TuSimple and ZF will co-develop production-quality technologies including cameras, LiDAR, radar, steering and ZF's automotive-grade central computer ZF ProAI.</t>
  </si>
  <si>
    <t>Concurrently, ZF will support TuSimple's pre-production driverless autonomous system, and will ultimately serve as the default supplier for their production-ready system for commercialized vehicles.</t>
  </si>
  <si>
    <t>Both companies have also agreed to establish an instant information sharing mechanism to deepen communication and conduct regular technical exchanges to jointly engage in industry-leading processes and quality standards. Meanwhile, ZF and NIO plan to extend their collaboration to brand promotion, product marketing, technology and quality enhancements, as well as customer service.</t>
  </si>
  <si>
    <t>We will continue to expand our cooperation with leading automotive customers against the backdrop of the connectivity, electrification and autonomous megatrends, and give full play to ZF's technology strengths to play an increasingly important role in the open automotive ecosystem."</t>
  </si>
  <si>
    <t>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t>
  </si>
  <si>
    <t>The first concrete example of the new partnership is the Hamburg pilot project for autonomous driving by Volkswagen Commercial Vehicles and MOIA. HOCHBAHN will contribute its expertise from its own autonomous project "HEAT" and, among other things, help set up entry and exit stops.</t>
  </si>
  <si>
    <t>The aim is to ramp up the Research and Development program to build level 4 autonomous driving systems that can be brought to market within the next three years.</t>
  </si>
  <si>
    <t>Valeo will provide Navya with the sensors and associated algorithms that will enable the vehicle to closely perceive its surroundings</t>
  </si>
  <si>
    <t>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t>
  </si>
  <si>
    <t>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t>
  </si>
  <si>
    <t>Additionally, Continental will manage the complete lifecycle of its supplied autonomous hardware kits for the Aurora Driver, from the manufacturing line to decommissioning.</t>
  </si>
  <si>
    <t>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t>
  </si>
  <si>
    <t>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t>
  </si>
  <si>
    <t>As an official distributor, ION will engage with NAVYA's existing and new customers on sales and after-sales support.</t>
  </si>
  <si>
    <t>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t>
  </si>
  <si>
    <t>project ensure the design of such a system, its realization, and a final evaluation of the concept.</t>
  </si>
  <si>
    <t>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t>
  </si>
  <si>
    <t>FCA has selected Waymo as its exclusive, strategic technology partner for L4 fully self-driving technology across FCA's full product portfolio. We've already started to work together to imagine future FCA products for the movement of people and goods operated by the Waymo Driver.</t>
  </si>
  <si>
    <t>the new partnership will include the future integration of Bridgestone's digital and predictive tire-centric technologies into May Mobility autonomous vehicles, granting deeper AV intelligence for even safer and more efficient operation.</t>
  </si>
  <si>
    <t>Through the partnership, Bridgestone will also gain valuable insights into autonomous vehicle operations to improve its core tire products and mobility solutions.</t>
  </si>
  <si>
    <t>with a goal to advance the development of mobility solutions for the autonomous B2B short-haul logistics industry. The collaboration will contribute to safer, more sustainable goods movement while reducing costs for Gatik's customers in the B2B short-haul market nationwide.</t>
  </si>
  <si>
    <t>Goodyear Ventures, participated in Gatik's recently announced Series B funding and the companies will work on multiple innovative projects.</t>
  </si>
  <si>
    <t xml:space="preserve">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t>
  </si>
  <si>
    <t xml:space="preserve">In addition to providing the leased vehicles, Ryder will service and maintain the trucks, including calibration of autonomous vehicle sensors and the necessary pre- and post-trip inspections. </t>
  </si>
  <si>
    <t>announced today that the two entities have entered into a strategic partnership to co-develop SAE Level 4 self-driving trucks targeted for production by 202</t>
  </si>
  <si>
    <t xml:space="preserve">The program between TuSimple and Navistar will ensure a fully integrated engineering solution that will be ready for mass-production using Navistar's vehicle manufacturing capabilities. </t>
  </si>
  <si>
    <t xml:space="preserve">Developers at TRATON GROUP and TuSimple are working closely to develop SAE Level 4 autonomous systems for trucks of the TRATON brands, which can achieve full automation without human intervention under defined driving conditions and applied in all markets. </t>
  </si>
  <si>
    <t xml:space="preserve">TRATON's goal is to test driverless truck fleets on roads throughout Sweden, Germany and other countries. This could serve as a means of counteracting the increasing lack of drivers in the medium term. </t>
  </si>
  <si>
    <t>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t>
  </si>
  <si>
    <t>It will provide the capacity for scaled-up robotaxi services, encourage the full commercialization of advanced autonomous mobility, and drive the development of the entire industry into a new stage.</t>
  </si>
  <si>
    <t>A portion of Ocado’s existing delivery fleet will also be outfitted with Wayve’s data collection devices to provide data for training and validating Wayve’s technology.</t>
  </si>
  <si>
    <t xml:space="preserve">The collaboration includes an autonomous delivery trial that will see Wayve’s technology fitted onto a selection of Ocado delivery vans and trialed on urban delivery routes. </t>
  </si>
  <si>
    <t>Additionally, Goodyear and TuSimple will conduct wear studies designed to understand how autonomous trucks and tires can help better predict maintenance, understand tire longevity and reduce the carbon impact of fleets.</t>
  </si>
  <si>
    <t>Goodyear will provide products and repair services to enhance the safety and operation of autonomous trucks.</t>
  </si>
  <si>
    <t xml:space="preserve">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t>
  </si>
  <si>
    <t>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t>
  </si>
  <si>
    <t>The company is unique in that it offers all four sensor modalities key to autonomous driving's perception systems. Pony.ai is leveraging ON's image sensing and processing chips to capture and process a large amount of camera data everyday with its global autonomous fleet.</t>
  </si>
  <si>
    <t>announced today that they will collaborate on developing next-generation image sensing and processing technologies for machine vision to enhance the reliability and scalability of mass-produced autonomous vehicles.</t>
  </si>
  <si>
    <t>By lowering the financial barriers to this technology, Perrone and GFG open the doors for universities and colleges to bring fully functional autonomy to their communities for safe, reliable, and affordable transportation.</t>
  </si>
  <si>
    <t>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t>
  </si>
  <si>
    <t>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t>
  </si>
  <si>
    <t>At the end of this phase, Valeo will manufacture and supply the selected components, so that they can be integrated in the autonomous driving solutions marketed by Navya.</t>
  </si>
  <si>
    <t>Single Reason</t>
  </si>
  <si>
    <t>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
TuSimple and ZF will co-develop production-quality technologies including cameras, LiDAR, radar, steering and ZF's automotive-grade central computer ZF ProAI. Concurrently, ZF will support TuSimple's pre-production driverless autonomous system, and will ultimately serve as the default supplier for their production-ready system for commercialized vehicles.
"A partnership with world-class supplier ZF is an important milestone for our company as we prepare to bring autonomous-ready trucks to market," said Chuck Price, Chief Product Officer, TuSimple. "Working side-by-side with ZF to refine and integrate our production-ready technology has allowed us to optimize our hardware stack and focus on scaling these technologies to make it possible for autonomous ready trucks to be mass produced."
As part of the partnership, ZF will contribute engineering support to validate and integrate TuSimple's autonomous system into the vehicle.
"Our integrated solutions enable the next generation of mobility, and we are thrilled to partner with TuSimple, a leader in autonomous trucking," said Torsten Gollewski, Executive Vice President Autonomous Mobility Systems at ZF. "A key success factor for virtual driver software is to ensure the system is based on an automotive grade level, including component development and production. The combination of ZF automotive system competencies and TuSimple's virtual driver software will create the first commercial-ready automotive grade autonomous truck technology platform."
TuSimple aims to transform the $800 billion U.S. trucking industry by enhancing safety, increasing efficiency and significantly reducing operating costs. The company operates a fleet of more than 40 autonomous trucks, has 18 contracted customers and makes 20 autonomous trips between Arizona and Texas for companies like UPS every week. The company plans to start driverless operations in 2021.</t>
  </si>
  <si>
    <t xml:space="preserve">The trial will begin in early 2022 and Asda will be the first to commercially test the solution, using Wayve's expertise in deep learning to help navigate complex urban delivery routes in London.
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
Alex Kendall, Wayve CEO, said:
"Last mile delivery represents an ideal first use case for the Wayve AI Driver, which can navigate the complexities of urban driving and easily adapt to new routes. We are excited to be working with Asda as our first commercial partner. They have a proven track record of delivering innovations in online grocery shopping that improve customer experiences. This makes them an ideal partner to support the development of autonomous vehicle technology. "
Simon Gregg, Vice President Online Grocery at Asda, commented:
"We want to explore how autonomous vehicle technology can enhance our operating model as well as the experience for our colleagues and customers. We are pleased to partner with Wayve on this trial. Over the course of the last year, demand for online groceries has grown significantly, and we continue to push new boundaries in terms of retail innovation and technologies that can help us develop the most sustainable last mile solutions for our business."
</t>
  </si>
  <si>
    <t>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t>
  </si>
  <si>
    <t>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t>
  </si>
  <si>
    <t xml:space="preserve">Einride and Bridgestone today announced a partnership aimed at co-creating innovative and sustainable mobility solutions for electrified and autonomous Class 8 vehicles. 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
"Partnering with Bridgestone is a great match for us both from a commercial and technical standpoint,'' said Niklas Reinedahl, General Manager, Einride North America. "We have an ambitious business plan for electric and autonomous transportation in the U.S. as well as innovative plans to improve our capabilities by leveraging tire-as-a-sensor technology and insights derived from the tire telematics data."
"We are incredibly excited about this partnership and the opportunity to accelerate our shared goal of creating innovative solutions for fleets while advancing the transformation of Bridgestone into a sustainable solutions company," said Nizar Trigui, Chief Technology Officer and Group President, Solutions Businesses, Bridgestone Americas. "There is a very high ceiling for innovation within this relationship, including the use of vehicle and tire data and advanced analytics to drive efficiency, safety and low-carbon fleet mobility."
The world's largest tire and rubber company, Bridgestone is building on its 90 years of core tire engineering expertise and expanding its offerings to include sustainable mobility solutions. The company's global environmental goals include a 50 percent reduction of its carbon footprint by 2030, and carbon neutrality by 2050, as well as tires made from 100 percent renewable materials by 2050. Worldwide, Bridgestone has a growing portfolio of innovative technologies and business solutions aimed at advancing safer, more efficient, and sustainable mobility, including Webfleet Solutions, IntelliTire telematics, and REACH streamlined service delivery for fleets.
Einride was the first in the world to operate an electric, self-driving truck on public roads for commercial purposes in 2019. The company develops and provides freight mobility solutions based on electric and autonomous vehicles, leading the transition to sustainable transport. Today, the company offers a platform for electric and autonomous shipping and works together with a wide range of global customers.
</t>
  </si>
  <si>
    <t>The technology companies Continental and Aurora Innovation,  have entered into an exclusive partnership to deliver the first commercially scalable generation of Aurora's flagship integrated hardware and software system, the Aurora Driver. 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 The first start of production is expected in 2027, following the expected launch of Aurora Horizon, Aurora's subscription trucking service underpinned by the Aurora Driver, in 2024.
"At Continental, we are proud to demonstrate our leading technology expertise by being responsible for the development, manufacturing and implementation of the autonomous driving system kits and the fallback path for Aurora's autonomy system," said Nikolai Setzer, CEO of Continental. "In this exclusive partnership, we bundle our systems competence with Aurora's industry-leading autonomous technology for our common goal to jointly realize the first commercially scalable autonomous trucking systems. A crucial step towards autonomous mobility."
"Delivering autonomous vehicles at scale has the potential to dramatically transform modern transportation, bringing new accessibility, safety and efficiency to the movement of goods and people," said Chris Urmson, co-founder and CEO at Aurora. "Continental's legacy in development and industrialization of automated driving systems, combined with its commitment to transform transportation make it an ideal partner for Aurora. Their depth of expertise will be pivotal to scaling Aurora's autonomous trucking service, Aurora Horizon."
Increased safety, reduced fuel consumption and quicker delivery times
Given the continued strain on the global Supply Partnership, autonomous trucking solutions have the potential to help meet today's growing demand and ease the strain currently experienced worldwide. Autonomously powered trucks have the ability to operate around the clock opening up the possibility for cargo between Dallas and Los Angeles (comparable to Berlin to Madrid) to be delivered within less than 24 hours. As a result, fuel consumption can potentially be reduced by around ten percent, while the delivery time can be shortened up to three times compared to that of a human driver. With more than 1.35 million annual global deaths on roadways according to the World Health Organization, autonomous vehicles represent an opportunity to transform travel safety for millions of individuals and the transportation of millions of goods. Through this joint work, Continental and Aurora are committed to improving safety, delivering scalable and predictable driving capacities via the Aurora Driver, as well as enhancing efficiency with higher utilization.
Autonomous trucking system "the implementation
In this first-of-its-kind partnership, Continental will be responsible for the autonomous driving system kits which will leverage a wide spectrum of Continental's extensive automotive product portfolio from sensors, automated driving control units (ADCU), high performance computers (HPC), telematics units, and more, to the complete fallback system which covers the full chain of effects. Continental will integrate these hardware components into pods which will be supplied to Aurora's vehicle manufacturing partners. This will advance the product offering for autonomous trucking customers.
Frank Petznick, head of the Autonomous Mobility Business Area, which will implement Continental's contributions to the partnership with Aurora: "Continental and Aurora will bring the commercial freight market, limited by Supply Partnership constraints in many markets of the world, to a new service level. The first commercially scalable autonomous trucking system provides exciting opportunities for passenger transportation in the coming years and paves the way for broad adoption of autonomous mobility."
Industry's first hardware-as-a-service business model
Continental and Aurora have agreed upon a hardware-as-a-service business relationship, based on mileage driven, to deliver safe, reliable, uptime-optimized and commercially scalable autonomous driving systems to customers through the Aurora Horizon platform. Aurora Horizon was developed to offer a safer, more reliable, predictable, and cost-efficient driver service to supplement human driver supply. Using this service, carriers and fleet operators will be able to better utilize the potential of their vehicle fleets, scale business on demand and help address today's driver shortage.
Continental and Aurora plan to provide this scalable solution to Aurora's vehicle manufacturing partners. Continental parts are expected to be produced and assembled in its newly built manufacturing facility in New Braunfels, Texas, as well as others across the company's global footprint.</t>
  </si>
  <si>
    <t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t>
  </si>
  <si>
    <t>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t>
  </si>
  <si>
    <t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"Autonomous technology is entering our industry and will have a profound impact on our customers' businesses," said Persio Lisboa, President and CEO, Navistar. "Navistar's strategic partnership with TuSimple positions us to be a leader in developing solutions for our customers by leveraging our organizations' collective expertise to integrate our vehicle design and systems integration capabilities with TuSimple's innovative autonomous technology. This announcement marks a significant milestone in our development journey with TuSimple and we look forward to furthering our relationship in the months to come."
Navistar brings 113 years of experience in developing commercial vehicles and bringing them to the market under the International and IC Bus brands. The program between TuSimple and Navistar will ensure a fully integrated engineering solution that will be ready for mass-production using Navistar's vehicle manufacturing capabilities. Customers will be able to purchase the fully autonomous trucks through Navistar's traditional sales channels in the United States, Canada and Mexico.
"TuSimple and Navistar began joint development of pre-production units in 2018 and now we are kicking-off a full go-to-market production program," said Cheng Lu, President, TuSimple. "We are honored to be partnered with Navistar. The investment in TuSimple and the partnership with Navistar marks an important milestone for our company. With the combined expertise of Navistar and TuSimple, we have a clear path to commercialize self-driving Class 8 trucks at scale."
This partnership propels TuSimple's aims to transform the $800 billion U.S. trucking industry by enhancing safety, increasing efficiency and significantly reducing operating costs. Last December, TuSimple announced results of a study conducted at the University of California San Diego that show the company's autonomous driving technology reduced fuel consumption in heavy-duty trucks by 10% when compared to traditional operations.
The company operates a fleet of 40 self-driving trucks in the U.S., shipping freight autonomously for companies such as UPS and McLane Company between Arizona and Texas. TuSimple plans to demonstrate completely driverless operations in 2021.
</t>
  </si>
  <si>
    <t>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t>
  </si>
  <si>
    <t>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t>
  </si>
  <si>
    <t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t>
  </si>
  <si>
    <t>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t>
  </si>
  <si>
    <t>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t>
  </si>
  <si>
    <t>Nickelytics, a venture-backed B2B adtech startup that allows brands to execute hyperlocal out-of-home advertising campaigns, today announced the launch of one of the first major OOH ad campaigns to be placed on robots. The mobility company partnered with Serve Robotics, the leading autonomous delivery company, and the Ad Council to introduce one of the longest running public service campaigns in history to an innovative new format: delivery robots.
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
"We are thrilled to partner with Serve Robotics to pioneer an exciting new form of out-of-home advertising," said Judah Longgrear, Co-founder and CEO of Nickelytics. "Launching this campaign with Smokey Bear is a significant milestone for our team and only the beginning of our expansion in the Los Angeles market. We look forward to amplifying Smokey's message and measuring the expected increase in campaign engagement using our real-time digital measurement capabilities."
"At the Ad Council, we're always strategizing innovative ways to reach people that compliment or go beyond traditional media. With nearly 9 out of 10 wildfires nationally caused by humans, it's as important as ever to do our part to prevent unwanted fires," commented Laurie Keith, VP Emerging Media &amp; Technology at The Ad Council. "Our new partnership with Nickelytics will allow us to share Smokey Bear's message on eye-catching delivery robots and share critical information in an unforgettable way."
"We are delighted to increase public awareness of wildfire prevention, while helping reduce emissions and traffic congestion in Los Angeles with our friendly sidewalk robots," said Touraj Parang, Chief Operations Officer of Serve Robotics. "Nickelytics' proprietary technology and advertiser relationships made them the perfect partner to help us bring out-of-home advertising to our growing autonomous delivery platform."
The Smokey Bear campaign recently celebrated its 78th birthday, making it America's longest-running PSA campaign, in partnership with the Forest Service and National Association of State Foresters. Smokey's catchphrase, "Only You Can Prevent Wildfires" was developed in response to a massive outbreak of wildfires in natural areas other than forests. With heat waves sweeping across California, this year's public awareness campaign remains as timely as ever.</t>
  </si>
  <si>
    <t>On January 30, 2018, Udelv made the world's first autonomous grocery delivery on public roads, in partnership with Draeger's Market in San Mateo, California.
Later this month, Udelv will have another first. This time, it will be in Surprise, Arizona,with America's largest grocer, and the world's largest retailer: Walmart.
The ADV has 32 secure compartments inside, keeping your groceries safe and cool.
What this means for udelv:
Over the past 12 months, Udelv has made thousands of deliveries for dozens of clients. We've tested, learned, and refined autonomous deliveries more than any company in the world. Armed with this knowledge, we're proud to announce the launch of our 2nd generation Autonomous Delivery Van (ADV): The Newton.
This partnership with Walmart is an affirmation of our goals and vision: That ADVs can improve lives and drive the future of e-commerce.
What this means for consumers:
ADVs can cut delivery costs, narrow delivery windows, and make more goods more accessible to more people, enabling customers to save time and live better. With the backing of the world's largest retailer, ADVs take a giant step towards delivering on their promises.
Citizens of Surprise- if you want to check out the Udelv ADV, place your Walmart grocery delivery order (starting later this month).
You can send any feedback or ideas to support@udelv.com!
Udelv's V1 has made thousands of deliveries in California. We're excited to start making them in Arizona!
What this means for other businesses:
companies from industries across the board consider their foray into ADVs, they'll look for partners with the proper resources, support, and business models to provide a technology-forward, customer-centric, and reliable solution. Walmart's backing of Udelv, along with our experience from thousands of public road deliveries across multiple industries, positions Udelv at the forefront of autonomous delivery vehicle providers.</t>
  </si>
  <si>
    <t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t>
  </si>
  <si>
    <t>TuSimple , a global self-driving technology company based in San Diego, California, and Liberty Mutual Insurance, the sixth largest global property and casualty insurer, announced a partnership to assess the comparative safety of autonomous trucks.
TuSimple and Liberty Mutual will work together to better understand how autonomous technologies perform in comparison to the same types of trucks driven manually by human drivers.
"We believe the benefits of autonomous vehicles are powerful and will play a vital role in reducing the number of truck-related fatalities in the future," said Jim Mullen, Chief Administrative and Legal Officer for TuSimple. "Given most accidents are caused by distracted, impaired and fatigued driving "factors that are eliminated by autonomous trucks "we expect the data to reveal significant safety advantages when TuSimple's autonomous driving technology is applied."
David Blessing, Liberty Mutual's Chief Underwriting Officer for New Mobility added, "We are excited to leverage our vast experience in safety and risk management to support the continued roll out and scale of cutting-edge technologies in the trucking and logistics industry. This collaboration with TuSimple will advance our ongoing efforts to develop custom insurance solutions for companies operating autonomous vehicle fleets, today and into the future."
Today, TuSimple's Autonomous Freight Network operates a fleet of 50 L4 autonomous trucks across the states of Arizona, New Mexico and Texas. TuSimple transports freight for revenue on highways and surface streets for customers such as UPS, U.S. Xpress, and Berkshire Hathaway's McLane Company, among others, and plans to expand the Autonomous Freight Network from coast-to-coast by 2024.</t>
  </si>
  <si>
    <t>Today, Aurora Innovation, and Hirschbach Motor Lines, , a leader in refrigerated trucking, announced they began a commercial pilot this week to test and safely deploy autonomous trucking for refrigerated cargo between Dallas and Houston. Aurora's ability to support critical, time-sensitive refrigerated goods expands the network of carriers and shippers who can benefit from the advantages of its autonomous trucking service, Aurora Horizon.
"Since joining Aurora's Industry Advisory Council, I have had a front row seat to the positive impact of autonomous technology," said Richard Stocking, co-CEO of Hirschbach. "Autonomous trucks will provide safe and reliable capacity to supplement our existing network of incredible company drivers. We will identify opportunities that will expand autonomous capabilities across Hirschbach's network that will hopefully supplement our drivers from monotonous stretches of highway and allow them to spend more time with their families."
"This new pilot, on the Peterbilt 579 upfit with the Aurora Driver, demonstrates the increasing maturity of our operations as we expand our product support to a wider number of carriers and shippers," said David Maday, Senior Vice President, Business Development &amp; Product Strategy at Aurora. "We are extremely excited that Hirschbach has the confidence in Aurora's technology and our ability to deliver perishable goods safely and on time."
Autonomously delivering perishable goods and preventing spoilage requires mature operations and sophisticated technology. Aurora's new, next-generation trucking terminal in Dallas is designed to support these advanced commercial driverless operations to maximize efficiency for a variety of customers, including refrigerated trailers. Aurora Driver-equipped tractors with Hirschbach refrigerated trailers started to make the 400-mile round-trip along the I-45 corridor between Aurora's Houston and South Dallas terminals this week.
Refrigerated autonomous trucks capable of operating at nearly all hours of the day have the potential to move goods in record time, increase the shelf life of fresh produce, drive down the costs of goods for consumers and ultimately lead to fresher food and less waste. The U.S. Department of Agriculture estimates 30-40 percent of nationwide food supply results in the spoilage of perishable goods, which occurs, among other ways, at various stages of the production and Supply Partnership.
Aurora recently announced the Aurora Driver is Feature Complete and has entered its final phase of refinement and validation ahead of commercial launch in 2024. By the end of the year, Aurora expects to close the Aurora Driver Safety Case for driverless operations on its launch lane between Dallas and Houston. In parallel, the company will continue to mature its operations as pilot load volume is expected to increase to 100 loads per week by the end of 2023.</t>
  </si>
  <si>
    <t>The Goodyear Tire &amp; Rubber Company today announced a strategic collaboration with Plus (formerly Plus.ai), a global provider of self-driving truck technology, to provide optimized, autonomous trucking solutions that elevate the intelligent and connected transformation of the logistics Industry.
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
Plus is already deploying its driver-in autonomous driving solution, PlusDrive, to customers and is expected to start production of the FAW J7 L3 truck powered by PlusDrive in the third quarter of 2021.
"Tires are the only thing on a vehicle that touches the ground and it's this critical position that can help us enable future mobility solutions like autonomous transportation," said Chris Helsel, SVP Global Operations &amp; CTO of Goodyear, "With our leadership in products and innovation, Goodyear is supporting efficient fleet operations and is pleased to drive more possibilities for the logistics industry wiGth Plus."
Shawn Kerrigan, COO and Co-founder of Plus, said: "We are constantly exploring new opportunities to generate more value for customers using our autonomous driving technology. The collaboration between Plus and Goodyear enables us to leverage both companies' innovative fuel efficiency technologies, and harness these to further improve the performance of autonomous trucks."</t>
  </si>
  <si>
    <t>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t>
  </si>
  <si>
    <t>Sometimes, one of the most difficult things for a large company to do is to realize that the practices and tools that brought about its current success may not be those that will bring future success.
Companies too established in the status quo often miss the trends and technologies that upend their industries. Nokia, the largest cellphone manufacturer of the 90s, missed the smartphone movement and fell out of prominence. RadioShack and Circuit City stuck to their retail guns while Best Buy blew past them with more experiential stores and knowledge-based services.
Slow uptake of trends and technologies ensures a growing graveyard of former business behemoths.
Other companies move into new technologies and trends with vigor and innovative spirit, refusing to be late.
H-E-B, one of America's largest retailers and the most loved grocery in Texas, is solidly in the second camp as one of the most innovative retailers of our time.
We're exciting to announce that H-E-B and Udelv are partnering to bring autonomous grocery delivery to Texas.
Udelv's ADVs will be delivering for H-E-B customers in late 2019.
As a massive retailer with an established delivery business, H-E-B continues to find ways for new technologies to benefit their customers. They recognize that autonomous delivery will not replace drivers, nor will it serve 100% of customers (just like only 81% of Americans own smartphones!).
But for the regions where hiring is difficult, and for the customers who fall in love with the reliable, low cost service, H-E-B will be a leader in autonomous delivery.
At Udelv, we're excited to partner with H-E-B. Each new ADV in the market helps us improve as a delivery company, as an autonomous driving company, and as a smart, experienced leader in this growing industry.
Texas- see you soon!</t>
  </si>
  <si>
    <t>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t>
  </si>
  <si>
    <t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t>
  </si>
  <si>
    <t>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t>
  </si>
  <si>
    <t>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t>
  </si>
  <si>
    <t>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t>
  </si>
  <si>
    <t xml:space="preserve">Goggo Network, the autonomous mobility company founded by Martin Varsavsky and Yasmine Fage and with operations in Spain and France, has signed a Memorandum of Understanding (MoU) with Mobileye, a global leader in the development of computer vision and machine learning, data analysis, localization and mapping for Advanced Driver Assistance Systems and autonomous driving, as part of its strategy to drive the future of autonomous mobility and logistics in Spain and Europe. With this agreement, Goggo plans to introduce Level 4 autonomous vehicles in Spain for the first time.
Specifically, up to 40 autonomous vehicles with SAE Level 4 features, equipped with the Mobileye Drive technology, are expected to be deployed and operated by Goggo in cities around Spain and France.
This system matches Goggo's plans to roll out logistics services across Europe in a next step, as Mobileye Drive is capable of adapting to various driving environments and driver behavior.
Importantly, both Goggo Network and Mobileye agree that a transformation to a smarter, safer and more environmentally efficient driverless future is needed. For this reason, both companies have decided to join forces to achieve the autonomous delivery of goods using pioneering technology from Mobileye.
Mobileye Drive is a part of Mobileye's full stack of self-driving Mobility-as-a-Service (MaaS) solutions. Powered by the EyeQ system-on-a-chip and fed by multiple input sensors like camera, radar and lidar, the self-driving system can be implemented in various use cases like robotaxis, consumer passenger vehicles or commercial delivery vehicles.
For the implementation of the deployment, Goggo will assess the coverage of the road network and provide backend interfaces (APIs) for mission control and fleet management. In turn, Goggo will be responsible for obtaining all necessary permits and licences to test and operate the service in the relevant municipalities.
Goggo plans to start operating with safety drivers to oversee the entire service in 2023, and once the respective safety validations have been completed and regulatory clearance obtained, to eliminate the driver altogether to make the service autonomous Level 4.
"At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making the most of a pioneering technology that stands out for its safety", explains Yasmine Fage, co-founder and COO of Goggo Network.
Johann Jungwirth, Senior Vice President, Autonomous Vehicles of Mobileye, adds: "The collaboration with Goggo Network shows how our vision of delivering self-driving systems for various use cases will come to life. Reshaping mobility for the cities of the future will bring great benefits for everybody, and Goggo's logistics solutions help bring us closer to this reality."
</t>
  </si>
  <si>
    <t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t>
  </si>
  <si>
    <t xml:space="preserve">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
Under the terms of the non-binding MOU, IVECO and Plus will integrate IVECO's latest-generation S-WAY heavy-duty truck with the PlusDrive full-stack autonomous driving system. The partners will also explore using IVECO's liquefied natural gas (LNG) engine system to power the jointly developed autonomous trucks. LNG-powered S-WAY trucks not only significantly reduce carbon emissions, but also reduce unladen weight and therefore increase payload capacity.
The partnership combines IVECO's expertise in heavy-duty truck development, manufacturing, and sales with Plus's cutting-edge autonomous driving technology to bring safe, fuel efficient, scalable, and sustainable self-driving trucks to market quickly.
Shawn Kerrigan, COO and Co-founder of Plus, said: "We are thrilled to partner with IVECO, who shares our vision for a safer and more sustainable future through autonomous trucks. Our teams will work closely to develop and deploy autonomous trucks, including one that is powered by natural gas. IVECO's global footprint in over 160 countries will enable us to accelerate our commercial deployment and magnify the impact of our autonomous driving technology."
Marco Liccardo, Chief Technology and Digital Officer of IVECO, said: "The partnership with Plus represents an excellent opportunity to accelerate the development of the highest levels of automation for heavy trucks. Plus's technology leadership, non-linear thinking, and established relationships with the same key component suppliers make it the perfect autonomous trucking partner."
Plus is working with shippers and truck manufacturers around the world to deploy PlusDrive.
</t>
  </si>
  <si>
    <t xml:space="preserve">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
Serve Robotics is shaping the future of sustainable, self-driving delivery. Founded in 2017 as the robotics division of Postmates, Serve is now an independent company on a mission to make delivery more affordable, sustainable and accessible for everyone. Guided by its proprietary autonomous technology, the company's self-driving robots have successfully completed tens of thousands of contactless deliveries in major U.S. cities. Serve is backed by Uber, alongside other leading investors.
"Serve Robotics is looking forward to delivering great convenience for Uber Eats merchants and customers," said Dr. Ali Kashani, co-founder and CEO of Serve Robotics. "Uber is our first commercial partner and will be a strong source of demand for us as we use contactless delivery to power community commerce at scale."
"We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
</t>
  </si>
  <si>
    <t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t>
  </si>
  <si>
    <t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t>
  </si>
  <si>
    <t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t>
  </si>
  <si>
    <t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t>
  </si>
  <si>
    <t xml:space="preserve">Plus (formerly Plus.ai), a leading company in self-driving truck technology, announced today a new initiative with global engine manufacturer Cummins to develop the industry's first driver-in, supervised autonomous trucks powered by natural gas. The compressed natural gas engines provided by Cummins have been certified to near zero emissions, reducing smog-forming emissions by 90 percent compared to current EPA standards for nitrogen oxide air pollutants. Furthermore, trucks powered by Cummins and integrated with the Plus autonomous driving system are more fuel efficient due to Plus's AI-enabled fuel optimization algorithms and Cummins powertrain features. This revolutionary combination will bring to market natural gas supervised autonomous trucks in 2022 and provide fleets an evolutionary path to quickly meet their emissions-reduction and corporate sustainability goals.
The Plus and Cummins teams will begin work on the new initiative immediately. 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"Sustainable transportation is good for business and for humankind.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 said Shawn Kerrigan, COO and Co-founder, Plus.
"Integrating Cummins' state-of-the-art natural gas-powered engines into Plus's industry-leading supervised autonomous trucks enables a new kind of transportation solution and offers customers even greater choices to meet their emissions goals. Cummins engines can power nearly every type of vehicle and application globally, so the integration of our Natural Gas powertrains for autonomous driving applications is a logical next step to provide customers with solutions that align with their specific business requirements," said J. Michael Taylor, General Manager, Global Powertrain Integration, Cummins, 
Plus will begin mass production of its PlusDrive system this summer, with plans to deploy the supervised autonomous trucking system globally across the U.S., China, Europe and other parts of Asia. The PlusDrive solution is being piloted by some of the largest truck fleets in the world, and have demonstrated the key benefits of improved safety, reduced fuel costs, enhanced driver comfort, and reduced carbon emissions.
</t>
  </si>
  <si>
    <t xml:space="preserve">Bosch and Plus are collaborating to make software-defined commercial trucks a reality. Through a new technology agreement, Plus is offering its PlusDrive solution with the integrated steering system from Bosch featuring hardware and software to deliver driver assistance and partially automated features to commercial vehicles. The announcement was made today at the Advanced Clean Transportation (ACT) Expo in Anaheim, California.
PlusDrive-enabled L2++ vehicles are equipped with a predictive 360 degree surround perception system and provide partial automation by continuously helping drivers with acceleration, braking and steering. 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
"New mobility solutions reqhuire new, enhanced collaboration," said Paul Thomas, executive vice president of Mobility Solutions, Americas for Bosch. "Our agreement with Plus complements existing Bosch portfolio elements and is one of multiple ways we can work together to support our customers."
"Plus's underlying next-generation safety solution enabled by our open autonomy platform, combined with Bosch's steering software system, will help to prevent accidents in commercial vehicles and make roads safer. The proven commercial readiness of our highly automated Plus system accelerates the deployment for our partners and improves the safety and sustainability for the trucking industry," said Shawn Kerrigan, COO and co-founder, Plus.
Beyond offering hardware and software solutions in its steering technology, Bosch can also provide advanced engineering services from its Bosch Engineering team focused on vehicle integration, security and safety for the combined Bosch and Plus solution offered to commercial vehicle truck manufacturers.
In addition to steering solutions for commercial vehicles, Bosch also delivers hardware and software solutions supporting increasing levels of automation in commercial vehicles. Bosch technology can help to provide significantly more powerful electronics architecture, thereby delivering the basis for the software-defined truck. Half the R&amp;D associates in the Bosch Mobility Solutions business sector are software engineers. Among other things, this promotes the development of automated driving.
</t>
  </si>
  <si>
    <t>Today, ECARX Holdings announced a collaboration with Mobileye for future autonomous and advanced driver-assist technology. ECARX plans to serve as the integrator for the Mobileye Chauffeur platform in the Polestar 4 that will offer hands-off, eyes-off autonomous driving on controlled-access highways in operational-defined domains. ECARX and Mobileye also intend to collaborate on a EyeQ6L-based driver-assist solution, using the latest EyeQ6 automotive-grade system-on-chip, to serve the diverse needs of the Chinese market.
Mobileye's Chauffeur adds a layer of active radar and lidar sensor to Mobileye's class-leading computer vision perception to create two subsystems working separately and in parallel to ensure redundancy. It also includes Mobileye's proprietary driving policy platform that can be customized by the automaker. All these elements are designed to run on the ultra-efficient EyeQ6 SoC.</t>
  </si>
  <si>
    <t>Today, 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
"We couldn't be more excited to partner with Serve Robotics to offer our customers the convenience and delight of robotic delivery," said Massimo De Marco, CEO of Piestro. "Robotic delivery is contactless and reliable, with a higher on-time rate than couriers, and will allow our customers to get their pizzas even faster than before "all at the touch of their fingertips."
Serve's robots fit up to four Piestro pizzas and can complete deliveries in under 15 minutes. Once the robot arrives at its destination, customers can retrieve their pizzas from the machine with a secure passcode. Serve's autonomous sidewalk robots navigate safely alongside pedestrians, with remote supervision when needed.
"Serve's zero-emission robots are distinguished by their level of autonomy and safety, outperforming vehicle delivery in key metrics like on-time arrival and order completion," said Ali Kashani, co-founder and CEO of Serve Robotics. "Combining the reliability of robotic delivery with Piestro's tasty pizzas is a perfect match. Together, we offer customers a quick, contactless experience that also benefits the environment."
Piestro continues to see traction with investors in its crowdfunding campaign, which is currently underway on WAX. The platform gives more everyday investors an opportunity to capitalize on the $46.3 billion U.S. pizza market and be a part of shaping the future of the industry by investing in intelligent automation "invest now.</t>
  </si>
  <si>
    <t>Einride, a Swedish technology company that designs and develops technology for freight mobility, announced today that it will be partnering with Oatly, the original oat drink company, to transition to a sustainable transport solution with all-electric vehicles in the Swedish market. The partnership will commence in Q4 of 2020 in Sweden, making Oatly one of the world's first companies to electrify transportation on commercial routes.
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
Oatly is known around the world for challenging the food industry and driving necessary change toward more sustainable food consumption and production.
"Sustainability is at the core of everything we do and we are committed to driving change across the food industry through embracing new sustainable solutions in every area of our business. Electrical transportation is a key part of our Supply Partnership strategy globally and on these routes, we will be reducing our carbon footprint by 87 percent. So naturally we are super-excited at exploring this new opportunity with Einride" says Simon Broadbent, Supply Partnership Director at Oatly.
As a leader in the transition to smart, electrified, and autonomous freight mobility, Einride shares the same values of challenging the status quo to create a more sustainable world, making the partnership a perfect fit.
"Road freight transport as it currently exists is a system that drastically needs to change. Nearly 7 percent of global CO2 emissions come from this road freight, a figure that will only increase if we do not switch to more sustainable solutions like Einride's Freight Mobility Platform, which enables both a sustainable business and environment. We are proud to grow our intelligent movement alongside Oatly, a pioneer in sustainable food production," says Robert Falck, CEO and Founder of Einride.</t>
  </si>
  <si>
    <t>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t>
  </si>
  <si>
    <t>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
For Electrolux, the deal represents a commitment to reduce environmental impact and eventually also cost by adopting cutting-edge technologies throughout the Supply Partnership to improve efficiency. For Einride it's an opportunity to grow with and learn from a global leader in manufacturing and Supply Partnership.
"Sustainability is central for us at Electrolux, and we have a strong interest in reducing our impact in every facet of the business, especially transport. By partnering with Einride to introduce electric, and with an ambition to add autonomous technology to our Supply Partnership, we're staying ahead of the curve for the short- and long-term," said Anders Linnarsson, Head of Electrolux Logistics AB.
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The operation is coordinated and scaled up with Einride's freight mobility platform, which includes dedicated shipper and carrier portals with real time updates and detailed sustainability reporting, as well as information for further implementation of electric and autonomous freight.
"To further develop and scale our groundbreaking freight mobility solutions, it is crucial to partner with like-minded organizations, those that hold sustainability and technological development as core values. Electrolux has a long history of improving our home lives and we look forward to driving the change to a better future of freight together," said Jonas Hernlund, Chief Commercial Officer (CCO) of Einride.</t>
  </si>
  <si>
    <t>Freight technology company Einride today announced that it is now working with plant-based meat company Beyond Meat to provide digital, electric transportation solutions to the company's U.S. operations.
Einride and Beyond Meat are pushing positive environmental change in their respective industries, with Einride developing greener, resilient Supply Partnerships and Beyond Meat producing plant-based proteins that are better for people and the planet. By working together, the companies are moving towards building smarter, more environmentally-friendly operations.
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"Achieving a sustainable future requires collaboration and cooperation among brands from every industry and we're thrilled to add Beyond Meat to our growing network of U.S. companies committed to creating a clean and efficient Supply Partnership," said Einride's Niklas Reinedahl, General Manager of North America. "Working with Beyond Meat was a natural fit given our aligned efforts to offer actionable products rooted in creating a more sustainable future. By offering our services to help build a more intelligent shipping system for Beyond Meat, we'll be able to reduce CO2 emissions."
"At Beyond Meat we recognize the importance of not just focusing our sustainability efforts on our products, but incorporating this mindset across our business operations as well. We are committed to optimizing the journey our products take to reach consumers' plates to make it more sustainable, and our partnership with Einride is one of many steps we are taking to make that a reality," said Christopher Pimentel, Director of Environment, Health, Safety at Beyond Meat.</t>
  </si>
  <si>
    <t>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t>
  </si>
  <si>
    <t>A signed MoU with the UAE Ministry of Energy and Infrastructure (MOEI) marks the start of collaboration to deploy a freight mobility grid encompassing 550 km
The planned freight mobility grid will deploy a proposed 2,000 electric vehicles, 200 autonomous vehicles and eight charging stations
Abu Dhabi, May 31, 2023 "Einride, a freight mobility company that provides digital, electric and autonomous technology, today announces a collaboration with the UAE Government to fast track the region to sustainable shipping. The signed Memorandum of Understanding (MoU) will look to deploy Einride's ecosystem, including electric and autonomous vehicles, charging infrastructure and transforming technology that unlocks digital, electric and autonomous solutions at scale throughout the Falcon Rise grid.
"This collaboration gets to the core of what Einride provides "the transformation to effective and sustainable shipping that is fully electric," said Robert Falck, CEO and Founder. "By partnering on this deal, we'll be able to showcase how entire regions are able to make the switch in an intelligent and cost-effective way."
The Falcon Rise grid will deploy Einride's full freight mobility offering, providing over a stretch of 550 km across Abu Dhabi, Dubai, and Sharjah, encompassing 2,000 electric trucks, 200 autonomous trucks and eight charging stations with over 500 charging points. Einride's freight ecosystem is based on a grid system planned, optimized and monitored using the Einride Saga platform. The grid simplifies the management of road freight, removes industry inefficiencies, provides uninterrupted operations and significantly reduces emissions within the region.
"The establishment of the UAE Falcon Rise grid represents a significant milestone in our journey toward sustainable and intelligent transportation," said HE. Sharif Al-Olama, MOEI's Undersecretary for Energy and Petroleum Affairs. "Through this collaboration with Einride, we aim to leverage the latest technological advancements to reduce emissions and enhance the efficiency of freight operations across the region."
"We look forward to collaborating with the UAE Government to build a more sustainable and resilient transportation system, with this partnership enabling this change to be effectively deployed at scale," said Robert Ziegler, General Manager, EMEA of Einride. "Einride's offering will unlock new opportunities within the region by introducing a new way of shipping that is electric, autonomous, and digital."
,
This marks Einride's first announced project in the region, following multiple market expansions over the course of the past 12 months including Germany, the UK and Benelux. The Falcon Rise project will look to be developed over the course of five years. Einride partners have seen an up to 95% decrease in CO2 emissions while remaining cost competitive.</t>
  </si>
  <si>
    <t>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t>
  </si>
  <si>
    <t>Over the past few years, Mobileye has been developing a new technology to help autonomous vehicles sense and understand their environment "regardless of weather, lighting or road types "in addition to the company's renowned camera-based perception systems. Known as software-defined imaging radar, or 4D radar, the technology will play a key role in bringing autonomous vehicles and the most advanced forms of driver-assistance technology to life.
Today, Mobileye announced a collaboration with Wistron NeWeb Corp. (Wistron NeWeb Corp ) for production of its software-defined imaging radars. Wistron NeWeb Corp , based in Taiwan, works as a major electronics and radar supplier for automakers worldwide. This collaboration is expected to allow Mobileye and Wistron NeWeb Corp  to begin producing automotive-grade imaging radars two years from now, with strong initial interest in the technology from key automaker customers.
"The imaging radars we have been developing over the past few years are uniquely designed to be an essential enabler of high autonomy levels in future vehicles, by delivering rich and reliable radar output, upgrading perception-by-radar capabilities, and reducing the need for multiple lidar sensors," said Yaniv Avital, Mobileye's Radar Vice President and General Manager. "Wistron NeWeb Corp 's experience and accomplishments as an automotive supplier can help us bring this much-needed innovation to the market by our original targeted timeline and at the expected quality."
The imaging radar developed by Mobileye goes far beyond the simple devices on vehicles today. Radars emit radio frequency signals to detect obstacles, and just like cameras, the more data they can process, the more details they can spot. When paired with advanced cameras, radars can provide sensing at longer distances and in certain weather or lighting conditions that can even challenge camera-based imaging.
Mobileye's imaging radars use advanced radar architecture including Massive MIMO (multiple-input, multiple-output) antenna design, a high-end radio frequency design developed in-house, and high-fidelity sampling "all enabling accurate object detection and wider dynamic range. Thanks to an integrated system-on-chip design that maximizes processor efficiency, and world-leading algorithms for interpreting radar data, Mobileye's imaging radars deliver a detailed, four-dimensional image of surroundings up to 1,000 feet away and beyond. With a 140-degree field-of-view at medium range and 170-degree field of view in close range, the radar enables more accurate detection of pedestrians, vehicles or obstructions that other sensors might miss "even on crowded urban streets.
"The new imaging radar technology is a key focus for future high-level autonomous driving," said Repus Hsiung, Vice President &amp; General Manager of the Automotive &amp; Industrial Solutions BG at Wistron NeWeb Corp . "We are delighted to collaborate with Mobileye to accelerate the availability of advanced imaging radars in the market. Leveraging our expertise in automotive electronics and radar solutions, we look forward to working with Mobileye to further develop exciting new capabilities."
Mobileye's True Redundancy approach to autonomous vehicles envisions using imaging radars to create a 360-degree sensing system that operates in addition to, but independently from, a camera-based system. By having multiple systems that are each capable of navigating a vehicle alone, the "eyes off" autonomous system can deliver reliable rides with low chance of failure and simplified safety validation. Imaging radar can also play a role in more advanced hands-free ADAS solutions as an alternative to LiDAR solutions, which are typically far more expensive.</t>
  </si>
  <si>
    <t>Torc Robotics, an independent subsidiary of Daimler Truck AG and a leader in Level 4 self-driving vehicle software for heavy-duty vehicles, and Applied Intuition, a simulation and software tools provider for autonomous vehicle development, announced a multi-year strategic collaboration to address the challenges of autonomous vehicle development in order to safely commercialize Torc's autonomous trucks for over-the-road applications.
Torc Robotics and Applied Intuition announced a multi-year strategic collaboration. Torc is developing a Level 4 autonomous system for long-haul trucking in the US.
Torc is developing a Level 4 autonomous system for long-haul trucking in the US. Under Level 4 autonomy, a vehicle is capable of performing driving functions under specified operating conditions without human intervention.
Applied Intuition offers simulation and software solutions that enable safe, cost-effective, and scalable approaches to the develhopment of autonomous systems. Its deterministic, high-fidelity, and physics-based simulation software supports virtual testing of Torc's algorithms in US highway environments.
"At Torc, safety dictates every aspect of our development including how we test and validate our autonomous technology," said Michael Fleming, CEO and Founder of Torc. "The Applied team has demonstrated their expertise and has equipped us with tools to accelerate the safe development of commercial trucks in a financially viable way. We're excited to continue our collaboration with Applied to make our roads safer for society."
The engagement between the two companies started in early 2020 when the Covid-19 pandemic started. On-road testing, a critical part of autonomous vehicle system development, was temporarily halted to ensure the health and safety of Torc's staff. However, the team was able to continue advancing autonomous driving capabilities in simulation without disruption. Today, Torc's test trucks run daily routes on public roads in multiple states, and simulation continues to be a vital validation method for new autonomous software features before real-life testing.
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 Applied Intuition offers technology that supports multiple types of simulation and development infrastructure.
"Simulation allows our team to test new features and capabilities of the autonomous system on hundreds or thousands of different scenarios in a virtual world," said Ben Hastings, CTO of Torc. "This means by the time the autonomous truck is on public roads, the autonomous system has already been validated in many of the scenarios we could encounter. Above that, strong simulation capabilities are a pillar on our path to commercialization. With Applied Intuition, we are developing for the long-term with a product in mind."
The close collaboration is an important milestone to forward Torc's goal of commercializing fully-autonomous trucks. Fleming added he is confident that the approach will be the first profitable, scalable L4 product in the autonomous trucking industry.
"We are excited to collaborate with Torc to help them bring the world's safest autonomous commercial trucks to market", said Qasar Younis, CEO and Co-Founder of Applied Intuition. "Torc's world-class engineering team has adopted many of our tools' capabilities to design a state-of-the-art development approach. There are many more opportunities to collaborate in order to successfully deploy their trucks at scale."</t>
  </si>
  <si>
    <t>The partnership will deploy Einride's electric freight solutions including connected electric trucks, charging infrastructure and connectivity services within Oatly's North American operations
June 9, 2022 - Swedish freight technology company Einride today announced the next phase of its partnership with Oatly Group AB. The partnership will expand Einride's freight mobility solutions to Oatly's North American ground fleet by deploying connected electric vehicles through Einride's capacity as a service and software as a service offerings.
Einride's mission is to create more sustainable solutions for movement, and this initiative will support Oatly's goal to shift to 100% sustainable ground transport by 2029. Since 2020, Einride has successfully managed and operated electric trucks for Oatly in Sweden, making up the first and largest electric truck fleet in Europe.
As part of the end-to-end freight mobility solutions Einride offers, Oatly will receive the connected electric trucks, charging infrastructure and connectivity services, all powered by Einride Saga, the proprietary operating system that manages the trucks and provides a new platform for more efficient and sustainable shipping operations. Oatly's new U.S. fleet of five Einride connected electric trucks will save the company an estimated 400,000 kg of CO2 over the next year, as compared to diesel trucks on the same routes. This equates to an 87% reduction in carbon emissions on select routes with diesel trucks.
"It is important for our team to showcase a resilient business case for going electric while we are rebuilding the freight transport system from the ground up," said Einride Founder and CEO, Robert Falck. "Since Einride's inception, we have helped reduce customer CO2 emissions upwards of 90% compared to driving with diesel, and we're proud that this partnership will support Oatly's sustainability goals. The partnership with Oatly not only represents the push towards transforming the current shipping landscape, but it is proof that the technology and business model we offer is both resilient and is enabling true sustainable shipping."
At launch, Einride will manage the fleet of five electric trucks at two of Oatly's operating factories in the U.S., located in Ogden, UT and Millville, NJ. Multi-purpose routes will be scheduled routinely from Oatly plants to nearby recycling and packaging partners. Currently, Einride operates Oatly's electric fleet in Sweden, which is composed of electric trucks that operate 24/7 live transports between Oatly production facilities and warehouse partners. The Europe fleet has been active since October 2020 and within the first month of operating in Sweden, the electric truck fleet saved Oatly over 10,500 kg of CO2 compared to diesel.
With heavy road freight contributing to 7% of all global CO2 and greenhouse gas emissions, Einride is deploying a sustainable, safe and efficient shipping network that will reduce the global carbon footprint. Einride's commitment to electric power enables shippers to eliminate tailpipe emissions completely, keeping carbon emissions and local pollution to an absolute minimum. Einride's connected electric trucks are assembled to set specifications throughout the U.S. and outfitted with special telematics hardware that informs Einride's operating system, Saga, to get the most out of each electric shipment.</t>
  </si>
  <si>
    <t xml:space="preserve">Deployment of an unmanned, purpose built autonomous vehicle showcasing business case for commercializing autonomous
The Einride autonomous vehicle is now transporting goods daily in Selmer, TN from GE Appliances' factory to its warehouse
November 13, 2023 "Einride, a freight mobility company that provides digital, electric and autonomous technology, announced today the deployment of full time operations with its autonomous vehicle. The operations, in partnership with GE Appliances, a Haier company, mark an important step in the integration of autonomous transportation supporting full time commercial flows.
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 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
"We are very proud to partner with GEA and be able to lead the industry in providing autonomous technology and deploying it in the strongest commercial use case today," said Henrik Green, General Manager, Autonomous Technologies at Einride. "We look forward to continuing this work to establish autonomous' key role in transportation, both with GEA and other partners across markets."
The Einride autonomous vehicle is part of a larger interoperability project in Selmer to create an automated logistics flow that improves employee ergonomics and safety around the loading docks and increases efficiency. Additional GE Appliances partners include TaskWatch and Slip robotics. TaskWatch's AI cameras trigger a control board to raise and lower the dock doors, dock plate, lock the Einride autonomous vehicle into place and notify the Slip robot that the autonomous vehicle is ready for loading. The Slip then autonomously loads and unloads the vehicle, reducing loading times by 80%. Einride's connectivity partner Ericsson provided the private network to ensure reliable communication between the vehicle and the remote operator on site. Tiffany Heathcott, the first remote operator hired by Einride, is onsite to monitor the vehicle.
"Our partnership with Einride in Selmer reflects our evolved approach to robotics and automation technology," says Harry Chase, Senior Director of Central Materials at GE Appliances. "We are moving from implementing one-off solutions addressing various challenges to creating interoperability among systems that can build consistency and streamline processes in our factories and throughout our Supply Partnership. This implementation in Selmer is helping us reduce emissions, allowing our employees to focus on high value tasks, reducing traffic in congested areas to create a safer work environment, and eliminating some of the most challenging ergonomic tasks like climbing on and off a forklift and hooking and unhooking trailers. We believe robotics and automation technology should work with and for people to improve their jobs."
</t>
  </si>
  <si>
    <t>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t>
  </si>
  <si>
    <t xml:space="preserve">Mobileye, an Intel company, and Zeekr, the global premium electric mobility technology brand from Geely Holding Group, today announced plans to expand their strategic technology partnership with the goal of developing a new all-electric consumer vehicle with Level 4 (L4) capabilities.
The planned autonomous vehicle (AV) will be powered by six EyeQ5 system-on-chips to process Mobileye True Redundancy sensing, Responsibility-Sensitive Safety (RSS)-based driving policy and a new open collaboration model on Road Experience Management (REM) mapping technology. The vehicle will utilize Geely SEA architecture's redundant braking, steering and power, under an "open EyeQ" concept that allows efficient integration with Zeekr software technologies. In addition, Mobileye will enhance its China-related research and development capabilities, establishing a local data center and enhancing its local teams to support its rapidly growing China activities.
"The broadening scope of our partnership reflects just how closely Mobileye and Zeekr are aligned on the vision for future mobility," said Prof. Amnon Shashua, Mobileye president and chief executive officer. "Zeekr's confidence in Mobileye as a technology partner demonstrates our ability to execute toward joint goals and further solidify our industry leadership."
With an anticipated debut in China in 2024, the new all-electric Zeekr vehicle is expected to be the world's first consumer AV with L4 autonomous capability. Built using Mobileye Drive technology, together with the open SEA architecture, and expanding on Zeekr's existing models, this new vehicle is expected to eventually roll out across global markets.
Mobileye and Zeekr's new collaboration expands on the companies' long-term strategic technology partnership, which includes the development of advanced ADAS (advanced driver-assistance systems) with enhanced capabilities for a variety of Zeekr models. The joint efforts are supported by open collaboration with technologies including REM, as Mobileye and Zeekr work toward achieving a safer and more sophisticated future on the roads.
"Mobileye has been a strategic partner to our mission of delivering lifestyle vehicles fit for a more sustainable and autonomous future of transportation," said Andy An, CEO of Zeekr Intelligent Technology. "Our partnership supports Zeekr and Mobileye's shared ambitions for leading the global ADAS and AV industry. Zeekr welcomes open collaboration that enables the integration of technological expertise to create a more sophisticated autonomous mobility experience for our customers."
</t>
  </si>
  <si>
    <t>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
Grubhub partners with more than 250 college campuses across the United States to give students the ability to integrate meal plans directly into their Grubhub account and access restaurants both on- and off-campus for delivery and pickup. The partnership with Cartken for autonomous robot delivery builds on Grubhub's existing campus offering and is a seamless fit for campus environments, which are notoriously difficult for cars to navigate.
"Robot delivery is exciting for students and helps provide even better service and innovative solutions to our campus partners," said Eric Harper, senior director of campus environments at Grubhub. "We've worked with Ohio State University for years on the campus dining front, and they are always an early adopter of solutions that create efficiencies for their operations and improve the student experience. We look forward to supporting our university partners and responding to their unique delivery environments as we roll out this technology at other campuses in the coming months."
Cartken's robots navigate pavements, crosswalks and pedestrian paths within the campus area without human guidance. The robots use Cartken's artificial intelligence (AI) and camera-based navigation and mapping technology, which the company developed for small autonomous vehicles to safely operate around pedestrians. Human override remains an option if necessary "for instance when a path is blocked "guaranteeing reliable operation and minimizing delivery delays. Cartken's robots operate at up to three miles per hour on campus and handle various weather conditions, including rain and snow.
"We're thrilled to be working with Grubhub to delight students and campus staff with robot delivery," said Christian Bersch, CEO of Cartken. "This collaboration perfectly aligns with our mission to use robotics and AI technology to provide friction-free and environmentally sustainable delivery, and have robots serve the community. We are excited to scale alongside Grubhub and offer robot delivery to students on campuses across the country."
"Robot delivery has been very popular on campus this past school year, validating our prediction that students would appreciate autonomous mobile delivery," said Zia Ahmed, senior director of Student Life Dining Services at Ohio State University. "We are excited about the return of robots to campus, and we have been testing the Cartken robots during the spring semester with the same vision to lower the cost of delivery, reduce the time it takes to deliver food and enhance sustainability."</t>
  </si>
  <si>
    <t>Einride has just announced it is partnering with Lidl as Lidl begins an exciting and ambitious transition to electric, self-driving transportation. The partnership will bring Einride one step closer to its goal of reducing Sweden's greenhouse emissions by 40 percent by 2035, and will play a major role in Lidl Sweden's ongoing sustainability mission. Lidl is an affordable and established European supermarket chain that recently arrived in the United States, and plans to open 100 locations on the East Coast by mid-2018. In 2017, Lidl was the first supermarket in Sweden to compensate for its emissions.
If all goes as planned, Lidl Sweden and Einride will roll out the pilot Einride Pod program in the third quarter of 2018.
Johannes Fieber, CEO of Lidl Sweden, says, "The supermarket industry is very transport intensive and will continue to produce high emissions as long as it is dependent on fossil fuel technology. During the 2016/2017 fiscal year, Lidl completely switched to alternative fuels such as electricity, natural gas, biodiesel or eco-labeled diesel, which reduced the environmental impact of transport by 25 percent. By switching to electric trucks, transport emissions can decrease by up to 93 percent. Einride's self-driving Einride Pod is a big step forward in Lidl's battle for fossil free transport."
Sweden's Transport Agency released a mandate granting permits to self-driving vehicles on public roads in July 2017. Einride and Lidl have contacted the Transport Agency and are planning to submit a license application in November 2017.
Robert Falck, CEO of Einride, says: "Domestic road transport is responsible for approximately 30 percent of Sweden's greenhouse gas emissions. Our goal is for the Einride pod to be used in 40 percent of Swedish road transport by 2035, which would reduce Swedish greenhouse gas emissions by an equivalent 40 percent. Collaboration with Lidl is an importahnt step towards that goal."
Einride and Lidl will begin testing in Halmstad.</t>
  </si>
  <si>
    <t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t>
  </si>
  <si>
    <t>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t>
  </si>
  <si>
    <t>Today, Luminar Technologies, , the global leader in automotive lidar hardware and software technology, and the world's largest commercial vehicle manufacturer, Daimler Truck AG, announced a strategic partnership to enable highly automated trucking, starting on highways. Experts at Daimler Trucks, its U.S. subsidiary, Daimler Trucks North America (DTNA) and Torc Robotics, part of Daimler Trucks' Autonomous Technology Group,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
Dr. Peter Vaughan Schmidt, Head of Autonomous Technology Group at Daimler Trucks: "Luminar has pioneered a critical enabling technology for bringing automated vehicles to the road, and we're excited to work closely with them to drive this technology forward. Their company has proven visionary in its focus and unique ability to enable long-range sensing and high-speed driving on the highway. Our common goal is to enable safe deployment of highly automated trucks and shape the future of the trucking and logistics industry at large."
The autonomous trucks are expected to yield dramatic improvements in efficiency and safety of logistics, with an initial focus on long-haul routes on highways. This constrained application of autonomy enables the technology to be commercially deployed in series production on nearer term time frames compared to urban autonomous driving development.
"Our partnership with Daimler Trucks is spearheading the next era of commercial transportation, taking the multi-trillion global trucking and logistics industry head-on," said Austin Russell, Luminar's Founder and CEO. "The business case for autonomous trucking is incredibly strong, and now is seeing the first OEM program to bring it to the world."
Michael Fleming, CEO of Torc Robotics: "We are excited by the opportunity to work with Luminar and their long-range, high resolution Lidar to improve truck safety and enable us to commercialize self-driving trucks. This is a critical, enabling technology on our development path."
The partnership between Luminar and Daimler Trucks will extend beyond providing critical automotive technology solutions. As part of their joint commitment to safety, the companies will also collaborate on safety standards and operating practices, and make future policy advancements and safety enhancements as a result of the joint program.</t>
  </si>
  <si>
    <t>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Werner Enterprises also joined Kodiak's Partner Deployment Program, which helps carriers establish autonomous freight operations and seamlessly integrate the Kodiak Driver, Kodiak's self-driving system, into their fleet.
"Working with Kodiak enables us to efficiently incorporate new technologies into our business while giving us a competitive edge," said Werner's Senior Vice President of Van/Expedited Chad Dittberner. "We're eager to establish the hybrid model of drivers and ongoing autonomous lanes to create new and unparalleled levels of efficiency while staying focused on Werner's value of putting safety first."
During its pilot with Werner, Kodiak completed a total of 152 hours of driving time and achieved 100 percent on-time delivery performance. Werner had trailers ready for a Kodiak self-driving truck to pick up on both ends of the trip. Werner's local drivers completed the first-mile pickups and last-mile deliveries. This truckport model maximizes the amount of time the Kodiak Driver spends driving.
"Werner's vision for incorporating autonomous trucks into their future operations demonstrates a fundamental understanding of where autonomous technology fits within the trucking industry," said Don Burnette, Founder and CEO, Kodiak. "The Kodiak Driver is designed to do the often-undesirable highway portions of long-haul routes, allowing drivers to handle the deliveries that let them sleep in their own beds at night. We look forward to continuing our collaboration with Werner and introducing new permanent lanes together."
The joint effort with Werner Enterprises is the most recent carrier relationship to be announced by Kodiak. Earlier this year, the company announced partnerships with U.S. Xpress, 10 Roads Express and CEVA Logistics.</t>
  </si>
  <si>
    <t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t>
  </si>
  <si>
    <t>Einride and Svenska Retursystem "a leading Swedish logistics company "will explore how digitalization and automation of flow of goods can drive change towards a more effective and sustainable transport system. One goal is to test Einride's self-driving, electric trucks at Svenska Retursystem's logistics center in vaesteros, Sweden.
"SRS have pledged fossil-free transports by 2025 but getting there will be difficult and involve several different solutions. The partnership with Einride is important, not just to reduce our own emissions, but to push the whole industry towards sustainable transport, says Anna Elgh, CEO, Svenska Retursystem.
The Swedish startup Einride has developed a unique transportation solution, based on autonomous trucks, able to replace diesel trucks in a high percentage of existing freight flows. The Einride autonomous vehicle has no driver's cab, is all-electric, and has the potential to reduce CO2 emissions by up to 90 percent.
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vaesteros.
"Climate change is our greatest challenge, and transport represents 25 percent of total CO2 emissions globally. Innovative solutions are needed to replace the old, and Einride's solution is proof a transition to a sustainable, safe and efficient transport system is possible. All it takes is the will to change, says Robert Falck, CEO, Einride.
Apart from the pilot, the partnership between Einride and SRS will involve an extensive exchange of knowledge and experience related to digitization and logistics.</t>
  </si>
  <si>
    <t xml:space="preserve">"We will see the future we choose to invest in, and therefore we choose to support investments that are made in critical and important sustainability areas, in this case electric freight mobility with Einride," said Polarrenen CEO Lars Wikman.
A subsidiary of the Polarbaer Group (Polarbaersgruppen), Polarrenen operates in the sustainable energy, real estate, and mobility sectors, and strives to build a more sustainable future. Polarrenen has built sustainable apartments, invested in climate-smart vehicle finishing, and installed wind turbines. Now, Polarrenen will take the next step towards sustainable transport by financing electric trucks operated by Einride's intelligent freight mobility platform.
"The transition to sustainable transport is only possible if we are all prepared to challenge how freight works today. Polarenen is a pioneer in sustainable investments and is not afraid to show the way. We at Einride are happy to call them partners and are impressed by their courage and will to take on the legacy industry that is road freight," said Robert Falck, CEO and founder of Einride.
For Einride, the collaboration is an important piece of the puzzle in the electricity-based transport solution the company provides its customers with. Through new technology, it is possible to challenge freight as it exists today - which is harmful to the environment and unsustainable - and be able to offer cost-effective transport solutions.
For the Polarbaer Group, the deal means a further step in the investment towards sustainable mobility. Einride's customer studies have shown that companies can reduce their emissions by 87 percent by switching to electric freight, proving not only a sustainability case, but also a powerful business case.
</t>
  </si>
  <si>
    <t>The installation of Einride's autonomous electric transportation (AET) system will be the first commercial application of their all-electric vehicles in the world, and it is made possible by Ericsson's 5G technology. 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ambition from the involved parties is to create a sustainable transport solution. The change is enabled by technology providers and driven by the customers demand for sustainable transport.
There is a paradigm shift going on in the transport industry and 5G with its high data speeds and ultra-low latency is powering a new world of autonomous vehicles that takes fleet management to the next level. Einride's transportation solution, is a perfect example of how 5G can drive cost efficiencies, improve safety and create a sustainable future, says Tamsons, Senior Vice President and Head of Business Area Technologies &amp; New Businesses, Ericsson
Einride's driving mission is to lead the sustainable transition of road freight transportation. 5G provides the connectivity and reliability we need to safely introduce the Einride autonomous vehicle on public roads, paving the way for a 90 percent reduction in CO2 emissions and an elimination of NOx emissions, says Robert Falck, CEO, and founder of Einride.
Einride's autonomous vehicle is a new type of vehicle, that has no driver in the vehicle. The all-electric, autonomous transport system that the autonomous vehicle is part of could potentially replace more than 60% of today's transport with a cost competitive and sustainable alternative. A key enabler for a sustainable transport system is high-performance connectivity. 5G is a cornerstone in creating sustainable transport for tomorrow's needs.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t>
  </si>
  <si>
    <t>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t>
  </si>
  <si>
    <t>Kiwibot, a leading last-mile robotic delivery company, and Aramex, a leading global provider of logistics and transportation solutions, are excited to announce the successful testing of drone and robotic delivery along the road in the UAE.
The common vision for last-mile delivery combines the strengths of Kiwibot in the field of autonomous robotic delivery, with Aramex's experience in logistics and transportation. The result is quicker, cost-effective, innovative and sustainable delivery solutions. The initial testing in Dubai involves a multi-modal approach using both drones and autonomous robots.
Kiwibot's high-driving automation robots use a combination of sensors and artificial intelligence to navigate through surroundings and obstacles. They utilize an advanced GPS navigation system with a high-tech satellite solution, to generate virtual maps and establish multiple routes that make it possible to reach a pre-defined goal.
The drone technology, provided by BARQ EV, is equipped with multidirectional sensors and a reliable fleet management system, enabling high accuracy across order placements dispatch management, drone flight routing, and deliveries.
"This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
"The expansion of our Future Delivery Program in the UAE is a testament to our drive to be at the forefront of last-mile delivery logistics and generate more value for our customers by providing a faster, safer, and greener way of delivering packages," said Alaa Saoudi, Chief Operating Officer "Express at Aramex. "Importantly, it also enables Aramex to further contribute to UAE's sustainability ambitions as we embark on our mission to transition our fleet to emission-free vehicles and achieve our climate pledge to reach Carbon neutrality by 2030. We are excited about the next chapter of the program and further scale this service to reach more customers."
This initiative follows Kiwibot's aspirations to expand last-mile robotic delivery across the MENA region and let customers experience the delivery service like never before. Kiwibot and Aramex aim to create a greener future for cities by providing sustainable and adaptable options for mobility.</t>
  </si>
  <si>
    <t>"This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t>
  </si>
  <si>
    <t>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t>
  </si>
  <si>
    <t>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t>
  </si>
  <si>
    <t xml:space="preserve">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
"The global partnership with TuSimple is another step towards becoming a Global Champion. Innovative future technologies that provide additional value to our customers represent a key part of our strategy," said Matthias Gruendler, Chief Executive Officer at TRATON GROUP. The first test vehicles underway are aiming for Level 4 (high automation). TuSimple has already been trying out its technology since 2015 with several million test kilometers on public roads and is a leading developer of autonomous driving, for example in the fields of perception and night vision.
"Our partnership with TRATON GROUP accelerates the introduction of autonomous truck technology to new international markets, and we look forward to our global partnership," said Cheng Lu, President, TuSimple. "The TRATON GROUP has an excellent reputation and established a portfolio of world-class truck brands, their strategic investment in TuSimple is a powerful testimony to our technology and approach."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Experts estimate a shortage of around 60,000 drivers in Germany alone. Moreover, autonomous trucks would increase the overall truck capacity utilization. It is conceivable that the first cases of deployment could be conducted outside of the specially demarcated areas, particularly for highly frequented hub-to-hub routes.
</t>
  </si>
  <si>
    <t>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t>
  </si>
  <si>
    <t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t>
  </si>
  <si>
    <t>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t>
  </si>
  <si>
    <t>Mobile World Congress in Barcelona is the largest mobile event in the world, bringing together the latest innovations and leading-edge technology from more than 2,400 companies. With over 107,000 key decision-makers expected to attend, this is one of the most important gatherings in the tech- and telecommunications industry.
Einride will showcase its 5G-connected transportation solution at Ericsson's event area between 25-28 February. Members of the press and other guests will be given the opportunity to remote control an autonomous vehicle , located at AstaZero, a test site outside Gothenburg, Sweden.
"The transportation industry has entered an era of major transformation as vehicles are becoming connected, electrified and increasingly automated. At Mobile World Congress we will show how the ongoing transformation of transportation requires enhanced connectivity, and the remotely controlled Einride vehicle is a great example of that," says Asa Tamsons, Senior Vice President and Head of Business Area Technologies &amp; New Businesses, Ericsson.</t>
  </si>
  <si>
    <t>The world's largest bearing manufacturer SKF and tech company EInride have signed a pilot agreement to test Einride's self-driving, electric truck for transporting goods on public roads between SKF's factories in Gothenburg.
Einride was the first in the world to drive an electric, self-driving truck on public roads for commercial purposes in 2018. Today, the company offers an intelligent software platform for electric and autonomous shipping and works together with customers like Coca-Cola European Partners, Oatly, Lidl and Electrolux.
"With the partnership with SKF, we now have customers in all our priority segments: retail, consumer goods, and industrial goods, which we are very proud of. Together with them, we will learn and grow quickly," says Jonas Hernlund, Chief Commercial Officer at Einride.
For SKF, autonomous vehicles are nothing new. Today, they use self-driving trucks, so-called AGVs, inside factories and warehouses. There are also far-reaching plans to develop a solution for autonomous loading and unloading of the truck, which can carry up to ten tonnes at a time. However, operating driverless vehicles on public roads requires a special permit from the Swedish Transport Agency, which the two companies plan to apply for together.
"We want to be proactive and try technology that gives us new opportunities to create efficient and sustainable logistics flows that contribute to our ambitious environmental goals," says Mans Isacsson, head of SKF's logistics in Sweden.</t>
  </si>
  <si>
    <t>will explore how digitalization and automation of flow of goods can drive change towards a more effective and sustainable transport system. One goal is to test Einride's self-driving, electric trucks at Svenska Retursystem's logistics center in Vasteras, Sweden.
A pilot project will also be initiated with the goal of introducing Einride's self-driving, electric trucks at Svenska Retursystem's logistics center in Vasteras.</t>
  </si>
  <si>
    <t>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Vasteras.</t>
  </si>
  <si>
    <t>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t>
  </si>
  <si>
    <t>Goggo Network plans to introduce Oxbotica's operating system for autonomy in its fleet of on-road autonomous electric vehicles, across Europe
As part of the collaboration, Goggo Network will begin by deploying Oxbotica's autonomous driving software in Spain, across its growing middle-mile operations
Goggo Network, the leader in autonomous vehicles in last and middle-mile logistics, has today announced it is joining forces with Oxbotica, the autonomous vehicle software developer, as part of its vision to drive the future of autonomous mobility and logistics in Europe.
The partnership will introduce Oxbotica's autonomous driving system into Goggo's middle and last mile delivery operations in its key industries, including FMCG, shipping, groceries and food delivery. This will be deployed on-road, as part of Goggo's electric vehicle (EV) network. The vehicles selected will have a maximum payload capacity of up to 1,500kg, which will be important in leading heavy and large cargo of autonomous middle-mile deliveries for retailers and distributors.
The first stage of the collaboration will see Goggo deploying Oxbotica's autonomy software in Spain, to explore the benefits of Oxbotica's technology in middle mile delivery in its operations with key partners including the likes of Carrefour, Da and Telepizza. The success of these tests will be a key building block for Goggo to include Oxbotica within its wider mobility network across cities in Europe including those in France.
Oxbotica's autonomous driving software is capable of driving both on and off road, in various weather conditions, low light and darkness, and able to adapt to any location (e.g. local road or site routes). It uses advanced AI to accurately sense and predict changes to the environment the vehicle is in, whilst learning from previous journeys, which is key to continually improving the safety and efficiency of the technology.
The announcement comes at a time of high fuel costs and a shortage of drivers across Europe, but ever increasing demand for services as online shopping skyrockets. By 2026, across Europe, driver shortage is expected to triple, with the total topping two million. Goggo and Oxbotica's collaboration will help tackle these challenges and address the urgent need to move goods from A to B safely and efficiently.
"Our partnership with Oxbotica centres around a shared commitment to realising the benefits of autonomous mobility today," said Yasmine Fage, co-founder and COO at Goggo."Our collaboration will enable Goggo to provide an unparalleled experience for autonomous middle and last mile deliveries throughout Europe. We were impressed by Oxbotica's system for autonomy and its outstanding safety standard, and we are excited to see how this collaboration can have a positive impact in the logistics industry, helping some of the critical challenges it faces today."
"We are thrilled to be working with Goggo to enable businesses in Europe to deploy autonomous vehicle technology sooner for safer and more efficient operations," said Gavin Jackson, CEO at Oxbotica. "We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
Alongside Oxbotica's self-driving software, Goggo will be tapping into Oxbotica's fleet management system to safely and effectively operate its fleet of autonomous vehicles, and optimise operational performance.
Goggo will also benefit from Oxbotica MetaDriver "a suite of tools that uses generative AI and machine learning to validate, verify and ensure the safety of autonomous vehicles in a virtual environment. Oxbotica MetaDriver automatically generates a vast bank of scenarios, used to test and refine AV operations and behaviours without ever needing to physically drive in them, which will accelerate the safe deployment of autonomous vehicles in Goggo's network.
Goggo plans to start operating with safety drivers to oversee its entire Autonomous Mobility Network in 2023, and once the respective safety validations have been completed and regulatory clearance obtained, it will make the transition to full autonomy.</t>
  </si>
  <si>
    <t>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t>
  </si>
  <si>
    <t>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t>
  </si>
  <si>
    <t>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t>
  </si>
  <si>
    <t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t>
  </si>
  <si>
    <t>"Go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t>
  </si>
  <si>
    <t>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t>
  </si>
  <si>
    <t>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t>
  </si>
  <si>
    <t>We're pleased to announce the start of our strategic partnership with Navtech Radar Radar, a pioneer in technology and innovation providing the most technologically advanced and adaptable radar detection systems.
The partnership will create a solution that has the potential to transform industries. It will improve efficiencies, safety, and bottom lines by further enabling the deployment of autonomous vehicles (AV) in any environment and under any conditions. These applications range from mines and airports to warehouses and forests.
Off-road industrial vehicles often cover remote terrain in low visibility conditions. By integrating Oxbotica's software into Navtech Radar's robust, high-definition radars, the two companies will further enhance the localisation and perception capabilities of AVs in those environments.
Navtech Radar's high-definition radars have been deployed in 5 continents and over 46 countries, to detect and track objects in critical applications. Their ability to operate in all weather conditions "including dense fog "makes them ideally suited for off-road commercial applications.
The partnership will see Oxbotica integrate its software into Navtech Radar's hardware, starting with the fully ruggerdized CIR sensor and the new compact CAS (FMCW) 76GHz radar. Initially the partnership will develop an odometry solution before expanding to radar localisation.
These capabilities will enable Oxbotica to further meet the growing appetite for the industry application of autonomous software for both on and off highway vehicles. They form part of Oxbotica's vision to deliver 'Universal Autonomy' globally, with customers, partners and deployments across industries where autonomy will be transformational.
Ozgur Tohumcu, Chief Executive Officer at Oxbotica, commented: "We are delighted to form this partnership with Navtech Radar to boost the deployment of our software solutions to off-road autonomous vehicles. Autonomy in off-road environments has long been regarded as a challenge to satisfying the appetite for autonomy in industries. This alliance is proof that the right companies are already prepared to meet that need, and the application of autonomous software is ready for deployment in limitless ways.
"It's testament to Oxbotica's success to date and will further our entry into additional important industries where our technology can unlock efficiencies and create safer, more productive workplaces."
Philip Avery, Managing Director at Navtech Radar, added: "Oxbotica is the perfect partner for us "a leader in its field with software that fits seamlessly into our products, and with an engineering culture that mirrors our own. We look forward to working with Oxbotica to mutually boost our technologies and capitalise further on the huge market opportunities that lie ahead."</t>
  </si>
  <si>
    <t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t>
  </si>
  <si>
    <t>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t>
  </si>
  <si>
    <t>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t>
  </si>
  <si>
    <t>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t>
  </si>
  <si>
    <t>Mobileye and Geely Holding Group announced today the expansion of their ongoing collaboration for advanced driver-assistance systems (ADAS) and autonomous vehicle technology. The announcement follows the successful launch of the ZEEKR 001 premium electric vehicle (EV) with Mobileye SuperVision technology, with more than 40,000 vehicles already on the road and ahead of an over-the-air (OTA) update that will unlock SuperVision's full capabilities.
Building on the success with the premium electric mobility technology brand ZEEKR, three additional brands under the Geely Holding Group umbrella are set to globally launch electric vehicle models with Mobileye SuperVision technology beginning next year. ZEEKR will also introduce Mobileye SuperVision on two new EV models, as well as developing new lidar-based features with Mobileye.
"We have proudly worked with ZEEKR, our strategic partner, on the first consumer deployment of SuperVision technology, demonstrating both its on-road capabilities and its ability to evolve through over-the-air updates," said Prof. Amnon Shashua, Mobileye president and chief executive officer. "This is only the beginning of potential applications for this technology, and with these new projects, we will demonstrate how SuperVision can be adapted to any brand's specific needs."
An Conghui, president of Geely Holding Group and CEO of ZEEKR Intelligent Technology, said: "Mobileye is an important strategic partner for ZEEKR. As the cooperation between ZEEKR and Mobileye continues to deepen, Mobileye's globally leading intelligent driving technologies will be used in more ZEEKR models in the future. ZEEKR is committed to openness and integrating future technologies in various fields to provide our users with better intelligent drive experiences."
ZEEKR 001 customers already benefit from constantly upgrading surround vision-based, highway-assist capabilities with special safety features. The system is expected to receive full SuperVision capabilities through over-the-air updates by the end of this year that will bring ZEEKR customers' driving experience to the next level.
Mobileye SuperVision is powered by two 7 nanometer EyeQ5 system-on-chip. It supports point-to-point assisted driving under a wide range of road types "from highway, arterial and rural to urban. Mobileye SuperVision enables the vehicle to change lanes autonomously, navigate intersections and manage key driving priorities, as well as powering automated parking and preventive steering and braking. The Mobileye SuperVision system uses 11 high-resolution cameras "seven long-range and four parking cameras "to provide full visual coverage surrounding the vehicle.</t>
  </si>
  <si>
    <t>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t>
  </si>
  <si>
    <t>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t>
  </si>
  <si>
    <t>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t>
  </si>
  <si>
    <t>Ocado Group plc the leading online grocery platform and solutions provider, today announces that it has commercially partnered with Oxbotica Ltd. ("Oxbotica"), headquartered in Oxford.
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This will be a multi-year collaboration, and the ultimate ambition is to enable Ocado's partners that use the Ocado Smart Platform ("OSP") to reduce the costs of last-mile delivery and other logistics operations.
The Ocado/Oxbotica relationship began in 2017, when we conducted a two-week trial using an early prototype delivery vehicle doing autonomous deliveries in Greenwich, London. Since that initial trial, Oxbotica has made significant progress in developing its platform, leading to today's announcement of a broader relationship that includes both Ocado's financial investment and a commercial collaboration agreement.
Oxbotica's two core products are Selenium and Caesium. Selenium is an on-vehicle suite of software that brings full autonomy to a vehicle in a way that is agnostic to both hardware and environment. Caesium is a cloud-based autonomy management system that brings fine-grained control, audit, data management and monitoring to autonomous fleets. Oxbotica's products use an advanced set of AI, machine learning and optimisation technologies to yield a low-power, safe, explainable, quick-to-deploy, modular and completely flexible "Universal Autonomy" platform.
Ocado will build teams of engineers within its existing Advanced Technology division to work with Oxbotica on these diverse use cases. The Advanced Technology division is independent from the engineering team that develops core OSP software and automation. The initial development work will focus on UK operations, and will then extend to international markets where Ocado's partners operate.
Over the last five years Ocado has created more than 8,000 new jobs in the UK and abroad, with headcount now approaching 19,000 employees. As with its robotics business, this vehicle autonomy programme is not expected to have any impact on Ocado's current hiring or employment levels within logistics or operations groups.
Logistics costs constitute the single-largest line item in the operating cost structure of online grocery. Moving finished orders from CFCs to 'spokes' (where they are then cross-docked to delivery vans) represents approximately 1.5% of sales in the UK; the cost of final mile delivery is approximately 10% of sales. Labour represents approximately 50% of these costs.
Beyond potential cost savings within its core operations1, Ocado sees significant opportunities to improve its partners' customer proposition by being better able to respond to peak delivery demands, reducing the cost-to-serve of its immediacy proposition, and accelerating the shift to electrically-powered vehicles (thereby improving fleet sustainability and reducing environmental impact).
For both regulatory and complexity reasons, Ocado expects that the development of vehicles that operate in low-speed urban areas or in restricted access areas, such as inside its CFC buildings or within its CFC yards, may become a reality sooner than fully-autonomous deliveries to consumers' homes. However, all aspects of autonomous vehicle development will be within the scope of this collaboration. Ocado expects to see the first prototypes of some early use cases for autonomous vehicles within two years.
In addition to this collaboration with Oxbotica, Ocado continues to seek further investments and/or partnerships as it grows and develops its autonomous vehicle capabilities.
Main Transaction Terms
Ocado will invest £10m in Oxbotica as part of Oxbotica's latest Series B equity funding round. The round was led by bp ventures, and included other strategic and financial investors in the U.S., the U.K., China and Australia, such as Tencent, Halma, BGF, HostPlus, IP Group, Venture Science, and funds advised by Doxa Partners. Ocado will take a seat on Oxbotica's board.
As part of this collaboration, Ocado will outfit a subset of its delivery vans and warehouse vehicles with data capture capabilities, which may include video cameras, LiDAR, RADAR and other sensing devices. Ocado will make this data available to Oxbotica to train and test its technologies, which will then inform Ocado as to what opportunities exist and where best it might take advantage of these exciting new partnerships.
Alex Harvey, Chief of Advanced Technology at Ocado, commented:
"We are excited about the opportunity to work with Oxbotica to develop a wide range of autonomous solutions that truly have the potential to transform both our and our partners' CFC and service delivery operations, while also giving all end customers the widest range of options and flexibility."
Paul Newman, Co-Founder &amp; CTO of Oxbotica, commented:
"This is an excellent opportunity for Oxbotica and Ocado to strengthen our partnership, sharing our vision for the future of autonomy. By combining both companies' cutting-edge knowledge and resources, we hope to bring our Universal Autonomy vision to life and continue to solve some of the world's most complex autonomy challenges."</t>
  </si>
  <si>
    <t>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t>
  </si>
  <si>
    <t>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t>
  </si>
  <si>
    <t>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and partner with early-stage companies that are developing new technologies and business models that deliver advancements and automation in the logistics and transportation industries. The funding represents RyderVentures' first investment in an autonomous trucking company. 
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Going forward, Ryder and Gatik will explore opportunities for Ryder to manage the logistics operations of the autonomous fleet as well, allowing Gatik to focus on its unique, end-to-end ADaaS business model and manage long-standing relationships with its customer base. 
"The combination of maintaining direct relationships with customers while being asset-light has never been achieved in the autonomous trucking industry before," said Gautam Narang, CEO and co-founder, Gatik. "This partnership enables us to benefit from Ryder's world-class expertise in commercial vehicle servicing and maintenance, and leverage Ryder's North American infrastructure to expand our fleet to multiple markets quickly. Ryder has consistently demonstrated commitment to innovation and serving their customers' needs "core principles that resonated deeply with us."
The goal of the partnership is to expand quickly across the U.S. and Canada, with the initial focus on the Dallas-Fort Worth area. 
"One of our focus areas, not only for RyderVentures but for Ryder as a company, is on autonomous trucking technology. It's on track to solve a host of industry pain points. Think about ever-escalating consumer demands combined with capacity constraints, driver shortages, and regulatory and safety pressures," says Karen Jones, chief marketing officer and head of new product development for Ryder. "Gatik's commitment to safety, focus on efficiency and affordability, and unique approach to structured autonomy make it a leader in autonomous middle-mile delivery”and a great partner for Ryder." 
list and as a World Economic Forum Technology Pioneer</t>
  </si>
  <si>
    <t>Through the broader partnership, Gatik will lease from Ryder a fleet of medium-duty, multi-temperature box trucks designed for transporting goods to retail locations from micro-fulfillment centers or dark stores”distribution centers that cater exclusively to e-commerce.</t>
  </si>
  <si>
    <t xml:space="preserve">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t>
  </si>
  <si>
    <t>Mountain View, Calif. / Carter Lake, Iowa (July 26, 2022) ” Kodiak, , a leading self-driving trucking company, today announced that it has expanded its autonomous freight service to Florida with 10 Roads Express, a provider of time sensitive surface transportation for the U.S. Postal Service.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
"We are focused on servicing routes that fit the real-world needs of our customers," said Don Burnette, Founder and CEO, Kodiak. "10 Roads Express's network of long length-of-haul routes makes it an ideal partner for Kodiak. Our unique lightweight mapping system allowed us to expand into Florida in a fraction of the time it would take to build traditional AV maps, enabling us to service some of the nation's busiest coast-to-coast freight lanes. This expansion further demonstrates the scalability and flexibility of our autonomous solution, the Kodiak Driver."
As part of the partnership, 10 Roads will join Kodiak's Partnership Deployment Program to evaluate the potential of integrating Kodiak's autonomous solution into its fleet in the coming years.
"10 Roads Express carries some of the most high-priority freight in the trucking business," said Wayne Hoovestol, CEO, 10 Roads Express. "We are committed to exploring all opportunities to create better jobs for our drivers while providing exceptional service to our customers. This partnership is an opportunity to stay abreast of this technology's progress and evaluate its benefits. By partnering with Kodiak now, 10 Roads can build the operational expertise we need to efficiently integrate autonomous trucks into our fleet in the coming years."
The establishment of autonomous service along the I-10 corridor to Jacksonville comes as Kodiak has significantly expanded its service footprint in 2022. Leveraging its built-for-scale solution, Kodiak has rapidly added new lanes, including the recently announced launch of commercial operations between Dallas and Oklahoma City with CEVA Logistics, and the launch of freight operations between Dallas and Atlanta with U.S. Xpress. Kodiak has been delivering freight daily between Dallas to Houston since mid 2019, and between Dallas and San Antonio since mid-2021.</t>
  </si>
  <si>
    <t>Driverless grocery delivery is a red-hot sector, and it's no wonder ” according to some analysts, the autonomous robot market could be worth close to $12 billion by 2024. In June, Nuro teamed up with grocery giant Kroger for self-driving grocery deliveries in the U.S., shortly after startup Robotmart announced plans to test its driverless grocery store on wheels. And today, another two companies joined the fray: Farmstead and Udelv.
Farmstead said that in the coming weeks, it'll partner up with Carson, California-based Udelv to deliver foodstuff to Bay Area customers via the autonomous vehicle company's modified GEM eL XD electric trucks. It's been running a limited pilot since September.
"While many services have talked about making deliveries via autonomous vehicles, Farmstead is actually doing it," said Farmstead CEO and cofounder Pradeep Elankumaran. "We envision a future where autonomous delivery is the norm in our space rather than the exception. This technology will help us be more efficient, enabling us to get fresh groceries into our customers' homes even faster and cheaper than before."
Here's how it'll work: Folks who opt to receive autonomous deliveries will receive an alert when the vehicle pulls up to their door. They'll tap in a code they receive via SMS and retrieve their bags of groceries from a dedicated compartment.
Udelv's trucks pack 8.7 horsepower motors and 20-kWh battery packs with an estimated range of 60 miles and a maximum speed of 25 miles per hour, and can make about 40 deliveries before needing to recharge. The company said it collaborated with Motivo Engineering, a mechanical and electrical system design firm based in Carson, California, to spec out the cargo hold, which can fit 700 pounds of items in 18 cubbies of four sizes.
"Customers who have already experienced our autonomous vehicle delivery have been blown away "with Udelv's help, we can't wait to bring it to all our service areas," Elankumaran said.
Farmstead's secret sauce is artificial intelligence. The startup's platform takes into account inventory and sales data to predict consumer habits, which it uses to place orders from producers, stock micro-hubs, and optimize dispatch courier dispatch times. That's how it's able to charge $5 or less for delivery in under 60 minutes, Elankumaran said, and to reduce perishable food waste to under 10 percent.
As for Udelv, it's not its first grocery delivery rodeo. In September, the company announced partnerships in Oklahoma City with several chains, including Uptown Grocery, Buy For Less, Buy For Less Supermercado, and Smart Saver, to deliver food to customers in "underserved markets."
Its vans are capable of Level 4 autonomous driving, and they've made more than 800 deliveries in the San Francisco Bay Area since January.
"[We] think grocery delivery is a perfect use case for Udelv's self-driving vans ” getting fresh and sometimes delicate items to customers quickly," Udelv CEO Daniel Laury said.
Nuro and Udelv aren't the only startups seeking to fulfill last-mile orders. San Francisco-based Dispatch is developing a short-range autonomous delivery robot designed to run on sidewalks, and AutoX is delivering goods from California-based companies like GrubMarket and DeMartini Orchard to customers in geofenced areas of San Jose. Meanwhile, Ford partnered with Postmates earlier this year to autonomously transport packages to customers in Miami, Florida.</t>
  </si>
  <si>
    <t>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t>
  </si>
  <si>
    <t>At Bolt, we constantly strive to improve our services and positively impact our cities. With this objective at the core of our operations, we needed a partner who shared our values and could work with us to achieve our goals. We're excited to announce our partnership with Starship Technologies, the world leader in autonomous delivery vehicles.Together, we'll transform the way food and grocery deliveries are made, bringing customers a new level of convenience and sustainability right to their door.
The Bolt and Starship Technologies journey so far
Like Bolt, Starship Technologies is an Estonian-born company that's rapidly expanded its global presence. And today's announcement coincides with another significant milestone for the company. Starship Technologies has become the first autonomous delivery company to complete 5 million commercial deliveries worldwide. This was achieved in just 7 months since celebrating 4 million deliveries in November 2022. At Bolt, we have over 100 million users in 45 countries and 500 cities globally, offering services like ride-hailing, micromobility, and food and grocery delivery. By partnering with Starship Technologies, we can now provide a broader range of delivery options that accommodate different order sizes, preferences, and distances.
Partnership objectives and aspirations
The partnership between Bolt and Starship Technologies is driven by shared objectives and a vision to transform cities and delivery services. Both companies have expressed their excitement and optimism about the collaboration. "Both Bolt and Starship have created innovative products which have revolutionised the way people move around and buy and receive goods in cities." Jevgeni Kabanov, Bolt's President According to Jevgeni, the partnership will provide millions of Bolt Food customers with a sustainable delivery option, fulfilled by Starship's successful and intelligent service. Jevgeni's hopeful about expanding the collaboration, too ” making deliveries more affordable and accessible to a larger customer base. Alastair Westgarth, CEO of Starship Technologies, echoes this sentiment, emphasising the shared goal of making local transport more sustainable.
"Bolt and Starship share very similar goals of promoting sustainability in local transport. In our case, we offer a convenient and on-demand autonomous delivery service, perfectly aligning with the mission of making cities more eco-friendly.
Alastair Westgarth, CEO of Starship Technologies. Adding to the discussion, Ahti Heinla, Co-founder and CTO of Starship Technologies, brings up exciting possibilities that lie ahead."We think the synergy with Bolt's overall portfolio of services will not only help Starship expand to new markets but also provide some fun, fully electric, future-proofed delivery options to the markets Bolt serves." Ahti Heinla, Co-founder and CTO of Starship Technologies
Shaping the future of delivery today
With shared goals and aspirations, Bolt and Starship Technologies are committed to improving the delivery landscape and bringing positive change to customers and cities. Starship delivery robots will begin delivering with Bolt Food in Tallinn as a pilot programme, working in tandem with courier partners. You'll hear more exciting updates about this partnership as we work together to change how people receive meals and groceries.</t>
  </si>
  <si>
    <t xml:space="preserve"> We're excited to announce our partnership with Starship Technologies, the world leader in autonomous delivery vehicles
 Jevgeni's hopeful about expanding the collaboration, too ” making deliveries more affordable and accessible to a larger customer base. Alastair Westgarth, CEO of Starship Technologies, echoes this sentiment, emphasising the shared goal of making local transport more sustainable.</t>
  </si>
  <si>
    <t>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t>
  </si>
  <si>
    <t>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t>
  </si>
  <si>
    <t>Mobileye today announced its strategic collaboration with Porsche, one of the world's greatest sports car builders, to provide Mobileye's SuperVision premium advanced driver assistance systems in future Porsche production models.
This new effort builds on our strategy of advancing autonomy through evolution, starting from today's eyes-on, hands-on driver assist systems through SuperVision-based systems that enable hands-off operation for identified use cases, leading to eventual eyes-off, hands-off autonomy.
"We are excited to collaborate with Porsche on bringing the next generation of driving technology to customers worldwide," said Prof. Amnon Shashua, President and CEO of Mobileye. "We share Porsche's goal of improving the driving experience through world-class technological innovation.
"Mobileye SuperVision system was designed to enhance safety through the synergetic interaction of driver and vehicle, as well as enhance the driving experience itself, by giving drivers greater freedom to choose how they want to engage with the road, and when they want to let the vehicle handle basic driving tasks."
Future Porsche models will benefit from the system's 11 cameras and radar-based sensing system to deliver supervised hands-free operation for identified use cases. Our cloud-connected Road Experience Management maps will provide up-to-date and highly localized intelligence about not just road features like lanes and signals, but how other drivers interact with their surroundings.
SuperVision's combination of advantages ” a tightly integrated package of software and hardware based on our EyeQ6 High systems-on-a-chip on a new SV62 domain controller ” make it a uniquely flexible solution. Porsche will use Mobileye SuperVision as a key ingredient in its premium driver-assist platform, including key driver monitoring systems, to deliver a Porsche-worthy experience behind the wheel. And the collaboration is expected to make Mobileye SuperVision available as a platform solution within the overall Volkswagen Group.
Mobileye SuperVision technology has been developed to work at scale across multiple geographies and operational domains. The Mobileye SuperVision approach builds upon Mobileye's two decades of proven experience as a leader in camera-based driver safety and assistance technology, powered by integrated EyeQ SoCs. More than 135 million vehicles globally have been built with Mobileye assist technology to date, powering tangible increases in traffic safety for all road users.</t>
  </si>
  <si>
    <t>An established leader in public robotaxi services, Motional expands commercial operations to include autonomous delivery
This will be Uber's first partnership with an AV fleet provider for autonomous deliveries
Companies to launch delivery service in Santa Monica in 2022
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The partnership represents industry-shaping firsts for both companies; Motional's expansion into driverless delivery and Uber's first on-road delivery partnership with an autonomous vehicle (AV) technology provider.
Motional will use its next-generation autonomous vehicle, the all-electric Hyundai IONIQ 5-based robotaxi, with in-vehicle modifications in place to enable autonomous deliveries. This will be the first time Motional's SAE Level 4 vehicles are used for delivery applications, and signals the company's evolution to a dual-purpose product strategy.
"Today, Motional enters the autonomous delivery market," said Karl Iagnemma, Motional's President and CEO. "We're proud that our first delivery partner is Uber and are eager to begin using our trusted driverless technology to offer efficient and convenient deliveries to customers in California. We're confident this will be a successful collaboration with Uber and see many long-term opportunities for further deploying Motional's technology across the Uber platform."
"We're excited to partner with Motional to test a new kind of delivery for Uber Eats consumers in 2022," said Sarfraz Maredia, VP and Head of Uber Eats in the US &amp; Canada. "Our consumers and merchant partners have come to expect convenience, reliability and innovation from Uber, and this collaboration represents a huge opportunity to meet ”and exceed” those expectations."</t>
  </si>
  <si>
    <t>SAN FRANCISCO, November 8, 2021 ” 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t>
  </si>
  <si>
    <t xml:space="preserve">Today, Uber Freight and Volvo Autonomous Solutions (V.A.S.) have announced a multi-phase commercial and technology partnership to deploy Volvo's autonomous transport solution on the Uber Freight network. Uber Freight will be one of V.A.S.'s first customers to pilot their hub-to-hub autonomous offering. As a part of the partnership, V.A.S. will offer autonomous freight capacity to Uber Freight shippers on select routes, starting in Texas.
The news marks the beginning of a strategic partnership, which will leverage Uber Freight's expansive network and V.A.S.'s autonomous transport solution. Via the Uber Freight platform, shippers will be able to tap into more efficient means to move freight and ultimately realize the value autonomous trucks bring to strained global Supply Partnerships.
"The V.A.S. and Uber Freight partnership is an exciting one," says Nils Jaeger, President of Volvo Autonomous Solutions. "By integrating our autonomous transport solution with Uber Freight's expansive network, we are offering shippers the possibility to move goods more efficiently while addressing some of the biggest challenges of the industry”transit times, empty miles and a shortage of drivers."
Uber Freight and V.A.S. envision a hybrid future where autonomous and manually-driven trucks work together to move goods safely and efficiently using a hub-to-hub model. Under this model, autonomous trucks will take on the long-haul portion of the transport mission while manually driven trucks complete local operations. Hub-to-hub will also ease some of the burden of increasing demand for freight while enabling drivers to shift into short-haul jobs closer to home, enhancing the truckers' quality of life and ultimately creating value for everyone in the Supply Partnership.
h
"V.A.S. is a proven leader in safety and we're excited to collaborate on the road ahead," says Lior Ron, Uber Freight CEO. "As a trusted partner and advisor for shippers across the country, we look forward to helping shippers integrate autonomous solutions into their operations. Our ability to expand access to V.A.S.'s transportation solution unlocks greater access to reliable capacity, improving the efficiency and sustainability of our customers' Supply Partnerships."
V.A.S. is on a mission to accelerate the development, commercialization, and sale of autonomous solutions for defined segments in the on-road and off-road space. By offering autonomous capacity, they provide shippers with more flexibility, convenience, and productivity.
The partnership with V.A.S. initiates Uber Freight's first commercial collaboration with an autonomous fleet. At a time when innovation in logistics is needed most, Uber Freight and V.A.S. will leverage autonomous technology to bring new modes of capacity and reimagine the quality of life for truck drivers. As Uber Freight continues to deepen its work with leaders across the board, from Driver-as-a-Service technology providers like Aurora and Waymo to OEMs and Transportation-as-a-Service providers like V.A.S., Uber Freight emerges as the network of choice to make the commercialization of autonomous transportation a reality.
</t>
  </si>
  <si>
    <t>"By integrating our autonomous transport solution with Uber Freight's expansive network, we are offering shippers the possibility to move goods more efficiently while addressing some of the biggest challenges of the industry”transit times, empty miles and a shortage of drivers."</t>
  </si>
  <si>
    <t>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t>
  </si>
  <si>
    <t>Uber Technologies, Inc . (NYSE:UBER) and Nuro, a leading autonomous vehicle company, today announced a multi-year partnership to use Nuro's autonomous, electric vehicles for food deliveries in the United States.
Uber Eats consumers will be able to order meals and goods delivered by Nuro's zero-occupant autonomous delivery vehicles, which run on public roads and are built specifically to carry food and other goods. The partnership will kick off this fall with deliveries in Houston, TX and Mountain View, CA. Uber and Nuro plan to expand the service to the greater Bay Area.
"Nuro and Uber share a vision in which technology can make everyday life just a little bit easier," said Noah Zych, Global Head of Autonomous Mobility and Delivery at Uber. "Nuro's distinctive autonomous vehicles are a great match for the Uber platform, and this partnership will bring a compelling combination of innovation alongside the convenience, affordability and reliability our customers and merchants have come to expect."
The partnership highlights the rapidly growing potential for last-mile autonomous delivery of meals, groceries, and other goods and opens up autonomous delivery technology to Uber Eats merchants/restaurants of all sizes. It also serves as an opportunity for Uber and Nuro to join forces to support local businesses and strengthen local commerce.
"Our partnership with Uber underscores Nuro's track record of partnering with the world's leading brands to make autonomous delivery a seamless experience," said Cosimo Leipold, Head of Partnerships at Nuro. "With our unique autonomous delivery vehicles and Uber's phenomenal scale and reach, we can expand food delivery options from your favorite local mom-and-pop restaurants all the way to nationwide chains."
Nuro was the first company to achieve fully autonomous vehicle operations in three states (Arizona, California, and Texas), and also the first to obtain an autonomous deployment permit from the California DMV. It remains one of only three companies to be granted the permit to date. Nuro's delivery vehicles are built with other road users' safety in mind. They can help reduce emissions from car trips and other traditional delivery options that use gas-powered vehicles, leading to cleaner air and better public health outcomes. Nuro's collaboration with Uber follows multiple strategic partnerships with market leaders in grocery, restaurant, parcel logistics, and convenience.
Uber's partnership with Nuro is an expansion of the company's efforts across autonomous mobility and delivery and is expected to unlock greater innovation for consumers and merchant partners in Mountain View and Houston.
Uber Eats delivers instant access to local commerce, helping people across the world discover restaurants and merchants, order meals, groceries, alcohol, and more at the touch of a button”and get it delivered reliably and quickly. The business leverages Uber's technology and logistics expertise to partner with 825,000 merchants in 11,000+ cities globally, while keeping average delivery time under 30 minutes.</t>
  </si>
  <si>
    <t>Today Uber Freight and Waymo Via announce a long-term strategic partnership to connect their technologies and deploy autonomous trucks at scale on the Uber Freight network. This partnership brings together the power of Waymo's autonomous driving technology with the scale of Uber Freight's network and leading marketplace technology, unlocking a road map for the thoughtful and safe implementation of autonomous trucks on roads across the US.
The agreement is an important milestone that includes a deep product integration and long-term collaboration roadmap that involves building the tools and infrastructure specific to the successful deployment of autonomous trucks for Uber Freight's shipper and carrier customers. Carriers that purchase trucks equipped with the Waymo Driver in the future will be able to opt in to Uber Freight's marketplace through user-friendly applications letting them seamlessly deploy their autonomous assets on the Uber Freight network.
These applications will provide a streamlined experience for onboarding, load booking and execution, trailer transfers, and payment while also enabling an ecosystem where human drivers and autonomous trucks can collaborate effortlessly in a hybrid network to move freight. Both companies envision a future where autonomous trucks tackle the long-haul portion of driving, easing some of the burden of the increasing demand for freight while also enabling drivers to shift into short-haul jobs that enhance the occupation's quality of life. Additionally, the companies will explore what the transfer hub model could look like with Uber Freight's universal trailer pool program, Powerloop, for easy and fast transfers between autonomous trucks and human drivers, streamlining operations between the first, middle, and final mile.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how best to adjust their supply-chain strategies for a hybrid network future ” where autonomously-driven trucks and human-driven trucks operate side by side to move freight more efficiently and safely. Uber Freight is also uniquely positioned to combine shipments from its $17 billion of freight under management to maximize utilization of autonomous and human-driven trucks, and continuously optimize routes once the technology is deployed, driving savings and improving service and reliability for shippers.
"Uber Freight's extensive, efficient, and reliable digital network is essential to making autonomous trucks a reality," says Lior Ron, Head of Uber Freight. "We are uniquely positioned to be the preferred network for autonomous trucks, with the scale and the marketplace expertise to deploy autonomous trucks in a way that benefits the entire industry. This partnership is an exciting leap forward, and ‹‹we are proud to work alongside the amazing team at Waymo Via to pioneer a hybrid freight network that truly empowers carriers and will ring in a new era of logistics."
The milestone agreement includes a deep product integration between Uber Freight and Waymo Via. [Product imagery is conceptual only]
"Uber Freight's network of shippers, carriers, and marketplace technology is a great match for the Waymo Driver," says Charlie Jatt, Head of Commercialization for Trucking, Waymo Via. "Through this partnership, we can empower carriers to fully utilize their investments in the Waymo Via solution through Uber Freight and create a great experience for shippers, while keeping our focus on developing the core Driver technology. We're really excited to see how this partnership can impact the logistics industry and solve critical challenges over the next decade and beyond."
"Partnering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We can't wait to see what else comes from this deep collaboration."
This partnership comes at a time of high fuel costs, a shortage of drivers, and rapidly increasing demand. The future of the industry will rely on a combination of autonomously driven and human-driven trucks deployed efficiently and at scale across a digital and optimized network. The innovative hybrid freight model between Uber Freight and Waymo Via will be the key to unlocking much-needed capacity for shippers, increasing fuel efficiency, providing carriers with the opportunity to scale their businesses, and ultimately streamlining global Supply Partnerships to the benefit of everyone.</t>
  </si>
  <si>
    <t>Today marks a significant milestone for Waabi and the logistics industry. We're excited to announce a strategic partnership with Uber Freight to accelerate the safe deployment of AI-powered autonomous trucks at scale.
The agreement pairs Waabi's core technology ”the Waabi Driver”with Uber Freight's vast logistics platform and marketplace technology to deliver a turnkey driver-as-a-service solution that will be the first of its kind. This unique solution will empower carriers to dynamically and effectively deploy the Waabi Driver while also unlocking critical capacity for shippers and driving value throughout the Supply Partnership.
By providing carriers with the services and infrastructure to deploy, maintain and manage their autonomous assets seamlessly, our bundled solution can help increase asset utilization significantly as well as drive profitability for carriers of all sizes. Over the next ten years, Waabi and Uber Freight also intend to deploy billions of miles of Waabi Driver capacity alongside carrier partners on the Uber Freight network, ensuring the technology will have a meaningful impact for shippers and carriers over the long term.
To gather valuable insights for the joint solution, our autonomous trucks have already been deployed on the Uber Freight network, giving their customers early access to autonomous freight capacity. The autonomous commercial loads, the first of which ran this week, will run regularly between Dallas and Houston and give the thousands of shippers and carriers on the Uber Freight network an opportunity to better understand what the future of Supply Partnership operations will look like and how autonomous trucks can improve overall network efficiency. As the partnership continues to advance, we will quickly expand to other key lanes in Texas and beyond.
A new model for AI-powered autonomous truck adoption and deployment
While autonomous trucks represent a huge opportunity for the logistics industry to increase asset utilization, improve road safety, lower carbon emissions, and improve drivers' livelihoods, reaching their full potential hinges on integrating into a scaled freight network that can optimize load matching, orchestrate hub-to-hub operations, and provide carriers a streamlined experience for onboarding, load booking and execution, trailer hand-offs, payments and asset maintenance.
The industry-first driver-as-a-service solution at the center of our partnership will pair the Waabi Driver with Uber Freight's technology and services to offer carriers the most technologically advanced, operationally efficient and holistic model for safely and effectively adopting autonomous trucks within their fleets. In the future, carriers with Waabi Driver-enabled trucks will have the option to deploy their assets instantly and seamlessly on the Uber Freight network, taking advantage of continuously optimized routes, as well as an ecosystem of partnerships with transfer hub infrastructure, roadside assistance, and national maintenance providers.
A robust technical integration will enable shippers to tap directly into Waabi Driver capacity from Uber Freight's digital tools, making it easy to transform procurement strategies and incorporate efficient and reliable autonomous capacity into their day-to-day operations. With $18 billion of Freight Under Management, Uber Freight is uniquely positioned to improve reliability and cost-effectiveness for shippers by optimizing routes and combining shipments, ultimately maximizing utilization of autonomous and human-driven trucks across entire networks.
Importantly, this partnership will make it effortless for carriers and shippers to unleash our generative AI-powered technology within their own operations. We're tackling autonomous driving in a new way, the Waabi Driver is the first and only autonomous truck solution to be built around a foundation AI model, which unlike traditional approaches that require painstaking manual code adjustments, can automatically learn from data and generalize its learnings to all the situations it might encounter on the road, including those that it has never seen before.
The Waabi Driver's development is front loaded within our revolutionary simulator, Waabi World ” the most scalable, highest fidelity closed-loop simulator to ever exist. In Waabi World, generative AI reconstructs digital twins automatically from raw sensor data. These digital twins can then be modified to create infinite potential new scenarios, exposing the Waabi Driver to the vast diversity of experiences needed to hone its driving skills, including common scenarios and safety-critical edge cases. This approach drastically reduces the need to drive in the real world, resulting in a solution for carriers and shippers that is not only more sustainable, but also smarter, safer, and more scalable.
Accelerating the future of logistics and driving positive change across safety, efficiency, jobs and the environment
This partnership comes at a time when logistics innovation is needed most. Not only is the industry facing considerable inefficiencies across Supply Partnerships, with an estimated ~20-35% of miles being driven empty, and a looming shortage of truck drivers, expected to reach 160,000 by 2028, but persistent safety issues continue to plague the industry. The National Highway Traffic Safety Administration (NHTSA) reported that in 2019, large truck crashes accounted for more than 5,000 lives lost”and 87% of large truck crashes involve human error, according to historical data from the Federal Motor Carrier Safety Administration (FMCSA). Additionally, transportation is the only sector with emissions that are still growing in US &amp; Europe and freight trucking, in particular, accounts for nearly 7% of US CO2 emissions.
Autonomous trucks have tremendous potential to address these issues, significantly increasing asset utilization, reducing carbon emissions, improving road safety, and positively reimagining the career outlook and quality of life for truck drivers. A recent study by the Department of Transportation found that autonomous trucks could actually stimulate job growth and increase total U.S. employment by 26,400 to 35,100 jobs per year on average. Together, we look forward to advancing logistics and delivering on the promise of autonomous trucks.</t>
  </si>
  <si>
    <t>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t>
  </si>
  <si>
    <t xml:space="preserve">The agreement pairs Waabi's core technology”the Waabi Driver”with Uber Freight's vast logistics platform and marketplace technology to deliver a turnkey driver-as-a-service solution that will be the first of its kind. </t>
  </si>
  <si>
    <t>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t>
  </si>
  <si>
    <t xml:space="preserve">Kiwibot and Kineo's first-of-its-kind partnership will help the startup manufacture robots and expand the business without worrying about working capital. Kiwibot's growth will get it closer to becoming the standard last-mile delivery service in smart cities.
Kiwibot, a robotic last-mile delivery service that has completed over 250,000 food deliveries with high-driving robots, today announces a tailor-made $10M financing partnership with asset financing group kineo finance. The agreement will help Kiwibot with its manufacturing and scaling needs, growing its robotic fleet and disrupting the delivery-as-a-service (DaaS) industry.
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
Kiwibot's on-demand delivery service is already available via apps like Grubhub and Sodexo's Everyday. The robots' high-driving capabilities, made possible by GPS technology, advanced camera sensors, and artificial intelligence (AI), mean they can generate optimal routes, avoid obstacles, and provide a cost-effective service. Kiwibot reduces food delivery costs by up to 65%.
The partnership is monumental because it is kineo's first involvement in the DaaS industry and a notable use case for their portfolio of high-tech companies from the medical, logistics, and Internet of Things (IoT) sectors. While the funding scene in the robotics industry has taken a few tumbles, this first-of-its-kind financing deal sets a precedent for other startups: They must consider alternatives to venture lending and venture capital funding.
"This partnership will take our operations to the next level: We'll be closer to becoming the standard solution for smart cities that leverage sustainable technology to enhance people's quality of life. We're pleased to be backed by companies who believe in building accessible and convenient robotics services," said Felipe Chavez, CEO and co-founder of Kiwibot. "We envision a world where technology, logistics, and delivery are available for everyone. Kiwibot's near future looks bright, and we are ready to offer our exceptional delivery services globally."
"Kiwibot's solution is in high demand in the US and has become indispensable for people leading fast-paced lives. This partnership is the financial push they need to propel their startup into wider markets," said Charles Sellman, President at kineo Finance. "At kineo, our goal is to encourage automation and digitalization initiatives in various industries to drive the adoption of high-tech companies' equipment. Kiwibot's growth in the DaaS sector meant it was a logical choice for us to support its robotic deliveries helping businesses today”and for the future."
</t>
  </si>
  <si>
    <t>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t>
  </si>
  <si>
    <t xml:space="preserve">Isuzu Commercial Truck of America and Gatik have agreed to collaborate on a project to develop and evaluate fully autonomous medium-duty trucks. 
Isuzu is a market leader in Low Cab Forward (LCF) trucks in the U.S. and Canadian markets. Gatik is the industry leader in automating on-road
transportation networks for B2B middle-mile logistics. This collaboration is an industry first in the medium-duty category and will accelerate the commercialization of autonomous delivery fleets while contributing to a safer and more sustainable logistics community in the future. 
The collaboration will integrate Gatik's autonomous driving technology into several Isuzu medium-duty N-Series trucks to produce SAE Level 4 delivery vehicles with redundant systgems. The first vehicles will be deployed this year thanks to the cooperative efforts of Gatik's and Isuzu's engineering teams.
"By bringing these two teams together, we can create segment-changing technology
while positioning Gatik to safely commercialize autonomous delivery technology at scale," said Gatik's CEO and Co-Founder Gautam Narang. "Isuzu N-Series trucks have been best-sellers in their class in the combined U.S.-Canadian market for 35 consecutive years, making them an ideal fit for our solution. We are excited to combine our industry-leading expertise and bring a long-term, sustainable solution to the Supply Partnership."
€œAs customer requirements for the medium-duty product evolve at an increasingly rapid pace, having the ability to collaborate with Gatik, an industry leader in autonomous technology is very exciting for our team," said Takashi Sadaoka, President and CEO of Isuzu Commercial Truck of America. 
Rapidly increasing e-commerce sales and a well-documented driver shortage have caused businesses to struggle to meet the expectations of on-demand goods movement. This effort will combine Gatik's autonomous driving software and operational expertise with Isuzu's award-winning truck platform to address these critical industry pain points, ensuring retailers can maintain capacity, lower operating costs, and keep delivery times short. </t>
  </si>
  <si>
    <t xml:space="preserve">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t>
  </si>
  <si>
    <t>Action</t>
  </si>
  <si>
    <t>Rest</t>
  </si>
  <si>
    <t xml:space="preserve">Partner to Develop Technology </t>
  </si>
  <si>
    <t>for Mass Produced Autonomous Trucks</t>
  </si>
  <si>
    <t xml:space="preserve">ZF and NIO Sign </t>
  </si>
  <si>
    <t>Strategic Cooperation Agreement</t>
  </si>
  <si>
    <t>Wayve Announces Autonomous Van Trial</t>
  </si>
  <si>
    <t>in Partnership with Asda</t>
  </si>
  <si>
    <t xml:space="preserve">Partnership To Develop and Deploy </t>
  </si>
  <si>
    <t>Autonomous Passenger Shuttles</t>
  </si>
  <si>
    <t xml:space="preserve">cooperate for </t>
  </si>
  <si>
    <t>the traffic turnaround</t>
  </si>
  <si>
    <t xml:space="preserve">Valeo and Navya strengthen </t>
  </si>
  <si>
    <t>their technological and industrial collaboration</t>
  </si>
  <si>
    <t xml:space="preserve">Einride Partners with Bridgestone to Create </t>
  </si>
  <si>
    <t>Cleaner, Safer, Low-Carbon Freight Mobility</t>
  </si>
  <si>
    <t xml:space="preserve">Continental and Aurora Partner to Realize </t>
  </si>
  <si>
    <t>Commercially Scalable Autonomous Trucking Systems</t>
  </si>
  <si>
    <t xml:space="preserve">ION And NAVYA Form Partnership To Deliver </t>
  </si>
  <si>
    <t>Sustainable And Autonomous Transportation Offerings In GCC Region</t>
  </si>
  <si>
    <t xml:space="preserve">Kiwibot partners with Aramex to Test </t>
  </si>
  <si>
    <t>Drone and Robotic Delivery Service</t>
  </si>
  <si>
    <t xml:space="preserve">Torc and Transdev partner to develop </t>
  </si>
  <si>
    <t>technology for i-Cristal, a shared and fully autonomous shuttle</t>
  </si>
  <si>
    <t xml:space="preserve">NAVYA and VALEO partner to develop </t>
  </si>
  <si>
    <t>a unique safety system for the commercialization of level 4 autonomous vehicles</t>
  </si>
  <si>
    <t xml:space="preserve">Waymo and Fiat Chrysler Automobiles (FCA) expand </t>
  </si>
  <si>
    <t>autonomous driving technology partnership</t>
  </si>
  <si>
    <t xml:space="preserve">Bridgestone invests </t>
  </si>
  <si>
    <t>in autonomous driving technology provider May Mobility, kicks off broader partnership</t>
  </si>
  <si>
    <t>Goodyear Invests in Autonomous Trucking Company Gatik and Collaborates</t>
  </si>
  <si>
    <t>to Enhance Safety and Efficiency for Autonomous Middle Mile Logistics</t>
  </si>
  <si>
    <t xml:space="preserve">Ryder Invests in Gatik and Partners </t>
  </si>
  <si>
    <t>to Establish North American Autonomous Delivery Network for B2B Short-Haul Logistics</t>
  </si>
  <si>
    <t xml:space="preserve">Navistar and TuSimple Partner to Bring </t>
  </si>
  <si>
    <t>Autonomous Trucks to Market, Navistar Invests in Autonomous Trucking Company</t>
  </si>
  <si>
    <t xml:space="preserve">The TRATON GROUP and TuSimple Agreed </t>
  </si>
  <si>
    <t>on Global Partnership for Autonomous Trucks</t>
  </si>
  <si>
    <t xml:space="preserve">Pony.ai and Toyota to Form Joint Venture </t>
  </si>
  <si>
    <t>to Advance Mass Production of L4 Autonomous Vehicles</t>
  </si>
  <si>
    <t xml:space="preserve">Wayve and Ocado Group Partner </t>
  </si>
  <si>
    <t>to Develop Autonomous Grocery Deliveries for OSP Retailers Globally</t>
  </si>
  <si>
    <t xml:space="preserve">Goodyear And TuSimple Collaborate </t>
  </si>
  <si>
    <t>On Autonomous Vehicle Freight Operations</t>
  </si>
  <si>
    <t xml:space="preserve">Motional + Derq Partner to Give </t>
  </si>
  <si>
    <t>Driverless Vehicles a Bird's-Eye View</t>
  </si>
  <si>
    <t xml:space="preserve">Onsemi and Pony.ai Collaboration on </t>
  </si>
  <si>
    <t>Next-Gen Image Sensing and Processing Technologies for Autonomous Vehicles</t>
  </si>
  <si>
    <t xml:space="preserve">Perrone Robotics and Global Finance Group Partner to Bring </t>
  </si>
  <si>
    <t>Turnkey Autonomous Vehicle Program to University and College Campuses</t>
  </si>
  <si>
    <t xml:space="preserve">Pony.ai and Horizon Robotics Partner to </t>
  </si>
  <si>
    <t>Create a Comprehensive Smart Driving Solution for OEMs</t>
  </si>
  <si>
    <t xml:space="preserve">EasyMile strengthens </t>
  </si>
  <si>
    <t>its partnership with engineering schools</t>
  </si>
  <si>
    <t>Cruise &amp; Mothers-Against-Drunk-Driving: Partnering to combat</t>
  </si>
  <si>
    <t xml:space="preserve"> impaired driving</t>
  </si>
  <si>
    <t xml:space="preserve">#CES2023 - Trust in Soft and EasyMile collaborate to complement </t>
  </si>
  <si>
    <t>product development strategies</t>
  </si>
  <si>
    <t xml:space="preserve">Einride is teaming up with Ericsson to demonstrate </t>
  </si>
  <si>
    <t>the future of transport at the world's largest mobile event</t>
  </si>
  <si>
    <t xml:space="preserve">Gatik and Walmart Partner to Enable </t>
  </si>
  <si>
    <t>AV Legislation in Kansas</t>
  </si>
  <si>
    <t xml:space="preserve">Motional, Boston University Partner on </t>
  </si>
  <si>
    <t>Navigational Assistance Research for the Blind</t>
  </si>
  <si>
    <t xml:space="preserve">Providing COVID-19 testing </t>
  </si>
  <si>
    <t>to our team in partnership with Verily</t>
  </si>
  <si>
    <t xml:space="preserve">Nickelytics, Serve Robotics, and The Ad Council Partner on </t>
  </si>
  <si>
    <t>Innovative Smokey Bear Out-of-Home Advertising Campaign</t>
  </si>
  <si>
    <t xml:space="preserve">IAA Frankfurt: Continental and EasyMile Partner to Demonstrate </t>
  </si>
  <si>
    <t>an EZ10</t>
  </si>
  <si>
    <t xml:space="preserve">TuSimple and Liberty Mutual Insurance Partner to Study </t>
  </si>
  <si>
    <t>the Safety Benefits of Autonomous Trucks</t>
  </si>
  <si>
    <t xml:space="preserve">Waymo and Swiss Re's </t>
  </si>
  <si>
    <t>new research collaboration</t>
  </si>
  <si>
    <t xml:space="preserve">Walmart Teams Up with Cruise to Pilot </t>
  </si>
  <si>
    <t>All-Electric Self-Driving Delivery Powered by 100% Renewable Energy</t>
  </si>
  <si>
    <t xml:space="preserve">Aurora Expands </t>
  </si>
  <si>
    <t xml:space="preserve">Commercial Operations </t>
  </si>
  <si>
    <t xml:space="preserve">Waymo &amp; AAA Northern California, Nevada &amp; Utah team up to </t>
  </si>
  <si>
    <t>the public on self-driving</t>
  </si>
  <si>
    <t xml:space="preserve">TfNSW and Motional Partner to Lay Foundations </t>
  </si>
  <si>
    <t>for NSW's Driverless Future</t>
  </si>
  <si>
    <t xml:space="preserve">Kodiak Partners with </t>
  </si>
  <si>
    <t xml:space="preserve">Announcing our </t>
  </si>
  <si>
    <t>Walmart Partnership</t>
  </si>
  <si>
    <t xml:space="preserve">Deutsche Bahn and Berlin's municipal public transportation operator Berliner Verkehrsbetriebe are cooperation partners </t>
  </si>
  <si>
    <t>in the area of autonomous driving</t>
  </si>
  <si>
    <t xml:space="preserve">EasyMile and Sono Motors Reveal Collaboration on </t>
  </si>
  <si>
    <t>Autonomous Solar-Powered Passenger Shuttle</t>
  </si>
  <si>
    <t xml:space="preserve">Farmstead partners with Udelv </t>
  </si>
  <si>
    <t>for autonomous grocery delivery</t>
  </si>
  <si>
    <t xml:space="preserve">Western Reserve Transit Authority Selects First Transit, in Partnership with Perrone Robotics and GreenPower </t>
  </si>
  <si>
    <t>for Autonomous Vehicle Pilot</t>
  </si>
  <si>
    <t xml:space="preserve">Pizza Hut Canada Partners with Serve Robotics on </t>
  </si>
  <si>
    <t>New Door-to-Door Robot Delivery Service</t>
  </si>
  <si>
    <t xml:space="preserve">Plus Partners with Minnesota Department of Transportation to Accelerate </t>
  </si>
  <si>
    <t>Adoption of Self-Driving Trucks and Prepare Them for Extreme Winter Road Conditions</t>
  </si>
  <si>
    <t xml:space="preserve">Transurban and Plus Collaborate to Advance </t>
  </si>
  <si>
    <t>Level 4 Autonomous Trucks in Australia</t>
  </si>
  <si>
    <t xml:space="preserve">Covenant and Aurora Announce Collaboration to Transform </t>
  </si>
  <si>
    <t>Long-Haul Trucking</t>
  </si>
  <si>
    <t xml:space="preserve">SKF and Einride enter into partnership for testing </t>
  </si>
  <si>
    <t>autonomous and electric transport</t>
  </si>
  <si>
    <t>Goodyear and Plus Collaborate on</t>
  </si>
  <si>
    <t>Autonomous Trucks</t>
  </si>
  <si>
    <t xml:space="preserve">U.S. Xpress and Aurora Announce Collaboration for the Intelligent Deployment </t>
  </si>
  <si>
    <t>of Autonomous Trucks</t>
  </si>
  <si>
    <t xml:space="preserve">Automated public transport: ioki to be technology partner of </t>
  </si>
  <si>
    <t>the research project MINGA in Munich</t>
  </si>
  <si>
    <t xml:space="preserve">H-E-B and Udelv </t>
  </si>
  <si>
    <t>announce our partnership</t>
  </si>
  <si>
    <t xml:space="preserve">Transdev USA partners with LAVTA to begin </t>
  </si>
  <si>
    <t>testing of its shared autonomous vehicle</t>
  </si>
  <si>
    <t xml:space="preserve">Einride and innovative Swedish logistics company collaborates </t>
  </si>
  <si>
    <t>around sustainable transport</t>
  </si>
  <si>
    <t xml:space="preserve">Mitsubishi partners with Cartken to break into </t>
  </si>
  <si>
    <t>the robotic delivery world</t>
  </si>
  <si>
    <t xml:space="preserve">PRI Partners with SAE </t>
  </si>
  <si>
    <t>in Tampa</t>
  </si>
  <si>
    <t xml:space="preserve">Cruise teams up with Replate to launch </t>
  </si>
  <si>
    <t>national food rescue partnership</t>
  </si>
  <si>
    <t xml:space="preserve">Bolt teams up with Starship Technologies </t>
  </si>
  <si>
    <t>for autonomous deliveries</t>
  </si>
  <si>
    <t>becoming financing partner</t>
  </si>
  <si>
    <t xml:space="preserve">transition to sustainable transport </t>
  </si>
  <si>
    <t xml:space="preserve">May Mobility and Stantec partner to deliver </t>
  </si>
  <si>
    <t>turnkey AV microtransit solutions</t>
  </si>
  <si>
    <t xml:space="preserve">Open Manufacturing Platform expands: Anheuser-Busch InBev, BMW Group, Bosch, Microsoft and ZF team up to accelerate </t>
  </si>
  <si>
    <t>manufacturing innovation at scale</t>
  </si>
  <si>
    <t xml:space="preserve">ADASTEC and Vicinity Motor Corp. Collaborate to Deploy </t>
  </si>
  <si>
    <t>Automated Bus at Michigan State University</t>
  </si>
  <si>
    <t xml:space="preserve">Transdev and Delphi Announce Commercial Partnership </t>
  </si>
  <si>
    <t>for Autonomous Transportation</t>
  </si>
  <si>
    <t xml:space="preserve">Goggo Network and Oxbotica partner to bring </t>
  </si>
  <si>
    <t>autonomous deliveries to Europe</t>
  </si>
  <si>
    <t xml:space="preserve">Perrone Robotics and Tropos Team up to Develop </t>
  </si>
  <si>
    <t>Autonomous Electric Compact Utility Vehicles</t>
  </si>
  <si>
    <t xml:space="preserve">North Carolina Department of Transportation and Beep Partner for </t>
  </si>
  <si>
    <t>Autonomous Vehicle Testing Projects</t>
  </si>
  <si>
    <t xml:space="preserve">Contra Costa Transportation Authority and Beep Partner to Deliver </t>
  </si>
  <si>
    <t>Autonomous Vehicle Projects in California</t>
  </si>
  <si>
    <t>Pizza Hut Canada is embarking on its latest innovation in the pizza-verse with the launch of its new robot delivery service. 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
"From introducing cheese in our stuffed crust to delivering pizza to the International Space Station, Pizza Hut is the pizza pioneer," shared Manish Dhankher, Director of Operations at Pizza Hut Canada. "We're always looking for ways to enhance our customer service and deliver hot, fresh, and delicious menu favourites to our customers. Pizza Hut is thrilled to be at the forefront of this technology and partner with Serve Robotics to bring this offering to Canada for the first time."
Pizza Hut on 1725 Robson Street in Vancouver was selected as the first location for the pilot. Customers selected for robotic delivery will be able to use the Pizza Hut app to track the robot's location as their order approaches and will receive a unique, one-time pin to retrieve their order from the robot's secure compartment.
"Serve is excited to partner with Pizza Hut to provide Vancouver customers with the convenience and reliability of zero-emissions robotic delivery," said Dr. Ali Kashani, co-founder and CEO of Serve Robotics. "This is an important step forward in our efforts to expand our delivery platform to serve more cities and communities."
Serve Robotics is helping shape the future of sustainable, self-driving delivery with zero-emissions rovers that have completed tens of thousands of deliveries, eliminating the equivalent of thousands of car trips and several tons of CO2 from city air. Serve's state-of-the-art technology uses a range of sensors to identify nearby objects, enabling the robots to autonomously navigate sidewalks, while also being assigned to human supervisors to ensure their safe operation.
"This signals an exciting step forward for the future of delivery technology in Canada," added Dhankher. "We're confident Vancouverites will not only experience delight in having a robot deliver their food but will also find this compliments Pizza Hut's existing delivery service, allowing us to deliver more food to more people. We look forward to learning from this pilot in Vancouver."</t>
  </si>
  <si>
    <t>World-leading toll-road operator, Transurban, today announced a partnership with Plus, a global Silicon Valley-based autonomous driving software company, to advance Transurban's automated freight program and take advantage of the resources and talent in Victoria, the home of Australian innovation.
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
Countries around the world are starting to explore the benefits of self-driving trucks on public motorways. The combination of global and local expertise that enables smart roads to communicate with self-driving trucks through this partnership sets Victoria up to be an international leader in this space.
With road freight projected to grow steadily in the coming decades, self-driving trucks have the potential to transform the freight industry by moving more goods, more quickly, and more sustainably. This will also deliver positive economic and social outcomes for consumers, motorists and Governments by reducing congestion and improving road safety, while helping to address the shortage of truck drivers.
Starting in 2017, Transurban's comprehensive CAV testing program has worked with governments and industry to roll out 11 successful trials of fully and partially automated vehicles on motorways across Australia and North America to test how they respond to road infrastructure.
Transurban's successful 2022 trial was the first time in Australia that a highly automated self-driving truck was tested in live traffic conditions on public motorways.
The partnership between Transurban and Plus will leverage Plus's state-of-the-art autonomous driving software and global commercial deployment experience, which includes the cooperation with IVECO, the global commercial vehicle brand of Iveco Group, to co-develop self-driving trucks for Europe. Highly automated trucks enabled by Plus's technology are already delivering freight in the U.S. for world-class fleets and being tested on public roads in Germany with IVECO.
Plus's autonomous driving software uses the latest advances in generative AI, machine learning, computer vision, and other state-of-the-art algorithms to empower vehicles with superhuman awareness and control. Integrated with advanced lidar, radar, and camera sensors, Plus's software can detect and precisely track objects, predict their movement, and then safely maneuver the vehicle.
Scott Charlton, CEO of Transurban, said: "This partnership will support long-term opportunities for automated freight, including potential benefits to reduce congestion and improve road safety and traffic flow, and is a continuation of Transurban's work in this area. Automated transport technologies are going to transform the way we move goods around cities, and with vital connections between ports and other freight hubs, our roads offer ideal conditions to facilitate this new technology."
Tien-Ti Mak, General Manager for Strategic Innovation at Transurban, said: "Transurban roads are some of the most technologically sophisticated in the world, and we're excited to combine our infrastructure and operational expertise with Plus's innovative technology to bring the benefits of automated freight one step closer. The adoption of self-driving trucks in specific environments can have positive outcomes for Victoria by improving road safety, increasing productivity, reducing congestion and importantly, creating jobs for the future."
"At Plus, we have seen first-hand through our global deployments the transformational impact that our autonomous driving solutions can have on transportation to improve safety, efficiency and sustainability," said Shawn Kerrigan, Co-Founder and COO at Plus. "We are delighted to partner with Transurban to drive autonomous trucking development in Australia to the next level, and show the unparalleled benefits in road safety and operational efficiency delivered by a collaboration between the world's most advanced autonomous driving software and smart infrastructure provider."
Paul Guerra, CEO for Victorian Chamber of Commerce, said: "We congratulate Transurban on this wonderful initiative. Through driving a culture of innovation, Victoria attracts talent, investment, and businesses. Not to mention tens of billions of dollars in local industry revenue. Fostering an innovation ecosystem and supporting startups is a strategic pillar for meaningful employment and economic prosperity, as we look to 'future-proof' the workforce of Victoria. We recognize that this support is vital for economic growth, job creation and the productivity of the State."</t>
  </si>
  <si>
    <t>Grubhub, a leading food ordering and delivery marketplace, and Kiwibot, a leading last-mile robotic delivery company, announced today that they will provide robot delivery services on college campuses across the United States.
Robot delivery from Kiwibot and Grubhub will first be available at the University of North Dakota before rolling out to additional schools next semester. Kiwibot joins Grubhub's existing partners, including Cartken and Starship, on nearly a dozen campuses offering robot delivery.
"When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
"It is an exciting endeavor for Kiwibot to expand our partner base," said Felipe Chavez, CEO of Kiwibot. "Our partnership with Grubhub means we'll be able to provide an integrated delivery service that allows students to experience Kiwibot delivery right from Grubhub's app. We are honored to bring innovative solutions to the University of North Dakota community with our disruptive robotic service that delivers meals, happiness, and extraordinary moments."
"Bringing a delivery service to campus was an offering we've been wanting to provide at the university, and we are excited for this innovative delivery service to become available to students," said Orlynn Rosaasen, director of dining services at the University of North Dakota.
"We know just how busy students are, and this type of delivery will provide them with one more option to access food on campus during their busy days."
Students will be able to select this delivery via the Grubhub app from on-campus dining locations, including the Memorial Union Food court and Wilkerson Dining Center. The Kiwibots rely on the most advanced technology with a high-driving autonomous system and can operate in snow and extreme weather conditions. For safety, they move at the same speed as a human walking pace and can hold up to 25 pounds.
This partnership grows Grubhub's delivery options on college campuses, providing additional opportunities for students to get their favorite meals while creating healthy relationships with technology developments that contribute to making day-to-day life on campus more efficient. Grubhub partners with more than 250 college campuses across the United States to give students the ability to integrate meal plans directly into their Grubhub account and access restaurants both on- and off-campus for delivery and pickup.</t>
  </si>
  <si>
    <t>Pony.ai and Toyota are teaming up on an autonomous driving pilot to accelerate the development and deployment of autonomous vehicles. Together, the companies will explore a variety of possibilities to provide safe mobility services for all</t>
  </si>
  <si>
    <t>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t>
  </si>
  <si>
    <t>Aurora plans to leverage the intelligence of Variant, U.S. Xpress's digitally enabled fleet, to identify where autonomous technology can have the greatest impact. The companies plan to identify optimal deployment strategies of Aurora Driver-powered trucks so they're strategically positioned to address unmet demand and improve operational efficiency and productivity. Aurora and U.S. Xpress also will explore application programming interface (API) integrations into Variant's platform to enhance dispatching and dynamic routing upon the launch of Aurora Horizon.
Through this collaboration, the companies plan to build a future where goods are transported by both human drivers and autonomous trucks. Aurora and U.S. Xpress have committed to exploring how autonomous technology can create a positive impact on the labor market by investing in programs that provide opportunities for new jobs.
"The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
"Aurora carefully designs its industry collaborations to enhance the value and maximize the impact our product can deliver for our partners' businesses," said Sterling Anderson, Aurora's Co-Founder and Chief Product Officer. "U.S. Xpress not only shares our commitment to safety, efficiency, and realizing the benefits of technology for good, but has leaned into it in a big way. We're excited to partner with them to deliver the benefits of this transformative technology for their business, their people, and the people they serve."</t>
  </si>
  <si>
    <t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t>
  </si>
  <si>
    <t>Plus , a leading provider of self-driving trucking technology, today announced a partnership with the Minnesota Department of Transportation (MnDOT), marking the agency's first partnership with an autonomous trucking company to test on MnDOT's MnROAD cold-weather pavement testing facility. The partnership will include information sharing between Plus and MnDOT around self-driving truck performance in the toughest winter conditions, in order to inform public policy discussions.
"Commercializing Plus's self-driving trucks requires preparing them to drive in all climates, including the toughest winter road conditions that Minnesota experiences. 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
"As automation and emerging transportation technology evolve, the Minnesota Department of Transportation understands how critical it is to collaboratively share information and expertise with partners like Plus. Learning how these vehicles operate in winter weather helps Minnesota advance safety innovation for everyone in the transportation system," said Kristin White, Executive Director of MnDOT's Office of Connected and Automated Vehicles.
A key benefit driving autonomous truck development is increased safety. Large truck fatalities in the U.S. rose to an all-time high of 4,761 fatalities in 2017. In 2018, Minnesota saw 4,623 truck-involved crashes, according to the Minnesota Department of Public Safety. Winter weather is particularly challenging: Snowy, slushy or icy winter road conditions are responsible for vehicle accidents that kill over 1,300 people and injure more than 116,800 people every year, according to the U.S. Department of Transportation. More than 70 percent of U.S. roads are located in regions that experience snow.
Testing will allow Plus to better understand how winter conditions affect the movement of its trucks. Winter conditions are tough to handle for all vehicles, and snow is particularly challenging for trucks, which can weigh up to 80,000 pounds. The testing will begin with mapping the MnROAD closed test track, followed by rigorous performance testing of Plus's self-driving trucks.</t>
  </si>
  <si>
    <t>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t>
  </si>
  <si>
    <t>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t>
  </si>
  <si>
    <t>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t>
  </si>
  <si>
    <t xml:space="preserve">Pony.ai, a leading global autonomous driving technology company, today announced a strategic joint venture with SANY Heavy Truck (SANY), a subsidiary of SANY Heavy Industry, China's number one heavy equipment manufacturer and the third largest heavy equipment manufacturer globally.
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These trucks will inaugurate the future of truck logistics transportation.
The joint venture plans to start small-scale deliveries of the robotrucks in 2022 and 2023. Mass production of the L4 truck will commence in 2024 and within a few years will reach an annual production of around 10,000 trucks.
The first prototype of the autonomous truck was built on SANY's new EV truck platform and has already conducted road testing. The joint venture's autonomous truck product portfolio will include a mix of new energy vehicles (NEVs) and fuel-based, with the aim to increase the proportion of NEV trucks in the future.
The addressable market for trucking is substantial; in 2021 alone, heavy truck sales in China exceeded 1.3 million units. Once mass production is achieved, the partners expect the penetration rate of L4 trucks in China's heavy truck market to increase steadily.
"SANY has industry-leading heavy truck manufacturing technology and is pioneering the architecture of 'new energy' heavy trucks, intelligent network connections, and other key areas," said James Peng, Pony.ai's co-founder and CEO. "Integrating Pony.ai's core autonomous driving technologies with the capabilities of SANY enables our joint venture to create a successful intelligent truck and logistics ecosystem for L4 autonomous trucking."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
Pony.ai has always been committed to developing autonomous driving software and hardware solutions in-house. In June, Pony.ai released its autonomous driving controller (ADC) designed for automotive-grade mass production. The ADC is built on the NVIDIA DRIVE Orin system-on-chip and will fully enable the trucks produced by the joint venture.
"The establishment of this new venture between Pony.ai and SANY is a significant milestone for the trucking industry," said Rishi Dhall, vice president of Automotive, NVIDIA. "Powered by NVIDIA DRIVE, this next-generation of new-energy autonomous trucks will enable the delivery of goods to address ever-growing e-commerce demands without compromising safety and reliability ” while reducing the transportation industry's dependence on fossil fuels."
Today's partnership announcement follows on the heels of the recently formed Cyantron joint venture between Pony.ai and Sinotrans, which commenced operations in April and aims to enhance the digitalization and intelligence of the transportation process.
Creating partnerships with the top companies in both trucking and logistics is key to Pony.ai's robotruck "golden triangle" strategy. Pony.ai has core autonomous driving technology, which is the key to enabling logistics and future heavy truck manufacturing; logistics companies have accumulated extensive transport experience and a strong customer base, while heavy truck manufacturers have the technical expertise in vehicle development and manufacturing. Cementing relationships between leading global partners creates a powerful standard and framework for future development in the industry. Consumers worldwide will benefit from the development of commercial-scale L4 trucking, including more robust Supply Partnerships, lower costs for delivered goods, enhanced road safety, and significantly reduced greenhouse gas emissions.
According to Pony.ai's robotruck operations experience, based on vehicle planning and control as well as route planning, autonomous trucks can save 10%-20% of energy compared with conventional trucks. In addition, with the gradual expansion of the joint venture's new energy products, by 2030, the joint venture's trucks will reduce CO2 emission by more than one million tons, equivalent to the CO2 absorbed by thousands of acres of forest.
</t>
  </si>
  <si>
    <t>Goodyear  and Gatik today announced a multi-year collaboration with a goal to advance the development of mobility solutions for the autonomous B2B short-haul logistics industry. The collaboration will contribute to safer, more sustainable goods movement while reducing costs for Gatik's customers in the B2B short-haul market nationwide.
Gatik has established the first autonomous middle mile logistics network in North America and is rapidly expanding its fleet of Class 3-6 autonomous box trucks for
customers in multiple markets, including Texas, Arkansas, Louisiana and Ontario. Goodyear, a leader in connected mobility, is one of the world's largest tire companies with over 120 years' experience in developing state-of-the-art products and services that set technology and performance standards for the industry. This national collaboration expands service levels and capacity for both organizations across the U.S.
Under the collaboration, Goodyear's venture capital fund,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As Gatik commercializes its operations at scale, the use of tire intelligence solutions is expected to help reduce fuel and maintenance costs while increasing operational efficiencies for retailers, e-commerce companies and distributors employing Gatik's autonomous solution.
"By leveraging our advanced tire intelligence solutions, Goodyear can help improve vehicle performance and safety in autonomous transportation," said Chris Helsel, Goodyear's senior vice president, global operations and chief technology officer. "Together, Goodyear and Gatik will combine our innovative technologies to help bring more efficiency in the increasingly important middle mile segment."
"The benefits of Goodyear's tire intelligence technology are grounded in enhancing safety, increasing efficiency and reducing costs "principles which are absolutely
fundamental to Gatik's mission and success," said Arjun Narang, CTO and co-founder, Gatik. "This collaboration will enable us to further increase the value we offer our customers across the continent and help define new standards in safety and sustainability for the B2B short-haul sector."
"Gatik's mission to deliver goods safely and efficiently using autonomous vehicles aligns
with our investment strategy, making them a great addition to our portfolio, which
already includes key autonomous delivery players in the long-haul and last-mile delivery
markets," said Abhijit Ganguly, managing director, Goodyear Ventures. "We believe this
investment is a strong strategic fit for Goodyear as we seek to learn more about the
implications of autonomous technologies in middle mile delivery and logistics."</t>
  </si>
  <si>
    <t xml:space="preserve">Goodyear  and Gatik today announced a multi-year collaboration with a goal to advance the development of mobility solutions for the autonomous B2B short-haul logistics industry. 
Under the collaboration, Goodyear's venture capital fund, Goodyear Ventures, participated in Gatik's recently announced Series B funding and the companies will work on multiple innovative projects. </t>
  </si>
  <si>
    <t>The Goodyear Tire &amp; Rubber Company  announced today a strategic relationship with TuSimple, a global autonomous trucking technology company, to provide tires and tire management solutions to TuSimple's Autonomous Freight Network (AFN).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
Collected data from the study will also deliver insights into the difference between an autonomous and human driver with respect to the tires.
"With our leadership in products, fleet support and advanced innovations, Goodyear is applying knowledge to help deliver performance and safety with autonomous vehicles," according to Erin Spring, Goodyear's director, new ventures.
TuSimple launched the AFN in July with the goal to provide reliable low-cost freight transportation throughout the lower 48 United States through the use of Level 4 autonomous trucks.
"Autonomous trucks offer game-changing advantages for both shippers and fleets," said Robert Brown, Senior Director External Affairs, TuSimple. "One of the most powerful advantages is the increased capacity, which comes as a result of the fact autonomous trucks can operate nearly continuously, and with this dramatic increase in truck utilizations comes the need to better understand predictive maintenance requirements."</t>
  </si>
  <si>
    <t>The Goodyear Tire &amp; Rubber Company  announced today a strategic relationship with TuSimple,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t>
  </si>
  <si>
    <t>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t>
  </si>
  <si>
    <t>TuSimple , a global self-driving technology company based in San Diego, California, and Liberty Mutual Insurance, the sixth largest global property and casualty insurer, announced a partnership to assess the comparative safety of autonomous trucks.</t>
  </si>
  <si>
    <t xml:space="preserve">TuSimple , global autonomous driving technology company, and Ryder System,  (NYSE: R), leader in Supply Partnership, dedicated transportation, and fleet management solutions, today announce an industry-first partnership that aims to leverage select Ryder fleet maintenance facilities to serve as terminals on TuSimple's Autonomous Freight Network (AFN). The announcement comes as TuSimple expands its footprint across the U.S. to meet rising consumer demands.
Through the partnership, TuSimple and Ryder will work together to identify existing Ryder facilities to serve as terminals along the TuSimple AFN. Terminals are secure facilities and serve as the start and end point for autonomous driving missions. These facilities can have multiple heavy-duty trucks and trailers come and go 24 hours per day, 365 days per year. By adding more terminals to TuSimple's AFN, shippers and fleets will have greater access to autonomous freight operations. Leveraging Ryder's existing freight trucking terminals, TuSimple can quickly scale across the country without needing to build new facilities.
Today, TuSimple's fleet of more than 50 autonomous trucks (SAE L4) transport freight for customers across the states of Arizona, New Mexico and Texas. Later this year, TuSimple expects to expand operations to the East Coast, carrying freight between Phoenix, Ariz., and Orlando, Fla. By working closely with Ryder to utilize its existing infrastructure, the partnership offers a win-win scenario for both companies.
"The trucking industry is on the verge of a massive disruption, and we're seeing strong demand for access to reliable autonomous capacity from shippers, carriers, and fleets," said Cheng Lu, President and CEO at TuSimple. "The partnership with Ryder will enable us to grow our operational footprint to continue to meet these needs and set the pace for industry adoption."
Initially, the partnership will focus on Ryder's facilities in the Southern U.S. However, with Ryder's nationwide network of more than 500 maintenance facilities, the partnership has the potential to rapidly scale.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
</t>
  </si>
  <si>
    <t>TuSimple , a global self-driving technology company based in San Diego, California, today announced its partnership with Loadsmith, the leading third-party logistics capacity as a service platform bridging the gap between shippers and carriers, to adopt, integrate and scale TuSimple's SAE L4 autonomous technology into their operations.
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
"TuSimple's innovations will allow us to provide state-of-the-art SAE L4 automation to customers operating along the rapidly advancing autonomous freight network," said Loadsmith CEO Brett Suma. "Loadsmith prides itself on providing our customers with cutting-edge solutions that enhance on-time delivery with the lowest total cost of operation, and TuSimple's proven driver-out capabilities provides the prime path for us to do so."
"Loadsmith is an ideal partner to adopt, integrate and scale our autonomous trucking technology into their operations," said Xiaodi Hou, Co-Founder and CEO, TuSimple. "This new partnership further validates the appetite for SAE L4 technologies alongside the TuSimple autonomous freight network fostering the expedited commercialization of safe, efficient, and sustainable transportation of freight throughout the United States."
TuSimple demonstrated its leadership with the industry's first driver-out (no human intervention or operator) runs in 2021 which the company plans to continue through 2022 as it prepares for full commercialization. TuSimple's "driver out" pilot program is the product of a year and a half of work to develop an L4 autonomous semi-truck with the level of redundancy, reliability, consistency, and safety necessary to remove the driver from the truck.
By the end of 2023, TuSimple plans to carry paid freight operations in Arizona and the "Texas Triangle," one of the country's busiest freight regions. Driver-out runs have been critical in enabling scaling of autonomous trucking operations on the TuSimple Autonomous Freight Network. To date, TuSimple has over 11,500 unique mapped miles in its Autonomous Freight Network and plans to continue to scale its operations to support its distribution partners.</t>
  </si>
  <si>
    <t>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The trucks will be equipped with TuSimple's advanced autonomous driving system and will be based on a world-class global vehicle platform developed by Navistar.
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 Early studies show that autonomous trucks in this type of network have the potential to reduce fuel consumption for middle mile transportation.
"TuSimple's innovations will elevate our ability to compete and prosper in the North American market and are analogous to our stated objective to become a global logistics technology adopter," said Andrew Jasinskas, Business Development Project Manager "Hegelmann USA. "Undoubtedly autonomous trucks with TuSimple technology are the future of transportation, and Hegelmann's strategy is to likewise be a standard bearer for innovations that push safety and efficiency to the next era of logistics excellence."
"We are pleased to add Hegelmann to our rapidly growing fleet partners who wish to adopt, integrate, and scale SAE L4 truck operation in the United States," said Lee White, Vice President of Strategy. "Hegelmann chose TuSimple as their autonomous vehicle technology partner due to TuSimple's leadership in the rapidly approaching full-commercialization of autonomous vehicles."
TuSimple demonstrated its leadership with the industry's first Driver Out (no human intervention or operator) runs in 2021 which the company plans to continue through 2022 as it prepares for full commercialization. TuSimple's Driver Out pilot program is the product of a year and a half of work to co-develop a L4 autonomous Class 8 vehicle with Navistar to demonstrate the level of redundancy, reliability, consistency, and safety necessary to remove the driver from the truck.
By the end of 2023, TuSimple plans to carry paid freight operations in high-density freight lanes in the southern US. Driver-out runs have been critical in scaling autonomous trucking operations on the TuSimple Autonomous Freight Network.</t>
  </si>
  <si>
    <t xml:space="preserve">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t>
  </si>
  <si>
    <t>TuSimple , a global autonomous driving technology company, and DHL Supply Partnership, one of the world's leading contract logistics providers, have entered into a global partnership to adopt, integrate and scale TuSimple's autonomous trucking technology into DHL's operations. The strategic collaboration is part of DHL's Accelerated Digitalization strategy and focuses on addressing the most pressing challenges facing the logistics industry.
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
The partnership positions DHL at the forefront of autonomous trucking operations and opens the door for collaboration in other markets such as Europe and Asia in the future. With the integration of TuSimple's L4 technology into its network, DHL aims to leverage the potential of TuSimple's industry-leading autonomous driving technology specifically designed to meet the unique demands of heavy-duty trucks.
"Partnering with leading-edge technology companies is foundational to our digital transformation strategy, and TuSimple will play a key role in supporting our adoption of next wave transportation solutions," said Jim Monkmeyer, President, Transportation, DHL Supply Partnership. "We share TuSimple's vision of utilizing efficiencies to drive a more sustainable future and have been encouraged by the results so far."
After establishing the first Autonomous Freight Network in 2020 in the U.S., TuSimple has since expanded its operations from Arizona to Florida, with plans to create a nationwide freight transportation network over the next few years. Concurrent with its expansion of the AFN in the U.S, TuSimple has initiated efforts in Europe and Asia, where it is testing its autonomous trucks on public roads in Sweden and in Asia at the deep-water port in Shanghai.
"We're excited to be working with DHL, one of the world's largest logistics leaders, to help them adopt, integrate and scale our autonomous trucking technology into their operations," said Cheng Lu, President, and CEO, TuSimple. "This new partnership further validates the appetite for autonomous trucking technology as the industry looks for ways to increase freight capacity, improve safety, and control operating costs."</t>
  </si>
  <si>
    <t>Today, Aurora Innovation,   and U.S. Xpress Enterprises  (NYSE: USX), one of the largest asset-based truckload carriers in the U.S., announced a collaboration to explore the deployment of the Aurora Driver within U.S. Xpress operations. This strategic collaboration is designed to fine-tune Aurora's autonomous Driver-as-a-Service product, Aurora Horizon, for efficient deployment at commercial scale.
The companies plan to identify optimal deployment strategies of Aurora Driver-powered trucks so they're strategically positioned to address unmet demand and improve operational efficiency and productivity.</t>
  </si>
  <si>
    <t xml:space="preserve">FAW Group, one of the largest Chinese automotive groups, and Mobileye, a global leader in autonomous driving solutions, have announced a new strategic partnership leveraging their respective industry advantages in software, hardware and technology products. The two sides will work together to create new products based on Mobileye SuperVision and Mobileye Chauffeur platforms, to empower customers with safe, enjoyable driving experiences.
Mr. Qiu Xian Dong, chairman of BOD &amp; secretary of the CPC FAW Group Committee , and Professor Amnon Shashua, President and CEO of Mobileye, held the signing ceremony on September 13, in Changchun. The two companies will start working together on FAW Hongqi brand vehicles, bringing the Mobileye SuperVision highly advanced automated driving assist platform to key models of the Hongqi brand. That will be followed closely by work toward integrating the Mobileye Chauffeur "eyes-off, hands-off" driving technology for specified domains into the much-anticipated E701 vehicle. The Mobileye SuperVision projects are expected to be deployed by end of 2024, with the Mobileye Chauffeur projects targeted for launch by the end of 2025.
Meanwhile, other brands of FAW Group are in line to gradually follow, using Mobileye's platform solutions. In addition, the parties will conduct comprehensive discussions on feasible plans to further deepen their cooperation.
As a pioneer of China's automotive industry, FAW Group has always been committed to building a world-class, green and intelligent mobility service company that consumers love. Throughout its 70 years of development, FAW Group has been constantly refreshing the user experience through technological innovation and service upgrades.
Mobileye SuperVision will be an integral part of FAW's advanced driver assistance systems, promising an unparalleled driving experience in its category. Upon its integration Mobileye Chauffeur can provide "hands-off, eyes-off" autonomy on specified operational domains, with adaptive eyes-on driving in other settings, using the Mobileye SuperVision cameras paired with a front-facing lidar and Mobileye imaging radar. Both systems will utilize Mobileye's EyeQ6 SoC, RSS-based driving policy, a comprehensive 360-degree camera system, and precision mapping.
"The target of the cooperation between FAW Group and Mobileye, both leaders in their respective fields, is to provide cutting edge ADAS and AV solutions in the Chinese market. This cooperation will deepen the partnership and alliance between the companies. Mobileye's products will be first equipped on the Hongqi brand, and later expand to the other brands within the FAW Group," said Mr. Qiu Xian Dong, Chairman of BOD &amp; secretary of the CPC FAW Group Committee.
"FAW's selection of Mobileye for this venture underscores the magnitude of this collaboration," said Prof. Amnon Shashua, President and CEO of Mobileye. "Between the scale and expertise FAW has built over the past seven decades and our world-class technology, this alliance could shape the future of autonomous driving in the region and beyond. Drawing from our extensive experience of delivering our technology to more than 150 million vehicles globally, we see a future where autonomous driving improves transportation safety, convenience and accessibility for millions."
</t>
  </si>
  <si>
    <t>Luminar, a leading global automotive technology company, and Plus, a global provider of highly automated driving and 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
"Trucking is a key emerging market for Luminar, and the same products and technology we've successfully executed on for our production consumer vehicle programs are beginning to be deployed on commercial vehicles as well," said Luminar Founder and CEO Austin Russell. "We see Plus as a new strategic partner for us to enable enhanced safety and autonomous capabilities for production commercial vehicles at even greater scale, in light of their commercial success with some of the largest companies in the industry."
Luminar's Iris lidar is a first-of-its kind, automotive grade sensing solution that enables high-performance, long-range detections. In addition to production consumer vehicles, Iris uniquely meets the stringent performance, robustness, and reliability requirements for class 8 commercial trucks. Ultra long-range visibility is critical for trucking for both safety and comfort, and Luminar's lidar is capable of seeing as far as 600 meters ahead. This represents as much as 20 seconds of visibility ahead at highway speeds to ensure even fully-loaded trucks can smoothly come to a safe stop when required. This provides a step-function improvement for ADAS systems while enabling the necessary foundation for fully autonomous driving.
"The partnership between Luminar and Plus unlocks the tremendous business value of next-generation safety and highly automated driving systems for vehicle manufacturers and fleets alike. Luminar will enable PlusDrive to achieve new heights in sensing at further distances and at highway speeds. This will enable the scalable commercialization of driver-in technology today and accelerate our customers' path to full autonomy tomorrow," said David Liu, CEO and Co-Founder at Plus.
Plus's driver-in, L2++ solution, PlusDrive, which enables supervised autonomy is already commercially available and used to deliver freight by some of the largest fleets in the world today. PlusDrive uses components such as lidar, radar, and cameras from award-winning manufacturers to see 360 degrees around the vehicle and hundreds of meters ahead. The AI-based software processes the data, predicts the behavior of surrounding vehicles, and then safely maneuvers the vehicle. It automatically handles stop-and-go traffic, lane changes, lane merges, nudging when next to an oversized vehicle, and staying centered in the lane while the driver remains alert and attentive. New driving features are continuously added via over-the-air software updates.
Plus and Luminar will also aim to collaborate on Luminar's commercial vehicle insurance program, high definition mapping, and trucking sensor integration called Blade.</t>
  </si>
  <si>
    <t>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t>
  </si>
  <si>
    <t>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t>
  </si>
  <si>
    <t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t>
  </si>
  <si>
    <t>SAV</t>
  </si>
  <si>
    <t>ZF</t>
  </si>
  <si>
    <t>Navya</t>
  </si>
  <si>
    <t xml:space="preserve"> </t>
  </si>
  <si>
    <t>ServeRobotics</t>
  </si>
  <si>
    <t>Udelv</t>
  </si>
  <si>
    <t>2getthere</t>
  </si>
  <si>
    <t>No</t>
  </si>
  <si>
    <t xml:space="preserve">Purpose 2 </t>
  </si>
  <si>
    <t>Purpose 3</t>
  </si>
  <si>
    <t>R3</t>
  </si>
  <si>
    <t>R2</t>
  </si>
  <si>
    <t>Company</t>
  </si>
  <si>
    <t>Personal Vehicle</t>
  </si>
  <si>
    <t>Ridehailing; Last-Mile</t>
  </si>
  <si>
    <t>Layer</t>
  </si>
  <si>
    <t>Usecase Company</t>
  </si>
  <si>
    <t>Usecase Announcement</t>
  </si>
  <si>
    <t>SAV / ATV</t>
  </si>
  <si>
    <t>ATV</t>
  </si>
  <si>
    <t>Lohr</t>
  </si>
  <si>
    <t>Benteler</t>
  </si>
  <si>
    <t>North Carolina Department of Transportation</t>
  </si>
  <si>
    <t>GM</t>
  </si>
  <si>
    <t>Polarrenen</t>
  </si>
  <si>
    <t>Coca - Cola</t>
  </si>
  <si>
    <t>UAE Ministry of Energy and Infrastructure</t>
  </si>
  <si>
    <t>ChargePoint</t>
  </si>
  <si>
    <t>Isuzu North America</t>
  </si>
  <si>
    <t>MINGA</t>
  </si>
  <si>
    <t>Ecarx</t>
  </si>
  <si>
    <t>FAW Group</t>
  </si>
  <si>
    <t>WILLER</t>
  </si>
  <si>
    <t xml:space="preserve">Wistron NeWeb Corp </t>
  </si>
  <si>
    <t>HOCHBAHN</t>
  </si>
  <si>
    <t>tfnsw</t>
  </si>
  <si>
    <t>Ion</t>
  </si>
  <si>
    <t>NEVS</t>
  </si>
  <si>
    <t>University of California</t>
  </si>
  <si>
    <t>E Charger Systems</t>
  </si>
  <si>
    <t>Minnesota Department of Transportation</t>
  </si>
  <si>
    <t>Transurban</t>
  </si>
  <si>
    <t>IVECO</t>
  </si>
  <si>
    <t xml:space="preserve">Horizon Robotics </t>
  </si>
  <si>
    <t>SANY Heavy Truck</t>
  </si>
  <si>
    <t>LAVTA</t>
  </si>
  <si>
    <t>Volvo Autonomous Solutions</t>
  </si>
  <si>
    <t>Volvo Car Group</t>
  </si>
  <si>
    <t>Anheuser - Busch InBev</t>
  </si>
  <si>
    <t>Shanghai Jiading Industrial Zone</t>
  </si>
  <si>
    <t>Volkswagen Commercial Vehicles</t>
  </si>
  <si>
    <t>The Ad Council</t>
  </si>
  <si>
    <t>JTA</t>
  </si>
  <si>
    <t>SAE</t>
  </si>
  <si>
    <t>www.faw.com/</t>
  </si>
  <si>
    <t>Jul 15, 1953</t>
  </si>
  <si>
    <t>https://www.chargepoint.com/de-de/</t>
  </si>
  <si>
    <t>AAA Northern California, Nevada &amp; Utah</t>
  </si>
  <si>
    <t>Greenpower</t>
  </si>
  <si>
    <t>Industry</t>
  </si>
  <si>
    <t>NPO</t>
  </si>
  <si>
    <t>Software Company</t>
  </si>
  <si>
    <t>Partner1</t>
  </si>
  <si>
    <t>Partner2</t>
  </si>
  <si>
    <t>Parnter3</t>
  </si>
  <si>
    <t>FORMULA</t>
  </si>
  <si>
    <t>Total Quantities over all partnerships</t>
  </si>
  <si>
    <t>Share of industries in partnership announcements</t>
  </si>
  <si>
    <t>SUMME</t>
  </si>
  <si>
    <t>HARDVALUES (SPLIT CELL GREY!)</t>
  </si>
  <si>
    <t>ALL PARTNERS</t>
  </si>
  <si>
    <t>First Date</t>
  </si>
  <si>
    <t>Last Date</t>
  </si>
  <si>
    <t>www.uberfreight.com</t>
  </si>
  <si>
    <t>Estimated Revenue (Bn)</t>
  </si>
  <si>
    <t>Sources</t>
  </si>
  <si>
    <t>https://techcrunch.com/2023/05/12/autonomous-delivery-startup-nuro-to-lay-off-30-of-workforce/</t>
  </si>
  <si>
    <t>Crunchbase</t>
  </si>
  <si>
    <t>https://www.freightwaves.com/news/tusimple-lays-off-150-more-employees-as-it-winds-down-us-operations</t>
  </si>
  <si>
    <t>https://www.linkedin.com/company/plusai/</t>
  </si>
  <si>
    <t>https://www.linkedin.com/company/pony-ai/</t>
  </si>
  <si>
    <t>https://www.linkedin.com/company/oxauniversalautonomy/</t>
  </si>
  <si>
    <t>https://www.reuters.com/business/autos-transportation/self-driving-startup-gatik-double-workforce-strikes-kroger-deal-2023-03-15/</t>
  </si>
  <si>
    <t>https://www.reuters.com/business/autos-transportation/autonomous-driving-firm-aurora-lays-off-3-staff-2024-01-25/; https://ir.aurora.tech/sec-filings/all-sec-filings?section_type=annual-reports&amp;year=2022##document-486-0001828108-22-000102-2</t>
  </si>
  <si>
    <t>https://techcrunch.com/2023/12/14/cruise-slashes-24-of-self-driving-car-workforce-in-sweeping-layoffs/</t>
  </si>
  <si>
    <t>https://www.kununu.com/de/moia</t>
  </si>
  <si>
    <t>https://www.transdev.com/wp-content/uploads/2023/04/2022-financial-report.pdf</t>
  </si>
  <si>
    <t>https://www.cbinsights.com/company/via-transportation/financials</t>
  </si>
  <si>
    <t>https://news.err.ee/1609031954/bolt-revenue-up-152-percent-on-year-to-2022-still-made-a-loss</t>
  </si>
  <si>
    <t>https://www.sec.gov/Archives/edgar/data/1543151/000155278123000195/e23076_uber-ars.pdf</t>
  </si>
  <si>
    <t>https://investor.lyft.com/financials-and-reports/quarterly-results/default.aspx</t>
  </si>
  <si>
    <t>https://ir.deutschebahn.com/de/berichte/db-konzern-und-db-ag/</t>
  </si>
  <si>
    <t>https://press.zf.com/press/en/releases/release_4097.html</t>
  </si>
  <si>
    <t>Employees (Nominal)</t>
  </si>
  <si>
    <t>Employees CB</t>
  </si>
  <si>
    <t>Employee count verified</t>
  </si>
  <si>
    <t>Revenue (Nominal)</t>
  </si>
  <si>
    <t>1M to 10M</t>
  </si>
  <si>
    <t>1B to 10B</t>
  </si>
  <si>
    <t>50M to 100M</t>
  </si>
  <si>
    <t>100M to 500M</t>
  </si>
  <si>
    <t>10M to 50M</t>
  </si>
  <si>
    <t>Less than 1M</t>
  </si>
  <si>
    <t>500M to 1B</t>
  </si>
  <si>
    <t>10B+</t>
  </si>
  <si>
    <t>0,001 to 0,01</t>
  </si>
  <si>
    <t>1 to 10</t>
  </si>
  <si>
    <t>0,05 to 0,1</t>
  </si>
  <si>
    <t>0,1 to 0,5</t>
  </si>
  <si>
    <t>0,01 to 0,5</t>
  </si>
  <si>
    <t>Currency</t>
  </si>
  <si>
    <t>$</t>
  </si>
  <si>
    <t>£</t>
  </si>
  <si>
    <t>€</t>
  </si>
  <si>
    <t>CA</t>
  </si>
  <si>
    <t>Top 1 - Ind</t>
  </si>
  <si>
    <t>Top 2 - Ind</t>
  </si>
  <si>
    <t>Top 3 - Ind</t>
  </si>
  <si>
    <t>df</t>
  </si>
  <si>
    <t>Count Serious</t>
  </si>
  <si>
    <t>All combinations</t>
  </si>
  <si>
    <t>combination</t>
  </si>
  <si>
    <t>Mobileye-SAV</t>
  </si>
  <si>
    <t>Funding (currency adapted) (in millions)</t>
  </si>
  <si>
    <t xml:space="preserve">Filter for: </t>
  </si>
  <si>
    <t>Industries</t>
  </si>
  <si>
    <t>Purpose</t>
  </si>
  <si>
    <t>Total PS</t>
  </si>
  <si>
    <t>Scope Companies</t>
  </si>
  <si>
    <t>Counting structure</t>
  </si>
  <si>
    <t>IPO Status P(Public = 1; Private = 0)</t>
  </si>
  <si>
    <t>PUBLIC 1=1</t>
  </si>
  <si>
    <t>GM;Microsoft</t>
  </si>
  <si>
    <t>Deutsche Bahn;Berliner Verkehrsbetriebe</t>
  </si>
  <si>
    <t>Continental;Shanghai Jiading Industrial Zone</t>
  </si>
  <si>
    <t>Ericsson;Bridgestone</t>
  </si>
  <si>
    <t>Ericsson;Telia</t>
  </si>
  <si>
    <t>HOCHBAHN;Volkswagen Commercial Vehicles</t>
  </si>
  <si>
    <t>Michelin;Beti</t>
  </si>
  <si>
    <t>Western Reserve Transit Authority;GreenPower</t>
  </si>
  <si>
    <t>GreenPower;JTA</t>
  </si>
  <si>
    <t>Nickelytics;The Ad Council</t>
  </si>
  <si>
    <t>Daimler Truck;Luminar</t>
  </si>
  <si>
    <t>ZF;e.GO</t>
  </si>
  <si>
    <t>Anheuser - Busch InBev;Bosch;Microsoft</t>
  </si>
  <si>
    <t>Transdev;e.GO</t>
  </si>
  <si>
    <t>Ten Roads Express</t>
  </si>
  <si>
    <t>OTHER</t>
  </si>
  <si>
    <t>SAV OR ATV PUBLIC COUNT</t>
  </si>
  <si>
    <t>COUNT</t>
  </si>
  <si>
    <t>...of which public</t>
  </si>
  <si>
    <t>p-Values</t>
  </si>
  <si>
    <t>ciritcal values</t>
  </si>
  <si>
    <t>Sum</t>
  </si>
  <si>
    <t>Unique scope companies</t>
  </si>
  <si>
    <t>Company combinations</t>
  </si>
  <si>
    <t>Without scope</t>
  </si>
  <si>
    <t>With scope</t>
  </si>
  <si>
    <t>Company Counts</t>
  </si>
  <si>
    <t>Including scope companies</t>
  </si>
  <si>
    <t>No scope companies</t>
  </si>
  <si>
    <t>Company Count</t>
  </si>
  <si>
    <t>Industry count</t>
  </si>
  <si>
    <t>#</t>
  </si>
  <si>
    <t>%</t>
  </si>
  <si>
    <t>D_L1</t>
  </si>
  <si>
    <t>D_L2</t>
  </si>
  <si>
    <t>D_L3</t>
  </si>
  <si>
    <t>D_L4</t>
  </si>
  <si>
    <t>SUM</t>
  </si>
  <si>
    <t>MEAN</t>
  </si>
  <si>
    <t>MEDIAN</t>
  </si>
  <si>
    <t>Companies (Ridepooling)</t>
  </si>
  <si>
    <t>Industry Count Comps</t>
  </si>
  <si>
    <t>ALL COMPANIES</t>
  </si>
  <si>
    <t>Companies (Ridehailing)</t>
  </si>
  <si>
    <t>Industries (ALL SAV)</t>
  </si>
  <si>
    <t>Companies Last-Mile</t>
  </si>
  <si>
    <t>Companies (Trucking)</t>
  </si>
  <si>
    <t>Unique Scope Companies</t>
  </si>
  <si>
    <t>non-zero</t>
  </si>
  <si>
    <t>have announced a new strategic partnership leveraging their respective industry advantages in software, hardware and technology products. The two sides will work together to create new products based on Mobileye SuperVision and Mobileye Chauffeur platform</t>
  </si>
  <si>
    <t>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t>
  </si>
  <si>
    <t>The partnership will include the delivery of Perrone's reliable core TONY autonomous vehicle driverless system, the licensing of software, and the provision of related services.</t>
  </si>
  <si>
    <t xml:space="preserve"> a leader in refrigerated trucking, announced they began a commercial pilot this week to test and safely deploy autonomous trucking for refrigerated cargo between Dallas and Houston.
Aurora Driver-equipped tractors with Hirschbach refrigerated trailers started to make the 400-mile round-trip along the I-45 corridor between Aurora's Houston and South Dallas terminals this week</t>
  </si>
  <si>
    <t>a leader in refrigerated trucking, announced they began a commercial pilot this week to test and safely deploy autonomous trucking for refrigerated cargo between Dallas and Houston.</t>
  </si>
  <si>
    <t>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t>
  </si>
  <si>
    <t>Partner3</t>
  </si>
  <si>
    <t>Today, Aurora Innovation and Covenant Logistics Group, announced a collaboration to explore ways to optimize Covenant's long-haul operations with Aurora's autonomous trucking product.
The two companies will explore the integration and deployment of Aurora Horizon within Covenant's operations. Part of Covenant's diversified services is long-haul trucking, making the benefits of autonomous technology in its network especially attractive. A hybrid model that blends trucks driven by humans with trucks driven autonomously would allow Covenant to realize the best of both and potentially expand its business with a combination of rapid, high-efficiency autonomous transport on long-haul routes and flexible human navigation at the endpoints.
The collaboration will initially focus on driving value, efficiency, and education by:
Identifying the lanes where the Aurora Driver can make the biggest impact while improving driver quality of life.
Optimizing fuel efficiency and maximizing the up-time of Covenant's fleet with Aurora Horizon, built for 24/7/365 operation.
Collaborating on how to effectively educate the transportation and logistics industry on the benefits of autonomous technology, especially on long-haul lanes.
"Covenant is excited to be collaborating with Aurora on autonomous technology to find ways to further improve efficiency within the supply chain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
"Covenant has built an extraordinary business in expedited shipping that will benefit from a product that safely, reliably, and tirelessly hauls goods at all hours of the day," said Sterling Anderson, Aurora's Co-Founder and Chief Product Officer. "We're designing Aurora Horizon to excel in applications like these and we're happy to partner with a leading expedited carrier in Covenant to fine-tune and integrate it with their business."</t>
  </si>
  <si>
    <t>R1</t>
  </si>
  <si>
    <t>"The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t>
  </si>
  <si>
    <t>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t>
  </si>
  <si>
    <t>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t>
  </si>
  <si>
    <t>Food insecurity and food waste are connected, worsening - and impacting the planet
Over 30 million people in the US and ten times as many globally are facing food insecurity. At the same time, food waste in the U.S. is worsening - there were 91 million tons of surplus food in 2021 - contributing significantly to greenhouse gas emissions. In other words, our hunger crisis sits at the intersection of a major sustainability crisis.
Three years ago, Cruise began dedicating a portion of our all-electric, driverless fleet to deliver meals to San Francisco residents in need. Now, as our driverless service expands to new cities across the country, so too will our work to fight food insecurity, and now food waste "together with Replate.
I'm proud to share that Cruise for Good is teaming up with food rescue platform Replate to tackle these competing challenges head on, through something that's never been done before: a first-of-its kind, driverless, all-electric food rescue initiative that we aim to scale nationally.
Bringing a sustainable cycle of food rescue to communities nationwide
Replate is a nonprofit that blends innovation and impact, implementing a food recovery model to mitigate food waste in cities across the country. By connecting organizations that have surplus food to communities facing hunger, Replate helps to increase food access, reduce waste, decrease carbon emissions, and save water.
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
We'll start our partnership in San Francisco, and quickly scale our operations as Cruise enters new cities, in line with our pledge to dedicate a portion of our fleet to meet community needs everywhere we drive.
Food insecurity and the unequal impacts of climate change are massive challenges that no one effort can solve. But through this partnership, we aim to support Replate's capacity to serve communities across the country, and explore how new solutions can address complex problems.
See our impact in action blog version
The value of collaborative partnership
The most innovative, authentic and effective social impact programs are forged with organizations who know their communities best. In our experience, nonprofits like Replate , San Francisco-Marin Food Bank , and SF New Deal have the expertise to best understand how we can support our neighbors in need ” and push us to truly think outside the box in terms of how we generate impact.
When we started Cruise for Good three years ago we began by delivering meals to home-bound individuals experiencing food insecurity in partnership with San Francisco-Marin Food Bank and SF New Deal. While we're proud of the 2.4 million meals and 105 tons of CO2 emissions we've offset since that time, we're eager to expand our commitment to serve communities, everywhere we go. This partnership with Replate is that next step. As Replate CEO and Founder, Maen Mahfoud, puts it, our collective goal is to "make a big impact with an even smaller footprint."</t>
  </si>
  <si>
    <t>"Autonomous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t>
  </si>
  <si>
    <t>Since day one, Waabi has been hyper-focused on revolutionizing transportation and building the next generation of self-driving technology. Our breakthrough AI-first approach has enabled us to progress safely at an unprecedented speed, commercially deploying generative AI-powered autonomous trucks on the road within just two years of launching as a company.
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
The strategic partnership represents a turning point for autonomous trucking's role in the most important conversations shaping Supply Partnerships. Teaming up with MIT CTL will also enable us to work alongside an elite group of thought leaders powering Supply Partnership transformation, including: leading manufacturers, distributors, retailers, transportation resources, carriers, 3PL providers and logistics service providers to jointly build a roadmap for the future of logistics.  
Bringing Autonomous Vehicles to the forefront of logistics
MIT CTL has been at the helm of Supply Partnership management research and education for 50 years, driving innovation in freight transportation and turning breakthrough ideas into practical solutions for the industry's biggest hurdles ” including a lingering labor shortage, inefficient truck routes and "empty miles," drivers' quality of life, and road safety for all. As part of MIT CTL, the Supply Partnership Exchange brings together the industry's leading minds and players to solve these challenges, continually pushing the cutting-edge of freight innovation.
The introduction of Waabi, as a leader in both autonomous trucks and next generation AI, will bring an essential AV perspective to future initiatives, as well as provide our team with a seat at the table for the industry's emerging innovations.
"Autonomous trucking technology has the potential to dramatically change the way that Supply Partnerships function. Waabi's approach to developing this technology is truly unique. We are excited to collaborate with the Waabi team to consider what an autonomous freight future could look like from every angle."
"Dr. David Correll, Co-Director, MIT FreightLab "
Collaborating on the future of Supply Partnerships
This partnership with MIT CTL will result in deep collaboration across multiple Supply Partnership touchpoints aimed at improving efficiency, sustainability, and safety of freight transportation. Our focus areas include labor, road safety, insurance, network optimization and Supply Partnership efficiency
Our collaborative efforts have started and will continue to expand over time. We are kicking off the partnership with research initiatives around network optimization opportunities enabled by autonomous trucks and a deep dive into the future of logistics infrastructure, specifically what infrastructure will be required to deploy autonomous assets at scale. Our initial collaboration also includes organizing and leading an AV roundtable in early 2024, with Waabi providing the voice of AV in a conversation with partners across the logistics landscape on the future of autonomy in Supply Partnerships.
"MIT is at the forefront of innovation across emerging technologies and critical industries, and freight is no different. We are firm believers in their leading role in and collaborative approach to transforming Supply Partnerships at scale. We look forward to being the voice of AV in this elite group committed to driving real change and shaping a safer, more sustainable, and more efficient future for logistics."
"Raquel Urtasun, CEO and Founder, Waabi "
Leveraging critical learnings for scaling autonomous truck deployment
Joining the Supply Partnership Exchange will not only allow Waabi to help shape how freight stakeholders successfully adopt autonomous technology, it will also enable our team to bring critical learnings to our own development and deployment.
Insights gleaned from this group of industry leaders will be especially important as we continue to make strides towards large-scale commercialization. For example, as we advance our work with Uber Freight, which includes deploying billions of miles of Waabi Driver capacity over the next ten years as well as an industry-first turnkey driver-as-a-service solution, our membership in MIT CTL's Supply Partnership Exchange will be especially valuable for informing lane expansions and ensuring we're building the best possible products for shippers and carriers.
We're excited to dive in with MIT CTL and the Supply Partnership Exchange. Stay tuned for more as we work together to scale the benefits of autonomous trucks across the logistics landscape.</t>
  </si>
  <si>
    <t>Wayve’s advanced deep learning and camera-first technology has the ability to adapt to new, unstructured, highly complex environments, without the need for pre-programming, human-designed rules, or high definition mapping.
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
Alex Harvey, Chief of Advanced Technology, Ocado Group commented:
"Ocado is on a journey to develop highly intelligent autonomous mobility systems to further transform the operational economics, and proposition, of the Ocado Smart Platform for our OSP retail partners. We’ve been impressed with Wayve’s approach to solving this most complex of challenges and are excited to accelerate our capabilities so that our retail partners globally can take advantage of them at the earliest opportunity.”
Alex Kendall, CEO of Wayve says:
"Ocado Group has been driving innovation in global grocery logistics for decades. Their cutting-edge approach to grocery operations and international reach aligns strongly with Wayve’s culture and global ambitions. I am incredibly excited to collaborate with Ocado Group and learn from their vast expertise. Globally, there is huge momentum to transform mobility in grocery operations right now. We are focused on delivering an autonomous last mile solution to support the needs of grocery retailers everywhere. Through this partnership with Ocado Group we aim to unlock autonomous delivery faster in more places worldwide.”</t>
  </si>
  <si>
    <t>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
Gatik's autonomous fleet, purpose built for the middle mile, will establish a continuous, operational loop across the Pitney Bowes ecommerce logistics network in Dallas, making multiple deliveries per day with speed and efficiency. "Our partnership with Pitney Bowes reinforces the intense demand we are seeing for
autonomous trucks that can operate within urban and semi-urban environments," said Gautam Narang, CEO and co-founder, Gatik. 
"We're excited to help Pitney Bowes accelerate the transformation of their Supply Partnership by establishing a safe, secure and hyper-responsive
autonomous delivery service in the greater-Dallas area."
"Our partnership with Gatik promotes growth and accelerates the modernization and expansion of our network with technology solutions that are redefining ecommerce logistics," said Stephanie Cannon, SVP, Head of Global Platform and Network, Pitney Bowes. "Gatik's flexible and responsive logistics network enables us to tailor our Designed Delivery services to provide shippers with unmatched solutions. Pitney Bowes and Gatik's innovative strategies align
to remove cost and complexity from ecommerce logistics to better serve our clients." 
The deployment aims to establish a more responsive and flexible logistics network for Pitney Bowes by delivering excellent service levels and reliability, improving speed of deliveries, and providing end-to-end visibility while lowering transportation costs.
During the initial phase, a safety operator will occupy the autonomous vehicles to monitor performance. Data collected from each delivery will be used to improve network design and identify additional opportunities for cost savings and service improvements as Pitney Bowes looks to integrate autonomous vehicles across its national ecommerce logistics network. 
The unique advantages of deploying Gatik's autonomous middle mile solution will help to future-proof logistics operations, increase asset utilization, and support a shift to a more direct, high-frequency transportation network. The result is a more efficient network and faster, more reliable service for Pitney Bowes clients.</t>
  </si>
  <si>
    <t>Gatik, the market leader in autonomous middle mile logistics, today announced a multi-year commercial collaboration to transport customer orders within Kroger's Dallas distribution network.
Under the collaboration, Gatik's medium-duty autonomous box trucks will transport fresh, customer-favorite products from a Kroger Customer Fulfillment Center (CFC) in Dallas, Texas, to multiple retail locations. Gatik's industry-leading autonomous trucks each feature a cold chain-capable 20' foot box designed to transport ambient, refrigerated and frozen goods quickly, safely and efficiently. The collaboration involves consistent, repeated delivery runs multiple times per day, seven days per week across Kroger's Dallas distribution network, while unlocking the advantages of autonomous delivery for Kroger's customers: Increased speed and responsiveness when fulfilling e-commerce orders, reduced costs and dedicated capacity across the Supply Partnership's middle mile. The operations will launch in Q2, 2023.
"Kroger's commitment to redefining service levels for its customers through innovative technology meant that our collaboration came together very quickly," said Gautam Narang, co-founder and CEO, Gatik. "We're deeply familiar with operating our autonomous fleet within the Dallas ecosystem, and we're very excited to bring that experience to support Kroger in its mission to reshape the future of goods delivery."
"We are so excited to see Gatik trucks starting to deliver groceries throughout our Dallas division," said Raul Bujalil, VP Supply Partnership Strategy and Technology Enablers. "These autonomous box trucks will help us continue our commitment to creating a seamless shopping experience - where customers can access their favorite fresh foods, with zero compromise on value or convenience." 
Gatik's autonomous middle mile solution will help support Kroger by meeting customers' immediate needs whether they shop online or in-store, providing access to goods faster and more reliably than ever before.</t>
  </si>
  <si>
    <t>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t>
  </si>
  <si>
    <t>"This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t>
  </si>
  <si>
    <t>Motional worked with people who are blind or have low-vision to develop features that help improve driverless rideshare accessibility. These features include a button on an app that triggers the vehicle's horn, making it easier to find.</t>
  </si>
  <si>
    <t>Motional, a global driverless technology leader, and Uber Technologies Inc today announced a partnership to launch autonomous deliveries for Uber customers, starting in Santa Monica in early 2022. 
We're confident this will be a successful collaboration with Uber and see many long-term opportunities for further deploying Motional's technology across the Uber platform."</t>
  </si>
  <si>
    <t>Nuro, a leading autonomous vehicle company, today announced a multi-year partnership to use Nuro's autonomous, electric vehicles for food deliveries in the United States.</t>
  </si>
  <si>
    <t>Through this collaboration, Goodyear's suite of services, including connected tires, will further enhance transportation efficiency and safety for semi-trucks powered by Plus's Level 4 autonomous driving technology while also reducing carbon impact.</t>
  </si>
  <si>
    <t>"We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t>
  </si>
  <si>
    <t xml:space="preserve">"Partnering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t>
  </si>
  <si>
    <t>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t>
  </si>
  <si>
    <t>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t>
  </si>
  <si>
    <t>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t>
  </si>
  <si>
    <t>n=</t>
  </si>
  <si>
    <t>Total announcements</t>
  </si>
  <si>
    <t>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t>
  </si>
  <si>
    <t xml:space="preserve">Company / Use Case Combinations in Dataset </t>
  </si>
  <si>
    <t>Unique Articles</t>
  </si>
  <si>
    <t>Articles in dataset (Including doubling)</t>
  </si>
  <si>
    <t>*</t>
  </si>
  <si>
    <t>Because one announcement could have multiple purposes, but only one structure, the total of purposes does not equal the total of structures counted. 
The coloured inside show all combinations of purposes with their respective strucutre, with possibility of one structure corresponding to more than 1 purpose</t>
  </si>
  <si>
    <t># firms partnering with scope companies</t>
  </si>
  <si>
    <t># industries of partner firrms</t>
  </si>
  <si>
    <t># Companies in both ATV &amp; SAV</t>
  </si>
  <si>
    <t>Articles with only 1 purpose</t>
  </si>
  <si>
    <t>Articles with 2 purpose</t>
  </si>
  <si>
    <t>Articles with 3 purpose</t>
  </si>
  <si>
    <t>This partnership between Aramex and Kiwibot revealed a shared vision to shape greener cities. We are laying the groundwork for a carbon-free future by implementing a sustainable delivery and shipping solution, said Felipe Chavez, CEO and Co-Founder of Kiwibot. "</t>
  </si>
  <si>
    <t>Aggregate</t>
  </si>
  <si>
    <t>Partners</t>
  </si>
  <si>
    <t>UNIQUE(ANNOUNCEMENTS!G55:G234)</t>
  </si>
  <si>
    <t>Cruise-Other</t>
  </si>
  <si>
    <t>EasyMile-Other</t>
  </si>
  <si>
    <t>Mobileye-Other</t>
  </si>
  <si>
    <t>Oxa-Other</t>
  </si>
  <si>
    <t>Waymo-Other</t>
  </si>
  <si>
    <t>ZF-Other</t>
  </si>
  <si>
    <t>**</t>
  </si>
  <si>
    <t>***</t>
  </si>
  <si>
    <t>Percent</t>
  </si>
  <si>
    <t>Announcements from OTHER are excluded</t>
  </si>
  <si>
    <t>Announcements</t>
  </si>
  <si>
    <t>Combination Comp - usecase</t>
  </si>
  <si>
    <t>UNIQUE(ANNOUNCEMENTS!AH2:AH181)</t>
  </si>
  <si>
    <t>2getthere-Ridepooling</t>
  </si>
  <si>
    <t>ADASTEC-Ridepooling</t>
  </si>
  <si>
    <t>Aurora-Trucking</t>
  </si>
  <si>
    <t>Beep-Ridepooling</t>
  </si>
  <si>
    <t>Bolt-Last-Mile</t>
  </si>
  <si>
    <t>Cartken-Last-Mile</t>
  </si>
  <si>
    <t>Cruise-Last-Mile</t>
  </si>
  <si>
    <t>Cruise-Ridehailing</t>
  </si>
  <si>
    <t>EasyMile-Ridepooling</t>
  </si>
  <si>
    <t>Einride-Trucking</t>
  </si>
  <si>
    <t>Gatik-Trucking</t>
  </si>
  <si>
    <t>Ioki-Ridepooling</t>
  </si>
  <si>
    <t>Kiwibot-Last-Mile</t>
  </si>
  <si>
    <t>Kodiak-Trucking</t>
  </si>
  <si>
    <t>May Mobility-Ridehailing</t>
  </si>
  <si>
    <t>Perrone Robotics-Ridepooling</t>
  </si>
  <si>
    <t>Mobileye-Last-Mile</t>
  </si>
  <si>
    <t>Mobileye-Ridepooling</t>
  </si>
  <si>
    <t>Mobileye-Ridehailing</t>
  </si>
  <si>
    <t>MOIA-Ridepooling</t>
  </si>
  <si>
    <t>Motional-Last-Mile</t>
  </si>
  <si>
    <t>Motional-Ridehailing</t>
  </si>
  <si>
    <t>Navya-Ridepooling</t>
  </si>
  <si>
    <t>Nuro-Last-Mile</t>
  </si>
  <si>
    <t>Oxa-Ridepooling</t>
  </si>
  <si>
    <t>Oxa-Last-Mile</t>
  </si>
  <si>
    <t>Plus.ai-Trucking</t>
  </si>
  <si>
    <t>Pony.ai-Ridehailing</t>
  </si>
  <si>
    <t>Pony.ai-Trucking</t>
  </si>
  <si>
    <t>ServeRobotics-Last-Mile</t>
  </si>
  <si>
    <t>Torc-Trucking</t>
  </si>
  <si>
    <t>Transdev-Ridepooling</t>
  </si>
  <si>
    <t>TuSimple-Trucking</t>
  </si>
  <si>
    <t>Uber-Ridehailing</t>
  </si>
  <si>
    <t>Uber Freight-Trucking</t>
  </si>
  <si>
    <t>Udelv-Last-Mile</t>
  </si>
  <si>
    <t>Waabi-Trucking</t>
  </si>
  <si>
    <t>Waymo-Ridehailing</t>
  </si>
  <si>
    <t>Wayve-Last-Mile</t>
  </si>
  <si>
    <t>ZF-Ridepooling</t>
  </si>
  <si>
    <t>Starship Technologies-Last-Mile</t>
  </si>
  <si>
    <t>Lohr-Ridepooling</t>
  </si>
  <si>
    <t>Uber Eats-Last-Mile</t>
  </si>
  <si>
    <t>Torc-Ridepooling</t>
  </si>
  <si>
    <t>ZF-Trucking</t>
  </si>
  <si>
    <t>Waymo-Trucking</t>
  </si>
  <si>
    <t>Lyft-Ridehailing</t>
  </si>
  <si>
    <t>Waymo-Last-Mile</t>
  </si>
  <si>
    <t>Spearman Correlation Coefficients</t>
  </si>
  <si>
    <t>TOTAL SUM</t>
  </si>
  <si>
    <t>Production relevant partnerships</t>
  </si>
  <si>
    <t>Customer relevant partnerships</t>
  </si>
  <si>
    <t>Equity partnerships</t>
  </si>
  <si>
    <t>The Ocado/Oxbotica relationship began in 2017, when we conducted a two-week trial using an early prototype delivery vehicle doing autonomous deliveries in Greenwich, London. 
 This will be a multi-year collaboration
Since that initial trial, Oxbotica has made significant progress in developing its platform, leading to today's announcement of a broader relationship that includes both Ocado's financial investment and a commercial collaboration agreement.</t>
  </si>
  <si>
    <t>Unserious partnerships</t>
  </si>
  <si>
    <t xml:space="preserve">Number customer relevant </t>
  </si>
  <si>
    <t>Equity Partnerships</t>
  </si>
  <si>
    <t>Equity announcements</t>
  </si>
  <si>
    <t>Non-relevant</t>
  </si>
  <si>
    <t>non-relevant</t>
  </si>
  <si>
    <t>Non-equity</t>
  </si>
  <si>
    <t>2.1. Short term Alliance (no exclusivity / previous experience)</t>
  </si>
  <si>
    <t xml:space="preserve">2.2. Renewed Alliance </t>
  </si>
  <si>
    <t>2.3. Long term Alliance</t>
  </si>
  <si>
    <t>2.4. Exclusive Alliance</t>
  </si>
  <si>
    <t>Serious</t>
  </si>
  <si>
    <t>Non-Serious</t>
  </si>
  <si>
    <t>REAL</t>
  </si>
  <si>
    <t>Expected</t>
  </si>
  <si>
    <t>2.1. Short term Alliance</t>
  </si>
  <si>
    <t>IPO Status (Public = 1, Private = 0)</t>
  </si>
  <si>
    <t>Headcount</t>
  </si>
  <si>
    <t>Research   Collabo-ration</t>
  </si>
  <si>
    <t>Announce
ments</t>
  </si>
  <si>
    <t>Prod Relevant</t>
  </si>
  <si>
    <t>Total Customer relevant</t>
  </si>
  <si>
    <t>Total Product relevant</t>
  </si>
  <si>
    <t>Total Unserious</t>
  </si>
  <si>
    <t xml:space="preserve">Funding </t>
  </si>
  <si>
    <t>Total unserious</t>
  </si>
  <si>
    <t>Total  Customer relevant</t>
  </si>
  <si>
    <t>Funding</t>
  </si>
  <si>
    <t>Partnership Variables</t>
  </si>
  <si>
    <t>Company variables</t>
  </si>
  <si>
    <t>(O-E)^2 / E</t>
  </si>
  <si>
    <t>Chi-Squared values</t>
  </si>
  <si>
    <t>p-value</t>
  </si>
  <si>
    <t>positives</t>
  </si>
  <si>
    <t>negatives</t>
  </si>
  <si>
    <t xml:space="preserve">Share </t>
  </si>
  <si>
    <t xml:space="preserve">Customer share </t>
  </si>
  <si>
    <t>Product Share</t>
  </si>
  <si>
    <t>Average</t>
  </si>
  <si>
    <t>Vicinity Motor Corp.; Vicinity Motor Corp.</t>
  </si>
  <si>
    <t>Aramex; Grubhub; kineo</t>
  </si>
  <si>
    <t>North Carolina Department of Transportation; Contra Costa Transportation Authority; ZF; Oxa</t>
  </si>
  <si>
    <t>MIT Center for Transportation &amp; Logistics; Uber Freight</t>
  </si>
  <si>
    <t>Goodyear; Ryder; Walmart; ChargePoint; Isuzu North America; Pitney Bowes; Kroger</t>
  </si>
  <si>
    <t>eVersum; NEVS; Beep</t>
  </si>
  <si>
    <t>Goggo Network; Ocado Group</t>
  </si>
  <si>
    <t>Asda; Ocado Group</t>
  </si>
  <si>
    <t>Ten Roads Express; Werner</t>
  </si>
  <si>
    <t>Bosch; Minnesota Department of Transportation; Transurban; Goodyear; IVECO; Cummins; Luminar</t>
  </si>
  <si>
    <t>ZF; Navistar; Traton; Goodyear; Liberty Mutual Insurance; Ryder; Loadsmith; Hegelmann Group; DHL</t>
  </si>
  <si>
    <t>Volvo Autonomous Solutions; Waymo; Waabi</t>
  </si>
  <si>
    <t>Toyota; Onsemi; Horizon Robotics; Toyota; Luminar; Sinotrans</t>
  </si>
  <si>
    <t>MAN Truck &amp; Bus; WILLER</t>
  </si>
  <si>
    <t>Continental; Hirschbach; Covenant; U.S. Xpress</t>
  </si>
  <si>
    <t>Fiat Chrysler Automobiles; Avis; Valley Metro; Lyft; Alliance Ventures (Renault, Nissan, Mitsubishi); Volvo Car Group</t>
  </si>
  <si>
    <t>Walmart; Replate</t>
  </si>
  <si>
    <t>SLTN; Benteler; SMRT; United Technical Services; SMRT</t>
  </si>
  <si>
    <t>Mitsubishi; Grubhub</t>
  </si>
  <si>
    <t>Derq; Boston University; tfnsw</t>
  </si>
  <si>
    <t>Walmart; Farmstead; H-E-B; Mobileye</t>
  </si>
  <si>
    <t>Nuro; ServeRobotics</t>
  </si>
  <si>
    <t>Id</t>
  </si>
  <si>
    <t>Public</t>
  </si>
  <si>
    <t>Order of Circular Arrangement</t>
  </si>
  <si>
    <t>Count</t>
  </si>
  <si>
    <t>Share</t>
  </si>
  <si>
    <t>SumUseC</t>
  </si>
  <si>
    <t>ScopeComp</t>
  </si>
  <si>
    <t>OrderRing</t>
  </si>
  <si>
    <t>Purpose 2 &amp; 3</t>
  </si>
  <si>
    <t>Supply Partnership (traditional);
Joint D&amp;D</t>
  </si>
  <si>
    <t>Research &amp; Collaboration;
Supply Partnership (traditional)</t>
  </si>
  <si>
    <t>date</t>
  </si>
  <si>
    <t>Usecase</t>
  </si>
  <si>
    <t>RP</t>
  </si>
  <si>
    <t>TR</t>
  </si>
  <si>
    <t>LM</t>
  </si>
  <si>
    <t>RH</t>
  </si>
  <si>
    <t>j</t>
  </si>
  <si>
    <t>Porsche; Ecarx; FAW Group; Wistron NeWeb Corp ; Geely; Zeekr; Valeo; Zeekr</t>
  </si>
  <si>
    <t>Verily; Swiss Re; AAA Northern California, Nevada &amp; Utah</t>
  </si>
  <si>
    <t>Employees</t>
  </si>
  <si>
    <t>May Mobility-Ridepooling</t>
  </si>
  <si>
    <t>Via-Ridepooling</t>
  </si>
  <si>
    <t>Top 1 Industry</t>
  </si>
  <si>
    <t>Top 2 Industry</t>
  </si>
  <si>
    <t>Top 3 Industry</t>
  </si>
  <si>
    <t>Top 3%</t>
  </si>
  <si>
    <t>Top 1%</t>
  </si>
  <si>
    <t>Top 2%</t>
  </si>
  <si>
    <t>(-)***2</t>
  </si>
  <si>
    <t>(-)*4</t>
  </si>
  <si>
    <t>(-)**2</t>
  </si>
  <si>
    <t>(-)*2</t>
  </si>
  <si>
    <t>(-)**2
(-)*3</t>
  </si>
  <si>
    <t>(-)***4</t>
  </si>
  <si>
    <t>(-)***1</t>
  </si>
  <si>
    <t>(-)***2
(-)*4</t>
  </si>
  <si>
    <t>(-)***2
(-)***4</t>
  </si>
  <si>
    <t>(-)**2
(-)***4</t>
  </si>
  <si>
    <t>(-)*1</t>
  </si>
  <si>
    <t>(-)*3</t>
  </si>
  <si>
    <t>(-)**1</t>
  </si>
  <si>
    <t>IPO Status</t>
  </si>
  <si>
    <t>Correlation Coefficients from four datasets
(1) - Ridepooling, n = 16 
(2) - Ridehailing, n = 8
(3) - Trucking, n = 12
(4) - Last-Mile, n = 14
p-value thresholds: 0.05,0.10,0.15 (***,**,*)</t>
  </si>
  <si>
    <r>
      <t>(</t>
    </r>
    <r>
      <rPr>
        <sz val="10"/>
        <color rgb="FFFF0000"/>
        <rFont val="Calibri"/>
        <family val="2"/>
        <scheme val="minor"/>
      </rPr>
      <t>+</t>
    </r>
    <r>
      <rPr>
        <sz val="10"/>
        <color theme="1"/>
        <rFont val="Calibri"/>
        <family val="2"/>
        <scheme val="minor"/>
      </rPr>
      <t>)***3</t>
    </r>
  </si>
  <si>
    <r>
      <t>(</t>
    </r>
    <r>
      <rPr>
        <sz val="10"/>
        <color rgb="FFFF0000"/>
        <rFont val="Calibri"/>
        <family val="2"/>
        <scheme val="minor"/>
      </rPr>
      <t>+</t>
    </r>
    <r>
      <rPr>
        <sz val="10"/>
        <color theme="1"/>
        <rFont val="Calibri"/>
        <family val="2"/>
        <scheme val="minor"/>
      </rPr>
      <t>)***1
(</t>
    </r>
    <r>
      <rPr>
        <sz val="10"/>
        <color rgb="FFFF0000"/>
        <rFont val="Calibri"/>
        <family val="2"/>
        <scheme val="minor"/>
      </rPr>
      <t>+</t>
    </r>
    <r>
      <rPr>
        <sz val="10"/>
        <color theme="1"/>
        <rFont val="Calibri"/>
        <family val="2"/>
        <scheme val="minor"/>
      </rPr>
      <t>)**3
(</t>
    </r>
    <r>
      <rPr>
        <sz val="10"/>
        <color rgb="FFFF0000"/>
        <rFont val="Calibri"/>
        <family val="2"/>
        <scheme val="minor"/>
      </rPr>
      <t>+</t>
    </r>
    <r>
      <rPr>
        <sz val="10"/>
        <color theme="1"/>
        <rFont val="Calibri"/>
        <family val="2"/>
        <scheme val="minor"/>
      </rPr>
      <t>)***4</t>
    </r>
  </si>
  <si>
    <r>
      <t>(</t>
    </r>
    <r>
      <rPr>
        <sz val="10"/>
        <color rgb="FFFF0000"/>
        <rFont val="Calibri"/>
        <family val="2"/>
        <scheme val="minor"/>
      </rPr>
      <t>+</t>
    </r>
    <r>
      <rPr>
        <sz val="10"/>
        <color theme="1"/>
        <rFont val="Calibri"/>
        <family val="2"/>
        <scheme val="minor"/>
      </rPr>
      <t>)**1</t>
    </r>
  </si>
  <si>
    <r>
      <t>(</t>
    </r>
    <r>
      <rPr>
        <sz val="10"/>
        <color rgb="FFFF0000"/>
        <rFont val="Calibri"/>
        <family val="2"/>
        <scheme val="minor"/>
      </rPr>
      <t>+</t>
    </r>
    <r>
      <rPr>
        <sz val="10"/>
        <color theme="1"/>
        <rFont val="Calibri"/>
        <family val="2"/>
        <scheme val="minor"/>
      </rPr>
      <t>)*3</t>
    </r>
  </si>
  <si>
    <r>
      <t>(-)*2
(</t>
    </r>
    <r>
      <rPr>
        <sz val="10"/>
        <color rgb="FFFF0000"/>
        <rFont val="Calibri"/>
        <family val="2"/>
        <scheme val="minor"/>
      </rPr>
      <t>+</t>
    </r>
    <r>
      <rPr>
        <sz val="10"/>
        <color theme="1"/>
        <rFont val="Calibri"/>
        <family val="2"/>
        <scheme val="minor"/>
      </rPr>
      <t>)*3</t>
    </r>
  </si>
  <si>
    <r>
      <t>(-)*3
(</t>
    </r>
    <r>
      <rPr>
        <sz val="10"/>
        <color rgb="FFFF0000"/>
        <rFont val="Calibri"/>
        <family val="2"/>
        <scheme val="minor"/>
      </rPr>
      <t>+</t>
    </r>
    <r>
      <rPr>
        <sz val="10"/>
        <color theme="1"/>
        <rFont val="Calibri"/>
        <family val="2"/>
        <scheme val="minor"/>
      </rPr>
      <t>)*4</t>
    </r>
  </si>
  <si>
    <r>
      <t>(</t>
    </r>
    <r>
      <rPr>
        <sz val="10"/>
        <color rgb="FFFF0000"/>
        <rFont val="Calibri"/>
        <family val="2"/>
        <scheme val="minor"/>
      </rPr>
      <t>+</t>
    </r>
    <r>
      <rPr>
        <sz val="10"/>
        <color theme="1"/>
        <rFont val="Calibri"/>
        <family val="2"/>
        <scheme val="minor"/>
      </rPr>
      <t>)***2</t>
    </r>
  </si>
  <si>
    <t># Unserious</t>
  </si>
  <si>
    <t># Customer relevant</t>
  </si>
  <si>
    <t># Product relevant</t>
  </si>
  <si>
    <t># Announce-ments</t>
  </si>
  <si>
    <t># Equity Partner-ships</t>
  </si>
  <si>
    <t>TrustInSoft; Continental; Sono Motors; Phoenix Motorcars; Continental;Shanghai Jiading Industrial Zone; Kalray</t>
  </si>
  <si>
    <t>Bridgestone; Ericsson;Bridgestone; SKF; Svenska Retursystem; Polarrenen; Ericsson;Telia; Oatly; Electrolux; Beyond Meat; Coca - Cola; UAE Ministry of Energy and Infrastructure; Oatly; GE Appliances; Lidl</t>
  </si>
  <si>
    <t>Deutsche Bahn;Berliner Verkehrsbetriebe; MINGA</t>
  </si>
  <si>
    <t>Bridgestone; Stantec; Spare; Moovit; Liftango</t>
  </si>
  <si>
    <t xml:space="preserve">HOCHBAHN;Volkswagen Commercial Vehicles; </t>
  </si>
  <si>
    <t>Valeo; Ion; Valeo; Lohr; Michelin;Beti</t>
  </si>
  <si>
    <t>Nickelytics;The Ad Council; Pizza Hut; Uber Eats; Piestro</t>
  </si>
  <si>
    <t>Daimler Truck; Applied Intuition; Daimler Truck;Luminar</t>
  </si>
  <si>
    <t>Torc; LAVTA; Delphi; ZF;e.GO</t>
  </si>
  <si>
    <t>Anheuser - Busch InBev;Bosch;Microsoft; DB Regio; Beep; Transdev;e.GO</t>
  </si>
  <si>
    <t xml:space="preserve">Employees </t>
  </si>
  <si>
    <t>Funding [$] (mio)</t>
  </si>
  <si>
    <t>Biggest Industry</t>
  </si>
  <si>
    <t>… of all partners</t>
  </si>
  <si>
    <t>Mission Secure; Global Finance Group; Western Reserve Transit Authority;GreenPower; SAE; Tropos Technologies; Tropos Technologies; Greenpower; Guident; Lightning eMotors; University of California; Sustainability Partners; Rampini; Tropos Technologies; GreenPower;JTA; UVA Foundation; E Charger Systems</t>
  </si>
  <si>
    <t xml:space="preserve">Across all </t>
  </si>
  <si>
    <t>Others</t>
  </si>
  <si>
    <t>Scope Company</t>
  </si>
  <si>
    <t>Partner 1</t>
  </si>
  <si>
    <t xml:space="preserve">Partner 2 </t>
  </si>
  <si>
    <t>Partner 3</t>
  </si>
  <si>
    <t>Partners per Announcement</t>
  </si>
  <si>
    <t>Each Company mention</t>
  </si>
  <si>
    <t>All mentioned companies (Scope / Partner) w/o 0</t>
  </si>
  <si>
    <t>Unique company combinations</t>
  </si>
  <si>
    <t>UseCase</t>
  </si>
  <si>
    <t>All companies mentioned (170)</t>
  </si>
  <si>
    <t>local_maximum</t>
  </si>
  <si>
    <t>coherence</t>
  </si>
  <si>
    <t>perplexity</t>
  </si>
  <si>
    <t>0.048*"shuttl"</t>
  </si>
  <si>
    <t>0.105*"deliveri"</t>
  </si>
  <si>
    <t>0.102*"truck"</t>
  </si>
  <si>
    <t>0.097*"vehicl"</t>
  </si>
  <si>
    <t>0.057*"vehicl"</t>
  </si>
  <si>
    <t>0.046*"develop"</t>
  </si>
  <si>
    <t>0.043*"robot"</t>
  </si>
  <si>
    <t>0.055*"develop"</t>
  </si>
  <si>
    <t>0.047*"announc"</t>
  </si>
  <si>
    <t>0.037*"technolog"</t>
  </si>
  <si>
    <t>0.043*"share"</t>
  </si>
  <si>
    <t>0.042*"expand"</t>
  </si>
  <si>
    <t>0.048*"bring"</t>
  </si>
  <si>
    <t>0.047*"selfdriv"</t>
  </si>
  <si>
    <t>0.034*"deploy"</t>
  </si>
  <si>
    <t>0.041*"collabor"</t>
  </si>
  <si>
    <t>0.021*"easymil"</t>
  </si>
  <si>
    <t>0.034*"invest"</t>
  </si>
  <si>
    <t>0.034*"scale"</t>
  </si>
  <si>
    <t>0.028*"strengthen"</t>
  </si>
  <si>
    <t>0.033*"truck"</t>
  </si>
  <si>
    <t>0.019*"campus"</t>
  </si>
  <si>
    <t>0.033*"oper"</t>
  </si>
  <si>
    <t>0.027*"develop"</t>
  </si>
  <si>
    <t>0.025*"creat"</t>
  </si>
  <si>
    <t>0.032*"team"</t>
  </si>
  <si>
    <t>0.019*"colleg"</t>
  </si>
  <si>
    <t>0.032*"mass"</t>
  </si>
  <si>
    <t>0.027*"fleet"</t>
  </si>
  <si>
    <t>0.025*"state"</t>
  </si>
  <si>
    <t>0.026*"fulli"</t>
  </si>
  <si>
    <t>0.019*"groceri"</t>
  </si>
  <si>
    <t>0.027*"ventur"</t>
  </si>
  <si>
    <t>0.027*"futur"</t>
  </si>
  <si>
    <t>0.022*"develop"</t>
  </si>
  <si>
    <t>0.026*"enter"</t>
  </si>
  <si>
    <t>0.017*"provid"</t>
  </si>
  <si>
    <t>0.023*"form"</t>
  </si>
  <si>
    <t>0.019*"commerci"</t>
  </si>
  <si>
    <t>0.022*"form"</t>
  </si>
  <si>
    <t>0.025*"driverless"</t>
  </si>
  <si>
    <t>0.013*"food"</t>
  </si>
  <si>
    <t>0.023*"integr"</t>
  </si>
  <si>
    <t>0.018*"assist"</t>
  </si>
  <si>
    <t>0.021*"launch"</t>
  </si>
  <si>
    <t>0.025*"deliv"</t>
  </si>
  <si>
    <t>0.013*"servic"</t>
  </si>
  <si>
    <t>0.023*"product"</t>
  </si>
  <si>
    <t>0.017*"acceler"</t>
  </si>
  <si>
    <t>0.021*"research"</t>
  </si>
  <si>
    <t>0.022*"icrist"</t>
  </si>
  <si>
    <t>0.013*"start"</t>
  </si>
  <si>
    <t>0.019*"deploy"</t>
  </si>
  <si>
    <t>0.016*"compact"</t>
  </si>
  <si>
    <t>0.021*"advanc"</t>
  </si>
  <si>
    <t>0.017*"deploy"</t>
  </si>
  <si>
    <t>0.013*"10year"</t>
  </si>
  <si>
    <t>0.017*"public"</t>
  </si>
  <si>
    <t>0.016*"util"</t>
  </si>
  <si>
    <t>0.016*"smart"</t>
  </si>
  <si>
    <t>0.016*"test"</t>
  </si>
  <si>
    <t>0.013*"texa"</t>
  </si>
  <si>
    <t>0.017*"selfdriv"</t>
  </si>
  <si>
    <t>0.016*"safeti"</t>
  </si>
  <si>
    <t>0.016*"oem"</t>
  </si>
  <si>
    <t>0.016*"passeng"</t>
  </si>
  <si>
    <t>0.013*"franc"</t>
  </si>
  <si>
    <t>0.017*"asia"</t>
  </si>
  <si>
    <t>0.016*"allelectr"</t>
  </si>
  <si>
    <t>0.016*"comprehens"</t>
  </si>
  <si>
    <t>0.013*"rider"</t>
  </si>
  <si>
    <t>0.016*"establish"</t>
  </si>
  <si>
    <t>0.015*"trial"</t>
  </si>
  <si>
    <t>0.016*"blind"</t>
  </si>
  <si>
    <t>0.014*"bird\sey"</t>
  </si>
  <si>
    <t>0.014*"view"</t>
  </si>
  <si>
    <t>0.013*"japan"</t>
  </si>
  <si>
    <t>0.016*"produc"</t>
  </si>
  <si>
    <t>0.015*"power"</t>
  </si>
  <si>
    <t>0.016*"navig"</t>
  </si>
  <si>
    <t>0.013*"effici"</t>
  </si>
  <si>
    <t>0.013*"global"</t>
  </si>
  <si>
    <t>0.015*"deliveri"</t>
  </si>
  <si>
    <t>0.013*"electrifi"</t>
  </si>
  <si>
    <t>0.013*"driven"</t>
  </si>
  <si>
    <t>0.013*"enhanc"</t>
  </si>
  <si>
    <t>0.013*"retail"</t>
  </si>
  <si>
    <t>0.014*"region"</t>
  </si>
  <si>
    <t>0.013*"build"</t>
  </si>
  <si>
    <t>0.013*"traffic"</t>
  </si>
  <si>
    <t>0.013*"mile"</t>
  </si>
  <si>
    <t>0.013*"process"</t>
  </si>
  <si>
    <t>0.013*"ondemand"</t>
  </si>
  <si>
    <t>0.012*"level"</t>
  </si>
  <si>
    <t>0.013*"turnaround"</t>
  </si>
  <si>
    <t>0.013*"middl"</t>
  </si>
  <si>
    <t>0.013*"imag"</t>
  </si>
  <si>
    <t>0.012*"unveil"</t>
  </si>
  <si>
    <t>0.013*"public"</t>
  </si>
  <si>
    <t>0.013*"safeti"</t>
  </si>
  <si>
    <t>0.013*"nextgen"</t>
  </si>
  <si>
    <t>0.013*"southeast"</t>
  </si>
  <si>
    <t>0.012*"fulli"</t>
  </si>
  <si>
    <t>0.013*"reveal"</t>
  </si>
  <si>
    <t>0.013*"invest"</t>
  </si>
  <si>
    <t>0.013*"sens"</t>
  </si>
  <si>
    <t>0.012*"agre"</t>
  </si>
  <si>
    <t>0.012*"system"</t>
  </si>
  <si>
    <t>0.013*"citi"</t>
  </si>
  <si>
    <t>0.013*"easymil"</t>
  </si>
  <si>
    <t>0.013*"broader"</t>
  </si>
  <si>
    <t>0.011*"sustain"</t>
  </si>
  <si>
    <t>0.012*"uniqu"</t>
  </si>
  <si>
    <t>0.012*"truck"</t>
  </si>
  <si>
    <t>0.011*"china"</t>
  </si>
  <si>
    <t>0.013*"kick"</t>
  </si>
  <si>
    <t>0.011*"deliv"</t>
  </si>
  <si>
    <t>0.012*"nextgener"</t>
  </si>
  <si>
    <t>0.010*"safer"</t>
  </si>
  <si>
    <t>0.011*"innov"</t>
  </si>
  <si>
    <t>0.013*"open"</t>
  </si>
  <si>
    <t>0.011*"offer"</t>
  </si>
  <si>
    <t>0.012*"shuttl"</t>
  </si>
  <si>
    <t>0.010*"cleaner"</t>
  </si>
  <si>
    <t>0.009*"project"</t>
  </si>
  <si>
    <t>0.013*"manufactur"</t>
  </si>
  <si>
    <t>0.011*"demonstr"</t>
  </si>
  <si>
    <t>0.012*"team"</t>
  </si>
  <si>
    <t>0.010*"lowcarbon"</t>
  </si>
  <si>
    <t>0.009*"sustain"</t>
  </si>
  <si>
    <t>0.013*"platform"</t>
  </si>
  <si>
    <t>0.011*"ecosystem"</t>
  </si>
  <si>
    <t>0.009*"aipow"</t>
  </si>
  <si>
    <t>0.010*"field"</t>
  </si>
  <si>
    <t>0.009*"ondemand"</t>
  </si>
  <si>
    <t>0.011*"pilot"</t>
  </si>
  <si>
    <t>0.008*"american"</t>
  </si>
  <si>
    <t>0.009*"industryfirst"</t>
  </si>
  <si>
    <t>0.010*"speed"</t>
  </si>
  <si>
    <t>0.008*"acceler"</t>
  </si>
  <si>
    <t>0.008*"scalabl"</t>
  </si>
  <si>
    <t>0.008*"shorthaul"</t>
  </si>
  <si>
    <t>0.008*"squeakyclean"</t>
  </si>
  <si>
    <t>0.009*"explor"</t>
  </si>
  <si>
    <t>0.008*"pioneer"</t>
  </si>
  <si>
    <t>0.008*"realiz"</t>
  </si>
  <si>
    <t>0.008*"enabl"</t>
  </si>
  <si>
    <t>0.008*"tailormad"</t>
  </si>
  <si>
    <t>0.009*"tank"</t>
  </si>
  <si>
    <t>0.008*"machin"</t>
  </si>
  <si>
    <t>0.008*"commerci"</t>
  </si>
  <si>
    <t>0.008*"gener"</t>
  </si>
  <si>
    <t>0.008*"welloil"</t>
  </si>
  <si>
    <t>0.009*"think"</t>
  </si>
  <si>
    <t>0.008*"learn"</t>
  </si>
  <si>
    <t>0.008*"buse"</t>
  </si>
  <si>
    <t>0.008*"largest"</t>
  </si>
  <si>
    <t>0.008*"secur"</t>
  </si>
  <si>
    <t>0.009*"movin"</t>
  </si>
  <si>
    <t>0.008*"begin"</t>
  </si>
  <si>
    <t>0.008*"deploy"</t>
  </si>
  <si>
    <t>0.007*"europ"</t>
  </si>
  <si>
    <t>0.008*"maintain"</t>
  </si>
  <si>
    <t>0.009*"experiment"</t>
  </si>
  <si>
    <t>0.008*"microtransit"</t>
  </si>
  <si>
    <t>0.007*"test"</t>
  </si>
  <si>
    <t>0.007*"mileston"</t>
  </si>
  <si>
    <t>0.008*"driver"</t>
  </si>
  <si>
    <t>0.009*"framework"</t>
  </si>
  <si>
    <t>0.008*"turnkey"</t>
  </si>
  <si>
    <t>0.007*"canada"</t>
  </si>
  <si>
    <t>0.007*"firm"</t>
  </si>
  <si>
    <t>0.008*"toyotaback"</t>
  </si>
  <si>
    <t>0.009*"hawaii"</t>
  </si>
  <si>
    <t>0.008*"fork"</t>
  </si>
  <si>
    <t>0.007*"doortodoor"</t>
  </si>
  <si>
    <t>0.005*"assist"</t>
  </si>
  <si>
    <t>0.008*"robot"</t>
  </si>
  <si>
    <t>0.009*"bring"</t>
  </si>
  <si>
    <t>0.008*"servic"</t>
  </si>
  <si>
    <t>0.007*"drone"</t>
  </si>
  <si>
    <t>0.005*"singapor"</t>
  </si>
  <si>
    <t>0.007*"renew"</t>
  </si>
  <si>
    <t>0.009*"nation"</t>
  </si>
  <si>
    <t>0.008*"solarpow"</t>
  </si>
  <si>
    <t>0.007*"autom"</t>
  </si>
  <si>
    <t>0.005*"futur"</t>
  </si>
  <si>
    <t>0.007*"ondemand"</t>
  </si>
  <si>
    <t>0.009*"rescu"</t>
  </si>
  <si>
    <t>0.008*"dynam"</t>
  </si>
  <si>
    <t>0.007*"pizza"</t>
  </si>
  <si>
    <t>0.005*"municip"</t>
  </si>
  <si>
    <t>0.005*"share"</t>
  </si>
  <si>
    <t>0.009*"food"</t>
  </si>
  <si>
    <t>0.008*"foundat"</t>
  </si>
  <si>
    <t>0.007*"artisan"</t>
  </si>
  <si>
    <t>0.005*"natur"</t>
  </si>
  <si>
    <t>0.005*"swedish"</t>
  </si>
  <si>
    <t>0.006*"evalu"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</si>
</sst>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
  </numFmts>
  <fonts count="4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u/>
      <sz val="11"/>
      <color theme="10"/>
      <name val="Calibri"/>
      <family val="2"/>
    </font>
    <font>
      <b/>
      <sz val="9"/>
      <color indexed="81"/>
      <name val="Tahoma"/>
      <family val="2"/>
    </font>
    <font>
      <b/>
      <sz val="11"/>
      <name val="Calibri"/>
      <family val="2"/>
    </font>
    <font>
      <sz val="11"/>
      <name val="Calibri"/>
      <family val="2"/>
      <scheme val="minor"/>
    </font>
    <font>
      <sz val="11"/>
      <name val="Calibri"/>
      <family val="2"/>
    </font>
    <font>
      <sz val="11"/>
      <color rgb="FFFF0000"/>
      <name val="Calibri"/>
      <family val="2"/>
      <scheme val="minor"/>
    </font>
    <font>
      <b/>
      <sz val="11"/>
      <color rgb="FFFF0000"/>
      <name val="Calibri"/>
      <family val="2"/>
    </font>
    <font>
      <sz val="11"/>
      <color rgb="FFFF0000"/>
      <name val="Calibri"/>
      <family val="2"/>
    </font>
    <font>
      <strike/>
      <sz val="11"/>
      <name val="Calibri"/>
      <family val="2"/>
      <scheme val="minor"/>
    </font>
    <font>
      <u/>
      <sz val="11"/>
      <color theme="10"/>
      <name val="Calibri"/>
      <family val="2"/>
      <scheme val="minor"/>
    </font>
    <font>
      <sz val="11"/>
      <color theme="5" tint="-0.249977111117893"/>
      <name val="Calibri"/>
      <family val="2"/>
      <scheme val="minor"/>
    </font>
    <font>
      <sz val="11"/>
      <color theme="1"/>
      <name val="Calibri"/>
      <scheme val="minor"/>
    </font>
    <font>
      <b/>
      <sz val="11"/>
      <color theme="1"/>
      <name val="Calibri"/>
      <family val="2"/>
      <scheme val="minor"/>
    </font>
    <font>
      <b/>
      <u/>
      <sz val="11"/>
      <color theme="1"/>
      <name val="Calibri"/>
      <family val="2"/>
      <scheme val="minor"/>
    </font>
    <font>
      <b/>
      <sz val="11"/>
      <color theme="0"/>
      <name val="Calibri"/>
      <family val="2"/>
      <scheme val="minor"/>
    </font>
    <font>
      <sz val="11"/>
      <color theme="0"/>
      <name val="Calibri"/>
      <family val="2"/>
      <scheme val="minor"/>
    </font>
    <font>
      <sz val="9"/>
      <color theme="1"/>
      <name val="Calibri"/>
      <family val="2"/>
      <scheme val="minor"/>
    </font>
    <font>
      <b/>
      <sz val="11"/>
      <color rgb="FFFF0000"/>
      <name val="Calibri"/>
      <family val="2"/>
      <scheme val="minor"/>
    </font>
    <font>
      <b/>
      <sz val="9"/>
      <color theme="1"/>
      <name val="Calibri"/>
      <family val="2"/>
      <scheme val="minor"/>
    </font>
    <font>
      <sz val="20"/>
      <color theme="1"/>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0"/>
      <color rgb="FFFF0000"/>
      <name val="Calibri"/>
      <family val="2"/>
      <scheme val="minor"/>
    </font>
    <font>
      <sz val="8"/>
      <color theme="1"/>
      <name val="Calibri"/>
      <family val="2"/>
      <scheme val="minor"/>
    </font>
    <font>
      <b/>
      <sz val="11"/>
      <name val="Calibri"/>
      <family val="2"/>
      <scheme val="minor"/>
    </font>
  </fonts>
  <fills count="17">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4" tint="0.59999389629810485"/>
        <bgColor indexed="64"/>
      </patternFill>
    </fill>
    <fill>
      <patternFill patternType="solid">
        <fgColor rgb="FFC00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F6DD"/>
        <bgColor indexed="64"/>
      </patternFill>
    </fill>
    <fill>
      <patternFill patternType="solid">
        <fgColor theme="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style="double">
        <color indexed="64"/>
      </bottom>
      <diagonal/>
    </border>
    <border>
      <left/>
      <right/>
      <top style="thin">
        <color indexed="64"/>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double">
        <color indexed="64"/>
      </bottom>
      <diagonal/>
    </border>
    <border>
      <left/>
      <right/>
      <top style="thin">
        <color indexed="64"/>
      </top>
      <bottom style="thin">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thick">
        <color indexed="64"/>
      </top>
      <bottom style="thin">
        <color indexed="64"/>
      </bottom>
      <diagonal/>
    </border>
    <border>
      <left/>
      <right style="double">
        <color indexed="64"/>
      </right>
      <top/>
      <bottom/>
      <diagonal/>
    </border>
    <border>
      <left/>
      <right style="double">
        <color indexed="64"/>
      </right>
      <top/>
      <bottom style="double">
        <color indexed="64"/>
      </bottom>
      <diagonal/>
    </border>
    <border>
      <left/>
      <right style="thick">
        <color indexed="64"/>
      </right>
      <top style="medium">
        <color indexed="64"/>
      </top>
      <bottom style="medium">
        <color indexed="64"/>
      </bottom>
      <diagonal/>
    </border>
    <border>
      <left/>
      <right style="thick">
        <color indexed="64"/>
      </right>
      <top/>
      <bottom style="medium">
        <color indexed="64"/>
      </bottom>
      <diagonal/>
    </border>
    <border>
      <left style="thick">
        <color indexed="64"/>
      </left>
      <right/>
      <top style="thick">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s>
  <cellStyleXfs count="4">
    <xf numFmtId="0" fontId="0" fillId="0" borderId="0"/>
    <xf numFmtId="0" fontId="32" fillId="0" borderId="0" applyNumberFormat="0" applyFill="0" applyBorder="0" applyAlignment="0" applyProtection="0"/>
    <xf numFmtId="9" fontId="34" fillId="0" borderId="0" applyFont="0" applyFill="0" applyBorder="0" applyAlignment="0" applyProtection="0"/>
    <xf numFmtId="0" fontId="1" fillId="0" borderId="0"/>
  </cellStyleXfs>
  <cellXfs count="421">
    <xf numFmtId="0" fontId="0" fillId="0" borderId="0" xfId="0" applyFont="1" applyAlignment="1"/>
    <xf numFmtId="0" fontId="20" fillId="0" borderId="0" xfId="0" applyFont="1"/>
    <xf numFmtId="0" fontId="21" fillId="0" borderId="0" xfId="0" applyFont="1"/>
    <xf numFmtId="0" fontId="22" fillId="0" borderId="0" xfId="0" quotePrefix="1" applyFont="1"/>
    <xf numFmtId="17" fontId="22" fillId="0" borderId="0" xfId="0" quotePrefix="1" applyNumberFormat="1" applyFont="1"/>
    <xf numFmtId="0" fontId="23" fillId="0" borderId="0" xfId="0" applyFont="1"/>
    <xf numFmtId="0" fontId="26" fillId="0" borderId="1" xfId="0" applyFont="1" applyBorder="1" applyAlignment="1"/>
    <xf numFmtId="0" fontId="26" fillId="0" borderId="1" xfId="0" applyFont="1" applyBorder="1"/>
    <xf numFmtId="0" fontId="27" fillId="0" borderId="1" xfId="0" applyFont="1" applyBorder="1" applyAlignment="1">
      <alignment wrapText="1"/>
    </xf>
    <xf numFmtId="0" fontId="26" fillId="0" borderId="1" xfId="0" applyFont="1" applyBorder="1" applyAlignment="1">
      <alignment wrapText="1"/>
    </xf>
    <xf numFmtId="0" fontId="25" fillId="0" borderId="1" xfId="0" applyFont="1" applyBorder="1" applyAlignment="1">
      <alignment vertical="top" wrapText="1"/>
    </xf>
    <xf numFmtId="0" fontId="26" fillId="0" borderId="1" xfId="0" applyFont="1" applyBorder="1" applyAlignment="1">
      <alignment vertical="top" wrapText="1"/>
    </xf>
    <xf numFmtId="0" fontId="22" fillId="0" borderId="1" xfId="0" applyFont="1" applyBorder="1" applyAlignment="1">
      <alignment wrapText="1"/>
    </xf>
    <xf numFmtId="0" fontId="0" fillId="0" borderId="1" xfId="0" applyFont="1" applyBorder="1" applyAlignment="1"/>
    <xf numFmtId="0" fontId="28" fillId="0" borderId="1" xfId="0" applyFont="1" applyBorder="1"/>
    <xf numFmtId="0" fontId="28" fillId="0" borderId="1" xfId="0" applyFont="1" applyBorder="1" applyAlignment="1"/>
    <xf numFmtId="0" fontId="0" fillId="0" borderId="2" xfId="0" applyFont="1" applyBorder="1" applyAlignment="1"/>
    <xf numFmtId="0" fontId="0" fillId="0" borderId="3" xfId="0" applyFont="1" applyBorder="1" applyAlignment="1"/>
    <xf numFmtId="0" fontId="19" fillId="0" borderId="0" xfId="0" applyFont="1" applyAlignment="1"/>
    <xf numFmtId="0" fontId="31" fillId="0" borderId="1" xfId="0" applyFont="1" applyBorder="1" applyAlignment="1"/>
    <xf numFmtId="0" fontId="18" fillId="0" borderId="1" xfId="0" applyFont="1" applyBorder="1"/>
    <xf numFmtId="0" fontId="0" fillId="0" borderId="0" xfId="0"/>
    <xf numFmtId="0" fontId="28" fillId="0" borderId="1" xfId="0" applyFont="1" applyBorder="1" applyAlignment="1">
      <alignment wrapText="1"/>
    </xf>
    <xf numFmtId="0" fontId="25" fillId="0" borderId="1" xfId="0" applyFont="1" applyFill="1" applyBorder="1" applyAlignment="1">
      <alignment vertical="top" wrapText="1"/>
    </xf>
    <xf numFmtId="0" fontId="29" fillId="0" borderId="1" xfId="0" applyFont="1" applyFill="1" applyBorder="1" applyAlignment="1">
      <alignment vertical="top" wrapText="1"/>
    </xf>
    <xf numFmtId="0" fontId="26" fillId="0" borderId="1" xfId="0" applyFont="1" applyFill="1" applyBorder="1"/>
    <xf numFmtId="0" fontId="27" fillId="0" borderId="1" xfId="0" applyFont="1" applyFill="1" applyBorder="1" applyAlignment="1">
      <alignment wrapText="1"/>
    </xf>
    <xf numFmtId="0" fontId="28" fillId="0" borderId="1" xfId="0" applyFont="1" applyFill="1" applyBorder="1"/>
    <xf numFmtId="0" fontId="19" fillId="0" borderId="1" xfId="0" applyFont="1" applyFill="1" applyBorder="1"/>
    <xf numFmtId="0" fontId="18" fillId="0" borderId="1" xfId="0" applyFont="1" applyFill="1" applyBorder="1"/>
    <xf numFmtId="0" fontId="22" fillId="0" borderId="1" xfId="0" applyFont="1" applyFill="1" applyBorder="1" applyAlignment="1">
      <alignment wrapText="1"/>
    </xf>
    <xf numFmtId="0" fontId="28" fillId="0" borderId="1" xfId="0" quotePrefix="1" applyFont="1" applyFill="1" applyBorder="1"/>
    <xf numFmtId="0" fontId="26" fillId="0" borderId="1" xfId="0" applyFont="1" applyFill="1" applyBorder="1" applyAlignment="1">
      <alignment wrapText="1"/>
    </xf>
    <xf numFmtId="0" fontId="30" fillId="0" borderId="1" xfId="0" applyFont="1" applyFill="1" applyBorder="1"/>
    <xf numFmtId="0" fontId="27" fillId="0" borderId="1" xfId="0" applyFont="1" applyFill="1" applyBorder="1"/>
    <xf numFmtId="0" fontId="26" fillId="0" borderId="1" xfId="0" applyFont="1" applyFill="1" applyBorder="1" applyAlignment="1"/>
    <xf numFmtId="17" fontId="28" fillId="0" borderId="1" xfId="0" quotePrefix="1" applyNumberFormat="1" applyFont="1" applyFill="1" applyBorder="1"/>
    <xf numFmtId="0" fontId="19" fillId="0" borderId="1" xfId="0" applyFont="1" applyFill="1" applyBorder="1" applyAlignment="1">
      <alignment wrapText="1"/>
    </xf>
    <xf numFmtId="0" fontId="0" fillId="0" borderId="1" xfId="0" applyFill="1" applyBorder="1"/>
    <xf numFmtId="0" fontId="17" fillId="0" borderId="1" xfId="0" applyFont="1" applyFill="1" applyBorder="1"/>
    <xf numFmtId="0" fontId="0" fillId="0" borderId="1" xfId="0" applyBorder="1"/>
    <xf numFmtId="0" fontId="0" fillId="0" borderId="0" xfId="0" applyFont="1" applyBorder="1" applyAlignment="1"/>
    <xf numFmtId="0" fontId="17" fillId="0" borderId="0" xfId="0" applyFont="1" applyAlignment="1"/>
    <xf numFmtId="0" fontId="17" fillId="0" borderId="0" xfId="0" applyFont="1"/>
    <xf numFmtId="0" fontId="32" fillId="0" borderId="0" xfId="1" applyAlignment="1"/>
    <xf numFmtId="0" fontId="0" fillId="0" borderId="0" xfId="0" applyFont="1" applyAlignment="1">
      <alignment wrapText="1"/>
    </xf>
    <xf numFmtId="0" fontId="33" fillId="0" borderId="1" xfId="0" applyFont="1" applyFill="1" applyBorder="1"/>
    <xf numFmtId="0" fontId="28" fillId="0" borderId="1" xfId="0" applyFont="1" applyFill="1" applyBorder="1" applyAlignment="1">
      <alignment wrapText="1"/>
    </xf>
    <xf numFmtId="0" fontId="0" fillId="3" borderId="0" xfId="0" applyFont="1" applyFill="1" applyAlignment="1"/>
    <xf numFmtId="0" fontId="17" fillId="3" borderId="0" xfId="0" applyFont="1" applyFill="1" applyAlignment="1"/>
    <xf numFmtId="0" fontId="16" fillId="3" borderId="0" xfId="0" applyFont="1" applyFill="1" applyAlignment="1"/>
    <xf numFmtId="0" fontId="35" fillId="3" borderId="0" xfId="0" applyFont="1" applyFill="1" applyAlignment="1"/>
    <xf numFmtId="0" fontId="35" fillId="2" borderId="0" xfId="0" applyFont="1" applyFill="1" applyAlignment="1"/>
    <xf numFmtId="0" fontId="16" fillId="0" borderId="0" xfId="0" applyFont="1"/>
    <xf numFmtId="0" fontId="16" fillId="0" borderId="1" xfId="0" applyFont="1" applyFill="1" applyBorder="1"/>
    <xf numFmtId="0" fontId="0" fillId="0" borderId="0" xfId="0" applyFont="1" applyFill="1" applyAlignment="1"/>
    <xf numFmtId="0" fontId="0" fillId="4" borderId="0" xfId="0" applyFont="1" applyFill="1" applyAlignment="1"/>
    <xf numFmtId="9" fontId="0" fillId="0" borderId="0" xfId="2" applyFont="1" applyFill="1" applyAlignment="1"/>
    <xf numFmtId="9" fontId="0" fillId="0" borderId="0" xfId="2" applyFont="1" applyAlignment="1"/>
    <xf numFmtId="0" fontId="35" fillId="0" borderId="0" xfId="0" applyFont="1" applyAlignment="1"/>
    <xf numFmtId="0" fontId="0" fillId="5" borderId="0" xfId="0" applyFont="1" applyFill="1" applyAlignment="1"/>
    <xf numFmtId="0" fontId="35" fillId="5" borderId="0" xfId="0" applyFont="1" applyFill="1" applyAlignment="1"/>
    <xf numFmtId="0" fontId="35" fillId="6" borderId="0" xfId="0" applyFont="1" applyFill="1" applyAlignment="1"/>
    <xf numFmtId="9" fontId="0" fillId="6" borderId="0" xfId="2" applyFont="1" applyFill="1" applyAlignment="1"/>
    <xf numFmtId="0" fontId="35" fillId="0" borderId="0" xfId="0" applyFont="1" applyFill="1" applyAlignment="1"/>
    <xf numFmtId="14" fontId="26" fillId="0" borderId="1" xfId="0" applyNumberFormat="1" applyFont="1" applyFill="1" applyBorder="1"/>
    <xf numFmtId="14" fontId="0" fillId="0" borderId="0" xfId="0" applyNumberFormat="1" applyFont="1" applyAlignment="1"/>
    <xf numFmtId="0" fontId="15" fillId="0" borderId="0" xfId="0" applyFont="1"/>
    <xf numFmtId="0" fontId="15" fillId="0" borderId="0" xfId="0" applyFont="1" applyAlignment="1"/>
    <xf numFmtId="3" fontId="21" fillId="0" borderId="0" xfId="0" applyNumberFormat="1" applyFont="1"/>
    <xf numFmtId="0" fontId="21" fillId="7" borderId="0" xfId="0" applyFont="1" applyFill="1"/>
    <xf numFmtId="3" fontId="21" fillId="7" borderId="0" xfId="0" applyNumberFormat="1" applyFont="1" applyFill="1"/>
    <xf numFmtId="3" fontId="0" fillId="0" borderId="0" xfId="0" applyNumberFormat="1" applyFont="1" applyAlignment="1"/>
    <xf numFmtId="0" fontId="32" fillId="0" borderId="0" xfId="1"/>
    <xf numFmtId="0" fontId="22" fillId="7" borderId="0" xfId="0" quotePrefix="1" applyFont="1" applyFill="1"/>
    <xf numFmtId="0" fontId="15" fillId="7" borderId="0" xfId="0" applyFont="1" applyFill="1"/>
    <xf numFmtId="0" fontId="20" fillId="0" borderId="0" xfId="0" applyFont="1" applyAlignment="1"/>
    <xf numFmtId="3" fontId="35" fillId="0" borderId="0" xfId="0" applyNumberFormat="1" applyFont="1"/>
    <xf numFmtId="0" fontId="0" fillId="0" borderId="0" xfId="0" applyFont="1" applyAlignment="1">
      <alignment horizontal="center"/>
    </xf>
    <xf numFmtId="0" fontId="20" fillId="0" borderId="6" xfId="0" applyFont="1" applyBorder="1" applyAlignment="1">
      <alignment horizontal="center" vertical="center" wrapText="1"/>
    </xf>
    <xf numFmtId="0" fontId="0" fillId="0" borderId="0" xfId="0" applyFill="1" applyBorder="1" applyAlignment="1"/>
    <xf numFmtId="0" fontId="0" fillId="0" borderId="7" xfId="0" applyFill="1" applyBorder="1" applyAlignment="1"/>
    <xf numFmtId="0" fontId="0" fillId="7" borderId="0" xfId="0" applyFont="1" applyFill="1" applyAlignment="1"/>
    <xf numFmtId="0" fontId="35" fillId="0" borderId="6"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9" xfId="0" applyFont="1" applyBorder="1" applyAlignment="1">
      <alignment horizontal="center" vertical="center" wrapText="1"/>
    </xf>
    <xf numFmtId="0" fontId="35" fillId="0" borderId="9" xfId="0" applyFont="1" applyFill="1" applyBorder="1" applyAlignment="1">
      <alignment horizontal="center" vertical="center" wrapText="1"/>
    </xf>
    <xf numFmtId="0" fontId="35" fillId="0" borderId="9" xfId="0" applyFont="1" applyFill="1" applyBorder="1" applyAlignment="1">
      <alignment horizontal="left" vertical="center" wrapText="1"/>
    </xf>
    <xf numFmtId="0" fontId="20" fillId="0" borderId="9" xfId="0" applyFont="1" applyBorder="1" applyAlignment="1">
      <alignment horizontal="center" vertical="center" wrapText="1"/>
    </xf>
    <xf numFmtId="3" fontId="21" fillId="0" borderId="10" xfId="0" applyNumberFormat="1" applyFont="1" applyBorder="1" applyAlignment="1">
      <alignment horizontal="center" vertical="center"/>
    </xf>
    <xf numFmtId="3" fontId="35" fillId="0" borderId="9" xfId="0" applyNumberFormat="1" applyFont="1" applyBorder="1" applyAlignment="1">
      <alignment horizontal="center" vertical="center" wrapText="1"/>
    </xf>
    <xf numFmtId="9" fontId="0" fillId="0" borderId="10" xfId="2" applyFont="1" applyBorder="1" applyAlignment="1">
      <alignment horizontal="center"/>
    </xf>
    <xf numFmtId="0" fontId="14" fillId="0" borderId="0" xfId="0" applyFont="1" applyAlignment="1"/>
    <xf numFmtId="0" fontId="35" fillId="0" borderId="0" xfId="0" applyFont="1" applyAlignment="1">
      <alignment horizontal="center"/>
    </xf>
    <xf numFmtId="9" fontId="0" fillId="0" borderId="0" xfId="2" applyFont="1" applyBorder="1" applyAlignment="1"/>
    <xf numFmtId="0" fontId="14" fillId="5" borderId="0" xfId="0" applyFont="1" applyFill="1" applyAlignment="1"/>
    <xf numFmtId="0" fontId="14" fillId="0" borderId="0" xfId="0" applyFont="1"/>
    <xf numFmtId="0" fontId="0" fillId="8" borderId="0" xfId="0" applyFont="1" applyFill="1" applyAlignment="1"/>
    <xf numFmtId="0" fontId="35" fillId="0" borderId="4" xfId="0" applyFont="1" applyBorder="1" applyAlignment="1"/>
    <xf numFmtId="0" fontId="0" fillId="0" borderId="12" xfId="0" applyFont="1" applyBorder="1" applyAlignment="1"/>
    <xf numFmtId="0" fontId="0" fillId="0" borderId="14" xfId="0" applyFont="1" applyBorder="1" applyAlignment="1"/>
    <xf numFmtId="9" fontId="0" fillId="0" borderId="14" xfId="2" applyFont="1" applyBorder="1" applyAlignment="1"/>
    <xf numFmtId="0" fontId="35" fillId="0" borderId="0" xfId="0" applyFont="1" applyAlignment="1">
      <alignment vertical="top" wrapText="1"/>
    </xf>
    <xf numFmtId="0" fontId="0" fillId="0" borderId="0" xfId="0" applyFont="1" applyAlignment="1">
      <alignment vertical="top" wrapText="1"/>
    </xf>
    <xf numFmtId="0" fontId="0" fillId="0" borderId="1" xfId="0" applyBorder="1" applyAlignment="1">
      <alignment vertical="top" wrapText="1"/>
    </xf>
    <xf numFmtId="14" fontId="0" fillId="5" borderId="0" xfId="0" applyNumberFormat="1" applyFont="1" applyFill="1" applyAlignment="1"/>
    <xf numFmtId="14" fontId="0" fillId="0" borderId="0" xfId="0" applyNumberFormat="1" applyFont="1" applyFill="1" applyAlignment="1"/>
    <xf numFmtId="0" fontId="0" fillId="0" borderId="0" xfId="0" applyNumberFormat="1" applyFont="1" applyAlignment="1"/>
    <xf numFmtId="0" fontId="14" fillId="8" borderId="0" xfId="0" applyFont="1" applyFill="1" applyAlignment="1"/>
    <xf numFmtId="0" fontId="14" fillId="0" borderId="0" xfId="0" applyFont="1" applyFill="1" applyAlignment="1"/>
    <xf numFmtId="9" fontId="0" fillId="2" borderId="0" xfId="2" applyFont="1" applyFill="1" applyAlignment="1"/>
    <xf numFmtId="0" fontId="14" fillId="0" borderId="0" xfId="0" quotePrefix="1" applyFont="1"/>
    <xf numFmtId="0" fontId="0" fillId="0" borderId="0" xfId="0" applyFont="1" applyAlignment="1">
      <alignment horizontal="left"/>
    </xf>
    <xf numFmtId="0" fontId="13" fillId="0" borderId="0" xfId="0" applyFont="1"/>
    <xf numFmtId="0" fontId="13" fillId="0" borderId="0" xfId="0" applyFont="1" applyAlignment="1"/>
    <xf numFmtId="0" fontId="0" fillId="0" borderId="16" xfId="0" applyFont="1" applyBorder="1" applyAlignment="1"/>
    <xf numFmtId="2" fontId="0" fillId="0" borderId="0" xfId="0" applyNumberFormat="1" applyFont="1" applyAlignment="1"/>
    <xf numFmtId="0" fontId="13" fillId="0" borderId="0" xfId="0" applyFont="1" applyAlignment="1">
      <alignment vertical="top" wrapText="1"/>
    </xf>
    <xf numFmtId="0" fontId="28" fillId="0" borderId="0" xfId="0" applyFont="1" applyAlignment="1"/>
    <xf numFmtId="0" fontId="0" fillId="10" borderId="0" xfId="0" applyFont="1" applyFill="1" applyAlignment="1"/>
    <xf numFmtId="0" fontId="13" fillId="10" borderId="0" xfId="0" applyFont="1" applyFill="1" applyAlignment="1"/>
    <xf numFmtId="0" fontId="28" fillId="0" borderId="0" xfId="0" applyFont="1" applyBorder="1" applyAlignment="1"/>
    <xf numFmtId="2" fontId="0" fillId="0" borderId="0" xfId="0" applyNumberFormat="1" applyFont="1" applyFill="1" applyBorder="1" applyAlignment="1"/>
    <xf numFmtId="0" fontId="0" fillId="5" borderId="0" xfId="0" applyFill="1" applyBorder="1" applyAlignment="1">
      <alignment vertical="center" wrapText="1"/>
    </xf>
    <xf numFmtId="0" fontId="0" fillId="8" borderId="0" xfId="0" applyFill="1" applyBorder="1" applyAlignment="1">
      <alignment vertical="center" wrapText="1"/>
    </xf>
    <xf numFmtId="0" fontId="0" fillId="7" borderId="0" xfId="0" applyFill="1" applyBorder="1" applyAlignment="1">
      <alignment vertical="center" wrapText="1"/>
    </xf>
    <xf numFmtId="164" fontId="35" fillId="0" borderId="0" xfId="0" applyNumberFormat="1" applyFont="1" applyAlignment="1"/>
    <xf numFmtId="0" fontId="0" fillId="0" borderId="0" xfId="0" applyFont="1" applyAlignment="1">
      <alignment horizontal="left" vertical="top"/>
    </xf>
    <xf numFmtId="9" fontId="13" fillId="11" borderId="0" xfId="2" applyFont="1" applyFill="1" applyBorder="1" applyAlignment="1"/>
    <xf numFmtId="0" fontId="36" fillId="0" borderId="0" xfId="0" applyFont="1" applyFill="1" applyBorder="1" applyAlignment="1"/>
    <xf numFmtId="9" fontId="0" fillId="0" borderId="0" xfId="2" applyNumberFormat="1" applyFont="1" applyAlignment="1"/>
    <xf numFmtId="0" fontId="13" fillId="9" borderId="0" xfId="0" applyFont="1" applyFill="1" applyAlignment="1"/>
    <xf numFmtId="164" fontId="13" fillId="0" borderId="0" xfId="0" applyNumberFormat="1" applyFont="1" applyAlignment="1"/>
    <xf numFmtId="0" fontId="32" fillId="0" borderId="1" xfId="1" applyFill="1" applyBorder="1"/>
    <xf numFmtId="0" fontId="39" fillId="0" borderId="0" xfId="0" applyFont="1" applyAlignment="1"/>
    <xf numFmtId="0" fontId="41" fillId="0" borderId="0" xfId="0" applyFont="1" applyAlignment="1"/>
    <xf numFmtId="9" fontId="0" fillId="0" borderId="0" xfId="0" applyNumberFormat="1" applyFont="1" applyAlignment="1"/>
    <xf numFmtId="14" fontId="28" fillId="0" borderId="1" xfId="0" applyNumberFormat="1" applyFont="1" applyFill="1" applyBorder="1"/>
    <xf numFmtId="0" fontId="30" fillId="0" borderId="1" xfId="0" applyFont="1" applyFill="1" applyBorder="1" applyAlignment="1">
      <alignment wrapText="1"/>
    </xf>
    <xf numFmtId="0" fontId="30" fillId="0" borderId="1" xfId="0" applyFont="1" applyBorder="1" applyAlignment="1">
      <alignment wrapText="1"/>
    </xf>
    <xf numFmtId="0" fontId="13" fillId="0" borderId="1" xfId="0" applyFont="1" applyFill="1" applyBorder="1"/>
    <xf numFmtId="0" fontId="38" fillId="12" borderId="0" xfId="0" applyFont="1" applyFill="1" applyAlignment="1">
      <alignment horizontal="right"/>
    </xf>
    <xf numFmtId="0" fontId="38" fillId="12" borderId="0" xfId="0" applyFont="1" applyFill="1" applyAlignment="1">
      <alignment horizontal="left"/>
    </xf>
    <xf numFmtId="9" fontId="0" fillId="0" borderId="1" xfId="2" applyFont="1" applyBorder="1" applyAlignment="1">
      <alignment horizontal="left" vertical="top"/>
    </xf>
    <xf numFmtId="0" fontId="0" fillId="0" borderId="0" xfId="0" applyNumberFormat="1" applyFont="1" applyFill="1" applyAlignment="1"/>
    <xf numFmtId="0" fontId="12" fillId="0" borderId="0" xfId="0" applyFont="1" applyAlignment="1"/>
    <xf numFmtId="14" fontId="42" fillId="0" borderId="0" xfId="0" applyNumberFormat="1" applyFont="1" applyAlignment="1"/>
    <xf numFmtId="0" fontId="28" fillId="0" borderId="0" xfId="0" applyFont="1" applyBorder="1" applyAlignment="1">
      <alignment horizontal="center"/>
    </xf>
    <xf numFmtId="0" fontId="0" fillId="0" borderId="6" xfId="0" applyFont="1" applyBorder="1" applyAlignment="1"/>
    <xf numFmtId="164" fontId="35" fillId="0" borderId="6" xfId="0" applyNumberFormat="1" applyFont="1" applyBorder="1" applyAlignment="1"/>
    <xf numFmtId="9" fontId="12" fillId="11" borderId="0" xfId="2" applyFont="1" applyFill="1" applyBorder="1" applyAlignment="1"/>
    <xf numFmtId="0" fontId="13" fillId="0" borderId="0" xfId="0" applyFont="1" applyFill="1" applyAlignment="1"/>
    <xf numFmtId="0" fontId="40" fillId="0" borderId="0" xfId="0" applyFont="1" applyAlignment="1">
      <alignment horizontal="center" vertical="center" wrapText="1"/>
    </xf>
    <xf numFmtId="0" fontId="0" fillId="0" borderId="0" xfId="0" applyFont="1" applyFill="1" applyAlignment="1">
      <alignment wrapText="1"/>
    </xf>
    <xf numFmtId="0" fontId="28" fillId="0" borderId="0" xfId="0" applyFont="1" applyAlignment="1">
      <alignment horizontal="center"/>
    </xf>
    <xf numFmtId="0" fontId="0" fillId="5" borderId="3" xfId="0" applyFill="1" applyBorder="1" applyAlignment="1">
      <alignment vertical="center" wrapText="1"/>
    </xf>
    <xf numFmtId="0" fontId="0" fillId="8" borderId="3" xfId="0" applyFill="1" applyBorder="1" applyAlignment="1">
      <alignment vertical="center" wrapText="1"/>
    </xf>
    <xf numFmtId="0" fontId="0" fillId="7" borderId="3" xfId="0" applyFill="1" applyBorder="1" applyAlignment="1">
      <alignment vertical="center" wrapText="1"/>
    </xf>
    <xf numFmtId="0" fontId="35" fillId="0" borderId="0" xfId="0" applyFont="1" applyAlignment="1">
      <alignment horizontal="center" vertical="center" wrapText="1"/>
    </xf>
    <xf numFmtId="0" fontId="11" fillId="0" borderId="0" xfId="0" applyFont="1" applyAlignment="1"/>
    <xf numFmtId="0" fontId="0" fillId="0" borderId="0" xfId="0" applyFont="1" applyFill="1" applyBorder="1" applyAlignment="1"/>
    <xf numFmtId="9" fontId="0" fillId="11" borderId="0" xfId="2" applyFont="1" applyFill="1" applyBorder="1" applyAlignment="1"/>
    <xf numFmtId="9" fontId="0" fillId="5" borderId="3" xfId="2" applyFont="1" applyFill="1" applyBorder="1" applyAlignment="1"/>
    <xf numFmtId="9" fontId="0" fillId="11" borderId="2" xfId="2" applyFont="1" applyFill="1" applyBorder="1" applyAlignment="1"/>
    <xf numFmtId="0" fontId="11" fillId="0" borderId="0" xfId="0" applyFont="1" applyFill="1" applyBorder="1" applyAlignment="1"/>
    <xf numFmtId="9" fontId="0" fillId="0" borderId="4" xfId="2" applyFont="1" applyBorder="1" applyAlignment="1"/>
    <xf numFmtId="9" fontId="0" fillId="0" borderId="0" xfId="2" applyFont="1" applyFill="1" applyBorder="1" applyAlignment="1"/>
    <xf numFmtId="14" fontId="42" fillId="0" borderId="0" xfId="0" applyNumberFormat="1" applyFont="1" applyFill="1" applyBorder="1" applyAlignment="1"/>
    <xf numFmtId="0" fontId="37" fillId="0"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alignment horizontal="left" vertical="top"/>
    </xf>
    <xf numFmtId="9" fontId="0" fillId="0" borderId="0" xfId="2" applyFont="1" applyFill="1" applyBorder="1" applyAlignment="1">
      <alignment horizontal="left" vertical="top"/>
    </xf>
    <xf numFmtId="0" fontId="12" fillId="0" borderId="0" xfId="0" applyFont="1" applyFill="1" applyBorder="1" applyAlignment="1"/>
    <xf numFmtId="0" fontId="25" fillId="0" borderId="10" xfId="0" applyFont="1" applyFill="1" applyBorder="1" applyAlignment="1">
      <alignment vertical="top" wrapText="1"/>
    </xf>
    <xf numFmtId="0" fontId="35" fillId="5" borderId="6"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40" fillId="7" borderId="8" xfId="0" applyFont="1" applyFill="1" applyBorder="1" applyAlignment="1">
      <alignment horizontal="center" vertical="center" wrapText="1"/>
    </xf>
    <xf numFmtId="0" fontId="11" fillId="9" borderId="0" xfId="0" applyFont="1" applyFill="1" applyAlignment="1"/>
    <xf numFmtId="0" fontId="11" fillId="0" borderId="0" xfId="0" applyFont="1" applyFill="1" applyBorder="1" applyAlignment="1">
      <alignment horizontal="left" vertical="center" wrapText="1"/>
    </xf>
    <xf numFmtId="2" fontId="0" fillId="0" borderId="0" xfId="0" applyNumberFormat="1"/>
    <xf numFmtId="0" fontId="11" fillId="0" borderId="0" xfId="0" applyFont="1" applyAlignment="1">
      <alignment horizontal="center" vertical="center"/>
    </xf>
    <xf numFmtId="2" fontId="28" fillId="0" borderId="0" xfId="0" applyNumberFormat="1" applyFont="1" applyAlignment="1"/>
    <xf numFmtId="2" fontId="0" fillId="0" borderId="3" xfId="0" applyNumberFormat="1" applyFont="1" applyBorder="1" applyAlignment="1"/>
    <xf numFmtId="2" fontId="0" fillId="0" borderId="16" xfId="0" applyNumberFormat="1" applyFont="1" applyBorder="1" applyAlignment="1"/>
    <xf numFmtId="2" fontId="0" fillId="0" borderId="2" xfId="0" applyNumberFormat="1" applyFont="1" applyBorder="1" applyAlignment="1"/>
    <xf numFmtId="2" fontId="28" fillId="0" borderId="12" xfId="0" applyNumberFormat="1" applyFont="1" applyBorder="1" applyAlignment="1"/>
    <xf numFmtId="2" fontId="28" fillId="0" borderId="2" xfId="0" applyNumberFormat="1" applyFont="1" applyBorder="1" applyAlignment="1"/>
    <xf numFmtId="2" fontId="28" fillId="0" borderId="15" xfId="0" applyNumberFormat="1" applyFont="1" applyBorder="1" applyAlignment="1"/>
    <xf numFmtId="2" fontId="28" fillId="0" borderId="3" xfId="0" applyNumberFormat="1" applyFont="1" applyBorder="1" applyAlignment="1"/>
    <xf numFmtId="2" fontId="28" fillId="0" borderId="16" xfId="0" applyNumberFormat="1" applyFont="1" applyBorder="1" applyAlignment="1"/>
    <xf numFmtId="2" fontId="0" fillId="0" borderId="0" xfId="0" applyNumberFormat="1" applyFont="1" applyBorder="1" applyAlignment="1"/>
    <xf numFmtId="0" fontId="35" fillId="7" borderId="8" xfId="0" applyFont="1" applyFill="1" applyBorder="1" applyAlignment="1">
      <alignment horizontal="center" vertical="center" wrapText="1"/>
    </xf>
    <xf numFmtId="2" fontId="28" fillId="0" borderId="0" xfId="0" applyNumberFormat="1" applyFont="1" applyBorder="1" applyAlignment="1"/>
    <xf numFmtId="2" fontId="28" fillId="0" borderId="0" xfId="0" applyNumberFormat="1" applyFont="1" applyFill="1" applyBorder="1" applyAlignment="1"/>
    <xf numFmtId="2" fontId="11" fillId="0" borderId="2" xfId="0" applyNumberFormat="1" applyFont="1" applyBorder="1" applyAlignment="1"/>
    <xf numFmtId="2" fontId="11" fillId="0" borderId="16" xfId="0" applyNumberFormat="1" applyFont="1" applyBorder="1" applyAlignment="1"/>
    <xf numFmtId="9" fontId="35" fillId="5" borderId="3" xfId="2" applyFont="1" applyFill="1" applyBorder="1" applyAlignment="1"/>
    <xf numFmtId="0" fontId="35" fillId="0" borderId="0" xfId="0" applyFont="1" applyAlignment="1">
      <alignment horizontal="left"/>
    </xf>
    <xf numFmtId="0" fontId="36" fillId="0" borderId="0" xfId="0" applyFont="1" applyAlignment="1">
      <alignment horizontal="left"/>
    </xf>
    <xf numFmtId="0" fontId="0" fillId="0" borderId="0" xfId="0" applyFont="1" applyFill="1" applyAlignment="1">
      <alignment vertical="top" wrapText="1"/>
    </xf>
    <xf numFmtId="2" fontId="11" fillId="0" borderId="0" xfId="0" applyNumberFormat="1" applyFont="1" applyAlignment="1"/>
    <xf numFmtId="2" fontId="0" fillId="2" borderId="0" xfId="0" applyNumberFormat="1" applyFill="1" applyBorder="1" applyAlignment="1"/>
    <xf numFmtId="2" fontId="0" fillId="13" borderId="0" xfId="0" applyNumberFormat="1" applyFill="1" applyBorder="1" applyAlignment="1"/>
    <xf numFmtId="2" fontId="0" fillId="14" borderId="0" xfId="0" applyNumberFormat="1" applyFill="1" applyBorder="1" applyAlignment="1"/>
    <xf numFmtId="2" fontId="0" fillId="0" borderId="14" xfId="0" applyNumberFormat="1" applyFont="1" applyBorder="1" applyAlignment="1"/>
    <xf numFmtId="2" fontId="0" fillId="0" borderId="15" xfId="0" applyNumberFormat="1" applyFont="1" applyBorder="1" applyAlignment="1"/>
    <xf numFmtId="2" fontId="0" fillId="0" borderId="14" xfId="0" applyNumberFormat="1" applyFont="1" applyFill="1" applyBorder="1" applyAlignment="1"/>
    <xf numFmtId="2" fontId="10" fillId="0" borderId="14" xfId="0" applyNumberFormat="1" applyFont="1" applyFill="1" applyBorder="1" applyAlignment="1"/>
    <xf numFmtId="2" fontId="10" fillId="0" borderId="0" xfId="0" applyNumberFormat="1" applyFont="1" applyFill="1" applyBorder="1" applyAlignment="1"/>
    <xf numFmtId="2" fontId="10" fillId="0" borderId="2" xfId="0" applyNumberFormat="1" applyFont="1" applyBorder="1" applyAlignment="1"/>
    <xf numFmtId="2" fontId="10" fillId="0" borderId="0" xfId="0" applyNumberFormat="1" applyFont="1" applyBorder="1" applyAlignment="1"/>
    <xf numFmtId="2" fontId="10" fillId="0" borderId="14" xfId="0" applyNumberFormat="1" applyFont="1" applyBorder="1" applyAlignment="1"/>
    <xf numFmtId="2" fontId="10" fillId="0" borderId="21" xfId="0" applyNumberFormat="1" applyFont="1" applyBorder="1" applyAlignment="1"/>
    <xf numFmtId="2" fontId="10" fillId="0" borderId="7" xfId="0" applyNumberFormat="1" applyFont="1" applyBorder="1" applyAlignment="1"/>
    <xf numFmtId="2" fontId="10" fillId="0" borderId="20" xfId="0" applyNumberFormat="1" applyFont="1" applyBorder="1" applyAlignment="1"/>
    <xf numFmtId="2" fontId="10" fillId="0" borderId="4" xfId="0" applyNumberFormat="1" applyFont="1" applyFill="1" applyBorder="1" applyAlignment="1"/>
    <xf numFmtId="2" fontId="10" fillId="0" borderId="13" xfId="0" applyNumberFormat="1" applyFont="1" applyFill="1" applyBorder="1" applyAlignment="1"/>
    <xf numFmtId="2" fontId="10" fillId="0" borderId="13" xfId="0" applyNumberFormat="1" applyFont="1" applyBorder="1" applyAlignment="1"/>
    <xf numFmtId="2" fontId="10" fillId="0" borderId="15" xfId="0" applyNumberFormat="1" applyFont="1" applyBorder="1" applyAlignment="1"/>
    <xf numFmtId="2" fontId="10" fillId="0" borderId="3" xfId="0" applyNumberFormat="1" applyFont="1" applyBorder="1" applyAlignment="1"/>
    <xf numFmtId="2" fontId="10" fillId="0" borderId="16" xfId="0" applyNumberFormat="1" applyFont="1" applyBorder="1" applyAlignment="1"/>
    <xf numFmtId="0" fontId="9" fillId="7" borderId="3" xfId="0" applyFont="1" applyFill="1" applyBorder="1" applyAlignment="1">
      <alignment vertical="center" wrapText="1"/>
    </xf>
    <xf numFmtId="0" fontId="44" fillId="5" borderId="23" xfId="0" applyFont="1" applyFill="1" applyBorder="1" applyAlignment="1">
      <alignment vertical="center" wrapText="1"/>
    </xf>
    <xf numFmtId="0" fontId="44" fillId="8" borderId="23" xfId="0" applyFont="1" applyFill="1" applyBorder="1" applyAlignment="1">
      <alignment vertical="center" wrapText="1"/>
    </xf>
    <xf numFmtId="0" fontId="9" fillId="7" borderId="0" xfId="0" applyFont="1" applyFill="1" applyBorder="1" applyAlignment="1">
      <alignment vertical="center" wrapText="1"/>
    </xf>
    <xf numFmtId="0" fontId="9" fillId="5" borderId="3" xfId="0" applyFont="1" applyFill="1" applyBorder="1" applyAlignment="1">
      <alignment vertical="center" wrapText="1"/>
    </xf>
    <xf numFmtId="2" fontId="26" fillId="0" borderId="4" xfId="0" applyNumberFormat="1" applyFont="1" applyBorder="1" applyAlignment="1"/>
    <xf numFmtId="0" fontId="28" fillId="7" borderId="0" xfId="0" applyFont="1" applyFill="1" applyBorder="1" applyAlignment="1">
      <alignment vertical="center" wrapText="1"/>
    </xf>
    <xf numFmtId="0" fontId="28" fillId="7" borderId="3" xfId="0" applyFont="1" applyFill="1" applyBorder="1" applyAlignment="1">
      <alignment vertical="center" wrapText="1"/>
    </xf>
    <xf numFmtId="0" fontId="44" fillId="5" borderId="30" xfId="0" applyFont="1" applyFill="1" applyBorder="1" applyAlignment="1">
      <alignment vertical="center" wrapText="1"/>
    </xf>
    <xf numFmtId="0" fontId="44" fillId="8" borderId="30" xfId="0" applyFont="1" applyFill="1" applyBorder="1" applyAlignment="1">
      <alignment vertical="center" wrapText="1"/>
    </xf>
    <xf numFmtId="0" fontId="45" fillId="7" borderId="24" xfId="0" applyFont="1" applyFill="1" applyBorder="1" applyAlignment="1">
      <alignment vertical="center" wrapText="1"/>
    </xf>
    <xf numFmtId="0" fontId="45" fillId="7" borderId="29" xfId="0" applyFont="1" applyFill="1" applyBorder="1" applyAlignment="1">
      <alignment vertical="center" wrapText="1"/>
    </xf>
    <xf numFmtId="0" fontId="45" fillId="7" borderId="26" xfId="0" applyFont="1" applyFill="1" applyBorder="1" applyAlignment="1">
      <alignment vertical="center" wrapText="1"/>
    </xf>
    <xf numFmtId="0" fontId="0" fillId="0" borderId="0" xfId="0" applyFont="1" applyAlignment="1">
      <alignment horizontal="right"/>
    </xf>
    <xf numFmtId="0" fontId="43" fillId="0" borderId="0" xfId="0" applyFont="1" applyFill="1" applyBorder="1" applyAlignment="1">
      <alignment vertical="top" wrapText="1"/>
    </xf>
    <xf numFmtId="0" fontId="0" fillId="0" borderId="3" xfId="0" applyFont="1" applyBorder="1" applyAlignment="1">
      <alignment horizontal="right"/>
    </xf>
    <xf numFmtId="0" fontId="8" fillId="0" borderId="0" xfId="0" applyFont="1"/>
    <xf numFmtId="2" fontId="0" fillId="15" borderId="0" xfId="0" applyNumberFormat="1" applyFill="1" applyBorder="1" applyAlignment="1"/>
    <xf numFmtId="0" fontId="35" fillId="5" borderId="3" xfId="0" applyFont="1" applyFill="1" applyBorder="1" applyAlignment="1">
      <alignment vertical="center" wrapText="1"/>
    </xf>
    <xf numFmtId="9" fontId="0" fillId="0" borderId="0" xfId="2" applyFont="1" applyAlignment="1">
      <alignment horizontal="center"/>
    </xf>
    <xf numFmtId="166" fontId="0" fillId="0" borderId="0" xfId="2" applyNumberFormat="1" applyFont="1" applyAlignment="1"/>
    <xf numFmtId="166" fontId="0" fillId="0" borderId="0" xfId="2" applyNumberFormat="1" applyFont="1" applyAlignment="1">
      <alignment horizontal="center"/>
    </xf>
    <xf numFmtId="2" fontId="26" fillId="0" borderId="4" xfId="2" applyNumberFormat="1" applyFont="1" applyBorder="1" applyAlignment="1"/>
    <xf numFmtId="2" fontId="28" fillId="0" borderId="0" xfId="2" applyNumberFormat="1" applyFont="1" applyAlignment="1"/>
    <xf numFmtId="2" fontId="28" fillId="0" borderId="12" xfId="2" applyNumberFormat="1" applyFont="1" applyBorder="1" applyAlignment="1"/>
    <xf numFmtId="2" fontId="28" fillId="0" borderId="0" xfId="2" applyNumberFormat="1" applyFont="1" applyBorder="1" applyAlignment="1"/>
    <xf numFmtId="2" fontId="0" fillId="0" borderId="0" xfId="2" applyNumberFormat="1" applyFont="1" applyBorder="1" applyAlignment="1"/>
    <xf numFmtId="2" fontId="0" fillId="0" borderId="0" xfId="2" applyNumberFormat="1" applyFont="1" applyAlignment="1"/>
    <xf numFmtId="2" fontId="0" fillId="0" borderId="12" xfId="2" applyNumberFormat="1" applyFont="1" applyBorder="1" applyAlignment="1"/>
    <xf numFmtId="2" fontId="0" fillId="0" borderId="14" xfId="2" applyNumberFormat="1" applyFont="1" applyBorder="1" applyAlignment="1"/>
    <xf numFmtId="2" fontId="28" fillId="0" borderId="2" xfId="2" applyNumberFormat="1" applyFont="1" applyBorder="1" applyAlignment="1"/>
    <xf numFmtId="2" fontId="0" fillId="0" borderId="2" xfId="2" applyNumberFormat="1" applyFont="1" applyBorder="1" applyAlignment="1"/>
    <xf numFmtId="2" fontId="0" fillId="0" borderId="15" xfId="2" applyNumberFormat="1" applyFont="1" applyBorder="1" applyAlignment="1"/>
    <xf numFmtId="2" fontId="0" fillId="0" borderId="3" xfId="2" applyNumberFormat="1" applyFont="1" applyBorder="1" applyAlignment="1"/>
    <xf numFmtId="2" fontId="0" fillId="0" borderId="16" xfId="2" applyNumberFormat="1" applyFont="1" applyBorder="1" applyAlignment="1"/>
    <xf numFmtId="2" fontId="28" fillId="0" borderId="15" xfId="2" applyNumberFormat="1" applyFont="1" applyBorder="1" applyAlignment="1"/>
    <xf numFmtId="2" fontId="28" fillId="0" borderId="3" xfId="2" applyNumberFormat="1" applyFont="1" applyBorder="1" applyAlignment="1"/>
    <xf numFmtId="2" fontId="28" fillId="0" borderId="16" xfId="2" applyNumberFormat="1" applyFont="1" applyBorder="1" applyAlignment="1"/>
    <xf numFmtId="2" fontId="11" fillId="0" borderId="2" xfId="2" applyNumberFormat="1" applyFont="1" applyBorder="1" applyAlignment="1"/>
    <xf numFmtId="2" fontId="11" fillId="0" borderId="16" xfId="2" applyNumberFormat="1" applyFont="1" applyBorder="1" applyAlignment="1"/>
    <xf numFmtId="2" fontId="0" fillId="0" borderId="14" xfId="2" applyNumberFormat="1" applyFont="1" applyFill="1" applyBorder="1" applyAlignment="1"/>
    <xf numFmtId="2" fontId="0" fillId="0" borderId="0" xfId="2" applyNumberFormat="1" applyFont="1" applyFill="1" applyBorder="1" applyAlignment="1"/>
    <xf numFmtId="2" fontId="28" fillId="0" borderId="0" xfId="2" applyNumberFormat="1" applyFont="1" applyFill="1" applyBorder="1" applyAlignment="1"/>
    <xf numFmtId="2" fontId="10" fillId="0" borderId="14" xfId="2" applyNumberFormat="1" applyFont="1" applyFill="1" applyBorder="1" applyAlignment="1"/>
    <xf numFmtId="2" fontId="10" fillId="0" borderId="0" xfId="2" applyNumberFormat="1" applyFont="1" applyFill="1" applyBorder="1" applyAlignment="1"/>
    <xf numFmtId="2" fontId="10" fillId="0" borderId="2" xfId="2" applyNumberFormat="1" applyFont="1" applyBorder="1" applyAlignment="1"/>
    <xf numFmtId="2" fontId="10" fillId="0" borderId="4" xfId="2" applyNumberFormat="1" applyFont="1" applyFill="1" applyBorder="1" applyAlignment="1"/>
    <xf numFmtId="2" fontId="10" fillId="0" borderId="13" xfId="2" applyNumberFormat="1" applyFont="1" applyFill="1" applyBorder="1" applyAlignment="1"/>
    <xf numFmtId="2" fontId="10" fillId="0" borderId="13" xfId="2" applyNumberFormat="1" applyFont="1" applyBorder="1" applyAlignment="1"/>
    <xf numFmtId="2" fontId="10" fillId="0" borderId="0" xfId="2" applyNumberFormat="1" applyFont="1" applyBorder="1" applyAlignment="1"/>
    <xf numFmtId="2" fontId="10" fillId="0" borderId="14" xfId="2" applyNumberFormat="1" applyFont="1" applyBorder="1" applyAlignment="1"/>
    <xf numFmtId="2" fontId="10" fillId="0" borderId="21" xfId="2" applyNumberFormat="1" applyFont="1" applyBorder="1" applyAlignment="1"/>
    <xf numFmtId="2" fontId="10" fillId="0" borderId="7" xfId="2" applyNumberFormat="1" applyFont="1" applyBorder="1" applyAlignment="1"/>
    <xf numFmtId="2" fontId="10" fillId="0" borderId="20" xfId="2" applyNumberFormat="1" applyFont="1" applyBorder="1" applyAlignment="1"/>
    <xf numFmtId="0" fontId="43" fillId="0" borderId="25" xfId="0" quotePrefix="1" applyFont="1" applyFill="1" applyBorder="1" applyAlignment="1">
      <alignment horizontal="left" vertical="top" wrapText="1"/>
    </xf>
    <xf numFmtId="0" fontId="43" fillId="0" borderId="24" xfId="0" quotePrefix="1" applyFont="1" applyFill="1" applyBorder="1" applyAlignment="1">
      <alignment horizontal="left" vertical="top" wrapText="1"/>
    </xf>
    <xf numFmtId="0" fontId="43" fillId="0" borderId="28" xfId="0" quotePrefix="1" applyFont="1" applyFill="1" applyBorder="1" applyAlignment="1">
      <alignment horizontal="left" vertical="top" wrapText="1"/>
    </xf>
    <xf numFmtId="0" fontId="43" fillId="0" borderId="28" xfId="0" applyFont="1" applyFill="1" applyBorder="1" applyAlignment="1">
      <alignment horizontal="left" vertical="top" wrapText="1"/>
    </xf>
    <xf numFmtId="0" fontId="33" fillId="7" borderId="1" xfId="0" applyFont="1" applyFill="1" applyBorder="1"/>
    <xf numFmtId="0" fontId="26" fillId="7" borderId="1" xfId="0" applyFont="1" applyFill="1" applyBorder="1"/>
    <xf numFmtId="0" fontId="28" fillId="7" borderId="1" xfId="0" applyFont="1" applyFill="1" applyBorder="1"/>
    <xf numFmtId="0" fontId="7" fillId="0" borderId="0" xfId="0" applyFont="1"/>
    <xf numFmtId="0" fontId="6" fillId="0" borderId="0" xfId="0" applyFont="1" applyAlignment="1"/>
    <xf numFmtId="0" fontId="6" fillId="0" borderId="0" xfId="0" applyFont="1" applyAlignment="1">
      <alignment wrapText="1"/>
    </xf>
    <xf numFmtId="0" fontId="35" fillId="0" borderId="0" xfId="0" applyNumberFormat="1" applyFont="1" applyAlignment="1"/>
    <xf numFmtId="14" fontId="41" fillId="0" borderId="0" xfId="0" applyNumberFormat="1" applyFont="1" applyAlignment="1"/>
    <xf numFmtId="0" fontId="0" fillId="0" borderId="0" xfId="0" applyAlignment="1">
      <alignment horizontal="center"/>
    </xf>
    <xf numFmtId="0" fontId="0" fillId="0" borderId="16" xfId="0" applyBorder="1"/>
    <xf numFmtId="0" fontId="0" fillId="0" borderId="2" xfId="0" applyBorder="1"/>
    <xf numFmtId="0" fontId="35" fillId="0" borderId="0" xfId="0" applyFont="1"/>
    <xf numFmtId="0" fontId="35" fillId="0" borderId="2" xfId="0" applyFont="1" applyBorder="1"/>
    <xf numFmtId="0" fontId="0" fillId="0" borderId="12" xfId="0" applyBorder="1"/>
    <xf numFmtId="0" fontId="0" fillId="0" borderId="14" xfId="0" applyBorder="1"/>
    <xf numFmtId="0" fontId="0" fillId="0" borderId="3" xfId="0" applyBorder="1"/>
    <xf numFmtId="0" fontId="0" fillId="0" borderId="15" xfId="0" applyBorder="1"/>
    <xf numFmtId="2" fontId="35" fillId="0" borderId="0" xfId="0" applyNumberFormat="1" applyFont="1"/>
    <xf numFmtId="0" fontId="5" fillId="0" borderId="0" xfId="0" applyFont="1"/>
    <xf numFmtId="0" fontId="0" fillId="0" borderId="0" xfId="0" applyAlignment="1">
      <alignment horizontal="left"/>
    </xf>
    <xf numFmtId="0" fontId="0" fillId="0" borderId="13" xfId="0" applyBorder="1"/>
    <xf numFmtId="0" fontId="36" fillId="0" borderId="13" xfId="0" applyFont="1" applyBorder="1"/>
    <xf numFmtId="0" fontId="36" fillId="0" borderId="4" xfId="0" applyFont="1" applyBorder="1"/>
    <xf numFmtId="0" fontId="5" fillId="7" borderId="5" xfId="0" applyFont="1" applyFill="1" applyBorder="1"/>
    <xf numFmtId="0" fontId="0" fillId="0" borderId="0" xfId="0" applyAlignment="1">
      <alignment vertical="center"/>
    </xf>
    <xf numFmtId="0" fontId="35" fillId="0" borderId="0" xfId="0" applyFont="1" applyAlignment="1">
      <alignment vertical="center"/>
    </xf>
    <xf numFmtId="0" fontId="35" fillId="0" borderId="5" xfId="0" applyFont="1" applyBorder="1"/>
    <xf numFmtId="0" fontId="5" fillId="0" borderId="2" xfId="0" applyFont="1" applyBorder="1" applyAlignment="1">
      <alignment horizontal="center"/>
    </xf>
    <xf numFmtId="164" fontId="28" fillId="0" borderId="0" xfId="0" applyNumberFormat="1" applyFont="1"/>
    <xf numFmtId="3" fontId="28" fillId="0" borderId="0" xfId="0" applyNumberFormat="1" applyFont="1"/>
    <xf numFmtId="0" fontId="0" fillId="0" borderId="10" xfId="0" applyBorder="1" applyAlignment="1">
      <alignment horizontal="center" vertical="center"/>
    </xf>
    <xf numFmtId="0" fontId="0" fillId="0" borderId="10" xfId="0" applyBorder="1" applyAlignment="1">
      <alignment horizontal="center"/>
    </xf>
    <xf numFmtId="3" fontId="5" fillId="0" borderId="10" xfId="0" applyNumberFormat="1" applyFont="1" applyBorder="1" applyAlignment="1">
      <alignment horizontal="center" vertical="center"/>
    </xf>
    <xf numFmtId="0" fontId="0" fillId="0" borderId="10" xfId="0" applyBorder="1" applyAlignment="1">
      <alignment horizontal="left"/>
    </xf>
    <xf numFmtId="0" fontId="5" fillId="0" borderId="0" xfId="0" applyFont="1" applyAlignment="1">
      <alignment horizontal="center"/>
    </xf>
    <xf numFmtId="0" fontId="5" fillId="0" borderId="2" xfId="0" applyFont="1" applyBorder="1" applyAlignment="1">
      <alignment horizontal="center" vertical="center"/>
    </xf>
    <xf numFmtId="0" fontId="5" fillId="0" borderId="0" xfId="0" applyFont="1" applyAlignment="1">
      <alignment vertical="center"/>
    </xf>
    <xf numFmtId="0" fontId="5" fillId="0" borderId="11" xfId="0" applyFont="1" applyBorder="1" applyAlignment="1">
      <alignment horizontal="center" vertical="center"/>
    </xf>
    <xf numFmtId="0" fontId="35" fillId="0" borderId="9" xfId="0" applyFont="1" applyBorder="1" applyAlignment="1">
      <alignment horizontal="left" vertical="center" wrapText="1"/>
    </xf>
    <xf numFmtId="14" fontId="42" fillId="0" borderId="0" xfId="0" applyNumberFormat="1" applyFont="1"/>
    <xf numFmtId="164" fontId="0" fillId="0" borderId="0" xfId="0" applyNumberFormat="1"/>
    <xf numFmtId="0" fontId="37" fillId="0" borderId="0" xfId="0" applyFont="1"/>
    <xf numFmtId="9" fontId="5" fillId="0" borderId="0" xfId="2" applyFont="1" applyFill="1" applyBorder="1" applyAlignment="1"/>
    <xf numFmtId="0" fontId="37" fillId="12" borderId="0" xfId="0" applyFont="1" applyFill="1"/>
    <xf numFmtId="0" fontId="40" fillId="0" borderId="0" xfId="0" applyFont="1"/>
    <xf numFmtId="0" fontId="35" fillId="0" borderId="22" xfId="0" applyFont="1" applyBorder="1"/>
    <xf numFmtId="164" fontId="0" fillId="0" borderId="0" xfId="0" applyNumberFormat="1" applyAlignment="1">
      <alignment horizontal="center"/>
    </xf>
    <xf numFmtId="164" fontId="5" fillId="0" borderId="0" xfId="0" applyNumberFormat="1" applyFont="1"/>
    <xf numFmtId="9" fontId="0" fillId="0" borderId="0" xfId="0" applyNumberFormat="1"/>
    <xf numFmtId="165" fontId="0" fillId="0" borderId="0" xfId="0" applyNumberFormat="1"/>
    <xf numFmtId="0" fontId="5" fillId="6" borderId="0" xfId="0" applyFont="1" applyFill="1"/>
    <xf numFmtId="0" fontId="0" fillId="0" borderId="18" xfId="0" applyBorder="1"/>
    <xf numFmtId="9" fontId="0" fillId="0" borderId="18" xfId="0" applyNumberFormat="1" applyBorder="1"/>
    <xf numFmtId="0" fontId="5" fillId="6" borderId="2" xfId="0" applyFont="1" applyFill="1" applyBorder="1"/>
    <xf numFmtId="0" fontId="0" fillId="0" borderId="4" xfId="0" applyBorder="1"/>
    <xf numFmtId="0" fontId="0" fillId="11" borderId="2" xfId="0" applyFill="1" applyBorder="1"/>
    <xf numFmtId="0" fontId="0" fillId="5" borderId="0" xfId="0" applyFill="1"/>
    <xf numFmtId="0" fontId="0" fillId="5" borderId="3" xfId="0" applyFill="1" applyBorder="1"/>
    <xf numFmtId="0" fontId="0" fillId="0" borderId="0" xfId="0" applyAlignment="1">
      <alignment horizontal="left" vertical="top"/>
    </xf>
    <xf numFmtId="0" fontId="35" fillId="0" borderId="18" xfId="0" applyFont="1" applyBorder="1"/>
    <xf numFmtId="0" fontId="0" fillId="0" borderId="32" xfId="0" applyBorder="1"/>
    <xf numFmtId="0" fontId="0" fillId="0" borderId="22" xfId="0" applyBorder="1"/>
    <xf numFmtId="0" fontId="0" fillId="0" borderId="31" xfId="0" applyBorder="1"/>
    <xf numFmtId="0" fontId="0" fillId="0" borderId="1" xfId="0" applyBorder="1" applyAlignment="1">
      <alignment horizontal="left" vertical="top"/>
    </xf>
    <xf numFmtId="0" fontId="0" fillId="0" borderId="19" xfId="0" applyBorder="1" applyAlignment="1">
      <alignment horizontal="left"/>
    </xf>
    <xf numFmtId="0" fontId="0" fillId="0" borderId="17" xfId="0" applyBorder="1"/>
    <xf numFmtId="0" fontId="0" fillId="0" borderId="5" xfId="0" applyBorder="1"/>
    <xf numFmtId="0" fontId="0" fillId="0" borderId="1" xfId="0" applyBorder="1" applyAlignment="1">
      <alignment horizontal="left"/>
    </xf>
    <xf numFmtId="0" fontId="0" fillId="11" borderId="0" xfId="0" applyFill="1"/>
    <xf numFmtId="0" fontId="0" fillId="0" borderId="0" xfId="0" applyAlignment="1">
      <alignment horizontal="center" vertical="center" wrapText="1"/>
    </xf>
    <xf numFmtId="14" fontId="0" fillId="0" borderId="0" xfId="0" applyNumberFormat="1"/>
    <xf numFmtId="9" fontId="35" fillId="0" borderId="0" xfId="2" applyFont="1" applyAlignment="1"/>
    <xf numFmtId="9" fontId="41" fillId="0" borderId="0" xfId="2" applyFont="1" applyAlignment="1"/>
    <xf numFmtId="14" fontId="39" fillId="0" borderId="0" xfId="0" applyNumberFormat="1" applyFont="1" applyAlignment="1"/>
    <xf numFmtId="9" fontId="39" fillId="0" borderId="0" xfId="2" applyFont="1" applyAlignment="1"/>
    <xf numFmtId="0" fontId="5" fillId="0" borderId="0" xfId="0" applyFont="1" applyAlignment="1"/>
    <xf numFmtId="9" fontId="5" fillId="0" borderId="0" xfId="2" applyFont="1" applyAlignment="1"/>
    <xf numFmtId="0" fontId="45" fillId="0" borderId="0" xfId="0" applyFont="1" applyAlignment="1">
      <alignment vertical="top" wrapText="1" readingOrder="1"/>
    </xf>
    <xf numFmtId="0" fontId="45" fillId="0" borderId="0" xfId="0" applyFont="1" applyAlignment="1">
      <alignment horizontal="left" vertical="top" wrapText="1" readingOrder="1"/>
    </xf>
    <xf numFmtId="9" fontId="45" fillId="0" borderId="0" xfId="2" applyFont="1" applyAlignment="1">
      <alignment vertical="top" wrapText="1" readingOrder="1"/>
    </xf>
    <xf numFmtId="0" fontId="45" fillId="0" borderId="0" xfId="0" applyFont="1" applyAlignment="1">
      <alignment vertical="top" wrapText="1"/>
    </xf>
    <xf numFmtId="0" fontId="47" fillId="0" borderId="0" xfId="0" applyFont="1" applyAlignment="1">
      <alignment wrapText="1" readingOrder="1"/>
    </xf>
    <xf numFmtId="0" fontId="47" fillId="0" borderId="0" xfId="0" applyFont="1" applyAlignment="1">
      <alignment horizontal="left" wrapText="1" readingOrder="1"/>
    </xf>
    <xf numFmtId="0" fontId="47" fillId="0" borderId="0" xfId="2" applyNumberFormat="1" applyFont="1" applyAlignment="1">
      <alignment wrapText="1" readingOrder="1"/>
    </xf>
    <xf numFmtId="0" fontId="47" fillId="0" borderId="0" xfId="0" applyNumberFormat="1" applyFont="1" applyAlignment="1">
      <alignment wrapText="1" readingOrder="1"/>
    </xf>
    <xf numFmtId="0" fontId="47" fillId="0" borderId="0" xfId="0" applyFont="1" applyAlignment="1"/>
    <xf numFmtId="0" fontId="45" fillId="0" borderId="0" xfId="0" applyFont="1" applyAlignment="1"/>
    <xf numFmtId="0" fontId="45" fillId="0" borderId="0" xfId="0" applyFont="1" applyAlignment="1">
      <alignment horizontal="left" wrapText="1"/>
    </xf>
    <xf numFmtId="9" fontId="45" fillId="0" borderId="0" xfId="2" applyFont="1" applyAlignment="1"/>
    <xf numFmtId="9" fontId="47" fillId="0" borderId="0" xfId="2" applyFont="1" applyAlignment="1"/>
    <xf numFmtId="14" fontId="47" fillId="0" borderId="0" xfId="0" applyNumberFormat="1" applyFont="1" applyAlignment="1"/>
    <xf numFmtId="0" fontId="47" fillId="0" borderId="0" xfId="0" applyFont="1" applyAlignment="1">
      <alignment horizontal="left" wrapText="1"/>
    </xf>
    <xf numFmtId="9" fontId="47" fillId="0" borderId="0" xfId="2" applyFont="1" applyAlignment="1">
      <alignment wrapText="1" readingOrder="1"/>
    </xf>
    <xf numFmtId="0" fontId="4" fillId="0" borderId="0" xfId="0" applyFont="1"/>
    <xf numFmtId="0" fontId="0" fillId="16" borderId="0" xfId="0" applyFont="1" applyFill="1" applyAlignment="1"/>
    <xf numFmtId="9" fontId="0" fillId="16" borderId="0" xfId="2" applyFont="1" applyFill="1" applyAlignment="1"/>
    <xf numFmtId="0" fontId="35" fillId="16" borderId="0" xfId="0" applyFont="1" applyFill="1" applyAlignment="1"/>
    <xf numFmtId="0" fontId="0" fillId="0" borderId="10" xfId="0" quotePrefix="1" applyBorder="1" applyAlignment="1">
      <alignment horizontal="center"/>
    </xf>
    <xf numFmtId="9" fontId="35" fillId="0" borderId="9" xfId="0" applyNumberFormat="1" applyFont="1" applyBorder="1" applyAlignment="1">
      <alignment horizontal="center" vertical="center" wrapText="1"/>
    </xf>
    <xf numFmtId="9" fontId="0" fillId="0" borderId="10" xfId="2" quotePrefix="1" applyFont="1" applyBorder="1" applyAlignment="1">
      <alignment horizontal="center"/>
    </xf>
    <xf numFmtId="0" fontId="3" fillId="0" borderId="0" xfId="0" applyFont="1" applyAlignment="1">
      <alignment wrapText="1"/>
    </xf>
    <xf numFmtId="0" fontId="0" fillId="7" borderId="0" xfId="0" applyFill="1" applyBorder="1" applyAlignment="1">
      <alignment vertical="top" wrapText="1"/>
    </xf>
    <xf numFmtId="0" fontId="0" fillId="0" borderId="0" xfId="0" applyFont="1" applyAlignment="1">
      <alignment vertical="top"/>
    </xf>
    <xf numFmtId="0" fontId="9" fillId="7" borderId="0" xfId="0" applyFont="1" applyFill="1" applyBorder="1" applyAlignment="1">
      <alignment vertical="top" wrapText="1"/>
    </xf>
    <xf numFmtId="49" fontId="0" fillId="0" borderId="3" xfId="0" applyNumberFormat="1" applyFont="1" applyBorder="1" applyAlignment="1">
      <alignment horizontal="right"/>
    </xf>
    <xf numFmtId="49" fontId="0" fillId="0" borderId="23" xfId="0" applyNumberFormat="1" applyFont="1" applyBorder="1" applyAlignment="1">
      <alignment horizontal="right"/>
    </xf>
    <xf numFmtId="2" fontId="0" fillId="0" borderId="0" xfId="0" applyNumberFormat="1" applyAlignment="1">
      <alignment horizontal="center"/>
    </xf>
    <xf numFmtId="2" fontId="42" fillId="0" borderId="0" xfId="0" applyNumberFormat="1" applyFont="1"/>
    <xf numFmtId="0" fontId="43" fillId="0" borderId="24" xfId="0" applyFont="1" applyFill="1" applyBorder="1" applyAlignment="1">
      <alignment horizontal="left" vertical="top" wrapText="1"/>
    </xf>
    <xf numFmtId="0" fontId="44" fillId="0" borderId="27" xfId="0" applyFont="1" applyFill="1" applyBorder="1" applyAlignment="1">
      <alignment wrapText="1"/>
    </xf>
    <xf numFmtId="0" fontId="9" fillId="5" borderId="7" xfId="0" applyFont="1" applyFill="1" applyBorder="1" applyAlignment="1">
      <alignment vertical="center" wrapText="1"/>
    </xf>
    <xf numFmtId="0" fontId="0" fillId="5" borderId="7" xfId="0" applyFill="1" applyBorder="1" applyAlignment="1">
      <alignment vertical="center" wrapText="1"/>
    </xf>
    <xf numFmtId="0" fontId="0" fillId="8" borderId="7" xfId="0" applyFill="1" applyBorder="1" applyAlignment="1">
      <alignment vertical="center" wrapText="1"/>
    </xf>
    <xf numFmtId="0" fontId="0" fillId="7" borderId="7" xfId="0" applyFill="1" applyBorder="1" applyAlignment="1">
      <alignment vertical="center" wrapText="1"/>
    </xf>
    <xf numFmtId="0" fontId="0" fillId="5" borderId="33" xfId="0" applyFill="1" applyBorder="1" applyAlignment="1">
      <alignment vertical="center" wrapText="1"/>
    </xf>
    <xf numFmtId="0" fontId="43" fillId="0" borderId="26" xfId="0" quotePrefix="1" applyFont="1" applyFill="1" applyBorder="1" applyAlignment="1">
      <alignment horizontal="left" vertical="top" wrapText="1"/>
    </xf>
    <xf numFmtId="0" fontId="0" fillId="8" borderId="33" xfId="0" applyFill="1" applyBorder="1" applyAlignment="1">
      <alignment vertical="center" wrapText="1"/>
    </xf>
    <xf numFmtId="0" fontId="0" fillId="7" borderId="34" xfId="0" applyFill="1" applyBorder="1" applyAlignment="1">
      <alignment vertical="center" wrapText="1"/>
    </xf>
    <xf numFmtId="0" fontId="0" fillId="0" borderId="34" xfId="0" applyFont="1" applyBorder="1" applyAlignment="1"/>
    <xf numFmtId="0" fontId="0" fillId="0" borderId="7" xfId="0" applyFont="1" applyBorder="1" applyAlignment="1"/>
    <xf numFmtId="0" fontId="9" fillId="0" borderId="7" xfId="0" applyFont="1" applyBorder="1" applyAlignment="1"/>
    <xf numFmtId="0" fontId="0" fillId="0" borderId="24" xfId="0" applyFont="1" applyBorder="1" applyAlignment="1"/>
    <xf numFmtId="49" fontId="0" fillId="0" borderId="24" xfId="0" applyNumberFormat="1" applyFont="1" applyBorder="1" applyAlignment="1">
      <alignment horizontal="right"/>
    </xf>
    <xf numFmtId="0" fontId="0" fillId="0" borderId="35" xfId="0" applyFont="1" applyBorder="1" applyAlignment="1"/>
    <xf numFmtId="0" fontId="0" fillId="7" borderId="33" xfId="0" applyFill="1" applyBorder="1" applyAlignment="1">
      <alignment vertical="center" wrapText="1"/>
    </xf>
    <xf numFmtId="0" fontId="0" fillId="0" borderId="36" xfId="0" applyFont="1" applyBorder="1" applyAlignment="1"/>
    <xf numFmtId="0" fontId="35" fillId="0" borderId="37" xfId="0" applyFont="1" applyBorder="1" applyAlignment="1">
      <alignment wrapText="1"/>
    </xf>
    <xf numFmtId="0" fontId="47" fillId="0" borderId="0" xfId="0" applyFont="1" applyAlignment="1">
      <alignment horizontal="right"/>
    </xf>
    <xf numFmtId="14" fontId="47" fillId="0" borderId="0" xfId="0" applyNumberFormat="1" applyFont="1" applyAlignment="1">
      <alignment horizontal="right"/>
    </xf>
    <xf numFmtId="0" fontId="45" fillId="0" borderId="0" xfId="0" applyFont="1" applyAlignment="1">
      <alignment horizontal="left" vertical="top" wrapText="1"/>
    </xf>
    <xf numFmtId="9" fontId="0" fillId="0" borderId="0" xfId="2" applyFont="1"/>
    <xf numFmtId="0" fontId="0" fillId="0" borderId="0" xfId="0" applyFont="1" applyFill="1" applyBorder="1"/>
    <xf numFmtId="0" fontId="5" fillId="0" borderId="0" xfId="0" applyFont="1" applyFill="1"/>
    <xf numFmtId="0" fontId="2" fillId="0" borderId="0" xfId="0" applyFont="1" applyAlignment="1"/>
    <xf numFmtId="0" fontId="2" fillId="0" borderId="0" xfId="0" applyFont="1" applyAlignment="1">
      <alignment horizontal="center" vertical="center"/>
    </xf>
    <xf numFmtId="3" fontId="21" fillId="0" borderId="0" xfId="0" applyNumberFormat="1" applyFont="1" applyBorder="1" applyAlignment="1">
      <alignment horizontal="center" vertical="center"/>
    </xf>
    <xf numFmtId="0" fontId="48" fillId="0" borderId="1" xfId="0" applyFont="1" applyFill="1" applyBorder="1"/>
    <xf numFmtId="0" fontId="48" fillId="0" borderId="1" xfId="0" applyFont="1" applyFill="1" applyBorder="1" applyAlignment="1">
      <alignment wrapText="1"/>
    </xf>
    <xf numFmtId="0" fontId="40" fillId="0" borderId="1" xfId="0" applyFont="1" applyFill="1" applyBorder="1"/>
    <xf numFmtId="0" fontId="48" fillId="0" borderId="1" xfId="0" applyFont="1" applyBorder="1" applyAlignment="1"/>
    <xf numFmtId="0" fontId="1" fillId="0" borderId="0" xfId="3"/>
    <xf numFmtId="0" fontId="1" fillId="5" borderId="0" xfId="3" applyFill="1"/>
  </cellXfs>
  <cellStyles count="4">
    <cellStyle name="Hyperlink" xfId="1" builtinId="8"/>
    <cellStyle name="Normal" xfId="0" builtinId="0"/>
    <cellStyle name="Normal 2" xfId="3" xr:uid="{BE0AB191-5C75-4F07-8950-F0D7ADB157D1}"/>
    <cellStyle name="Percent" xfId="2" builtinId="5"/>
  </cellStyles>
  <dxfs count="76">
    <dxf>
      <font>
        <color rgb="FF9C0006"/>
      </font>
      <fill>
        <patternFill>
          <bgColor rgb="FFFFC7CE"/>
        </patternFill>
      </fill>
    </dxf>
    <dxf>
      <fill>
        <patternFill>
          <bgColor rgb="FFC00000"/>
        </patternFill>
      </fill>
    </dxf>
    <dxf>
      <font>
        <color rgb="FF9C0006"/>
      </font>
      <fill>
        <patternFill>
          <bgColor rgb="FFFFC7CE"/>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rgb="FF9C0006"/>
      </font>
      <fill>
        <patternFill>
          <bgColor rgb="FFFFC7CE"/>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rgb="FF9C0006"/>
      </font>
      <fill>
        <patternFill>
          <bgColor rgb="FFFFC7CE"/>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color rgb="FF9C0006"/>
      </font>
      <fill>
        <patternFill>
          <bgColor rgb="FFFFC7CE"/>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ill>
        <patternFill>
          <bgColor rgb="FFC00000"/>
        </patternFill>
      </fill>
    </dxf>
    <dxf>
      <fill>
        <patternFill>
          <bgColor rgb="FFC00000"/>
        </patternFill>
      </fill>
    </dxf>
  </dxfs>
  <tableStyles count="0" defaultTableStyle="TableStyleMedium2" defaultPivotStyle="PivotStyleLight16"/>
  <colors>
    <mruColors>
      <color rgb="FFFFF6DD"/>
      <color rgb="FF385723"/>
      <color rgb="FF000000"/>
      <color rgb="FF70AD47"/>
      <color rgb="FFFF7979"/>
      <color rgb="FFFDEEE3"/>
      <color rgb="FFDBDBDB"/>
      <color rgb="FFF2E8E2"/>
      <color rgb="FFBCBCBC"/>
      <color rgb="FFF092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1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6b)</a:t>
            </a:r>
            <a:r>
              <a:rPr lang="de-DE" b="1" baseline="0"/>
              <a:t> - Purpose ATV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clustered"/>
        <c:varyColors val="0"/>
        <c:ser>
          <c:idx val="2"/>
          <c:order val="2"/>
          <c:tx>
            <c:strRef>
              <c:f>'Summary per Company and Use Cas'!$A$73</c:f>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Cas'!$B$79:$J$79</c:f>
              <c:numCache>
                <c:formatCode>0%</c:formatCode>
                <c:ptCount val="9"/>
                <c:pt idx="0">
                  <c:v>0.27692307692307694</c:v>
                </c:pt>
                <c:pt idx="1">
                  <c:v>3.0769230769230771E-2</c:v>
                </c:pt>
                <c:pt idx="2">
                  <c:v>0.1076923076923077</c:v>
                </c:pt>
                <c:pt idx="3">
                  <c:v>4.6153846153846156E-2</c:v>
                </c:pt>
                <c:pt idx="4">
                  <c:v>0.29230769230769232</c:v>
                </c:pt>
                <c:pt idx="5">
                  <c:v>0.1076923076923077</c:v>
                </c:pt>
                <c:pt idx="6">
                  <c:v>0</c:v>
                </c:pt>
                <c:pt idx="7">
                  <c:v>1.5384615384615385E-2</c:v>
                </c:pt>
                <c:pt idx="8">
                  <c:v>0.12307692307692308</c:v>
                </c:pt>
              </c:numCache>
            </c:numRef>
          </c:val>
          <c:extLst>
            <c:ext xmlns:c16="http://schemas.microsoft.com/office/drawing/2014/chart" uri="{C3380CC4-5D6E-409C-BE32-E72D297353CC}">
              <c16:uniqueId val="{00000000-7110-44A7-A3EF-CC411ADF3807}"/>
            </c:ext>
          </c:extLst>
        </c:ser>
        <c:ser>
          <c:idx val="3"/>
          <c:order val="3"/>
          <c:tx>
            <c:strRef>
              <c:f>'Summary per Company and Use Cas'!$A$83</c:f>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Cas'!$B$89:$J$89</c:f>
              <c:numCache>
                <c:formatCode>0%</c:formatCode>
                <c:ptCount val="9"/>
                <c:pt idx="0">
                  <c:v>6.8965517241379309E-2</c:v>
                </c:pt>
                <c:pt idx="1">
                  <c:v>0</c:v>
                </c:pt>
                <c:pt idx="2">
                  <c:v>0.68965517241379315</c:v>
                </c:pt>
                <c:pt idx="3">
                  <c:v>3.4482758620689655E-2</c:v>
                </c:pt>
                <c:pt idx="4">
                  <c:v>3.4482758620689655E-2</c:v>
                </c:pt>
                <c:pt idx="5">
                  <c:v>0.13793103448275862</c:v>
                </c:pt>
                <c:pt idx="6">
                  <c:v>0</c:v>
                </c:pt>
                <c:pt idx="7">
                  <c:v>3.4482758620689655E-2</c:v>
                </c:pt>
                <c:pt idx="8">
                  <c:v>0</c:v>
                </c:pt>
              </c:numCache>
            </c:numRef>
          </c:val>
          <c:extLst>
            <c:ext xmlns:c16="http://schemas.microsoft.com/office/drawing/2014/chart" uri="{C3380CC4-5D6E-409C-BE32-E72D297353CC}">
              <c16:uniqueId val="{00000001-7110-44A7-A3EF-CC411ADF3807}"/>
            </c:ext>
          </c:extLst>
        </c:ser>
        <c:dLbls>
          <c:showLegendKey val="0"/>
          <c:showVal val="0"/>
          <c:showCatName val="0"/>
          <c:showSerName val="0"/>
          <c:showPercent val="0"/>
          <c:showBubbleSize val="0"/>
        </c:dLbls>
        <c:gapWidth val="150"/>
        <c:axId val="2059627136"/>
        <c:axId val="2059627552"/>
        <c:extLst>
          <c:ext xmlns:c15="http://schemas.microsoft.com/office/drawing/2012/chart" uri="{02D57815-91ED-43cb-92C2-25804820EDAC}">
            <c15:filteredBarSeries>
              <c15:ser>
                <c:idx val="0"/>
                <c:order val="0"/>
                <c:tx>
                  <c:strRef>
                    <c:extLst>
                      <c:ext uri="{02D57815-91ED-43cb-92C2-25804820EDAC}">
                        <c15:formulaRef>
                          <c15:sqref>'Summary per Company and Use Cas'!$A$53</c15:sqref>
                        </c15:formulaRef>
                      </c:ext>
                    </c:extLst>
                    <c:strCache>
                      <c:ptCount val="1"/>
                      <c:pt idx="0">
                        <c:v>Ridepooling</c:v>
                      </c:pt>
                    </c:strCache>
                  </c:strRef>
                </c:tx>
                <c:spPr>
                  <a:solidFill>
                    <a:schemeClr val="accent6">
                      <a:lumMod val="50000"/>
                    </a:schemeClr>
                  </a:solidFill>
                  <a:ln>
                    <a:noFill/>
                  </a:ln>
                  <a:effectLst/>
                </c:spPr>
                <c:invertIfNegative val="0"/>
                <c:cat>
                  <c:strRef>
                    <c:extLst>
                      <c:ex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c:ext uri="{02D57815-91ED-43cb-92C2-25804820EDAC}">
                        <c15:formulaRef>
                          <c15:sqref>'Summary per Company and Use Cas'!$B$59:$J$59</c15:sqref>
                        </c15:formulaRef>
                      </c:ext>
                    </c:extLst>
                    <c:numCache>
                      <c:formatCode>0%</c:formatCode>
                      <c:ptCount val="9"/>
                      <c:pt idx="0">
                        <c:v>0.30882352941176472</c:v>
                      </c:pt>
                      <c:pt idx="1">
                        <c:v>7.3529411764705885E-2</c:v>
                      </c:pt>
                      <c:pt idx="2">
                        <c:v>0.26470588235294118</c:v>
                      </c:pt>
                      <c:pt idx="3">
                        <c:v>5.8823529411764705E-2</c:v>
                      </c:pt>
                      <c:pt idx="4">
                        <c:v>1.4705882352941176E-2</c:v>
                      </c:pt>
                      <c:pt idx="5">
                        <c:v>0.17647058823529413</c:v>
                      </c:pt>
                      <c:pt idx="6">
                        <c:v>4.4117647058823532E-2</c:v>
                      </c:pt>
                      <c:pt idx="7">
                        <c:v>2.9411764705882353E-2</c:v>
                      </c:pt>
                      <c:pt idx="8">
                        <c:v>2.9411764705882353E-2</c:v>
                      </c:pt>
                    </c:numCache>
                  </c:numRef>
                </c:val>
                <c:extLst>
                  <c:ext xmlns:c16="http://schemas.microsoft.com/office/drawing/2014/chart" uri="{C3380CC4-5D6E-409C-BE32-E72D297353CC}">
                    <c16:uniqueId val="{00000002-7110-44A7-A3EF-CC411ADF3807}"/>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'Summary per Company and Use Cas'!$A$63</c15:sqref>
                        </c15:formulaRef>
                      </c:ext>
                    </c:extLst>
                    <c:strCache>
                      <c:ptCount val="1"/>
                      <c:pt idx="0">
                        <c:v>Ridehailing</c:v>
                      </c:pt>
                    </c:strCache>
                  </c:strRef>
                </c:tx>
                <c:spPr>
                  <a:solidFill>
                    <a:schemeClr val="accent6"/>
                  </a:solidFill>
                  <a:ln>
                    <a:noFill/>
                  </a:ln>
                  <a:effectLst/>
                </c:spPr>
                <c:invertIfNegative val="0"/>
                <c:cat>
                  <c:strRef>
                    <c:extLst xmlns:c15="http://schemas.microsoft.com/office/drawing/2012/chart">
                      <c:ext xmlns:c15="http://schemas.microsoft.com/office/drawing/2012/char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xmlns:c15="http://schemas.microsoft.com/office/drawing/2012/chart">
                      <c:ext xmlns:c15="http://schemas.microsoft.com/office/drawing/2012/chart" uri="{02D57815-91ED-43cb-92C2-25804820EDAC}">
                        <c15:formulaRef>
                          <c15:sqref>'Summary per Company and Use Cas'!$B$69:$J$69</c15:sqref>
                        </c15:formulaRef>
                      </c:ext>
                    </c:extLst>
                    <c:numCache>
                      <c:formatCode>0%</c:formatCode>
                      <c:ptCount val="9"/>
                      <c:pt idx="0">
                        <c:v>0.35483870967741937</c:v>
                      </c:pt>
                      <c:pt idx="1">
                        <c:v>0</c:v>
                      </c:pt>
                      <c:pt idx="2">
                        <c:v>0.12903225806451613</c:v>
                      </c:pt>
                      <c:pt idx="3">
                        <c:v>0</c:v>
                      </c:pt>
                      <c:pt idx="4">
                        <c:v>9.6774193548387094E-2</c:v>
                      </c:pt>
                      <c:pt idx="5">
                        <c:v>0.25806451612903225</c:v>
                      </c:pt>
                      <c:pt idx="6">
                        <c:v>0</c:v>
                      </c:pt>
                      <c:pt idx="7">
                        <c:v>0</c:v>
                      </c:pt>
                      <c:pt idx="8">
                        <c:v>0.16129032258064516</c:v>
                      </c:pt>
                    </c:numCache>
                  </c:numRef>
                </c:val>
                <c:extLst xmlns:c15="http://schemas.microsoft.com/office/drawing/2012/chart">
                  <c:ext xmlns:c16="http://schemas.microsoft.com/office/drawing/2014/chart" uri="{C3380CC4-5D6E-409C-BE32-E72D297353CC}">
                    <c16:uniqueId val="{00000003-7110-44A7-A3EF-CC411ADF3807}"/>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6c) - </a:t>
            </a:r>
            <a:r>
              <a:rPr lang="de-DE" b="1" baseline="0"/>
              <a:t> Structure ATV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7.1362663112419275E-2"/>
          <c:y val="0.10411099196735543"/>
          <c:w val="0.92863733688758077"/>
          <c:h val="0.6557861878588076"/>
        </c:manualLayout>
      </c:layout>
      <c:barChart>
        <c:barDir val="col"/>
        <c:grouping val="clustered"/>
        <c:varyColors val="0"/>
        <c:ser>
          <c:idx val="2"/>
          <c:order val="2"/>
          <c:tx>
            <c:strRef>
              <c:f>'Summary per Company and Use Cas'!$A$73</c:f>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Cas'!$M$79:$S$79</c:f>
              <c:numCache>
                <c:formatCode>0%</c:formatCode>
                <c:ptCount val="7"/>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0-4830-43DB-915D-19710C1F7BB1}"/>
            </c:ext>
          </c:extLst>
        </c:ser>
        <c:ser>
          <c:idx val="3"/>
          <c:order val="3"/>
          <c:tx>
            <c:strRef>
              <c:f>'Summary per Company and Use Cas'!$A$83</c:f>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Cas'!$M$89:$S$89</c:f>
              <c:numCache>
                <c:formatCode>0%</c:formatCode>
                <c:ptCount val="7"/>
                <c:pt idx="0">
                  <c:v>3.7037037037037035E-2</c:v>
                </c:pt>
                <c:pt idx="1">
                  <c:v>0.66666666666666663</c:v>
                </c:pt>
                <c:pt idx="2">
                  <c:v>3.7037037037037035E-2</c:v>
                </c:pt>
                <c:pt idx="3">
                  <c:v>0.14814814814814814</c:v>
                </c:pt>
                <c:pt idx="4">
                  <c:v>3.7037037037037035E-2</c:v>
                </c:pt>
                <c:pt idx="5">
                  <c:v>7.407407407407407E-2</c:v>
                </c:pt>
                <c:pt idx="6">
                  <c:v>0</c:v>
                </c:pt>
              </c:numCache>
            </c:numRef>
          </c:val>
          <c:extLst>
            <c:ext xmlns:c16="http://schemas.microsoft.com/office/drawing/2014/chart" uri="{C3380CC4-5D6E-409C-BE32-E72D297353CC}">
              <c16:uniqueId val="{00000001-4830-43DB-915D-19710C1F7BB1}"/>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0"/>
                <c:order val="0"/>
                <c:tx>
                  <c:strRef>
                    <c:extLst>
                      <c:ext uri="{02D57815-91ED-43cb-92C2-25804820EDAC}">
                        <c15:formulaRef>
                          <c15:sqref>'Summary per Company and Use Cas'!$A$53</c15:sqref>
                        </c15:formulaRef>
                      </c:ext>
                    </c:extLst>
                    <c:strCache>
                      <c:ptCount val="1"/>
                      <c:pt idx="0">
                        <c:v>Ridepooling</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c:ext uri="{02D57815-91ED-43cb-92C2-25804820EDAC}">
                        <c15:formulaRef>
                          <c15:sqref>'Summary per Company and Use Cas'!$M$59:$S$59</c15:sqref>
                        </c15:formulaRef>
                      </c:ext>
                    </c:extLst>
                    <c:numCache>
                      <c:formatCode>0%</c:formatCode>
                      <c:ptCount val="7"/>
                      <c:pt idx="0">
                        <c:v>3.3898305084745763E-2</c:v>
                      </c:pt>
                      <c:pt idx="1">
                        <c:v>0.50847457627118642</c:v>
                      </c:pt>
                      <c:pt idx="2">
                        <c:v>0.16949152542372881</c:v>
                      </c:pt>
                      <c:pt idx="3">
                        <c:v>0.23728813559322035</c:v>
                      </c:pt>
                      <c:pt idx="4">
                        <c:v>1.6949152542372881E-2</c:v>
                      </c:pt>
                      <c:pt idx="5">
                        <c:v>1.6949152542372881E-2</c:v>
                      </c:pt>
                      <c:pt idx="6">
                        <c:v>1.6949152542372881E-2</c:v>
                      </c:pt>
                    </c:numCache>
                  </c:numRef>
                </c:val>
                <c:extLst>
                  <c:ext xmlns:c16="http://schemas.microsoft.com/office/drawing/2014/chart" uri="{C3380CC4-5D6E-409C-BE32-E72D297353CC}">
                    <c16:uniqueId val="{00000002-4830-43DB-915D-19710C1F7BB1}"/>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'Summary per Company and Use Cas'!$A$63</c15:sqref>
                        </c15:formulaRef>
                      </c:ext>
                    </c:extLst>
                    <c:strCache>
                      <c:ptCount val="1"/>
                      <c:pt idx="0">
                        <c:v>Ridehailing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xmlns:c15="http://schemas.microsoft.com/office/drawing/2012/chart">
                      <c:ext xmlns:c15="http://schemas.microsoft.com/office/drawing/2012/chart" uri="{02D57815-91ED-43cb-92C2-25804820EDAC}">
                        <c15:formulaRef>
                          <c15:sqref>'Summary per Company and Use Cas'!$M$69:$S$69</c15:sqref>
                        </c15:formulaRef>
                      </c:ext>
                    </c:extLst>
                    <c:numCache>
                      <c:formatCode>0%</c:formatCode>
                      <c:ptCount val="7"/>
                      <c:pt idx="0">
                        <c:v>0</c:v>
                      </c:pt>
                      <c:pt idx="1">
                        <c:v>0.58333333333333337</c:v>
                      </c:pt>
                      <c:pt idx="2">
                        <c:v>4.1666666666666664E-2</c:v>
                      </c:pt>
                      <c:pt idx="3">
                        <c:v>8.3333333333333329E-2</c:v>
                      </c:pt>
                      <c:pt idx="4">
                        <c:v>0.125</c:v>
                      </c:pt>
                      <c:pt idx="5">
                        <c:v>8.3333333333333329E-2</c:v>
                      </c:pt>
                      <c:pt idx="6">
                        <c:v>8.3333333333333329E-2</c:v>
                      </c:pt>
                    </c:numCache>
                  </c:numRef>
                </c:val>
                <c:extLst xmlns:c15="http://schemas.microsoft.com/office/drawing/2012/chart">
                  <c:ext xmlns:c16="http://schemas.microsoft.com/office/drawing/2014/chart" uri="{C3380CC4-5D6E-409C-BE32-E72D297353CC}">
                    <c16:uniqueId val="{00000003-4830-43DB-915D-19710C1F7BB1}"/>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max val="0.70000000000000007"/>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Ridehailing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Cas'!$V$64:$V$67</c:f>
              <c:numCache>
                <c:formatCode>0%</c:formatCode>
                <c:ptCount val="4"/>
                <c:pt idx="0">
                  <c:v>0.37931034482758619</c:v>
                </c:pt>
                <c:pt idx="1">
                  <c:v>0</c:v>
                </c:pt>
                <c:pt idx="2">
                  <c:v>0</c:v>
                </c:pt>
                <c:pt idx="3">
                  <c:v>0</c:v>
                </c:pt>
              </c:numCache>
            </c:numRef>
          </c:val>
          <c:extLst>
            <c:ext xmlns:c16="http://schemas.microsoft.com/office/drawing/2014/chart" uri="{C3380CC4-5D6E-409C-BE32-E72D297353CC}">
              <c16:uniqueId val="{00000000-955C-4A1A-B0F3-D924C1F6B8B3}"/>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Cas'!$W$64:$W$67</c:f>
              <c:numCache>
                <c:formatCode>0%</c:formatCode>
                <c:ptCount val="4"/>
                <c:pt idx="0">
                  <c:v>0</c:v>
                </c:pt>
                <c:pt idx="1">
                  <c:v>0</c:v>
                </c:pt>
                <c:pt idx="2">
                  <c:v>0</c:v>
                </c:pt>
                <c:pt idx="3">
                  <c:v>0</c:v>
                </c:pt>
              </c:numCache>
            </c:numRef>
          </c:val>
          <c:extLst>
            <c:ext xmlns:c16="http://schemas.microsoft.com/office/drawing/2014/chart" uri="{C3380CC4-5D6E-409C-BE32-E72D297353CC}">
              <c16:uniqueId val="{00000001-955C-4A1A-B0F3-D924C1F6B8B3}"/>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Cas'!$X$64:$X$67</c:f>
              <c:numCache>
                <c:formatCode>0%</c:formatCode>
                <c:ptCount val="4"/>
                <c:pt idx="0">
                  <c:v>0.13793103448275862</c:v>
                </c:pt>
                <c:pt idx="1">
                  <c:v>0</c:v>
                </c:pt>
                <c:pt idx="2">
                  <c:v>0</c:v>
                </c:pt>
                <c:pt idx="3">
                  <c:v>0</c:v>
                </c:pt>
              </c:numCache>
            </c:numRef>
          </c:val>
          <c:extLst>
            <c:ext xmlns:c16="http://schemas.microsoft.com/office/drawing/2014/chart" uri="{C3380CC4-5D6E-409C-BE32-E72D297353CC}">
              <c16:uniqueId val="{00000002-955C-4A1A-B0F3-D924C1F6B8B3}"/>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Cas'!$Y$64:$Y$67</c:f>
              <c:numCache>
                <c:formatCode>0%</c:formatCode>
                <c:ptCount val="4"/>
                <c:pt idx="0">
                  <c:v>0</c:v>
                </c:pt>
                <c:pt idx="1">
                  <c:v>0</c:v>
                </c:pt>
                <c:pt idx="2">
                  <c:v>0</c:v>
                </c:pt>
                <c:pt idx="3">
                  <c:v>0</c:v>
                </c:pt>
              </c:numCache>
            </c:numRef>
          </c:val>
          <c:extLst>
            <c:ext xmlns:c16="http://schemas.microsoft.com/office/drawing/2014/chart" uri="{C3380CC4-5D6E-409C-BE32-E72D297353CC}">
              <c16:uniqueId val="{00000003-955C-4A1A-B0F3-D924C1F6B8B3}"/>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Cas'!$Z$64:$Z$67</c:f>
              <c:numCache>
                <c:formatCode>0%</c:formatCode>
                <c:ptCount val="4"/>
                <c:pt idx="0">
                  <c:v>6.8965517241379309E-2</c:v>
                </c:pt>
                <c:pt idx="1">
                  <c:v>0</c:v>
                </c:pt>
                <c:pt idx="2">
                  <c:v>0</c:v>
                </c:pt>
                <c:pt idx="3">
                  <c:v>0.5</c:v>
                </c:pt>
              </c:numCache>
            </c:numRef>
          </c:val>
          <c:extLst>
            <c:ext xmlns:c16="http://schemas.microsoft.com/office/drawing/2014/chart" uri="{C3380CC4-5D6E-409C-BE32-E72D297353CC}">
              <c16:uniqueId val="{00000004-955C-4A1A-B0F3-D924C1F6B8B3}"/>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Cas'!$AA$64:$AA$67</c:f>
              <c:numCache>
                <c:formatCode>0%</c:formatCode>
                <c:ptCount val="4"/>
                <c:pt idx="0">
                  <c:v>0.27586206896551724</c:v>
                </c:pt>
                <c:pt idx="1">
                  <c:v>0</c:v>
                </c:pt>
                <c:pt idx="2">
                  <c:v>0</c:v>
                </c:pt>
                <c:pt idx="3">
                  <c:v>0</c:v>
                </c:pt>
              </c:numCache>
            </c:numRef>
          </c:val>
          <c:extLst>
            <c:ext xmlns:c16="http://schemas.microsoft.com/office/drawing/2014/chart" uri="{C3380CC4-5D6E-409C-BE32-E72D297353CC}">
              <c16:uniqueId val="{00000005-955C-4A1A-B0F3-D924C1F6B8B3}"/>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Cas'!$AB$64:$AB$67</c:f>
              <c:numCache>
                <c:formatCode>0%</c:formatCode>
                <c:ptCount val="4"/>
                <c:pt idx="0">
                  <c:v>0</c:v>
                </c:pt>
                <c:pt idx="1">
                  <c:v>0</c:v>
                </c:pt>
                <c:pt idx="2">
                  <c:v>0</c:v>
                </c:pt>
                <c:pt idx="3">
                  <c:v>0</c:v>
                </c:pt>
              </c:numCache>
            </c:numRef>
          </c:val>
          <c:extLst>
            <c:ext xmlns:c16="http://schemas.microsoft.com/office/drawing/2014/chart" uri="{C3380CC4-5D6E-409C-BE32-E72D297353CC}">
              <c16:uniqueId val="{00000006-955C-4A1A-B0F3-D924C1F6B8B3}"/>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Cas'!$AC$64:$AC$67</c:f>
              <c:numCache>
                <c:formatCode>0%</c:formatCode>
                <c:ptCount val="4"/>
                <c:pt idx="0">
                  <c:v>0</c:v>
                </c:pt>
                <c:pt idx="1">
                  <c:v>0</c:v>
                </c:pt>
                <c:pt idx="2">
                  <c:v>0</c:v>
                </c:pt>
                <c:pt idx="3">
                  <c:v>0</c:v>
                </c:pt>
              </c:numCache>
            </c:numRef>
          </c:val>
          <c:extLst>
            <c:ext xmlns:c16="http://schemas.microsoft.com/office/drawing/2014/chart" uri="{C3380CC4-5D6E-409C-BE32-E72D297353CC}">
              <c16:uniqueId val="{00000007-955C-4A1A-B0F3-D924C1F6B8B3}"/>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Cas'!$AD$64:$AD$67</c:f>
              <c:numCache>
                <c:formatCode>0%</c:formatCode>
                <c:ptCount val="4"/>
                <c:pt idx="0">
                  <c:v>0.13793103448275862</c:v>
                </c:pt>
                <c:pt idx="1">
                  <c:v>0</c:v>
                </c:pt>
                <c:pt idx="2">
                  <c:v>0</c:v>
                </c:pt>
                <c:pt idx="3">
                  <c:v>0.5</c:v>
                </c:pt>
              </c:numCache>
            </c:numRef>
          </c:val>
          <c:extLst>
            <c:ext xmlns:c16="http://schemas.microsoft.com/office/drawing/2014/chart" uri="{C3380CC4-5D6E-409C-BE32-E72D297353CC}">
              <c16:uniqueId val="{00000008-955C-4A1A-B0F3-D924C1F6B8B3}"/>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egendEntry>
        <c:idx val="1"/>
        <c:delete val="1"/>
      </c:legendEntry>
      <c:legendEntry>
        <c:idx val="5"/>
        <c:delete val="1"/>
      </c:legendEntry>
      <c:legendEntry>
        <c:idx val="7"/>
        <c:delete val="1"/>
      </c:legendEntry>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Ridepooling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Cas'!$V$54:$V$57</c:f>
              <c:numCache>
                <c:formatCode>0%</c:formatCode>
                <c:ptCount val="4"/>
                <c:pt idx="0">
                  <c:v>0.5</c:v>
                </c:pt>
                <c:pt idx="1">
                  <c:v>0.2</c:v>
                </c:pt>
                <c:pt idx="2">
                  <c:v>7.6923076923076927E-2</c:v>
                </c:pt>
                <c:pt idx="3">
                  <c:v>0.5</c:v>
                </c:pt>
              </c:numCache>
            </c:numRef>
          </c:val>
          <c:extLst>
            <c:ext xmlns:c16="http://schemas.microsoft.com/office/drawing/2014/chart" uri="{C3380CC4-5D6E-409C-BE32-E72D297353CC}">
              <c16:uniqueId val="{00000000-A0E0-4FAE-9431-96C73D873CFE}"/>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Cas'!$W$54:$W$57</c:f>
              <c:numCache>
                <c:formatCode>0%</c:formatCode>
                <c:ptCount val="4"/>
                <c:pt idx="0">
                  <c:v>3.5714285714285712E-2</c:v>
                </c:pt>
                <c:pt idx="1">
                  <c:v>0.16</c:v>
                </c:pt>
                <c:pt idx="2">
                  <c:v>0</c:v>
                </c:pt>
                <c:pt idx="3">
                  <c:v>0</c:v>
                </c:pt>
              </c:numCache>
            </c:numRef>
          </c:val>
          <c:extLst>
            <c:ext xmlns:c16="http://schemas.microsoft.com/office/drawing/2014/chart" uri="{C3380CC4-5D6E-409C-BE32-E72D297353CC}">
              <c16:uniqueId val="{00000001-A0E0-4FAE-9431-96C73D873CFE}"/>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Cas'!$X$54:$X$57</c:f>
              <c:numCache>
                <c:formatCode>0%</c:formatCode>
                <c:ptCount val="4"/>
                <c:pt idx="0">
                  <c:v>0.14285714285714285</c:v>
                </c:pt>
                <c:pt idx="1">
                  <c:v>0.2</c:v>
                </c:pt>
                <c:pt idx="2">
                  <c:v>0.61538461538461542</c:v>
                </c:pt>
                <c:pt idx="3">
                  <c:v>0.5</c:v>
                </c:pt>
              </c:numCache>
            </c:numRef>
          </c:val>
          <c:extLst>
            <c:ext xmlns:c16="http://schemas.microsoft.com/office/drawing/2014/chart" uri="{C3380CC4-5D6E-409C-BE32-E72D297353CC}">
              <c16:uniqueId val="{00000002-A0E0-4FAE-9431-96C73D873CFE}"/>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Cas'!$Y$54:$Y$57</c:f>
              <c:numCache>
                <c:formatCode>0%</c:formatCode>
                <c:ptCount val="4"/>
                <c:pt idx="0">
                  <c:v>0.10714285714285714</c:v>
                </c:pt>
                <c:pt idx="1">
                  <c:v>0.04</c:v>
                </c:pt>
                <c:pt idx="2">
                  <c:v>0</c:v>
                </c:pt>
                <c:pt idx="3">
                  <c:v>0</c:v>
                </c:pt>
              </c:numCache>
            </c:numRef>
          </c:val>
          <c:extLst>
            <c:ext xmlns:c16="http://schemas.microsoft.com/office/drawing/2014/chart" uri="{C3380CC4-5D6E-409C-BE32-E72D297353CC}">
              <c16:uniqueId val="{00000003-A0E0-4FAE-9431-96C73D873CFE}"/>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Cas'!$Z$54:$Z$57</c:f>
              <c:numCache>
                <c:formatCode>0%</c:formatCode>
                <c:ptCount val="4"/>
                <c:pt idx="0">
                  <c:v>3.5714285714285712E-2</c:v>
                </c:pt>
                <c:pt idx="1">
                  <c:v>0</c:v>
                </c:pt>
                <c:pt idx="2">
                  <c:v>0</c:v>
                </c:pt>
                <c:pt idx="3">
                  <c:v>0</c:v>
                </c:pt>
              </c:numCache>
            </c:numRef>
          </c:val>
          <c:extLst>
            <c:ext xmlns:c16="http://schemas.microsoft.com/office/drawing/2014/chart" uri="{C3380CC4-5D6E-409C-BE32-E72D297353CC}">
              <c16:uniqueId val="{00000004-A0E0-4FAE-9431-96C73D873CFE}"/>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Cas'!$AA$54:$AA$57</c:f>
              <c:numCache>
                <c:formatCode>0%</c:formatCode>
                <c:ptCount val="4"/>
                <c:pt idx="0">
                  <c:v>0.14285714285714285</c:v>
                </c:pt>
                <c:pt idx="1">
                  <c:v>0.2</c:v>
                </c:pt>
                <c:pt idx="2">
                  <c:v>0.23076923076923078</c:v>
                </c:pt>
                <c:pt idx="3">
                  <c:v>0</c:v>
                </c:pt>
              </c:numCache>
            </c:numRef>
          </c:val>
          <c:extLst>
            <c:ext xmlns:c16="http://schemas.microsoft.com/office/drawing/2014/chart" uri="{C3380CC4-5D6E-409C-BE32-E72D297353CC}">
              <c16:uniqueId val="{00000005-A0E0-4FAE-9431-96C73D873CFE}"/>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Cas'!$AB$54:$AB$57</c:f>
              <c:numCache>
                <c:formatCode>0%</c:formatCode>
                <c:ptCount val="4"/>
                <c:pt idx="0">
                  <c:v>3.5714285714285712E-2</c:v>
                </c:pt>
                <c:pt idx="1">
                  <c:v>0.04</c:v>
                </c:pt>
                <c:pt idx="2">
                  <c:v>7.6923076923076927E-2</c:v>
                </c:pt>
                <c:pt idx="3">
                  <c:v>0</c:v>
                </c:pt>
              </c:numCache>
            </c:numRef>
          </c:val>
          <c:extLst>
            <c:ext xmlns:c16="http://schemas.microsoft.com/office/drawing/2014/chart" uri="{C3380CC4-5D6E-409C-BE32-E72D297353CC}">
              <c16:uniqueId val="{00000006-A0E0-4FAE-9431-96C73D873CFE}"/>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Cas'!$AC$54:$AC$57</c:f>
              <c:numCache>
                <c:formatCode>0%</c:formatCode>
                <c:ptCount val="4"/>
                <c:pt idx="0">
                  <c:v>0</c:v>
                </c:pt>
                <c:pt idx="1">
                  <c:v>0.08</c:v>
                </c:pt>
                <c:pt idx="2">
                  <c:v>0</c:v>
                </c:pt>
                <c:pt idx="3">
                  <c:v>0</c:v>
                </c:pt>
              </c:numCache>
            </c:numRef>
          </c:val>
          <c:extLst>
            <c:ext xmlns:c16="http://schemas.microsoft.com/office/drawing/2014/chart" uri="{C3380CC4-5D6E-409C-BE32-E72D297353CC}">
              <c16:uniqueId val="{00000007-A0E0-4FAE-9431-96C73D873CFE}"/>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Cas'!$AD$54:$AD$57</c:f>
              <c:numCache>
                <c:formatCode>0%</c:formatCode>
                <c:ptCount val="4"/>
                <c:pt idx="0">
                  <c:v>0</c:v>
                </c:pt>
                <c:pt idx="1">
                  <c:v>0.08</c:v>
                </c:pt>
                <c:pt idx="2">
                  <c:v>0</c:v>
                </c:pt>
                <c:pt idx="3">
                  <c:v>0</c:v>
                </c:pt>
              </c:numCache>
            </c:numRef>
          </c:val>
          <c:extLst>
            <c:ext xmlns:c16="http://schemas.microsoft.com/office/drawing/2014/chart" uri="{C3380CC4-5D6E-409C-BE32-E72D297353CC}">
              <c16:uniqueId val="{00000008-A0E0-4FAE-9431-96C73D873CFE}"/>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Trucking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Cas'!$V$74:$V$77</c:f>
              <c:numCache>
                <c:formatCode>0%</c:formatCode>
                <c:ptCount val="4"/>
                <c:pt idx="0">
                  <c:v>0.33333333333333331</c:v>
                </c:pt>
                <c:pt idx="1">
                  <c:v>0.17647058823529413</c:v>
                </c:pt>
                <c:pt idx="2">
                  <c:v>0</c:v>
                </c:pt>
                <c:pt idx="3">
                  <c:v>0</c:v>
                </c:pt>
              </c:numCache>
            </c:numRef>
          </c:val>
          <c:extLst>
            <c:ext xmlns:c16="http://schemas.microsoft.com/office/drawing/2014/chart" uri="{C3380CC4-5D6E-409C-BE32-E72D297353CC}">
              <c16:uniqueId val="{00000000-77A4-4EF5-BADF-82D398142E05}"/>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Cas'!$W$74:$W$77</c:f>
              <c:numCache>
                <c:formatCode>0%</c:formatCode>
                <c:ptCount val="4"/>
                <c:pt idx="0">
                  <c:v>4.4444444444444446E-2</c:v>
                </c:pt>
                <c:pt idx="1">
                  <c:v>0</c:v>
                </c:pt>
                <c:pt idx="2">
                  <c:v>0</c:v>
                </c:pt>
                <c:pt idx="3">
                  <c:v>0</c:v>
                </c:pt>
              </c:numCache>
            </c:numRef>
          </c:val>
          <c:extLst>
            <c:ext xmlns:c16="http://schemas.microsoft.com/office/drawing/2014/chart" uri="{C3380CC4-5D6E-409C-BE32-E72D297353CC}">
              <c16:uniqueId val="{00000001-77A4-4EF5-BADF-82D398142E05}"/>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Cas'!$X$74:$X$77</c:f>
              <c:numCache>
                <c:formatCode>0%</c:formatCode>
                <c:ptCount val="4"/>
                <c:pt idx="0">
                  <c:v>0.1111111111111111</c:v>
                </c:pt>
                <c:pt idx="1">
                  <c:v>0</c:v>
                </c:pt>
                <c:pt idx="2">
                  <c:v>0</c:v>
                </c:pt>
                <c:pt idx="3">
                  <c:v>0.66666666666666663</c:v>
                </c:pt>
              </c:numCache>
            </c:numRef>
          </c:val>
          <c:extLst>
            <c:ext xmlns:c16="http://schemas.microsoft.com/office/drawing/2014/chart" uri="{C3380CC4-5D6E-409C-BE32-E72D297353CC}">
              <c16:uniqueId val="{00000002-77A4-4EF5-BADF-82D398142E05}"/>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Cas'!$Y$74:$Y$77</c:f>
              <c:numCache>
                <c:formatCode>0%</c:formatCode>
                <c:ptCount val="4"/>
                <c:pt idx="0">
                  <c:v>4.4444444444444446E-2</c:v>
                </c:pt>
                <c:pt idx="1">
                  <c:v>5.8823529411764705E-2</c:v>
                </c:pt>
                <c:pt idx="2">
                  <c:v>0</c:v>
                </c:pt>
                <c:pt idx="3">
                  <c:v>0</c:v>
                </c:pt>
              </c:numCache>
            </c:numRef>
          </c:val>
          <c:extLst>
            <c:ext xmlns:c16="http://schemas.microsoft.com/office/drawing/2014/chart" uri="{C3380CC4-5D6E-409C-BE32-E72D297353CC}">
              <c16:uniqueId val="{00000003-77A4-4EF5-BADF-82D398142E05}"/>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Cas'!$Z$74:$Z$77</c:f>
              <c:numCache>
                <c:formatCode>0%</c:formatCode>
                <c:ptCount val="4"/>
                <c:pt idx="0">
                  <c:v>0.17777777777777778</c:v>
                </c:pt>
                <c:pt idx="1">
                  <c:v>0.58823529411764708</c:v>
                </c:pt>
                <c:pt idx="2">
                  <c:v>0</c:v>
                </c:pt>
                <c:pt idx="3">
                  <c:v>0.33333333333333331</c:v>
                </c:pt>
              </c:numCache>
            </c:numRef>
          </c:val>
          <c:extLst>
            <c:ext xmlns:c16="http://schemas.microsoft.com/office/drawing/2014/chart" uri="{C3380CC4-5D6E-409C-BE32-E72D297353CC}">
              <c16:uniqueId val="{00000004-77A4-4EF5-BADF-82D398142E05}"/>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Cas'!$AA$74:$AA$77</c:f>
              <c:numCache>
                <c:formatCode>0%</c:formatCode>
                <c:ptCount val="4"/>
                <c:pt idx="0">
                  <c:v>0.15555555555555556</c:v>
                </c:pt>
                <c:pt idx="1">
                  <c:v>0</c:v>
                </c:pt>
                <c:pt idx="2">
                  <c:v>0</c:v>
                </c:pt>
                <c:pt idx="3">
                  <c:v>0</c:v>
                </c:pt>
              </c:numCache>
            </c:numRef>
          </c:val>
          <c:extLst>
            <c:ext xmlns:c16="http://schemas.microsoft.com/office/drawing/2014/chart" uri="{C3380CC4-5D6E-409C-BE32-E72D297353CC}">
              <c16:uniqueId val="{00000005-77A4-4EF5-BADF-82D398142E05}"/>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Cas'!$AB$74:$AB$77</c:f>
              <c:numCache>
                <c:formatCode>0%</c:formatCode>
                <c:ptCount val="4"/>
                <c:pt idx="0">
                  <c:v>0</c:v>
                </c:pt>
                <c:pt idx="1">
                  <c:v>0</c:v>
                </c:pt>
                <c:pt idx="2">
                  <c:v>0</c:v>
                </c:pt>
                <c:pt idx="3">
                  <c:v>0</c:v>
                </c:pt>
              </c:numCache>
            </c:numRef>
          </c:val>
          <c:extLst>
            <c:ext xmlns:c16="http://schemas.microsoft.com/office/drawing/2014/chart" uri="{C3380CC4-5D6E-409C-BE32-E72D297353CC}">
              <c16:uniqueId val="{00000006-77A4-4EF5-BADF-82D398142E05}"/>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Cas'!$AC$74:$AC$77</c:f>
              <c:numCache>
                <c:formatCode>0%</c:formatCode>
                <c:ptCount val="4"/>
                <c:pt idx="0">
                  <c:v>0</c:v>
                </c:pt>
                <c:pt idx="1">
                  <c:v>5.8823529411764705E-2</c:v>
                </c:pt>
                <c:pt idx="2">
                  <c:v>0</c:v>
                </c:pt>
                <c:pt idx="3">
                  <c:v>0</c:v>
                </c:pt>
              </c:numCache>
            </c:numRef>
          </c:val>
          <c:extLst>
            <c:ext xmlns:c16="http://schemas.microsoft.com/office/drawing/2014/chart" uri="{C3380CC4-5D6E-409C-BE32-E72D297353CC}">
              <c16:uniqueId val="{00000007-77A4-4EF5-BADF-82D398142E05}"/>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Cas'!$AD$74:$AD$77</c:f>
              <c:numCache>
                <c:formatCode>0%</c:formatCode>
                <c:ptCount val="4"/>
                <c:pt idx="0">
                  <c:v>0.13333333333333333</c:v>
                </c:pt>
                <c:pt idx="1">
                  <c:v>0.11764705882352941</c:v>
                </c:pt>
                <c:pt idx="2">
                  <c:v>0</c:v>
                </c:pt>
                <c:pt idx="3">
                  <c:v>0</c:v>
                </c:pt>
              </c:numCache>
            </c:numRef>
          </c:val>
          <c:extLst>
            <c:ext xmlns:c16="http://schemas.microsoft.com/office/drawing/2014/chart" uri="{C3380CC4-5D6E-409C-BE32-E72D297353CC}">
              <c16:uniqueId val="{00000008-77A4-4EF5-BADF-82D398142E05}"/>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egendEntry>
        <c:idx val="2"/>
        <c:delete val="1"/>
      </c:legendEntry>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Last-Mile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Cas'!$V$84:$V$87</c:f>
              <c:numCache>
                <c:formatCode>0%</c:formatCode>
                <c:ptCount val="4"/>
                <c:pt idx="0">
                  <c:v>9.0909090909090912E-2</c:v>
                </c:pt>
                <c:pt idx="1">
                  <c:v>6.6666666666666666E-2</c:v>
                </c:pt>
                <c:pt idx="2">
                  <c:v>0</c:v>
                </c:pt>
                <c:pt idx="3">
                  <c:v>0</c:v>
                </c:pt>
              </c:numCache>
            </c:numRef>
          </c:val>
          <c:extLst>
            <c:ext xmlns:c16="http://schemas.microsoft.com/office/drawing/2014/chart" uri="{C3380CC4-5D6E-409C-BE32-E72D297353CC}">
              <c16:uniqueId val="{00000000-6C27-47FE-81CB-C1CBF0004432}"/>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Cas'!$W$84:$W$87</c:f>
              <c:numCache>
                <c:formatCode>0%</c:formatCode>
                <c:ptCount val="4"/>
                <c:pt idx="0">
                  <c:v>0</c:v>
                </c:pt>
                <c:pt idx="1">
                  <c:v>0</c:v>
                </c:pt>
                <c:pt idx="2">
                  <c:v>0</c:v>
                </c:pt>
                <c:pt idx="3">
                  <c:v>0</c:v>
                </c:pt>
              </c:numCache>
            </c:numRef>
          </c:val>
          <c:extLst>
            <c:ext xmlns:c16="http://schemas.microsoft.com/office/drawing/2014/chart" uri="{C3380CC4-5D6E-409C-BE32-E72D297353CC}">
              <c16:uniqueId val="{00000001-6C27-47FE-81CB-C1CBF0004432}"/>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Cas'!$X$84:$X$87</c:f>
              <c:numCache>
                <c:formatCode>0%</c:formatCode>
                <c:ptCount val="4"/>
                <c:pt idx="0">
                  <c:v>0.54545454545454541</c:v>
                </c:pt>
                <c:pt idx="1">
                  <c:v>0.73333333333333328</c:v>
                </c:pt>
                <c:pt idx="2">
                  <c:v>0</c:v>
                </c:pt>
                <c:pt idx="3">
                  <c:v>1</c:v>
                </c:pt>
              </c:numCache>
            </c:numRef>
          </c:val>
          <c:extLst>
            <c:ext xmlns:c16="http://schemas.microsoft.com/office/drawing/2014/chart" uri="{C3380CC4-5D6E-409C-BE32-E72D297353CC}">
              <c16:uniqueId val="{00000002-6C27-47FE-81CB-C1CBF0004432}"/>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Cas'!$Y$84:$Y$87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3-6C27-47FE-81CB-C1CBF0004432}"/>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Cas'!$Z$84:$Z$87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4-6C27-47FE-81CB-C1CBF0004432}"/>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Cas'!$AA$84:$AA$87</c:f>
              <c:numCache>
                <c:formatCode>0%</c:formatCode>
                <c:ptCount val="4"/>
                <c:pt idx="0">
                  <c:v>0.27272727272727271</c:v>
                </c:pt>
                <c:pt idx="1">
                  <c:v>6.6666666666666666E-2</c:v>
                </c:pt>
                <c:pt idx="2">
                  <c:v>0</c:v>
                </c:pt>
                <c:pt idx="3">
                  <c:v>0</c:v>
                </c:pt>
              </c:numCache>
            </c:numRef>
          </c:val>
          <c:extLst>
            <c:ext xmlns:c16="http://schemas.microsoft.com/office/drawing/2014/chart" uri="{C3380CC4-5D6E-409C-BE32-E72D297353CC}">
              <c16:uniqueId val="{00000005-6C27-47FE-81CB-C1CBF0004432}"/>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Cas'!$AB$84:$AB$87</c:f>
              <c:numCache>
                <c:formatCode>0%</c:formatCode>
                <c:ptCount val="4"/>
                <c:pt idx="0">
                  <c:v>0</c:v>
                </c:pt>
                <c:pt idx="1">
                  <c:v>0</c:v>
                </c:pt>
                <c:pt idx="2">
                  <c:v>0</c:v>
                </c:pt>
                <c:pt idx="3">
                  <c:v>0</c:v>
                </c:pt>
              </c:numCache>
            </c:numRef>
          </c:val>
          <c:extLst>
            <c:ext xmlns:c16="http://schemas.microsoft.com/office/drawing/2014/chart" uri="{C3380CC4-5D6E-409C-BE32-E72D297353CC}">
              <c16:uniqueId val="{00000006-6C27-47FE-81CB-C1CBF0004432}"/>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Cas'!$AC$84:$AC$87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7-6C27-47FE-81CB-C1CBF0004432}"/>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Cas'!$AD$84:$AD$87</c:f>
              <c:numCache>
                <c:formatCode>0%</c:formatCode>
                <c:ptCount val="4"/>
                <c:pt idx="0">
                  <c:v>0</c:v>
                </c:pt>
                <c:pt idx="1">
                  <c:v>0</c:v>
                </c:pt>
                <c:pt idx="2">
                  <c:v>0</c:v>
                </c:pt>
                <c:pt idx="3">
                  <c:v>0</c:v>
                </c:pt>
              </c:numCache>
            </c:numRef>
          </c:val>
          <c:extLst>
            <c:ext xmlns:c16="http://schemas.microsoft.com/office/drawing/2014/chart" uri="{C3380CC4-5D6E-409C-BE32-E72D297353CC}">
              <c16:uniqueId val="{00000008-6C27-47FE-81CB-C1CBF0004432}"/>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egendEntry>
        <c:idx val="0"/>
        <c:delete val="1"/>
      </c:legendEntry>
      <c:legendEntry>
        <c:idx val="2"/>
        <c:delete val="1"/>
      </c:legendEntry>
      <c:legendEntry>
        <c:idx val="7"/>
        <c:delete val="1"/>
      </c:legendEntry>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Ridepooling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Cas'!$AE$54:$AE$57</c:f>
              <c:numCache>
                <c:formatCode>0%</c:formatCode>
                <c:ptCount val="4"/>
                <c:pt idx="0">
                  <c:v>0</c:v>
                </c:pt>
                <c:pt idx="1">
                  <c:v>9.5238095238095233E-2</c:v>
                </c:pt>
                <c:pt idx="2">
                  <c:v>0</c:v>
                </c:pt>
                <c:pt idx="3">
                  <c:v>0</c:v>
                </c:pt>
              </c:numCache>
            </c:numRef>
          </c:val>
          <c:extLst>
            <c:ext xmlns:c16="http://schemas.microsoft.com/office/drawing/2014/chart" uri="{C3380CC4-5D6E-409C-BE32-E72D297353CC}">
              <c16:uniqueId val="{00000000-BA06-4781-84DE-6965DDF2D814}"/>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Cas'!$AF$54:$AF$57</c:f>
              <c:numCache>
                <c:formatCode>0%</c:formatCode>
                <c:ptCount val="4"/>
                <c:pt idx="0">
                  <c:v>0.68</c:v>
                </c:pt>
                <c:pt idx="1">
                  <c:v>0.2857142857142857</c:v>
                </c:pt>
                <c:pt idx="2">
                  <c:v>0.45454545454545453</c:v>
                </c:pt>
                <c:pt idx="3">
                  <c:v>1</c:v>
                </c:pt>
              </c:numCache>
            </c:numRef>
          </c:val>
          <c:extLst>
            <c:ext xmlns:c16="http://schemas.microsoft.com/office/drawing/2014/chart" uri="{C3380CC4-5D6E-409C-BE32-E72D297353CC}">
              <c16:uniqueId val="{00000001-BA06-4781-84DE-6965DDF2D814}"/>
            </c:ext>
          </c:extLst>
        </c:ser>
        <c:ser>
          <c:idx val="2"/>
          <c:order val="2"/>
          <c:tx>
            <c:strRef>
              <c:f>'Summary per Company and Use Cas'!$AG$53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Cas'!$AG$54:$AG$57</c:f>
              <c:numCache>
                <c:formatCode>0%</c:formatCode>
                <c:ptCount val="4"/>
                <c:pt idx="0">
                  <c:v>0.08</c:v>
                </c:pt>
                <c:pt idx="1">
                  <c:v>0.33333333333333331</c:v>
                </c:pt>
                <c:pt idx="2">
                  <c:v>9.0909090909090912E-2</c:v>
                </c:pt>
                <c:pt idx="3">
                  <c:v>0</c:v>
                </c:pt>
              </c:numCache>
            </c:numRef>
          </c:val>
          <c:extLst>
            <c:ext xmlns:c16="http://schemas.microsoft.com/office/drawing/2014/chart" uri="{C3380CC4-5D6E-409C-BE32-E72D297353CC}">
              <c16:uniqueId val="{00000002-BA06-4781-84DE-6965DDF2D814}"/>
            </c:ext>
          </c:extLst>
        </c:ser>
        <c:ser>
          <c:idx val="5"/>
          <c:order val="3"/>
          <c:tx>
            <c:strRef>
              <c:f>'Summary per Company and Use Cas'!$AH$53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Cas'!$AH$54:$AH$57</c:f>
              <c:numCache>
                <c:formatCode>0%</c:formatCode>
                <c:ptCount val="4"/>
                <c:pt idx="0">
                  <c:v>0.24</c:v>
                </c:pt>
                <c:pt idx="1">
                  <c:v>0.14285714285714285</c:v>
                </c:pt>
                <c:pt idx="2">
                  <c:v>0.45454545454545453</c:v>
                </c:pt>
                <c:pt idx="3">
                  <c:v>0</c:v>
                </c:pt>
              </c:numCache>
            </c:numRef>
          </c:val>
          <c:extLst>
            <c:ext xmlns:c16="http://schemas.microsoft.com/office/drawing/2014/chart" uri="{C3380CC4-5D6E-409C-BE32-E72D297353CC}">
              <c16:uniqueId val="{00000003-BA06-4781-84DE-6965DDF2D814}"/>
            </c:ext>
          </c:extLst>
        </c:ser>
        <c:ser>
          <c:idx val="6"/>
          <c:order val="4"/>
          <c:tx>
            <c:strRef>
              <c:f>'Summary per Company and Use Cas'!$AI$53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Cas'!$AI$54:$AI$57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4-BA06-4781-84DE-6965DDF2D814}"/>
            </c:ext>
          </c:extLst>
        </c:ser>
        <c:ser>
          <c:idx val="7"/>
          <c:order val="5"/>
          <c:tx>
            <c:strRef>
              <c:f>'Summary per Company and Use Cas'!$AJ$53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Cas'!$AJ$54:$AJ$57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5-BA06-4781-84DE-6965DDF2D814}"/>
            </c:ext>
          </c:extLst>
        </c:ser>
        <c:ser>
          <c:idx val="8"/>
          <c:order val="6"/>
          <c:tx>
            <c:strRef>
              <c:f>'Summary per Company and Use Cas'!$AK$53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Cas'!$AK$54:$AK$57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6-BA06-4781-84DE-6965DDF2D814}"/>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Ridehailing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Cas'!$AE$64:$AE$67</c:f>
              <c:numCache>
                <c:formatCode>0%</c:formatCode>
                <c:ptCount val="4"/>
                <c:pt idx="0">
                  <c:v>0</c:v>
                </c:pt>
                <c:pt idx="1">
                  <c:v>0</c:v>
                </c:pt>
                <c:pt idx="2">
                  <c:v>0</c:v>
                </c:pt>
                <c:pt idx="3">
                  <c:v>0</c:v>
                </c:pt>
              </c:numCache>
            </c:numRef>
          </c:val>
          <c:extLst>
            <c:ext xmlns:c16="http://schemas.microsoft.com/office/drawing/2014/chart" uri="{C3380CC4-5D6E-409C-BE32-E72D297353CC}">
              <c16:uniqueId val="{00000000-8A1C-4914-95DB-EB9F8DE31472}"/>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Cas'!$AF$64:$AF$67</c:f>
              <c:numCache>
                <c:formatCode>0%</c:formatCode>
                <c:ptCount val="4"/>
                <c:pt idx="0">
                  <c:v>0.59090909090909094</c:v>
                </c:pt>
                <c:pt idx="1">
                  <c:v>0</c:v>
                </c:pt>
                <c:pt idx="2">
                  <c:v>0</c:v>
                </c:pt>
                <c:pt idx="3">
                  <c:v>0.5</c:v>
                </c:pt>
              </c:numCache>
            </c:numRef>
          </c:val>
          <c:extLst>
            <c:ext xmlns:c16="http://schemas.microsoft.com/office/drawing/2014/chart" uri="{C3380CC4-5D6E-409C-BE32-E72D297353CC}">
              <c16:uniqueId val="{00000001-8A1C-4914-95DB-EB9F8DE31472}"/>
            </c:ext>
          </c:extLst>
        </c:ser>
        <c:ser>
          <c:idx val="2"/>
          <c:order val="2"/>
          <c:tx>
            <c:strRef>
              <c:f>'Summary per Company and Use Cas'!$AG$63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Cas'!$AG$64:$AG$67</c:f>
              <c:numCache>
                <c:formatCode>0%</c:formatCode>
                <c:ptCount val="4"/>
                <c:pt idx="0">
                  <c:v>0</c:v>
                </c:pt>
                <c:pt idx="1">
                  <c:v>0</c:v>
                </c:pt>
                <c:pt idx="2">
                  <c:v>0</c:v>
                </c:pt>
                <c:pt idx="3">
                  <c:v>0.5</c:v>
                </c:pt>
              </c:numCache>
            </c:numRef>
          </c:val>
          <c:extLst>
            <c:ext xmlns:c16="http://schemas.microsoft.com/office/drawing/2014/chart" uri="{C3380CC4-5D6E-409C-BE32-E72D297353CC}">
              <c16:uniqueId val="{00000002-8A1C-4914-95DB-EB9F8DE31472}"/>
            </c:ext>
          </c:extLst>
        </c:ser>
        <c:ser>
          <c:idx val="5"/>
          <c:order val="3"/>
          <c:tx>
            <c:strRef>
              <c:f>'Summary per Company and Use Cas'!$AH$63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Cas'!$AH$64:$AH$67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3-8A1C-4914-95DB-EB9F8DE31472}"/>
            </c:ext>
          </c:extLst>
        </c:ser>
        <c:ser>
          <c:idx val="6"/>
          <c:order val="4"/>
          <c:tx>
            <c:strRef>
              <c:f>'Summary per Company and Use Cas'!$AI$63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Cas'!$AI$64:$AI$67</c:f>
              <c:numCache>
                <c:formatCode>0%</c:formatCode>
                <c:ptCount val="4"/>
                <c:pt idx="0">
                  <c:v>0.13636363636363635</c:v>
                </c:pt>
                <c:pt idx="1">
                  <c:v>0</c:v>
                </c:pt>
                <c:pt idx="2">
                  <c:v>0</c:v>
                </c:pt>
                <c:pt idx="3">
                  <c:v>0</c:v>
                </c:pt>
              </c:numCache>
            </c:numRef>
          </c:val>
          <c:extLst>
            <c:ext xmlns:c16="http://schemas.microsoft.com/office/drawing/2014/chart" uri="{C3380CC4-5D6E-409C-BE32-E72D297353CC}">
              <c16:uniqueId val="{00000004-8A1C-4914-95DB-EB9F8DE31472}"/>
            </c:ext>
          </c:extLst>
        </c:ser>
        <c:ser>
          <c:idx val="7"/>
          <c:order val="5"/>
          <c:tx>
            <c:strRef>
              <c:f>'Summary per Company and Use Cas'!$AJ$63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Cas'!$AJ$64:$AJ$67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5-8A1C-4914-95DB-EB9F8DE31472}"/>
            </c:ext>
          </c:extLst>
        </c:ser>
        <c:ser>
          <c:idx val="8"/>
          <c:order val="6"/>
          <c:tx>
            <c:strRef>
              <c:f>'Summary per Company and Use Cas'!$AK$63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Cas'!$AK$64:$AK$67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6-8A1C-4914-95DB-EB9F8DE31472}"/>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Trucking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Cas'!$AE$74:$AE$77</c:f>
              <c:numCache>
                <c:formatCode>0%</c:formatCode>
                <c:ptCount val="4"/>
                <c:pt idx="0">
                  <c:v>5.5555555555555552E-2</c:v>
                </c:pt>
                <c:pt idx="1">
                  <c:v>6.6666666666666666E-2</c:v>
                </c:pt>
                <c:pt idx="2">
                  <c:v>0</c:v>
                </c:pt>
                <c:pt idx="3">
                  <c:v>0</c:v>
                </c:pt>
              </c:numCache>
            </c:numRef>
          </c:val>
          <c:extLst>
            <c:ext xmlns:c16="http://schemas.microsoft.com/office/drawing/2014/chart" uri="{C3380CC4-5D6E-409C-BE32-E72D297353CC}">
              <c16:uniqueId val="{00000000-003A-4817-8F0A-8C73017E3BFB}"/>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Cas'!$AF$74:$AF$77</c:f>
              <c:numCache>
                <c:formatCode>0%</c:formatCode>
                <c:ptCount val="4"/>
                <c:pt idx="0">
                  <c:v>0.55555555555555558</c:v>
                </c:pt>
                <c:pt idx="1">
                  <c:v>0.4</c:v>
                </c:pt>
                <c:pt idx="2">
                  <c:v>0</c:v>
                </c:pt>
                <c:pt idx="3">
                  <c:v>0.33333333333333331</c:v>
                </c:pt>
              </c:numCache>
            </c:numRef>
          </c:val>
          <c:extLst>
            <c:ext xmlns:c16="http://schemas.microsoft.com/office/drawing/2014/chart" uri="{C3380CC4-5D6E-409C-BE32-E72D297353CC}">
              <c16:uniqueId val="{00000001-003A-4817-8F0A-8C73017E3BFB}"/>
            </c:ext>
          </c:extLst>
        </c:ser>
        <c:ser>
          <c:idx val="2"/>
          <c:order val="2"/>
          <c:tx>
            <c:strRef>
              <c:f>'Summary per Company and Use Cas'!$AG$53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Cas'!$AG$74:$AG$77</c:f>
              <c:numCache>
                <c:formatCode>0%</c:formatCode>
                <c:ptCount val="4"/>
                <c:pt idx="0">
                  <c:v>2.7777777777777776E-2</c:v>
                </c:pt>
                <c:pt idx="1">
                  <c:v>6.6666666666666666E-2</c:v>
                </c:pt>
                <c:pt idx="2">
                  <c:v>0</c:v>
                </c:pt>
                <c:pt idx="3">
                  <c:v>0</c:v>
                </c:pt>
              </c:numCache>
            </c:numRef>
          </c:val>
          <c:extLst>
            <c:ext xmlns:c16="http://schemas.microsoft.com/office/drawing/2014/chart" uri="{C3380CC4-5D6E-409C-BE32-E72D297353CC}">
              <c16:uniqueId val="{00000002-003A-4817-8F0A-8C73017E3BFB}"/>
            </c:ext>
          </c:extLst>
        </c:ser>
        <c:ser>
          <c:idx val="5"/>
          <c:order val="3"/>
          <c:tx>
            <c:strRef>
              <c:f>'Summary per Company and Use Cas'!$AH$53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Cas'!$AH$74:$AH$77</c:f>
              <c:numCache>
                <c:formatCode>0%</c:formatCode>
                <c:ptCount val="4"/>
                <c:pt idx="0">
                  <c:v>0.16666666666666666</c:v>
                </c:pt>
                <c:pt idx="1">
                  <c:v>0.46666666666666667</c:v>
                </c:pt>
                <c:pt idx="2">
                  <c:v>0</c:v>
                </c:pt>
                <c:pt idx="3">
                  <c:v>0.66666666666666663</c:v>
                </c:pt>
              </c:numCache>
            </c:numRef>
          </c:val>
          <c:extLst>
            <c:ext xmlns:c16="http://schemas.microsoft.com/office/drawing/2014/chart" uri="{C3380CC4-5D6E-409C-BE32-E72D297353CC}">
              <c16:uniqueId val="{00000003-003A-4817-8F0A-8C73017E3BFB}"/>
            </c:ext>
          </c:extLst>
        </c:ser>
        <c:ser>
          <c:idx val="6"/>
          <c:order val="4"/>
          <c:tx>
            <c:strRef>
              <c:f>'Summary per Company and Use Cas'!$AI$53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Cas'!$AI$74:$AI$77</c:f>
              <c:numCache>
                <c:formatCode>0%</c:formatCode>
                <c:ptCount val="4"/>
                <c:pt idx="0">
                  <c:v>2.7777777777777776E-2</c:v>
                </c:pt>
                <c:pt idx="1">
                  <c:v>0</c:v>
                </c:pt>
                <c:pt idx="2">
                  <c:v>0</c:v>
                </c:pt>
                <c:pt idx="3">
                  <c:v>0</c:v>
                </c:pt>
              </c:numCache>
            </c:numRef>
          </c:val>
          <c:extLst>
            <c:ext xmlns:c16="http://schemas.microsoft.com/office/drawing/2014/chart" uri="{C3380CC4-5D6E-409C-BE32-E72D297353CC}">
              <c16:uniqueId val="{00000004-003A-4817-8F0A-8C73017E3BFB}"/>
            </c:ext>
          </c:extLst>
        </c:ser>
        <c:ser>
          <c:idx val="7"/>
          <c:order val="5"/>
          <c:tx>
            <c:strRef>
              <c:f>'Summary per Company and Use Cas'!$AJ$53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Cas'!$AJ$74:$AJ$77</c:f>
              <c:numCache>
                <c:formatCode>0%</c:formatCode>
                <c:ptCount val="4"/>
                <c:pt idx="0">
                  <c:v>0.1388888888888889</c:v>
                </c:pt>
                <c:pt idx="1">
                  <c:v>0</c:v>
                </c:pt>
                <c:pt idx="2">
                  <c:v>0</c:v>
                </c:pt>
                <c:pt idx="3">
                  <c:v>0</c:v>
                </c:pt>
              </c:numCache>
            </c:numRef>
          </c:val>
          <c:extLst>
            <c:ext xmlns:c16="http://schemas.microsoft.com/office/drawing/2014/chart" uri="{C3380CC4-5D6E-409C-BE32-E72D297353CC}">
              <c16:uniqueId val="{00000005-003A-4817-8F0A-8C73017E3BFB}"/>
            </c:ext>
          </c:extLst>
        </c:ser>
        <c:ser>
          <c:idx val="8"/>
          <c:order val="6"/>
          <c:tx>
            <c:strRef>
              <c:f>'Summary per Company and Use Cas'!$AK$53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Cas'!$AK$74:$AK$77</c:f>
              <c:numCache>
                <c:formatCode>0%</c:formatCode>
                <c:ptCount val="4"/>
                <c:pt idx="0">
                  <c:v>2.7777777777777776E-2</c:v>
                </c:pt>
                <c:pt idx="1">
                  <c:v>0</c:v>
                </c:pt>
                <c:pt idx="2">
                  <c:v>0</c:v>
                </c:pt>
                <c:pt idx="3">
                  <c:v>0</c:v>
                </c:pt>
              </c:numCache>
            </c:numRef>
          </c:val>
          <c:extLst>
            <c:ext xmlns:c16="http://schemas.microsoft.com/office/drawing/2014/chart" uri="{C3380CC4-5D6E-409C-BE32-E72D297353CC}">
              <c16:uniqueId val="{00000006-003A-4817-8F0A-8C73017E3BFB}"/>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Last-Mile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Cas'!$AE$84:$AE$87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0-7E7A-4E98-8E38-22D211FBA6B7}"/>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Cas'!$AF$84:$AF$87</c:f>
              <c:numCache>
                <c:formatCode>0%</c:formatCode>
                <c:ptCount val="4"/>
                <c:pt idx="0">
                  <c:v>0.66666666666666663</c:v>
                </c:pt>
                <c:pt idx="1">
                  <c:v>0.66666666666666663</c:v>
                </c:pt>
                <c:pt idx="2">
                  <c:v>0</c:v>
                </c:pt>
                <c:pt idx="3">
                  <c:v>0.66666666666666663</c:v>
                </c:pt>
              </c:numCache>
            </c:numRef>
          </c:val>
          <c:extLst>
            <c:ext xmlns:c16="http://schemas.microsoft.com/office/drawing/2014/chart" uri="{C3380CC4-5D6E-409C-BE32-E72D297353CC}">
              <c16:uniqueId val="{00000001-7E7A-4E98-8E38-22D211FBA6B7}"/>
            </c:ext>
          </c:extLst>
        </c:ser>
        <c:ser>
          <c:idx val="2"/>
          <c:order val="2"/>
          <c:tx>
            <c:strRef>
              <c:f>'Summary per Company and Use Cas'!$AG$53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Cas'!$AG$84:$AG$87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2-7E7A-4E98-8E38-22D211FBA6B7}"/>
            </c:ext>
          </c:extLst>
        </c:ser>
        <c:ser>
          <c:idx val="5"/>
          <c:order val="3"/>
          <c:tx>
            <c:strRef>
              <c:f>'Summary per Company and Use Cas'!$AH$53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Cas'!$AH$84:$AH$87</c:f>
              <c:numCache>
                <c:formatCode>0%</c:formatCode>
                <c:ptCount val="4"/>
                <c:pt idx="0">
                  <c:v>0.1111111111111111</c:v>
                </c:pt>
                <c:pt idx="1">
                  <c:v>0.13333333333333333</c:v>
                </c:pt>
                <c:pt idx="2">
                  <c:v>0</c:v>
                </c:pt>
                <c:pt idx="3">
                  <c:v>0.33333333333333331</c:v>
                </c:pt>
              </c:numCache>
            </c:numRef>
          </c:val>
          <c:extLst>
            <c:ext xmlns:c16="http://schemas.microsoft.com/office/drawing/2014/chart" uri="{C3380CC4-5D6E-409C-BE32-E72D297353CC}">
              <c16:uniqueId val="{00000003-7E7A-4E98-8E38-22D211FBA6B7}"/>
            </c:ext>
          </c:extLst>
        </c:ser>
        <c:ser>
          <c:idx val="6"/>
          <c:order val="4"/>
          <c:tx>
            <c:strRef>
              <c:f>'Summary per Company and Use Cas'!$AI$53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Cas'!$AI$54:$AI$57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4-7E7A-4E98-8E38-22D211FBA6B7}"/>
            </c:ext>
          </c:extLst>
        </c:ser>
        <c:ser>
          <c:idx val="7"/>
          <c:order val="5"/>
          <c:tx>
            <c:strRef>
              <c:f>'Summary per Company and Use Cas'!$AJ$53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Cas'!$AJ$84:$AJ$87</c:f>
              <c:numCache>
                <c:formatCode>0%</c:formatCode>
                <c:ptCount val="4"/>
                <c:pt idx="0">
                  <c:v>0.1111111111111111</c:v>
                </c:pt>
                <c:pt idx="1">
                  <c:v>6.6666666666666666E-2</c:v>
                </c:pt>
                <c:pt idx="2">
                  <c:v>0</c:v>
                </c:pt>
                <c:pt idx="3">
                  <c:v>0</c:v>
                </c:pt>
              </c:numCache>
            </c:numRef>
          </c:val>
          <c:extLst>
            <c:ext xmlns:c16="http://schemas.microsoft.com/office/drawing/2014/chart" uri="{C3380CC4-5D6E-409C-BE32-E72D297353CC}">
              <c16:uniqueId val="{00000005-7E7A-4E98-8E38-22D211FBA6B7}"/>
            </c:ext>
          </c:extLst>
        </c:ser>
        <c:ser>
          <c:idx val="8"/>
          <c:order val="6"/>
          <c:tx>
            <c:strRef>
              <c:f>'Summary per Company and Use Cas'!$AK$53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Cas'!$AK$84:$AK$87</c:f>
              <c:numCache>
                <c:formatCode>0%</c:formatCode>
                <c:ptCount val="4"/>
                <c:pt idx="0">
                  <c:v>0</c:v>
                </c:pt>
                <c:pt idx="1">
                  <c:v>0</c:v>
                </c:pt>
                <c:pt idx="2">
                  <c:v>0</c:v>
                </c:pt>
                <c:pt idx="3">
                  <c:v>0</c:v>
                </c:pt>
              </c:numCache>
            </c:numRef>
          </c:val>
          <c:extLst>
            <c:ext xmlns:c16="http://schemas.microsoft.com/office/drawing/2014/chart" uri="{C3380CC4-5D6E-409C-BE32-E72D297353CC}">
              <c16:uniqueId val="{00000006-7E7A-4E98-8E38-22D211FBA6B7}"/>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5b)</a:t>
            </a:r>
            <a:r>
              <a:rPr lang="de-DE" b="1" baseline="0"/>
              <a:t> - Purpose SAV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4.2182679387814899E-2"/>
          <c:y val="0.12569362481275057"/>
          <c:w val="0.93124991910147792"/>
          <c:h val="0.74443139822745696"/>
        </c:manualLayout>
      </c:layout>
      <c:barChart>
        <c:barDir val="col"/>
        <c:grouping val="clustered"/>
        <c:varyColors val="0"/>
        <c:ser>
          <c:idx val="0"/>
          <c:order val="0"/>
          <c:tx>
            <c:strRef>
              <c:f>'Summary per Company and Use Cas'!$A$53</c:f>
              <c:strCache>
                <c:ptCount val="1"/>
                <c:pt idx="0">
                  <c:v>Ridepooling</c:v>
                </c:pt>
              </c:strCache>
            </c:strRef>
          </c:tx>
          <c:spPr>
            <a:solidFill>
              <a:schemeClr val="accent6">
                <a:lumMod val="50000"/>
              </a:schemeClr>
            </a:solidFill>
            <a:ln>
              <a:noFill/>
            </a:ln>
            <a:effectLst/>
          </c:spPr>
          <c:invertIfNegative val="0"/>
          <c:dPt>
            <c:idx val="0"/>
            <c:invertIfNegative val="0"/>
            <c:bubble3D val="0"/>
            <c:spPr>
              <a:solidFill>
                <a:srgbClr val="385723"/>
              </a:solidFill>
              <a:ln>
                <a:noFill/>
              </a:ln>
              <a:effectLst/>
            </c:spPr>
            <c:extLst>
              <c:ext xmlns:c16="http://schemas.microsoft.com/office/drawing/2014/chart" uri="{C3380CC4-5D6E-409C-BE32-E72D297353CC}">
                <c16:uniqueId val="{00000001-264C-479B-B7CB-EB7C686C90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Cas'!$B$59:$J$59</c:f>
              <c:numCache>
                <c:formatCode>0%</c:formatCode>
                <c:ptCount val="9"/>
                <c:pt idx="0">
                  <c:v>0.30882352941176472</c:v>
                </c:pt>
                <c:pt idx="1">
                  <c:v>7.3529411764705885E-2</c:v>
                </c:pt>
                <c:pt idx="2">
                  <c:v>0.26470588235294118</c:v>
                </c:pt>
                <c:pt idx="3">
                  <c:v>5.8823529411764705E-2</c:v>
                </c:pt>
                <c:pt idx="4">
                  <c:v>1.4705882352941176E-2</c:v>
                </c:pt>
                <c:pt idx="5">
                  <c:v>0.17647058823529413</c:v>
                </c:pt>
                <c:pt idx="6">
                  <c:v>4.4117647058823532E-2</c:v>
                </c:pt>
                <c:pt idx="7">
                  <c:v>2.9411764705882353E-2</c:v>
                </c:pt>
                <c:pt idx="8">
                  <c:v>2.9411764705882353E-2</c:v>
                </c:pt>
              </c:numCache>
            </c:numRef>
          </c:val>
          <c:extLst xmlns:c15="http://schemas.microsoft.com/office/drawing/2012/chart">
            <c:ext xmlns:c16="http://schemas.microsoft.com/office/drawing/2014/chart" uri="{C3380CC4-5D6E-409C-BE32-E72D297353CC}">
              <c16:uniqueId val="{00000002-264C-479B-B7CB-EB7C686C9045}"/>
            </c:ext>
          </c:extLst>
        </c:ser>
        <c:ser>
          <c:idx val="1"/>
          <c:order val="1"/>
          <c:tx>
            <c:strRef>
              <c:f>'Summary per Company and Use Cas'!$A$63</c:f>
              <c:strCache>
                <c:ptCount val="1"/>
                <c:pt idx="0">
                  <c:v>Ridehailing</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Cas'!$B$69:$J$69</c:f>
              <c:numCache>
                <c:formatCode>0%</c:formatCode>
                <c:ptCount val="9"/>
                <c:pt idx="0">
                  <c:v>0.35483870967741937</c:v>
                </c:pt>
                <c:pt idx="1">
                  <c:v>0</c:v>
                </c:pt>
                <c:pt idx="2">
                  <c:v>0.12903225806451613</c:v>
                </c:pt>
                <c:pt idx="3">
                  <c:v>0</c:v>
                </c:pt>
                <c:pt idx="4">
                  <c:v>9.6774193548387094E-2</c:v>
                </c:pt>
                <c:pt idx="5">
                  <c:v>0.25806451612903225</c:v>
                </c:pt>
                <c:pt idx="6">
                  <c:v>0</c:v>
                </c:pt>
                <c:pt idx="7">
                  <c:v>0</c:v>
                </c:pt>
                <c:pt idx="8">
                  <c:v>0.16129032258064516</c:v>
                </c:pt>
              </c:numCache>
            </c:numRef>
          </c:val>
          <c:extLst xmlns:c15="http://schemas.microsoft.com/office/drawing/2012/chart">
            <c:ext xmlns:c16="http://schemas.microsoft.com/office/drawing/2014/chart" uri="{C3380CC4-5D6E-409C-BE32-E72D297353CC}">
              <c16:uniqueId val="{00000003-264C-479B-B7CB-EB7C686C9045}"/>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2"/>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c:ext uri="{02D57815-91ED-43cb-92C2-25804820EDAC}">
                        <c15:formulaRef>
                          <c15:sqref>'Summary per Company and Use Cas'!$B$79:$J$79</c15:sqref>
                        </c15:formulaRef>
                      </c:ext>
                    </c:extLst>
                    <c:numCache>
                      <c:formatCode>0%</c:formatCode>
                      <c:ptCount val="9"/>
                      <c:pt idx="0">
                        <c:v>0.27692307692307694</c:v>
                      </c:pt>
                      <c:pt idx="1">
                        <c:v>3.0769230769230771E-2</c:v>
                      </c:pt>
                      <c:pt idx="2">
                        <c:v>0.1076923076923077</c:v>
                      </c:pt>
                      <c:pt idx="3">
                        <c:v>4.6153846153846156E-2</c:v>
                      </c:pt>
                      <c:pt idx="4">
                        <c:v>0.29230769230769232</c:v>
                      </c:pt>
                      <c:pt idx="5">
                        <c:v>0.1076923076923077</c:v>
                      </c:pt>
                      <c:pt idx="6">
                        <c:v>0</c:v>
                      </c:pt>
                      <c:pt idx="7">
                        <c:v>1.5384615384615385E-2</c:v>
                      </c:pt>
                      <c:pt idx="8">
                        <c:v>0.12307692307692308</c:v>
                      </c:pt>
                    </c:numCache>
                  </c:numRef>
                </c:val>
                <c:extLst>
                  <c:ext xmlns:c16="http://schemas.microsoft.com/office/drawing/2014/chart" uri="{C3380CC4-5D6E-409C-BE32-E72D297353CC}">
                    <c16:uniqueId val="{00000004-264C-479B-B7CB-EB7C686C9045}"/>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xmlns:c15="http://schemas.microsoft.com/office/drawing/2012/chart">
                      <c:ext xmlns:c15="http://schemas.microsoft.com/office/drawing/2012/chart" uri="{02D57815-91ED-43cb-92C2-25804820EDAC}">
                        <c15:formulaRef>
                          <c15:sqref>'Summary per Company and Use Cas'!$B$89:$J$89</c15:sqref>
                        </c15:formulaRef>
                      </c:ext>
                    </c:extLst>
                    <c:numCache>
                      <c:formatCode>0%</c:formatCode>
                      <c:ptCount val="9"/>
                      <c:pt idx="0">
                        <c:v>6.8965517241379309E-2</c:v>
                      </c:pt>
                      <c:pt idx="1">
                        <c:v>0</c:v>
                      </c:pt>
                      <c:pt idx="2">
                        <c:v>0.68965517241379315</c:v>
                      </c:pt>
                      <c:pt idx="3">
                        <c:v>3.4482758620689655E-2</c:v>
                      </c:pt>
                      <c:pt idx="4">
                        <c:v>3.4482758620689655E-2</c:v>
                      </c:pt>
                      <c:pt idx="5">
                        <c:v>0.13793103448275862</c:v>
                      </c:pt>
                      <c:pt idx="6">
                        <c:v>0</c:v>
                      </c:pt>
                      <c:pt idx="7">
                        <c:v>3.4482758620689655E-2</c:v>
                      </c:pt>
                      <c:pt idx="8">
                        <c:v>0</c:v>
                      </c:pt>
                    </c:numCache>
                  </c:numRef>
                </c:val>
                <c:extLst xmlns:c15="http://schemas.microsoft.com/office/drawing/2012/chart">
                  <c:ext xmlns:c16="http://schemas.microsoft.com/office/drawing/2014/chart" uri="{C3380CC4-5D6E-409C-BE32-E72D297353CC}">
                    <c16:uniqueId val="{00000005-264C-479B-B7CB-EB7C686C9045}"/>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5c)</a:t>
            </a:r>
            <a:r>
              <a:rPr lang="de-DE" b="1" baseline="0"/>
              <a:t> Structure SAV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7.1362663112419275E-2"/>
          <c:y val="0.10411099196735543"/>
          <c:w val="0.92863733688758077"/>
          <c:h val="0.6557861878588076"/>
        </c:manualLayout>
      </c:layout>
      <c:barChart>
        <c:barDir val="col"/>
        <c:grouping val="clustered"/>
        <c:varyColors val="0"/>
        <c:ser>
          <c:idx val="0"/>
          <c:order val="0"/>
          <c:tx>
            <c:strRef>
              <c:f>'Summary per Company and Use Cas'!$A$53</c:f>
              <c:strCache>
                <c:ptCount val="1"/>
                <c:pt idx="0">
                  <c:v>Ridepooling</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Cas'!$M$59:$S$59</c:f>
              <c:numCache>
                <c:formatCode>0%</c:formatCode>
                <c:ptCount val="7"/>
                <c:pt idx="0">
                  <c:v>3.3898305084745763E-2</c:v>
                </c:pt>
                <c:pt idx="1">
                  <c:v>0.50847457627118642</c:v>
                </c:pt>
                <c:pt idx="2">
                  <c:v>0.16949152542372881</c:v>
                </c:pt>
                <c:pt idx="3">
                  <c:v>0.23728813559322035</c:v>
                </c:pt>
                <c:pt idx="4">
                  <c:v>1.6949152542372881E-2</c:v>
                </c:pt>
                <c:pt idx="5">
                  <c:v>1.6949152542372881E-2</c:v>
                </c:pt>
                <c:pt idx="6">
                  <c:v>1.6949152542372881E-2</c:v>
                </c:pt>
              </c:numCache>
            </c:numRef>
          </c:val>
          <c:extLst xmlns:c15="http://schemas.microsoft.com/office/drawing/2012/chart">
            <c:ext xmlns:c16="http://schemas.microsoft.com/office/drawing/2014/chart" uri="{C3380CC4-5D6E-409C-BE32-E72D297353CC}">
              <c16:uniqueId val="{00000000-20DB-474C-90B5-FCCBACD15E60}"/>
            </c:ext>
          </c:extLst>
        </c:ser>
        <c:ser>
          <c:idx val="1"/>
          <c:order val="1"/>
          <c:tx>
            <c:strRef>
              <c:f>'Summary per Company and Use Cas'!$A$63</c:f>
              <c:strCache>
                <c:ptCount val="1"/>
                <c:pt idx="0">
                  <c:v>Ridehailing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Cas'!$M$69:$S$69</c:f>
              <c:numCache>
                <c:formatCode>0%</c:formatCode>
                <c:ptCount val="7"/>
                <c:pt idx="0">
                  <c:v>0</c:v>
                </c:pt>
                <c:pt idx="1">
                  <c:v>0.58333333333333337</c:v>
                </c:pt>
                <c:pt idx="2">
                  <c:v>4.1666666666666664E-2</c:v>
                </c:pt>
                <c:pt idx="3">
                  <c:v>8.3333333333333329E-2</c:v>
                </c:pt>
                <c:pt idx="4">
                  <c:v>0.125</c:v>
                </c:pt>
                <c:pt idx="5">
                  <c:v>8.3333333333333329E-2</c:v>
                </c:pt>
                <c:pt idx="6">
                  <c:v>8.3333333333333329E-2</c:v>
                </c:pt>
              </c:numCache>
            </c:numRef>
          </c:val>
          <c:extLst xmlns:c15="http://schemas.microsoft.com/office/drawing/2012/chart">
            <c:ext xmlns:c16="http://schemas.microsoft.com/office/drawing/2014/chart" uri="{C3380CC4-5D6E-409C-BE32-E72D297353CC}">
              <c16:uniqueId val="{00000001-20DB-474C-90B5-FCCBACD15E60}"/>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2"/>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c:ext uri="{02D57815-91ED-43cb-92C2-25804820EDAC}">
                        <c15:formulaRef>
                          <c15:sqref>'Summary per Company and Use Cas'!$M$79:$S$79</c15:sqref>
                        </c15:formulaRef>
                      </c:ext>
                    </c:extLst>
                    <c:numCache>
                      <c:formatCode>0%</c:formatCode>
                      <c:ptCount val="7"/>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2-20DB-474C-90B5-FCCBACD15E60}"/>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xmlns:c15="http://schemas.microsoft.com/office/drawing/2012/chart">
                      <c:ext xmlns:c15="http://schemas.microsoft.com/office/drawing/2012/chart" uri="{02D57815-91ED-43cb-92C2-25804820EDAC}">
                        <c15:formulaRef>
                          <c15:sqref>'Summary per Company and Use Cas'!$M$89:$S$89</c15:sqref>
                        </c15:formulaRef>
                      </c:ext>
                    </c:extLst>
                    <c:numCache>
                      <c:formatCode>0%</c:formatCode>
                      <c:ptCount val="7"/>
                      <c:pt idx="0">
                        <c:v>3.7037037037037035E-2</c:v>
                      </c:pt>
                      <c:pt idx="1">
                        <c:v>0.66666666666666663</c:v>
                      </c:pt>
                      <c:pt idx="2">
                        <c:v>3.7037037037037035E-2</c:v>
                      </c:pt>
                      <c:pt idx="3">
                        <c:v>0.14814814814814814</c:v>
                      </c:pt>
                      <c:pt idx="4">
                        <c:v>3.7037037037037035E-2</c:v>
                      </c:pt>
                      <c:pt idx="5">
                        <c:v>7.407407407407407E-2</c:v>
                      </c:pt>
                      <c:pt idx="6">
                        <c:v>0</c:v>
                      </c:pt>
                    </c:numCache>
                  </c:numRef>
                </c:val>
                <c:extLst xmlns:c15="http://schemas.microsoft.com/office/drawing/2012/chart">
                  <c:ext xmlns:c16="http://schemas.microsoft.com/office/drawing/2014/chart" uri="{C3380CC4-5D6E-409C-BE32-E72D297353CC}">
                    <c16:uniqueId val="{00000003-20DB-474C-90B5-FCCBACD15E60}"/>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r>
              <a:rPr lang="de-DE" sz="2100" b="1">
                <a:solidFill>
                  <a:sysClr val="windowText" lastClr="000000"/>
                </a:solidFill>
              </a:rPr>
              <a:t>%</a:t>
            </a:r>
            <a:r>
              <a:rPr lang="de-DE" sz="2100" b="1" baseline="0">
                <a:solidFill>
                  <a:sysClr val="windowText" lastClr="000000"/>
                </a:solidFill>
              </a:rPr>
              <a:t>  product / customer relevant </a:t>
            </a:r>
            <a:r>
              <a:rPr lang="de-DE" sz="2100" b="1" i="0" u="none" strike="noStrike" cap="none" normalizeH="0" baseline="0">
                <a:solidFill>
                  <a:sysClr val="windowText" lastClr="000000"/>
                </a:solidFill>
                <a:effectLst/>
              </a:rPr>
              <a:t>announcements </a:t>
            </a:r>
            <a:endParaRPr lang="de-DE" sz="2100" b="1">
              <a:solidFill>
                <a:sysClr val="windowText" lastClr="000000"/>
              </a:solidFill>
            </a:endParaRPr>
          </a:p>
        </c:rich>
      </c:tx>
      <c:layout>
        <c:manualLayout>
          <c:xMode val="edge"/>
          <c:yMode val="edge"/>
          <c:x val="0.25198049455332977"/>
          <c:y val="3.5854280793183681E-2"/>
        </c:manualLayout>
      </c:layout>
      <c:overlay val="0"/>
      <c:spPr>
        <a:noFill/>
        <a:ln>
          <a:noFill/>
        </a:ln>
        <a:effectLst/>
      </c:spPr>
      <c:txPr>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endParaRPr lang="LID4096"/>
        </a:p>
      </c:txPr>
    </c:title>
    <c:autoTitleDeleted val="0"/>
    <c:plotArea>
      <c:layout>
        <c:manualLayout>
          <c:layoutTarget val="inner"/>
          <c:xMode val="edge"/>
          <c:yMode val="edge"/>
          <c:x val="0.12487011981999274"/>
          <c:y val="0.13564145658263305"/>
          <c:w val="0.85130216901774047"/>
          <c:h val="0.64010445753104395"/>
        </c:manualLayout>
      </c:layout>
      <c:scatterChart>
        <c:scatterStyle val="lineMarker"/>
        <c:varyColors val="0"/>
        <c:ser>
          <c:idx val="2"/>
          <c:order val="0"/>
          <c:tx>
            <c:strRef>
              <c:f>'Summary per Company and Use Cas'!$C$34</c:f>
              <c:strCache>
                <c:ptCount val="1"/>
                <c:pt idx="0">
                  <c:v>ATV</c:v>
                </c:pt>
              </c:strCache>
            </c:strRef>
          </c:tx>
          <c:spPr>
            <a:ln w="25400" cap="rnd">
              <a:noFill/>
              <a:round/>
            </a:ln>
            <a:effectLst/>
          </c:spPr>
          <c:marker>
            <c:symbol val="circle"/>
            <c:size val="22"/>
            <c:spPr>
              <a:solidFill>
                <a:schemeClr val="accent1"/>
              </a:solidFill>
              <a:ln w="38100">
                <a:noFill/>
              </a:ln>
              <a:effectLst/>
            </c:spPr>
          </c:marker>
          <c:xVal>
            <c:numRef>
              <c:f>'Summary per Company and Use Cas'!$C$35</c:f>
              <c:numCache>
                <c:formatCode>0%</c:formatCode>
                <c:ptCount val="1"/>
                <c:pt idx="0">
                  <c:v>0.5</c:v>
                </c:pt>
              </c:numCache>
            </c:numRef>
          </c:xVal>
          <c:yVal>
            <c:numRef>
              <c:f>'Summary per Company and Use Cas'!$C$36</c:f>
              <c:numCache>
                <c:formatCode>0%</c:formatCode>
                <c:ptCount val="1"/>
                <c:pt idx="0">
                  <c:v>0.31914893617021278</c:v>
                </c:pt>
              </c:numCache>
            </c:numRef>
          </c:yVal>
          <c:smooth val="0"/>
          <c:extLst>
            <c:ext xmlns:c16="http://schemas.microsoft.com/office/drawing/2014/chart" uri="{C3380CC4-5D6E-409C-BE32-E72D297353CC}">
              <c16:uniqueId val="{00000000-88C4-42E7-99A7-B7EF16D65D8F}"/>
            </c:ext>
          </c:extLst>
        </c:ser>
        <c:ser>
          <c:idx val="3"/>
          <c:order val="1"/>
          <c:tx>
            <c:strRef>
              <c:f>'Summary per Company and Use Cas'!$B$34</c:f>
              <c:strCache>
                <c:ptCount val="1"/>
                <c:pt idx="0">
                  <c:v>SAV</c:v>
                </c:pt>
              </c:strCache>
            </c:strRef>
          </c:tx>
          <c:spPr>
            <a:ln w="25400" cap="rnd">
              <a:noFill/>
              <a:round/>
            </a:ln>
            <a:effectLst/>
          </c:spPr>
          <c:marker>
            <c:symbol val="circle"/>
            <c:size val="22"/>
            <c:spPr>
              <a:solidFill>
                <a:schemeClr val="accent6">
                  <a:lumMod val="40000"/>
                  <a:lumOff val="60000"/>
                </a:schemeClr>
              </a:solidFill>
              <a:ln w="12700">
                <a:solidFill>
                  <a:srgbClr val="0070C0"/>
                </a:solidFill>
              </a:ln>
              <a:effectLst/>
            </c:spPr>
          </c:marker>
          <c:xVal>
            <c:numRef>
              <c:f>'Summary per Company and Use Cas'!$B$35</c:f>
              <c:numCache>
                <c:formatCode>0%</c:formatCode>
                <c:ptCount val="1"/>
                <c:pt idx="0">
                  <c:v>0.26262626262626265</c:v>
                </c:pt>
              </c:numCache>
            </c:numRef>
          </c:xVal>
          <c:yVal>
            <c:numRef>
              <c:f>'Summary per Company and Use Cas'!$B$36</c:f>
              <c:numCache>
                <c:formatCode>0%</c:formatCode>
                <c:ptCount val="1"/>
                <c:pt idx="0">
                  <c:v>0.44444444444444453</c:v>
                </c:pt>
              </c:numCache>
            </c:numRef>
          </c:yVal>
          <c:smooth val="0"/>
          <c:extLst>
            <c:ext xmlns:c16="http://schemas.microsoft.com/office/drawing/2014/chart" uri="{C3380CC4-5D6E-409C-BE32-E72D297353CC}">
              <c16:uniqueId val="{00000001-88C4-42E7-99A7-B7EF16D65D8F}"/>
            </c:ext>
          </c:extLst>
        </c:ser>
        <c:dLbls>
          <c:showLegendKey val="0"/>
          <c:showVal val="0"/>
          <c:showCatName val="0"/>
          <c:showSerName val="0"/>
          <c:showPercent val="0"/>
          <c:showBubbleSize val="0"/>
        </c:dLbls>
        <c:axId val="670910000"/>
        <c:axId val="670909168"/>
      </c:scatterChart>
      <c:valAx>
        <c:axId val="67091000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CUSTOMER BEHAVIOUR</a:t>
                </a:r>
              </a:p>
            </c:rich>
          </c:tx>
          <c:layout>
            <c:manualLayout>
              <c:xMode val="edge"/>
              <c:yMode val="edge"/>
              <c:x val="0.43914531080234409"/>
              <c:y val="0.85359960169619975"/>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600" b="0" i="0" u="none" strike="noStrike" kern="1200" cap="none" spc="20" normalizeH="0" baseline="0">
                <a:solidFill>
                  <a:sysClr val="windowText" lastClr="000000"/>
                </a:solidFill>
                <a:latin typeface="+mn-lt"/>
                <a:ea typeface="+mn-ea"/>
                <a:cs typeface="+mn-cs"/>
              </a:defRPr>
            </a:pPr>
            <a:endParaRPr lang="LID4096"/>
          </a:p>
        </c:txPr>
        <c:crossAx val="670909168"/>
        <c:crosses val="autoZero"/>
        <c:crossBetween val="midCat"/>
      </c:valAx>
      <c:valAx>
        <c:axId val="6709091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PRODUCT BEHAVIOUR</a:t>
                </a:r>
              </a:p>
            </c:rich>
          </c:tx>
          <c:layout>
            <c:manualLayout>
              <c:xMode val="edge"/>
              <c:yMode val="edge"/>
              <c:x val="1.2515717978000841E-2"/>
              <c:y val="0.2707468879668049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600" b="0" i="0" u="none" strike="noStrike" kern="1200" spc="20" baseline="0">
                <a:solidFill>
                  <a:sysClr val="windowText" lastClr="000000"/>
                </a:solidFill>
                <a:latin typeface="+mn-lt"/>
                <a:ea typeface="+mn-ea"/>
                <a:cs typeface="+mn-cs"/>
              </a:defRPr>
            </a:pPr>
            <a:endParaRPr lang="LID4096"/>
          </a:p>
        </c:txPr>
        <c:crossAx val="670910000"/>
        <c:crosses val="autoZero"/>
        <c:crossBetween val="midCat"/>
      </c:valAx>
      <c:spPr>
        <a:noFill/>
        <a:ln w="25400">
          <a:noFill/>
        </a:ln>
        <a:effectLst/>
      </c:spPr>
    </c:plotArea>
    <c:legend>
      <c:legendPos val="b"/>
      <c:layout>
        <c:manualLayout>
          <c:xMode val="edge"/>
          <c:yMode val="edge"/>
          <c:x val="0.29068494010122009"/>
          <c:y val="0.90707979709119491"/>
          <c:w val="0.43766445785847152"/>
          <c:h val="6.022435430865258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r>
              <a:rPr lang="de-DE" sz="2100" b="1">
                <a:solidFill>
                  <a:sysClr val="windowText" lastClr="000000"/>
                </a:solidFill>
              </a:rPr>
              <a:t>%</a:t>
            </a:r>
            <a:r>
              <a:rPr lang="de-DE" sz="2100" b="1" baseline="0">
                <a:solidFill>
                  <a:sysClr val="windowText" lastClr="000000"/>
                </a:solidFill>
              </a:rPr>
              <a:t>  product / customer relevant </a:t>
            </a:r>
            <a:r>
              <a:rPr lang="de-DE" sz="2100" b="1" i="0" u="none" strike="noStrike" cap="none" normalizeH="0" baseline="0">
                <a:solidFill>
                  <a:sysClr val="windowText" lastClr="000000"/>
                </a:solidFill>
                <a:effectLst/>
              </a:rPr>
              <a:t>announcements </a:t>
            </a:r>
            <a:endParaRPr lang="de-DE" sz="2100" b="1">
              <a:solidFill>
                <a:sysClr val="windowText" lastClr="000000"/>
              </a:solidFill>
            </a:endParaRPr>
          </a:p>
        </c:rich>
      </c:tx>
      <c:layout>
        <c:manualLayout>
          <c:xMode val="edge"/>
          <c:yMode val="edge"/>
          <c:x val="0.25198049455332977"/>
          <c:y val="3.5854280793183681E-2"/>
        </c:manualLayout>
      </c:layout>
      <c:overlay val="0"/>
      <c:spPr>
        <a:noFill/>
        <a:ln>
          <a:noFill/>
        </a:ln>
        <a:effectLst/>
      </c:spPr>
      <c:txPr>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endParaRPr lang="LID4096"/>
        </a:p>
      </c:txPr>
    </c:title>
    <c:autoTitleDeleted val="0"/>
    <c:plotArea>
      <c:layout>
        <c:manualLayout>
          <c:layoutTarget val="inner"/>
          <c:xMode val="edge"/>
          <c:yMode val="edge"/>
          <c:x val="0.12487011981999274"/>
          <c:y val="0.13564145658263305"/>
          <c:w val="0.85130216901774047"/>
          <c:h val="0.64010445753104395"/>
        </c:manualLayout>
      </c:layout>
      <c:scatterChart>
        <c:scatterStyle val="lineMarker"/>
        <c:varyColors val="0"/>
        <c:ser>
          <c:idx val="0"/>
          <c:order val="0"/>
          <c:tx>
            <c:strRef>
              <c:f>'Summary per Company and Use Cas'!$A$53</c:f>
              <c:strCache>
                <c:ptCount val="1"/>
                <c:pt idx="0">
                  <c:v>Ridepooling</c:v>
                </c:pt>
              </c:strCache>
            </c:strRef>
          </c:tx>
          <c:spPr>
            <a:ln w="6350" cap="rnd">
              <a:noFill/>
              <a:round/>
            </a:ln>
            <a:effectLst/>
          </c:spPr>
          <c:marker>
            <c:symbol val="circle"/>
            <c:size val="22"/>
            <c:spPr>
              <a:solidFill>
                <a:srgbClr val="385723"/>
              </a:solidFill>
              <a:ln w="6350">
                <a:noFill/>
              </a:ln>
              <a:effectLst/>
            </c:spPr>
          </c:marker>
          <c:xVal>
            <c:numRef>
              <c:f>'Summary per Company and Use Cas'!$B$60</c:f>
              <c:numCache>
                <c:formatCode>0%</c:formatCode>
                <c:ptCount val="1"/>
                <c:pt idx="0">
                  <c:v>0.27941176470588236</c:v>
                </c:pt>
              </c:numCache>
            </c:numRef>
          </c:xVal>
          <c:yVal>
            <c:numRef>
              <c:f>'Summary per Company and Use Cas'!$B$61</c:f>
              <c:numCache>
                <c:formatCode>0%</c:formatCode>
                <c:ptCount val="1"/>
                <c:pt idx="0">
                  <c:v>0.41176470588235298</c:v>
                </c:pt>
              </c:numCache>
            </c:numRef>
          </c:yVal>
          <c:smooth val="0"/>
          <c:extLst>
            <c:ext xmlns:c16="http://schemas.microsoft.com/office/drawing/2014/chart" uri="{C3380CC4-5D6E-409C-BE32-E72D297353CC}">
              <c16:uniqueId val="{00000000-0077-48DA-B8C5-C1F613F25B7A}"/>
            </c:ext>
          </c:extLst>
        </c:ser>
        <c:ser>
          <c:idx val="1"/>
          <c:order val="1"/>
          <c:tx>
            <c:strRef>
              <c:f>'Summary per Company and Use Cas'!$A$63</c:f>
              <c:strCache>
                <c:ptCount val="1"/>
                <c:pt idx="0">
                  <c:v>Ridehailing</c:v>
                </c:pt>
              </c:strCache>
            </c:strRef>
          </c:tx>
          <c:spPr>
            <a:ln w="25400" cap="rnd">
              <a:noFill/>
              <a:round/>
            </a:ln>
            <a:effectLst/>
          </c:spPr>
          <c:marker>
            <c:symbol val="circle"/>
            <c:size val="22"/>
            <c:spPr>
              <a:solidFill>
                <a:srgbClr val="70AD47"/>
              </a:solidFill>
              <a:ln w="38100">
                <a:noFill/>
              </a:ln>
              <a:effectLst/>
            </c:spPr>
          </c:marker>
          <c:xVal>
            <c:numRef>
              <c:f>'Summary per Company and Use Cas'!$B$70</c:f>
              <c:numCache>
                <c:formatCode>0%</c:formatCode>
                <c:ptCount val="1"/>
                <c:pt idx="0">
                  <c:v>0.22580645161290322</c:v>
                </c:pt>
              </c:numCache>
            </c:numRef>
          </c:xVal>
          <c:yVal>
            <c:numRef>
              <c:f>'Summary per Company and Use Cas'!$B$71</c:f>
              <c:numCache>
                <c:formatCode>0%</c:formatCode>
                <c:ptCount val="1"/>
                <c:pt idx="0">
                  <c:v>0.5161290322580645</c:v>
                </c:pt>
              </c:numCache>
            </c:numRef>
          </c:yVal>
          <c:smooth val="0"/>
          <c:extLst>
            <c:ext xmlns:c16="http://schemas.microsoft.com/office/drawing/2014/chart" uri="{C3380CC4-5D6E-409C-BE32-E72D297353CC}">
              <c16:uniqueId val="{00000001-0077-48DA-B8C5-C1F613F25B7A}"/>
            </c:ext>
          </c:extLst>
        </c:ser>
        <c:ser>
          <c:idx val="2"/>
          <c:order val="2"/>
          <c:tx>
            <c:strRef>
              <c:f>'Summary per Company and Use Cas'!$A$73</c:f>
              <c:strCache>
                <c:ptCount val="1"/>
                <c:pt idx="0">
                  <c:v>Trucking</c:v>
                </c:pt>
              </c:strCache>
            </c:strRef>
          </c:tx>
          <c:spPr>
            <a:ln w="25400" cap="rnd">
              <a:noFill/>
              <a:round/>
            </a:ln>
            <a:effectLst/>
          </c:spPr>
          <c:marker>
            <c:symbol val="circle"/>
            <c:size val="22"/>
            <c:spPr>
              <a:solidFill>
                <a:schemeClr val="accent5"/>
              </a:solidFill>
              <a:ln w="38100">
                <a:noFill/>
              </a:ln>
              <a:effectLst/>
            </c:spPr>
          </c:marker>
          <c:xVal>
            <c:numRef>
              <c:f>'Summary per Company and Use Cas'!$B$80</c:f>
              <c:numCache>
                <c:formatCode>0%</c:formatCode>
                <c:ptCount val="1"/>
                <c:pt idx="0">
                  <c:v>0.4</c:v>
                </c:pt>
              </c:numCache>
            </c:numRef>
          </c:xVal>
          <c:yVal>
            <c:numRef>
              <c:f>'Summary per Company and Use Cas'!$B$81</c:f>
              <c:numCache>
                <c:formatCode>0%</c:formatCode>
                <c:ptCount val="1"/>
                <c:pt idx="0">
                  <c:v>0.43076923076923079</c:v>
                </c:pt>
              </c:numCache>
            </c:numRef>
          </c:yVal>
          <c:smooth val="0"/>
          <c:extLst>
            <c:ext xmlns:c16="http://schemas.microsoft.com/office/drawing/2014/chart" uri="{C3380CC4-5D6E-409C-BE32-E72D297353CC}">
              <c16:uniqueId val="{00000002-0077-48DA-B8C5-C1F613F25B7A}"/>
            </c:ext>
          </c:extLst>
        </c:ser>
        <c:ser>
          <c:idx val="3"/>
          <c:order val="3"/>
          <c:tx>
            <c:strRef>
              <c:f>'Summary per Company and Use Cas'!$A$83</c:f>
              <c:strCache>
                <c:ptCount val="1"/>
                <c:pt idx="0">
                  <c:v>Last-Mile</c:v>
                </c:pt>
              </c:strCache>
            </c:strRef>
          </c:tx>
          <c:spPr>
            <a:ln w="25400" cap="rnd">
              <a:noFill/>
              <a:round/>
            </a:ln>
            <a:effectLst/>
          </c:spPr>
          <c:marker>
            <c:symbol val="circle"/>
            <c:size val="22"/>
            <c:spPr>
              <a:solidFill>
                <a:schemeClr val="accent1">
                  <a:lumMod val="50000"/>
                </a:schemeClr>
              </a:solidFill>
              <a:ln w="12700">
                <a:solidFill>
                  <a:srgbClr val="0070C0"/>
                </a:solidFill>
              </a:ln>
              <a:effectLst/>
            </c:spPr>
          </c:marker>
          <c:xVal>
            <c:numRef>
              <c:f>'Summary per Company and Use Cas'!$B$90</c:f>
              <c:numCache>
                <c:formatCode>0%</c:formatCode>
                <c:ptCount val="1"/>
                <c:pt idx="0">
                  <c:v>0.72413793103448276</c:v>
                </c:pt>
              </c:numCache>
            </c:numRef>
          </c:xVal>
          <c:yVal>
            <c:numRef>
              <c:f>'Summary per Company and Use Cas'!$B$91</c:f>
              <c:numCache>
                <c:formatCode>0%</c:formatCode>
                <c:ptCount val="1"/>
                <c:pt idx="0">
                  <c:v>6.8965517241379309E-2</c:v>
                </c:pt>
              </c:numCache>
            </c:numRef>
          </c:yVal>
          <c:smooth val="0"/>
          <c:extLst>
            <c:ext xmlns:c16="http://schemas.microsoft.com/office/drawing/2014/chart" uri="{C3380CC4-5D6E-409C-BE32-E72D297353CC}">
              <c16:uniqueId val="{00000003-0077-48DA-B8C5-C1F613F25B7A}"/>
            </c:ext>
          </c:extLst>
        </c:ser>
        <c:dLbls>
          <c:showLegendKey val="0"/>
          <c:showVal val="0"/>
          <c:showCatName val="0"/>
          <c:showSerName val="0"/>
          <c:showPercent val="0"/>
          <c:showBubbleSize val="0"/>
        </c:dLbls>
        <c:axId val="670910000"/>
        <c:axId val="670909168"/>
      </c:scatterChart>
      <c:valAx>
        <c:axId val="67091000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CUSTOMER BEHAVIOUR</a:t>
                </a:r>
              </a:p>
            </c:rich>
          </c:tx>
          <c:layout>
            <c:manualLayout>
              <c:xMode val="edge"/>
              <c:yMode val="edge"/>
              <c:x val="0.4315606461681572"/>
              <c:y val="0.86770661323642551"/>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600" b="0" i="0" u="none" strike="noStrike" kern="1200" cap="none" spc="20" normalizeH="0" baseline="0">
                <a:solidFill>
                  <a:sysClr val="windowText" lastClr="000000"/>
                </a:solidFill>
                <a:latin typeface="+mn-lt"/>
                <a:ea typeface="+mn-ea"/>
                <a:cs typeface="+mn-cs"/>
              </a:defRPr>
            </a:pPr>
            <a:endParaRPr lang="LID4096"/>
          </a:p>
        </c:txPr>
        <c:crossAx val="670909168"/>
        <c:crosses val="autoZero"/>
        <c:crossBetween val="midCat"/>
      </c:valAx>
      <c:valAx>
        <c:axId val="6709091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PRODUCT BEHAVIOUR</a:t>
                </a:r>
              </a:p>
            </c:rich>
          </c:tx>
          <c:layout>
            <c:manualLayout>
              <c:xMode val="edge"/>
              <c:yMode val="edge"/>
              <c:x val="1.2515717978000841E-2"/>
              <c:y val="0.2707468879668049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600" b="0" i="0" u="none" strike="noStrike" kern="1200" spc="20" baseline="0">
                <a:solidFill>
                  <a:sysClr val="windowText" lastClr="000000"/>
                </a:solidFill>
                <a:latin typeface="+mn-lt"/>
                <a:ea typeface="+mn-ea"/>
                <a:cs typeface="+mn-cs"/>
              </a:defRPr>
            </a:pPr>
            <a:endParaRPr lang="LID4096"/>
          </a:p>
        </c:txPr>
        <c:crossAx val="670910000"/>
        <c:crosses val="autoZero"/>
        <c:crossBetween val="midCat"/>
      </c:valAx>
      <c:spPr>
        <a:noFill/>
        <a:ln>
          <a:noFill/>
        </a:ln>
        <a:effectLst/>
      </c:spPr>
    </c:plotArea>
    <c:legend>
      <c:legendPos val="b"/>
      <c:layout>
        <c:manualLayout>
          <c:xMode val="edge"/>
          <c:yMode val="edge"/>
          <c:x val="0.15759336928252668"/>
          <c:y val="0.93263888534054784"/>
          <c:w val="0.71793991008693614"/>
          <c:h val="4.636274193366948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r>
              <a:rPr lang="de-DE" sz="2100" b="1">
                <a:solidFill>
                  <a:sysClr val="windowText" lastClr="000000"/>
                </a:solidFill>
              </a:rPr>
              <a:t>%</a:t>
            </a:r>
            <a:r>
              <a:rPr lang="de-DE" sz="2100" b="1" baseline="0">
                <a:solidFill>
                  <a:sysClr val="windowText" lastClr="000000"/>
                </a:solidFill>
              </a:rPr>
              <a:t> equity / unserious </a:t>
            </a:r>
            <a:r>
              <a:rPr lang="de-DE" sz="2100" b="1" i="0" u="none" strike="noStrike" cap="none" normalizeH="0" baseline="0">
                <a:solidFill>
                  <a:sysClr val="windowText" lastClr="000000"/>
                </a:solidFill>
                <a:effectLst/>
              </a:rPr>
              <a:t>announcements </a:t>
            </a:r>
            <a:endParaRPr lang="de-DE" sz="2100" b="1">
              <a:solidFill>
                <a:sysClr val="windowText" lastClr="000000"/>
              </a:solidFill>
            </a:endParaRPr>
          </a:p>
        </c:rich>
      </c:tx>
      <c:layout>
        <c:manualLayout>
          <c:xMode val="edge"/>
          <c:yMode val="edge"/>
          <c:x val="0.31220150447738948"/>
          <c:y val="3.5854264597932783E-2"/>
        </c:manualLayout>
      </c:layout>
      <c:overlay val="0"/>
      <c:spPr>
        <a:noFill/>
        <a:ln>
          <a:noFill/>
        </a:ln>
        <a:effectLst/>
      </c:spPr>
      <c:txPr>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endParaRPr lang="LID4096"/>
        </a:p>
      </c:txPr>
    </c:title>
    <c:autoTitleDeleted val="0"/>
    <c:plotArea>
      <c:layout>
        <c:manualLayout>
          <c:layoutTarget val="inner"/>
          <c:xMode val="edge"/>
          <c:yMode val="edge"/>
          <c:x val="0.12487011981999274"/>
          <c:y val="0.13564145658263305"/>
          <c:w val="0.85130216901774047"/>
          <c:h val="0.64010445753104395"/>
        </c:manualLayout>
      </c:layout>
      <c:scatterChart>
        <c:scatterStyle val="lineMarker"/>
        <c:varyColors val="0"/>
        <c:ser>
          <c:idx val="0"/>
          <c:order val="0"/>
          <c:tx>
            <c:strRef>
              <c:f>'Summary per Company and Use Cas'!$A$53</c:f>
              <c:strCache>
                <c:ptCount val="1"/>
                <c:pt idx="0">
                  <c:v>Ridepooling</c:v>
                </c:pt>
              </c:strCache>
            </c:strRef>
          </c:tx>
          <c:spPr>
            <a:ln w="25400" cap="rnd">
              <a:noFill/>
              <a:round/>
            </a:ln>
            <a:effectLst/>
          </c:spPr>
          <c:marker>
            <c:symbol val="circle"/>
            <c:size val="22"/>
            <c:spPr>
              <a:solidFill>
                <a:schemeClr val="accent6">
                  <a:lumMod val="50000"/>
                </a:schemeClr>
              </a:solidFill>
              <a:ln w="6350">
                <a:noFill/>
              </a:ln>
              <a:effectLst/>
            </c:spPr>
          </c:marker>
          <c:xVal>
            <c:numRef>
              <c:f>'Summary per Company and Use Cas'!$M$60</c:f>
              <c:numCache>
                <c:formatCode>0%</c:formatCode>
                <c:ptCount val="1"/>
                <c:pt idx="0">
                  <c:v>0.71186440677966101</c:v>
                </c:pt>
              </c:numCache>
            </c:numRef>
          </c:xVal>
          <c:yVal>
            <c:numRef>
              <c:f>'Summary per Company and Use Cas'!$M$61</c:f>
              <c:numCache>
                <c:formatCode>0%</c:formatCode>
                <c:ptCount val="1"/>
                <c:pt idx="0">
                  <c:v>3.3898305084745763E-2</c:v>
                </c:pt>
              </c:numCache>
            </c:numRef>
          </c:yVal>
          <c:smooth val="0"/>
          <c:extLst>
            <c:ext xmlns:c16="http://schemas.microsoft.com/office/drawing/2014/chart" uri="{C3380CC4-5D6E-409C-BE32-E72D297353CC}">
              <c16:uniqueId val="{00000000-CE9A-4713-9D25-594BAC9363B8}"/>
            </c:ext>
          </c:extLst>
        </c:ser>
        <c:ser>
          <c:idx val="1"/>
          <c:order val="1"/>
          <c:tx>
            <c:strRef>
              <c:f>'Summary per Company and Use Cas'!$A$63</c:f>
              <c:strCache>
                <c:ptCount val="1"/>
                <c:pt idx="0">
                  <c:v>Ridehailing</c:v>
                </c:pt>
              </c:strCache>
            </c:strRef>
          </c:tx>
          <c:spPr>
            <a:ln w="25400" cap="rnd">
              <a:noFill/>
              <a:round/>
            </a:ln>
            <a:effectLst/>
          </c:spPr>
          <c:marker>
            <c:symbol val="circle"/>
            <c:size val="22"/>
            <c:spPr>
              <a:solidFill>
                <a:schemeClr val="accent6"/>
              </a:solidFill>
              <a:ln w="38100">
                <a:noFill/>
              </a:ln>
              <a:effectLst/>
            </c:spPr>
          </c:marker>
          <c:xVal>
            <c:numRef>
              <c:f>'Summary per Company and Use Cas'!$M$70</c:f>
              <c:numCache>
                <c:formatCode>0%</c:formatCode>
                <c:ptCount val="1"/>
                <c:pt idx="0">
                  <c:v>0.625</c:v>
                </c:pt>
              </c:numCache>
            </c:numRef>
          </c:xVal>
          <c:yVal>
            <c:numRef>
              <c:f>'Summary per Company and Use Cas'!$M$71</c:f>
              <c:numCache>
                <c:formatCode>0%</c:formatCode>
                <c:ptCount val="1"/>
                <c:pt idx="0">
                  <c:v>0.16666666666666666</c:v>
                </c:pt>
              </c:numCache>
            </c:numRef>
          </c:yVal>
          <c:smooth val="0"/>
          <c:extLst>
            <c:ext xmlns:c16="http://schemas.microsoft.com/office/drawing/2014/chart" uri="{C3380CC4-5D6E-409C-BE32-E72D297353CC}">
              <c16:uniqueId val="{00000001-CE9A-4713-9D25-594BAC9363B8}"/>
            </c:ext>
          </c:extLst>
        </c:ser>
        <c:ser>
          <c:idx val="2"/>
          <c:order val="2"/>
          <c:tx>
            <c:strRef>
              <c:f>'Summary per Company and Use Cas'!$A$73</c:f>
              <c:strCache>
                <c:ptCount val="1"/>
                <c:pt idx="0">
                  <c:v>Trucking</c:v>
                </c:pt>
              </c:strCache>
            </c:strRef>
          </c:tx>
          <c:spPr>
            <a:ln w="25400" cap="rnd">
              <a:noFill/>
              <a:round/>
            </a:ln>
            <a:effectLst/>
          </c:spPr>
          <c:marker>
            <c:symbol val="circle"/>
            <c:size val="22"/>
            <c:spPr>
              <a:solidFill>
                <a:schemeClr val="accent5"/>
              </a:solidFill>
              <a:ln w="38100">
                <a:noFill/>
              </a:ln>
              <a:effectLst/>
            </c:spPr>
          </c:marker>
          <c:xVal>
            <c:numRef>
              <c:f>'Summary per Company and Use Cas'!$M$80</c:f>
              <c:numCache>
                <c:formatCode>0%</c:formatCode>
                <c:ptCount val="1"/>
                <c:pt idx="0">
                  <c:v>0.59259259259259256</c:v>
                </c:pt>
              </c:numCache>
            </c:numRef>
          </c:xVal>
          <c:yVal>
            <c:numRef>
              <c:f>'Summary per Company and Use Cas'!$M$81</c:f>
              <c:numCache>
                <c:formatCode>0%</c:formatCode>
                <c:ptCount val="1"/>
                <c:pt idx="0">
                  <c:v>0.1111111111111111</c:v>
                </c:pt>
              </c:numCache>
            </c:numRef>
          </c:yVal>
          <c:smooth val="0"/>
          <c:extLst>
            <c:ext xmlns:c16="http://schemas.microsoft.com/office/drawing/2014/chart" uri="{C3380CC4-5D6E-409C-BE32-E72D297353CC}">
              <c16:uniqueId val="{00000002-CE9A-4713-9D25-594BAC9363B8}"/>
            </c:ext>
          </c:extLst>
        </c:ser>
        <c:ser>
          <c:idx val="3"/>
          <c:order val="3"/>
          <c:tx>
            <c:strRef>
              <c:f>'Summary per Company and Use Cas'!$A$83</c:f>
              <c:strCache>
                <c:ptCount val="1"/>
                <c:pt idx="0">
                  <c:v>Last-Mile</c:v>
                </c:pt>
              </c:strCache>
            </c:strRef>
          </c:tx>
          <c:spPr>
            <a:ln w="25400" cap="rnd">
              <a:noFill/>
              <a:round/>
            </a:ln>
            <a:effectLst/>
          </c:spPr>
          <c:marker>
            <c:symbol val="circle"/>
            <c:size val="22"/>
            <c:spPr>
              <a:solidFill>
                <a:schemeClr val="accent1">
                  <a:lumMod val="50000"/>
                </a:schemeClr>
              </a:solidFill>
              <a:ln w="38100">
                <a:noFill/>
              </a:ln>
              <a:effectLst/>
            </c:spPr>
          </c:marker>
          <c:dPt>
            <c:idx val="0"/>
            <c:marker>
              <c:symbol val="circle"/>
              <c:size val="22"/>
              <c:spPr>
                <a:solidFill>
                  <a:schemeClr val="accent1">
                    <a:lumMod val="50000"/>
                  </a:schemeClr>
                </a:solidFill>
                <a:ln w="12700">
                  <a:solidFill>
                    <a:srgbClr val="0070C0"/>
                  </a:solidFill>
                </a:ln>
                <a:effectLst/>
              </c:spPr>
            </c:marker>
            <c:bubble3D val="0"/>
            <c:extLst>
              <c:ext xmlns:c16="http://schemas.microsoft.com/office/drawing/2014/chart" uri="{C3380CC4-5D6E-409C-BE32-E72D297353CC}">
                <c16:uniqueId val="{00000003-CE9A-4713-9D25-594BAC9363B8}"/>
              </c:ext>
            </c:extLst>
          </c:dPt>
          <c:xVal>
            <c:numRef>
              <c:f>'Summary per Company and Use Cas'!$M$90</c:f>
              <c:numCache>
                <c:formatCode>0%</c:formatCode>
                <c:ptCount val="1"/>
                <c:pt idx="0">
                  <c:v>0.7407407407407407</c:v>
                </c:pt>
              </c:numCache>
            </c:numRef>
          </c:xVal>
          <c:yVal>
            <c:numRef>
              <c:f>'Summary per Company and Use Cas'!$M$91</c:f>
              <c:numCache>
                <c:formatCode>0%</c:formatCode>
                <c:ptCount val="1"/>
                <c:pt idx="0">
                  <c:v>7.407407407407407E-2</c:v>
                </c:pt>
              </c:numCache>
            </c:numRef>
          </c:yVal>
          <c:smooth val="0"/>
          <c:extLst>
            <c:ext xmlns:c16="http://schemas.microsoft.com/office/drawing/2014/chart" uri="{C3380CC4-5D6E-409C-BE32-E72D297353CC}">
              <c16:uniqueId val="{00000004-CE9A-4713-9D25-594BAC9363B8}"/>
            </c:ext>
          </c:extLst>
        </c:ser>
        <c:dLbls>
          <c:showLegendKey val="0"/>
          <c:showVal val="0"/>
          <c:showCatName val="0"/>
          <c:showSerName val="0"/>
          <c:showPercent val="0"/>
          <c:showBubbleSize val="0"/>
        </c:dLbls>
        <c:axId val="670910000"/>
        <c:axId val="670909168"/>
      </c:scatterChart>
      <c:valAx>
        <c:axId val="67091000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Unserious</a:t>
                </a:r>
                <a:r>
                  <a:rPr lang="de-DE" sz="1400" baseline="0">
                    <a:solidFill>
                      <a:schemeClr val="tx1"/>
                    </a:solidFill>
                  </a:rPr>
                  <a:t> agreements</a:t>
                </a:r>
                <a:endParaRPr lang="de-DE" sz="1400">
                  <a:solidFill>
                    <a:schemeClr val="tx1"/>
                  </a:solidFill>
                </a:endParaRPr>
              </a:p>
            </c:rich>
          </c:tx>
          <c:layout>
            <c:manualLayout>
              <c:xMode val="edge"/>
              <c:yMode val="edge"/>
              <c:x val="0.4285316208817973"/>
              <c:y val="0.87465418634440162"/>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600" b="0" i="0" u="none" strike="noStrike" kern="1200" cap="none" spc="20" normalizeH="0" baseline="0">
                <a:solidFill>
                  <a:sysClr val="windowText" lastClr="000000"/>
                </a:solidFill>
                <a:latin typeface="+mn-lt"/>
                <a:ea typeface="+mn-ea"/>
                <a:cs typeface="+mn-cs"/>
              </a:defRPr>
            </a:pPr>
            <a:endParaRPr lang="LID4096"/>
          </a:p>
        </c:txPr>
        <c:crossAx val="670909168"/>
        <c:crosses val="autoZero"/>
        <c:crossBetween val="midCat"/>
      </c:valAx>
      <c:valAx>
        <c:axId val="670909168"/>
        <c:scaling>
          <c:orientation val="minMax"/>
          <c:max val="0.2"/>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Equity BEHAVIOUR</a:t>
                </a:r>
              </a:p>
            </c:rich>
          </c:tx>
          <c:layout>
            <c:manualLayout>
              <c:xMode val="edge"/>
              <c:yMode val="edge"/>
              <c:x val="1.0853112330491644E-2"/>
              <c:y val="0.2707469493210054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600" b="0" i="0" u="none" strike="noStrike" kern="1200" spc="20" baseline="0">
                <a:solidFill>
                  <a:sysClr val="windowText" lastClr="000000"/>
                </a:solidFill>
                <a:latin typeface="+mn-lt"/>
                <a:ea typeface="+mn-ea"/>
                <a:cs typeface="+mn-cs"/>
              </a:defRPr>
            </a:pPr>
            <a:endParaRPr lang="LID4096"/>
          </a:p>
        </c:txPr>
        <c:crossAx val="670910000"/>
        <c:crosses val="autoZero"/>
        <c:crossBetween val="midCat"/>
      </c:valAx>
      <c:spPr>
        <a:noFill/>
        <a:ln>
          <a:noFill/>
        </a:ln>
        <a:effectLst/>
      </c:spPr>
    </c:plotArea>
    <c:legend>
      <c:legendPos val="b"/>
      <c:layout>
        <c:manualLayout>
          <c:xMode val="edge"/>
          <c:yMode val="edge"/>
          <c:x val="0.1744297744599321"/>
          <c:y val="0.93018392352359269"/>
          <c:w val="0.66935262418315655"/>
          <c:h val="6.022435430865258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Purpose</a:t>
            </a:r>
            <a:r>
              <a:rPr lang="de-DE" b="1" baseline="0"/>
              <a:t> Other</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4.2182679387814899E-2"/>
          <c:y val="0.12569362481275057"/>
          <c:w val="0.93124991910147792"/>
          <c:h val="0.74443139822745696"/>
        </c:manualLayout>
      </c:layout>
      <c:barChart>
        <c:barDir val="col"/>
        <c:grouping val="clustered"/>
        <c:varyColors val="0"/>
        <c:ser>
          <c:idx val="0"/>
          <c:order val="0"/>
          <c:tx>
            <c:strRef>
              <c:f>'Summary per Company and Use Cas'!$A$53</c:f>
              <c:strCache>
                <c:ptCount val="1"/>
                <c:pt idx="0">
                  <c:v>Ridepooling</c:v>
                </c:pt>
              </c:strCache>
            </c:strRef>
          </c:tx>
          <c:spPr>
            <a:solidFill>
              <a:schemeClr val="accent2">
                <a:lumMod val="40000"/>
                <a:lumOff val="6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264C-479B-B7CB-EB7C686C90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Cas'!$B$93:$J$93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Cas'!$B$97:$J$97</c:f>
              <c:numCache>
                <c:formatCode>0%</c:formatCode>
                <c:ptCount val="9"/>
                <c:pt idx="0">
                  <c:v>0.3125</c:v>
                </c:pt>
                <c:pt idx="1">
                  <c:v>0</c:v>
                </c:pt>
                <c:pt idx="2">
                  <c:v>0</c:v>
                </c:pt>
                <c:pt idx="3">
                  <c:v>0.125</c:v>
                </c:pt>
                <c:pt idx="4">
                  <c:v>0</c:v>
                </c:pt>
                <c:pt idx="5">
                  <c:v>0.125</c:v>
                </c:pt>
                <c:pt idx="6">
                  <c:v>0</c:v>
                </c:pt>
                <c:pt idx="7">
                  <c:v>0.125</c:v>
                </c:pt>
                <c:pt idx="8">
                  <c:v>0.3125</c:v>
                </c:pt>
              </c:numCache>
            </c:numRef>
          </c:val>
          <c:extLst xmlns:c15="http://schemas.microsoft.com/office/drawing/2012/chart">
            <c:ext xmlns:c16="http://schemas.microsoft.com/office/drawing/2014/chart" uri="{C3380CC4-5D6E-409C-BE32-E72D297353CC}">
              <c16:uniqueId val="{00000002-264C-479B-B7CB-EB7C686C9045}"/>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1"/>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Cas'!$B$93:$J$93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c:ext uri="{02D57815-91ED-43cb-92C2-25804820EDAC}">
                        <c15:formulaRef>
                          <c15:sqref>'Summary per Company and Use Cas'!$B$79:$J$79</c15:sqref>
                        </c15:formulaRef>
                      </c:ext>
                    </c:extLst>
                    <c:numCache>
                      <c:formatCode>0%</c:formatCode>
                      <c:ptCount val="9"/>
                      <c:pt idx="0">
                        <c:v>0.27692307692307694</c:v>
                      </c:pt>
                      <c:pt idx="1">
                        <c:v>3.0769230769230771E-2</c:v>
                      </c:pt>
                      <c:pt idx="2">
                        <c:v>0.1076923076923077</c:v>
                      </c:pt>
                      <c:pt idx="3">
                        <c:v>4.6153846153846156E-2</c:v>
                      </c:pt>
                      <c:pt idx="4">
                        <c:v>0.29230769230769232</c:v>
                      </c:pt>
                      <c:pt idx="5">
                        <c:v>0.1076923076923077</c:v>
                      </c:pt>
                      <c:pt idx="6">
                        <c:v>0</c:v>
                      </c:pt>
                      <c:pt idx="7">
                        <c:v>1.5384615384615385E-2</c:v>
                      </c:pt>
                      <c:pt idx="8">
                        <c:v>0.12307692307692308</c:v>
                      </c:pt>
                    </c:numCache>
                  </c:numRef>
                </c:val>
                <c:extLst>
                  <c:ext xmlns:c16="http://schemas.microsoft.com/office/drawing/2014/chart" uri="{C3380CC4-5D6E-409C-BE32-E72D297353CC}">
                    <c16:uniqueId val="{00000004-264C-479B-B7CB-EB7C686C9045}"/>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Cas'!$B$93:$J$93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xmlns:c15="http://schemas.microsoft.com/office/drawing/2012/chart">
                      <c:ext xmlns:c15="http://schemas.microsoft.com/office/drawing/2012/chart" uri="{02D57815-91ED-43cb-92C2-25804820EDAC}">
                        <c15:formulaRef>
                          <c15:sqref>'Summary per Company and Use Cas'!$B$89:$J$89</c15:sqref>
                        </c15:formulaRef>
                      </c:ext>
                    </c:extLst>
                    <c:numCache>
                      <c:formatCode>0%</c:formatCode>
                      <c:ptCount val="9"/>
                      <c:pt idx="0">
                        <c:v>6.8965517241379309E-2</c:v>
                      </c:pt>
                      <c:pt idx="1">
                        <c:v>0</c:v>
                      </c:pt>
                      <c:pt idx="2">
                        <c:v>0.68965517241379315</c:v>
                      </c:pt>
                      <c:pt idx="3">
                        <c:v>3.4482758620689655E-2</c:v>
                      </c:pt>
                      <c:pt idx="4">
                        <c:v>3.4482758620689655E-2</c:v>
                      </c:pt>
                      <c:pt idx="5">
                        <c:v>0.13793103448275862</c:v>
                      </c:pt>
                      <c:pt idx="6">
                        <c:v>0</c:v>
                      </c:pt>
                      <c:pt idx="7">
                        <c:v>3.4482758620689655E-2</c:v>
                      </c:pt>
                      <c:pt idx="8">
                        <c:v>0</c:v>
                      </c:pt>
                    </c:numCache>
                  </c:numRef>
                </c:val>
                <c:extLst xmlns:c15="http://schemas.microsoft.com/office/drawing/2012/chart">
                  <c:ext xmlns:c16="http://schemas.microsoft.com/office/drawing/2014/chart" uri="{C3380CC4-5D6E-409C-BE32-E72D297353CC}">
                    <c16:uniqueId val="{00000005-264C-479B-B7CB-EB7C686C9045}"/>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Structure Other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7.1362663112419275E-2"/>
          <c:y val="0.10411099196735543"/>
          <c:w val="0.92863733688758077"/>
          <c:h val="0.6557861878588076"/>
        </c:manualLayout>
      </c:layout>
      <c:barChart>
        <c:barDir val="col"/>
        <c:grouping val="clustered"/>
        <c:varyColors val="0"/>
        <c:ser>
          <c:idx val="0"/>
          <c:order val="0"/>
          <c:tx>
            <c:strRef>
              <c:f>'Summary per Company and Use Cas'!$A$53</c:f>
              <c:strCache>
                <c:ptCount val="1"/>
                <c:pt idx="0">
                  <c:v>Ridepooling</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Cas'!$M$93:$S$93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Cas'!$M$97:$S$97</c:f>
              <c:numCache>
                <c:formatCode>0%</c:formatCode>
                <c:ptCount val="7"/>
                <c:pt idx="0">
                  <c:v>0.2</c:v>
                </c:pt>
                <c:pt idx="1">
                  <c:v>0.4</c:v>
                </c:pt>
                <c:pt idx="2">
                  <c:v>6.6666666666666666E-2</c:v>
                </c:pt>
                <c:pt idx="3">
                  <c:v>0.26666666666666666</c:v>
                </c:pt>
                <c:pt idx="4">
                  <c:v>0</c:v>
                </c:pt>
                <c:pt idx="5">
                  <c:v>6.6666666666666666E-2</c:v>
                </c:pt>
                <c:pt idx="6">
                  <c:v>0</c:v>
                </c:pt>
              </c:numCache>
            </c:numRef>
          </c:val>
          <c:extLst xmlns:c15="http://schemas.microsoft.com/office/drawing/2012/chart">
            <c:ext xmlns:c16="http://schemas.microsoft.com/office/drawing/2014/chart" uri="{C3380CC4-5D6E-409C-BE32-E72D297353CC}">
              <c16:uniqueId val="{00000000-20DB-474C-90B5-FCCBACD15E60}"/>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1"/>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Cas'!$M$93:$S$93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c:ext uri="{02D57815-91ED-43cb-92C2-25804820EDAC}">
                        <c15:formulaRef>
                          <c15:sqref>'Summary per Company and Use Cas'!$M$79:$S$79</c15:sqref>
                        </c15:formulaRef>
                      </c:ext>
                    </c:extLst>
                    <c:numCache>
                      <c:formatCode>0%</c:formatCode>
                      <c:ptCount val="7"/>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2-20DB-474C-90B5-FCCBACD15E60}"/>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Cas'!$M$93:$S$93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xmlns:c15="http://schemas.microsoft.com/office/drawing/2012/chart">
                      <c:ext xmlns:c15="http://schemas.microsoft.com/office/drawing/2012/chart" uri="{02D57815-91ED-43cb-92C2-25804820EDAC}">
                        <c15:formulaRef>
                          <c15:sqref>'Summary per Company and Use Cas'!$M$89:$S$89</c15:sqref>
                        </c15:formulaRef>
                      </c:ext>
                    </c:extLst>
                    <c:numCache>
                      <c:formatCode>0%</c:formatCode>
                      <c:ptCount val="7"/>
                      <c:pt idx="0">
                        <c:v>3.7037037037037035E-2</c:v>
                      </c:pt>
                      <c:pt idx="1">
                        <c:v>0.66666666666666663</c:v>
                      </c:pt>
                      <c:pt idx="2">
                        <c:v>3.7037037037037035E-2</c:v>
                      </c:pt>
                      <c:pt idx="3">
                        <c:v>0.14814814814814814</c:v>
                      </c:pt>
                      <c:pt idx="4">
                        <c:v>3.7037037037037035E-2</c:v>
                      </c:pt>
                      <c:pt idx="5">
                        <c:v>7.407407407407407E-2</c:v>
                      </c:pt>
                      <c:pt idx="6">
                        <c:v>0</c:v>
                      </c:pt>
                    </c:numCache>
                  </c:numRef>
                </c:val>
                <c:extLst xmlns:c15="http://schemas.microsoft.com/office/drawing/2012/chart">
                  <c:ext xmlns:c16="http://schemas.microsoft.com/office/drawing/2014/chart" uri="{C3380CC4-5D6E-409C-BE32-E72D297353CC}">
                    <c16:uniqueId val="{00000003-20DB-474C-90B5-FCCBACD15E60}"/>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Funding (x)</a:t>
            </a:r>
            <a:r>
              <a:rPr lang="de-DE" baseline="0"/>
              <a:t> - Partnerships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'SUMMARY SAV partnership'!$W$157:$W$169</c:f>
              <c:numCache>
                <c:formatCode>#,##0</c:formatCode>
                <c:ptCount val="13"/>
              </c:numCache>
            </c:numRef>
          </c:xVal>
          <c:yVal>
            <c:numRef>
              <c:f>'SUMMARY SAV partnership'!$I$157:$I$169</c:f>
              <c:numCache>
                <c:formatCode>General</c:formatCode>
                <c:ptCount val="13"/>
              </c:numCache>
            </c:numRef>
          </c:yVal>
          <c:smooth val="0"/>
          <c:extLst>
            <c:ext xmlns:c16="http://schemas.microsoft.com/office/drawing/2014/chart" uri="{C3380CC4-5D6E-409C-BE32-E72D297353CC}">
              <c16:uniqueId val="{00000000-6E89-4C35-9306-11F7FF2E80D2}"/>
            </c:ext>
          </c:extLst>
        </c:ser>
        <c:dLbls>
          <c:showLegendKey val="0"/>
          <c:showVal val="0"/>
          <c:showCatName val="0"/>
          <c:showSerName val="0"/>
          <c:showPercent val="0"/>
          <c:showBubbleSize val="0"/>
        </c:dLbls>
        <c:axId val="60093039"/>
        <c:axId val="60079727"/>
      </c:scatterChart>
      <c:valAx>
        <c:axId val="600930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79727"/>
        <c:crosses val="autoZero"/>
        <c:crossBetween val="midCat"/>
      </c:valAx>
      <c:valAx>
        <c:axId val="600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Headcount (x)</a:t>
            </a:r>
            <a:r>
              <a:rPr lang="de-DE" baseline="0"/>
              <a:t> - Partnerships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'SUMMARY SAV partnership'!$V$157:$V$169</c:f>
              <c:numCache>
                <c:formatCode>General</c:formatCode>
                <c:ptCount val="13"/>
              </c:numCache>
            </c:numRef>
          </c:xVal>
          <c:yVal>
            <c:numRef>
              <c:f>'SUMMARY SAV partnership'!$I$157:$I$169</c:f>
              <c:numCache>
                <c:formatCode>General</c:formatCode>
                <c:ptCount val="13"/>
              </c:numCache>
            </c:numRef>
          </c:yVal>
          <c:smooth val="0"/>
          <c:extLst>
            <c:ext xmlns:c16="http://schemas.microsoft.com/office/drawing/2014/chart" uri="{C3380CC4-5D6E-409C-BE32-E72D297353CC}">
              <c16:uniqueId val="{00000000-6E89-4C35-9306-11F7FF2E80D2}"/>
            </c:ext>
          </c:extLst>
        </c:ser>
        <c:dLbls>
          <c:showLegendKey val="0"/>
          <c:showVal val="0"/>
          <c:showCatName val="0"/>
          <c:showSerName val="0"/>
          <c:showPercent val="0"/>
          <c:showBubbleSize val="0"/>
        </c:dLbls>
        <c:axId val="60093039"/>
        <c:axId val="60079727"/>
      </c:scatterChart>
      <c:valAx>
        <c:axId val="60093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79727"/>
        <c:crosses val="autoZero"/>
        <c:crossBetween val="midCat"/>
      </c:valAx>
      <c:valAx>
        <c:axId val="600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5</a:t>
            </a:r>
            <a:r>
              <a:rPr lang="de-DE" b="1" baseline="0"/>
              <a:t>a) - Industry Occurance SAV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0338202327606913"/>
          <c:y val="3.8384425100501524E-2"/>
          <c:w val="0.87543503128464784"/>
          <c:h val="0.46070608124640111"/>
        </c:manualLayout>
      </c:layout>
      <c:barChart>
        <c:barDir val="col"/>
        <c:grouping val="clustered"/>
        <c:varyColors val="0"/>
        <c:ser>
          <c:idx val="1"/>
          <c:order val="0"/>
          <c:tx>
            <c:strRef>
              <c:f>'SUMMARY SAV partnership'!$E$8</c:f>
              <c:strCache>
                <c:ptCount val="1"/>
                <c:pt idx="0">
                  <c:v>Ridepooling</c:v>
                </c:pt>
              </c:strCache>
            </c:strRef>
          </c:tx>
          <c:spPr>
            <a:solidFill>
              <a:schemeClr val="accent6">
                <a:lumMod val="50000"/>
              </a:schemeClr>
            </a:solidFill>
            <a:ln>
              <a:noFill/>
            </a:ln>
            <a:effectLst/>
          </c:spPr>
          <c:invertIfNegative val="0"/>
          <c:cat>
            <c:strRef>
              <c:f>'SUMMARY SAV partnership'!$I$10:$I$35</c:f>
              <c:strCache>
                <c:ptCount val="26"/>
                <c:pt idx="0">
                  <c:v>Artificial Intelligence (AI)</c:v>
                </c:pt>
                <c:pt idx="1">
                  <c:v>Automotive Supplier</c:v>
                </c:pt>
                <c:pt idx="2">
                  <c:v>Autonomous Vehicles</c:v>
                </c:pt>
                <c:pt idx="3">
                  <c:v>Charging System</c:v>
                </c:pt>
                <c:pt idx="4">
                  <c:v>City Architecture</c:v>
                </c:pt>
                <c:pt idx="5">
                  <c:v>Construction</c:v>
                </c:pt>
                <c:pt idx="6">
                  <c:v>Cyber Security</c:v>
                </c:pt>
                <c:pt idx="7">
                  <c:v>Environmental Engineering</c:v>
                </c:pt>
                <c:pt idx="8">
                  <c:v>Financial Services</c:v>
                </c:pt>
                <c:pt idx="9">
                  <c:v>Food &amp; Beverage</c:v>
                </c:pt>
                <c:pt idx="10">
                  <c:v>Industrial</c:v>
                </c:pt>
                <c:pt idx="11">
                  <c:v>Logistics</c:v>
                </c:pt>
                <c:pt idx="12">
                  <c:v>Mobility Analytics</c:v>
                </c:pt>
                <c:pt idx="13">
                  <c:v>Mobility Project</c:v>
                </c:pt>
                <c:pt idx="14">
                  <c:v>Mobility Services</c:v>
                </c:pt>
                <c:pt idx="15">
                  <c:v>Mobility Services Booking</c:v>
                </c:pt>
                <c:pt idx="16">
                  <c:v>NPO</c:v>
                </c:pt>
                <c:pt idx="17">
                  <c:v>OEM</c:v>
                </c:pt>
                <c:pt idx="18">
                  <c:v>OEM Commercial Vehicles</c:v>
                </c:pt>
                <c:pt idx="19">
                  <c:v>Rental Services</c:v>
                </c:pt>
                <c:pt idx="20">
                  <c:v>Semiconductor</c:v>
                </c:pt>
                <c:pt idx="21">
                  <c:v>Sensor</c:v>
                </c:pt>
                <c:pt idx="22">
                  <c:v>Software Company</c:v>
                </c:pt>
                <c:pt idx="23">
                  <c:v>Transport Operator</c:v>
                </c:pt>
                <c:pt idx="24">
                  <c:v>Transportation Authority</c:v>
                </c:pt>
                <c:pt idx="25">
                  <c:v>University</c:v>
                </c:pt>
              </c:strCache>
            </c:strRef>
          </c:cat>
          <c:val>
            <c:numRef>
              <c:f>'SUMMARY SAV partnership'!$G$10:$G$35</c:f>
              <c:numCache>
                <c:formatCode>0%</c:formatCode>
                <c:ptCount val="26"/>
                <c:pt idx="0">
                  <c:v>0</c:v>
                </c:pt>
                <c:pt idx="1">
                  <c:v>8.8235294117647065E-2</c:v>
                </c:pt>
                <c:pt idx="2">
                  <c:v>0.10294117647058823</c:v>
                </c:pt>
                <c:pt idx="3">
                  <c:v>1.4705882352941176E-2</c:v>
                </c:pt>
                <c:pt idx="4">
                  <c:v>0</c:v>
                </c:pt>
                <c:pt idx="5">
                  <c:v>1.4705882352941176E-2</c:v>
                </c:pt>
                <c:pt idx="6">
                  <c:v>2.9411764705882353E-2</c:v>
                </c:pt>
                <c:pt idx="7">
                  <c:v>1.4705882352941176E-2</c:v>
                </c:pt>
                <c:pt idx="8">
                  <c:v>4.4117647058823532E-2</c:v>
                </c:pt>
                <c:pt idx="9">
                  <c:v>1.4705882352941176E-2</c:v>
                </c:pt>
                <c:pt idx="10">
                  <c:v>1.4705882352941176E-2</c:v>
                </c:pt>
                <c:pt idx="11">
                  <c:v>0</c:v>
                </c:pt>
                <c:pt idx="12">
                  <c:v>0</c:v>
                </c:pt>
                <c:pt idx="13">
                  <c:v>2.9411764705882353E-2</c:v>
                </c:pt>
                <c:pt idx="14">
                  <c:v>5.8823529411764705E-2</c:v>
                </c:pt>
                <c:pt idx="15">
                  <c:v>0</c:v>
                </c:pt>
                <c:pt idx="16">
                  <c:v>1.4705882352941176E-2</c:v>
                </c:pt>
                <c:pt idx="17">
                  <c:v>4.4117647058823532E-2</c:v>
                </c:pt>
                <c:pt idx="18">
                  <c:v>0.19117647058823528</c:v>
                </c:pt>
                <c:pt idx="19">
                  <c:v>0</c:v>
                </c:pt>
                <c:pt idx="20">
                  <c:v>1.4705882352941176E-2</c:v>
                </c:pt>
                <c:pt idx="21">
                  <c:v>2.9411764705882353E-2</c:v>
                </c:pt>
                <c:pt idx="22">
                  <c:v>2.9411764705882353E-2</c:v>
                </c:pt>
                <c:pt idx="23">
                  <c:v>0.17647058823529413</c:v>
                </c:pt>
                <c:pt idx="24">
                  <c:v>5.8823529411764705E-2</c:v>
                </c:pt>
                <c:pt idx="25">
                  <c:v>1.4705882352941176E-2</c:v>
                </c:pt>
              </c:numCache>
            </c:numRef>
          </c:val>
          <c:extLst>
            <c:ext xmlns:c16="http://schemas.microsoft.com/office/drawing/2014/chart" uri="{C3380CC4-5D6E-409C-BE32-E72D297353CC}">
              <c16:uniqueId val="{00000002-94AB-4E1C-AA2F-F78C52417FE0}"/>
            </c:ext>
          </c:extLst>
        </c:ser>
        <c:ser>
          <c:idx val="2"/>
          <c:order val="1"/>
          <c:tx>
            <c:strRef>
              <c:f>'SUMMARY SAV partnership'!$I$8</c:f>
              <c:strCache>
                <c:ptCount val="1"/>
                <c:pt idx="0">
                  <c:v>Ridehailing</c:v>
                </c:pt>
              </c:strCache>
            </c:strRef>
          </c:tx>
          <c:spPr>
            <a:solidFill>
              <a:schemeClr val="accent6"/>
            </a:solidFill>
            <a:ln>
              <a:noFill/>
            </a:ln>
            <a:effectLst/>
          </c:spPr>
          <c:invertIfNegative val="0"/>
          <c:cat>
            <c:strRef>
              <c:f>'SUMMARY SAV partnership'!$I$10:$I$35</c:f>
              <c:strCache>
                <c:ptCount val="26"/>
                <c:pt idx="0">
                  <c:v>Artificial Intelligence (AI)</c:v>
                </c:pt>
                <c:pt idx="1">
                  <c:v>Automotive Supplier</c:v>
                </c:pt>
                <c:pt idx="2">
                  <c:v>Autonomous Vehicles</c:v>
                </c:pt>
                <c:pt idx="3">
                  <c:v>Charging System</c:v>
                </c:pt>
                <c:pt idx="4">
                  <c:v>City Architecture</c:v>
                </c:pt>
                <c:pt idx="5">
                  <c:v>Construction</c:v>
                </c:pt>
                <c:pt idx="6">
                  <c:v>Cyber Security</c:v>
                </c:pt>
                <c:pt idx="7">
                  <c:v>Environmental Engineering</c:v>
                </c:pt>
                <c:pt idx="8">
                  <c:v>Financial Services</c:v>
                </c:pt>
                <c:pt idx="9">
                  <c:v>Food &amp; Beverage</c:v>
                </c:pt>
                <c:pt idx="10">
                  <c:v>Industrial</c:v>
                </c:pt>
                <c:pt idx="11">
                  <c:v>Logistics</c:v>
                </c:pt>
                <c:pt idx="12">
                  <c:v>Mobility Analytics</c:v>
                </c:pt>
                <c:pt idx="13">
                  <c:v>Mobility Project</c:v>
                </c:pt>
                <c:pt idx="14">
                  <c:v>Mobility Services</c:v>
                </c:pt>
                <c:pt idx="15">
                  <c:v>Mobility Services Booking</c:v>
                </c:pt>
                <c:pt idx="16">
                  <c:v>NPO</c:v>
                </c:pt>
                <c:pt idx="17">
                  <c:v>OEM</c:v>
                </c:pt>
                <c:pt idx="18">
                  <c:v>OEM Commercial Vehicles</c:v>
                </c:pt>
                <c:pt idx="19">
                  <c:v>Rental Services</c:v>
                </c:pt>
                <c:pt idx="20">
                  <c:v>Semiconductor</c:v>
                </c:pt>
                <c:pt idx="21">
                  <c:v>Sensor</c:v>
                </c:pt>
                <c:pt idx="22">
                  <c:v>Software Company</c:v>
                </c:pt>
                <c:pt idx="23">
                  <c:v>Transport Operator</c:v>
                </c:pt>
                <c:pt idx="24">
                  <c:v>Transportation Authority</c:v>
                </c:pt>
                <c:pt idx="25">
                  <c:v>University</c:v>
                </c:pt>
              </c:strCache>
            </c:strRef>
          </c:cat>
          <c:val>
            <c:numRef>
              <c:f>'SUMMARY SAV partnership'!$K$10:$K$35</c:f>
              <c:numCache>
                <c:formatCode>0%</c:formatCode>
                <c:ptCount val="26"/>
                <c:pt idx="0">
                  <c:v>0.04</c:v>
                </c:pt>
                <c:pt idx="1">
                  <c:v>0.04</c:v>
                </c:pt>
                <c:pt idx="2">
                  <c:v>0.08</c:v>
                </c:pt>
                <c:pt idx="3">
                  <c:v>0</c:v>
                </c:pt>
                <c:pt idx="4">
                  <c:v>0.04</c:v>
                </c:pt>
                <c:pt idx="5">
                  <c:v>0</c:v>
                </c:pt>
                <c:pt idx="6">
                  <c:v>0</c:v>
                </c:pt>
                <c:pt idx="7">
                  <c:v>0</c:v>
                </c:pt>
                <c:pt idx="8">
                  <c:v>0</c:v>
                </c:pt>
                <c:pt idx="9">
                  <c:v>0</c:v>
                </c:pt>
                <c:pt idx="10">
                  <c:v>0</c:v>
                </c:pt>
                <c:pt idx="11">
                  <c:v>0.04</c:v>
                </c:pt>
                <c:pt idx="12">
                  <c:v>0.04</c:v>
                </c:pt>
                <c:pt idx="13">
                  <c:v>0.04</c:v>
                </c:pt>
                <c:pt idx="14">
                  <c:v>0.04</c:v>
                </c:pt>
                <c:pt idx="15">
                  <c:v>0.12</c:v>
                </c:pt>
                <c:pt idx="16">
                  <c:v>0</c:v>
                </c:pt>
                <c:pt idx="17">
                  <c:v>0.24</c:v>
                </c:pt>
                <c:pt idx="18">
                  <c:v>0</c:v>
                </c:pt>
                <c:pt idx="19">
                  <c:v>0.04</c:v>
                </c:pt>
                <c:pt idx="20">
                  <c:v>0.04</c:v>
                </c:pt>
                <c:pt idx="21">
                  <c:v>0.04</c:v>
                </c:pt>
                <c:pt idx="22">
                  <c:v>0.04</c:v>
                </c:pt>
                <c:pt idx="23">
                  <c:v>0.08</c:v>
                </c:pt>
                <c:pt idx="24">
                  <c:v>0</c:v>
                </c:pt>
                <c:pt idx="25">
                  <c:v>0.04</c:v>
                </c:pt>
              </c:numCache>
            </c:numRef>
          </c:val>
          <c:extLst>
            <c:ext xmlns:c16="http://schemas.microsoft.com/office/drawing/2014/chart" uri="{C3380CC4-5D6E-409C-BE32-E72D297353CC}">
              <c16:uniqueId val="{00000003-94AB-4E1C-AA2F-F78C52417FE0}"/>
            </c:ext>
          </c:extLst>
        </c:ser>
        <c:ser>
          <c:idx val="0"/>
          <c:order val="2"/>
          <c:tx>
            <c:strRef>
              <c:f>'SUMMARY SAV partnership'!$A$8</c:f>
              <c:strCache>
                <c:ptCount val="1"/>
                <c:pt idx="0">
                  <c:v>Aggregate</c:v>
                </c:pt>
              </c:strCache>
            </c:strRef>
          </c:tx>
          <c:spPr>
            <a:solidFill>
              <a:schemeClr val="accent6">
                <a:lumMod val="40000"/>
                <a:lumOff val="60000"/>
              </a:schemeClr>
            </a:solidFill>
            <a:ln>
              <a:noFill/>
            </a:ln>
            <a:effectLst/>
          </c:spPr>
          <c:invertIfNegative val="0"/>
          <c:cat>
            <c:strRef>
              <c:f>'SUMMARY SAV partnership'!$I$10:$I$35</c:f>
              <c:strCache>
                <c:ptCount val="26"/>
                <c:pt idx="0">
                  <c:v>Artificial Intelligence (AI)</c:v>
                </c:pt>
                <c:pt idx="1">
                  <c:v>Automotive Supplier</c:v>
                </c:pt>
                <c:pt idx="2">
                  <c:v>Autonomous Vehicles</c:v>
                </c:pt>
                <c:pt idx="3">
                  <c:v>Charging System</c:v>
                </c:pt>
                <c:pt idx="4">
                  <c:v>City Architecture</c:v>
                </c:pt>
                <c:pt idx="5">
                  <c:v>Construction</c:v>
                </c:pt>
                <c:pt idx="6">
                  <c:v>Cyber Security</c:v>
                </c:pt>
                <c:pt idx="7">
                  <c:v>Environmental Engineering</c:v>
                </c:pt>
                <c:pt idx="8">
                  <c:v>Financial Services</c:v>
                </c:pt>
                <c:pt idx="9">
                  <c:v>Food &amp; Beverage</c:v>
                </c:pt>
                <c:pt idx="10">
                  <c:v>Industrial</c:v>
                </c:pt>
                <c:pt idx="11">
                  <c:v>Logistics</c:v>
                </c:pt>
                <c:pt idx="12">
                  <c:v>Mobility Analytics</c:v>
                </c:pt>
                <c:pt idx="13">
                  <c:v>Mobility Project</c:v>
                </c:pt>
                <c:pt idx="14">
                  <c:v>Mobility Services</c:v>
                </c:pt>
                <c:pt idx="15">
                  <c:v>Mobility Services Booking</c:v>
                </c:pt>
                <c:pt idx="16">
                  <c:v>NPO</c:v>
                </c:pt>
                <c:pt idx="17">
                  <c:v>OEM</c:v>
                </c:pt>
                <c:pt idx="18">
                  <c:v>OEM Commercial Vehicles</c:v>
                </c:pt>
                <c:pt idx="19">
                  <c:v>Rental Services</c:v>
                </c:pt>
                <c:pt idx="20">
                  <c:v>Semiconductor</c:v>
                </c:pt>
                <c:pt idx="21">
                  <c:v>Sensor</c:v>
                </c:pt>
                <c:pt idx="22">
                  <c:v>Software Company</c:v>
                </c:pt>
                <c:pt idx="23">
                  <c:v>Transport Operator</c:v>
                </c:pt>
                <c:pt idx="24">
                  <c:v>Transportation Authority</c:v>
                </c:pt>
                <c:pt idx="25">
                  <c:v>University</c:v>
                </c:pt>
              </c:strCache>
            </c:strRef>
          </c:cat>
          <c:val>
            <c:numRef>
              <c:f>'SUMMARY SAV partnership'!$C$10:$C$35</c:f>
              <c:numCache>
                <c:formatCode>0%</c:formatCode>
                <c:ptCount val="26"/>
                <c:pt idx="0">
                  <c:v>1.0752688172043012E-2</c:v>
                </c:pt>
                <c:pt idx="1">
                  <c:v>7.5268817204301078E-2</c:v>
                </c:pt>
                <c:pt idx="2">
                  <c:v>9.6774193548387094E-2</c:v>
                </c:pt>
                <c:pt idx="3">
                  <c:v>1.0752688172043012E-2</c:v>
                </c:pt>
                <c:pt idx="4">
                  <c:v>1.0752688172043012E-2</c:v>
                </c:pt>
                <c:pt idx="5">
                  <c:v>1.0752688172043012E-2</c:v>
                </c:pt>
                <c:pt idx="6">
                  <c:v>2.1505376344086023E-2</c:v>
                </c:pt>
                <c:pt idx="7">
                  <c:v>1.0752688172043012E-2</c:v>
                </c:pt>
                <c:pt idx="8">
                  <c:v>3.2258064516129031E-2</c:v>
                </c:pt>
                <c:pt idx="9">
                  <c:v>1.0752688172043012E-2</c:v>
                </c:pt>
                <c:pt idx="10">
                  <c:v>1.0752688172043012E-2</c:v>
                </c:pt>
                <c:pt idx="11">
                  <c:v>1.0752688172043012E-2</c:v>
                </c:pt>
                <c:pt idx="12">
                  <c:v>1.0752688172043012E-2</c:v>
                </c:pt>
                <c:pt idx="13">
                  <c:v>3.2258064516129031E-2</c:v>
                </c:pt>
                <c:pt idx="14">
                  <c:v>5.3763440860215055E-2</c:v>
                </c:pt>
                <c:pt idx="15">
                  <c:v>3.2258064516129031E-2</c:v>
                </c:pt>
                <c:pt idx="16">
                  <c:v>1.0752688172043012E-2</c:v>
                </c:pt>
                <c:pt idx="17">
                  <c:v>9.6774193548387094E-2</c:v>
                </c:pt>
                <c:pt idx="18">
                  <c:v>0.13978494623655913</c:v>
                </c:pt>
                <c:pt idx="19">
                  <c:v>1.0752688172043012E-2</c:v>
                </c:pt>
                <c:pt idx="20">
                  <c:v>2.1505376344086023E-2</c:v>
                </c:pt>
                <c:pt idx="21">
                  <c:v>3.2258064516129031E-2</c:v>
                </c:pt>
                <c:pt idx="22">
                  <c:v>3.2258064516129031E-2</c:v>
                </c:pt>
                <c:pt idx="23">
                  <c:v>0.15053763440860216</c:v>
                </c:pt>
                <c:pt idx="24">
                  <c:v>4.3010752688172046E-2</c:v>
                </c:pt>
                <c:pt idx="25">
                  <c:v>2.1505376344086023E-2</c:v>
                </c:pt>
              </c:numCache>
            </c:numRef>
          </c:val>
          <c:extLst>
            <c:ext xmlns:c16="http://schemas.microsoft.com/office/drawing/2014/chart" uri="{C3380CC4-5D6E-409C-BE32-E72D297353CC}">
              <c16:uniqueId val="{00000001-94AB-4E1C-AA2F-F78C52417FE0}"/>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7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Headcount (x)</a:t>
            </a:r>
            <a:r>
              <a:rPr lang="de-DE" baseline="0"/>
              <a:t> - Partnerships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'SUMMARY ATV partnership'!#REF!</c:f>
            </c:numRef>
          </c:xVal>
          <c:yVal>
            <c:numRef>
              <c:f>'SUMMARY ATV partnership'!#REF!</c:f>
              <c:numCache>
                <c:formatCode>General</c:formatCode>
                <c:ptCount val="1"/>
                <c:pt idx="0">
                  <c:v>1</c:v>
                </c:pt>
              </c:numCache>
            </c:numRef>
          </c:yVal>
          <c:smooth val="0"/>
          <c:extLst>
            <c:ext xmlns:c16="http://schemas.microsoft.com/office/drawing/2014/chart" uri="{C3380CC4-5D6E-409C-BE32-E72D297353CC}">
              <c16:uniqueId val="{00000000-94DC-420C-907C-A3E32874A03A}"/>
            </c:ext>
          </c:extLst>
        </c:ser>
        <c:dLbls>
          <c:showLegendKey val="0"/>
          <c:showVal val="0"/>
          <c:showCatName val="0"/>
          <c:showSerName val="0"/>
          <c:showPercent val="0"/>
          <c:showBubbleSize val="0"/>
        </c:dLbls>
        <c:axId val="60093039"/>
        <c:axId val="60079727"/>
      </c:scatterChart>
      <c:valAx>
        <c:axId val="600930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79727"/>
        <c:crosses val="autoZero"/>
        <c:crossBetween val="midCat"/>
      </c:valAx>
      <c:valAx>
        <c:axId val="600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Ridepooling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pieChart>
        <c:varyColors val="1"/>
        <c:ser>
          <c:idx val="2"/>
          <c:order val="0"/>
          <c:tx>
            <c:strRef>
              <c:f>'SUMMARY ATV partnership'!$L$71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partnership'!$L$72:$L$150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09E-6CA6-4E61-B19E-D0CADF77DD4A}"/>
            </c:ext>
          </c:extLst>
        </c:ser>
        <c:ser>
          <c:idx val="3"/>
          <c:order val="1"/>
          <c:tx>
            <c:strRef>
              <c:f>'SUMMARY ATV partnership'!$M$71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0-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2-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4-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6-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8-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A-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C-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E-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0-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2-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4-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6-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8-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A-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C-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E-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0-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2-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4-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6-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8-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A-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C-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E-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D0-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D2-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4-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6-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8-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A-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C-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E-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E0-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E2-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4-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6-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8-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A-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C-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E-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0-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F2-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4-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6-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8-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A-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C-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E-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0-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02-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4-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6-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8-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A-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C-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E-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10-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12-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4-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6-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8-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A-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C-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E-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20-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22-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4-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6-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8-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A-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C-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E-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30-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32-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4-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6-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8-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A-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3C-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partnership'!$M$72:$M$150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3D-6CA6-4E61-B19E-D0CADF77DD4A}"/>
            </c:ext>
          </c:extLst>
        </c:ser>
        <c:ser>
          <c:idx val="4"/>
          <c:order val="2"/>
          <c:tx>
            <c:strRef>
              <c:f>'SUMMARY ATV partnership'!$N$71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3F-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41-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43-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45-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47-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49-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4D-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F-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1-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3-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5-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7-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9-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B-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5D-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F-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1-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3-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5-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7-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9-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6B-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6D-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6F-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1-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3-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5-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7-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9-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7B-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7D-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7F-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1-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3-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5-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7-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9-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8B-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8D-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8F-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1-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3-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5-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7-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9-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9B-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9D-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9F-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1-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3-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5-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7-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9-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AB-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AD-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AF-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B1-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B3-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B5-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9-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B-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BD-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F-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1-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3-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5-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7-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9-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B-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CD-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F-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1-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3-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5-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7-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9-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DB-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partnership'!$N$72:$N$150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DC-6CA6-4E61-B19E-D0CADF77DD4A}"/>
            </c:ext>
          </c:extLst>
        </c:ser>
        <c:ser>
          <c:idx val="5"/>
          <c:order val="3"/>
          <c:tx>
            <c:strRef>
              <c:f>'SUMMARY ATV partnership'!$O$71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DE-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E0-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E2-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E4-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E6-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E8-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A-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C-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E-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F0-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2-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F4-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6-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F8-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A-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C-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E-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00-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02-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04-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06-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08-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0A-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0C-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0E-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10-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12-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14-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16-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18-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1A-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1C-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1E-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20-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22-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24-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26-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28-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2A-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2C-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2E-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30-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32-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34-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36-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38-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3A-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3C-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3E-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40-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42-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44-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46-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48-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4A-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4C-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4E-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50-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52-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54-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56-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58-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5A-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5C-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5E-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60-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62-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64-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66-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68-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6A-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6C-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6E-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70-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72-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74-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76-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78-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7A-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partnership'!$O$72:$O$150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27B-6CA6-4E61-B19E-D0CADF77DD4A}"/>
            </c:ext>
          </c:extLst>
        </c:ser>
        <c:ser>
          <c:idx val="6"/>
          <c:order val="4"/>
          <c:tx>
            <c:strRef>
              <c:f>'SUMMARY ATV partnership'!$P$71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7D-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7F-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81-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83-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85-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87-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89-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8B-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8D-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8F-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1-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3-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95-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97-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99-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9B-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9D-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9F-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1-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3-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A5-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A7-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A9-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AB-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AD-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AF-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1-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3-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B5-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B7-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B9-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BB-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BD-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BF-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1-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3-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C5-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C7-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C9-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CB-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CD-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CF-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1-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3-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D5-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D7-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D9-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DB-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DD-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DF-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1-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3-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E5-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E7-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E9-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EB-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ED-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EF-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F1-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F3-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F5-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F7-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F9-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FB-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FD-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FF-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1-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3-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05-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07-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09-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0B-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0D-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0F-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1-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3-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15-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17-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19-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partnership'!$P$72:$P$150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1A-6CA6-4E61-B19E-D0CADF77DD4A}"/>
            </c:ext>
          </c:extLst>
        </c:ser>
        <c:ser>
          <c:idx val="7"/>
          <c:order val="5"/>
          <c:tx>
            <c:strRef>
              <c:f>'SUMMARY ATV partnership'!$Q$71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1C-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1E-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20-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22-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24-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26-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28-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2A-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2C-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2E-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30-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32-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34-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36-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38-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3A-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3C-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3E-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40-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42-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44-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46-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48-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4A-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4C-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4E-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50-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52-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54-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56-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58-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5A-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5C-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5E-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60-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62-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64-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66-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68-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6A-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6C-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6E-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70-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72-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74-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76-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78-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7A-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7C-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7E-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80-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82-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84-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86-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388-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38A-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38C-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38E-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390-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392-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94-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96-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98-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9A-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9C-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9E-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A0-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A2-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A4-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A6-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A8-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AA-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AC-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AE-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B0-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B2-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B4-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B6-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B8-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partnership'!$Q$72:$Q$150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B9-6CA6-4E61-B19E-D0CADF77DD4A}"/>
            </c:ext>
          </c:extLst>
        </c:ser>
        <c:ser>
          <c:idx val="8"/>
          <c:order val="6"/>
          <c:tx>
            <c:strRef>
              <c:f>'SUMMARY ATV partnership'!$R$71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BB-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BD-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BF-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C1-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C3-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C5-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C7-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C9-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CB-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CD-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CF-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D1-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D3-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D5-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D7-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D9-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DB-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DD-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DF-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E1-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E3-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E5-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E7-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E9-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EB-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ED-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EF-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F1-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F3-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F5-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F7-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F9-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FB-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FD-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FF-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01-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03-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05-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07-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09-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0B-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0D-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0F-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11-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13-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15-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17-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19-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1B-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1D-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1F-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21-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23-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25-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27-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29-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2B-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2D-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2F-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31-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33-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35-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37-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39-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3B-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3D-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3F-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41-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43-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45-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47-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49-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4B-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4D-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4F-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51-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53-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55-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57-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partnership'!$R$72:$R$150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58-6CA6-4E61-B19E-D0CADF77DD4A}"/>
            </c:ext>
          </c:extLst>
        </c:ser>
        <c:ser>
          <c:idx val="9"/>
          <c:order val="7"/>
          <c:tx>
            <c:strRef>
              <c:f>'SUMMARY ATV partnership'!$S$71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5A-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5C-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5E-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60-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62-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64-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66-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68-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6A-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6C-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6E-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70-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72-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74-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76-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78-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7A-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7C-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7E-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80-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82-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84-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86-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88-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8A-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8C-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8E-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90-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92-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94-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96-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98-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9A-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9C-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9E-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A0-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A2-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A4-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A6-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A8-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AA-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AC-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AE-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B0-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B2-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B4-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B6-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B8-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BA-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BC-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BE-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C0-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C2-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C4-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C6-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C8-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CA-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CC-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CE-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D0-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D2-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D4-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D6-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D8-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DA-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DC-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DE-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E0-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E2-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E4-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E6-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E8-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EA-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EC-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EE-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F0-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F2-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F4-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F6-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partnership'!$S$72:$S$150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F7-6CA6-4E61-B19E-D0CADF77DD4A}"/>
            </c:ext>
          </c:extLst>
        </c:ser>
        <c:ser>
          <c:idx val="10"/>
          <c:order val="8"/>
          <c:tx>
            <c:strRef>
              <c:f>'SUMMARY ATV partnership'!$T$71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F9-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FB-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FD-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FF-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01-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03-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05-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7-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09-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0B-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0D-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0F-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11-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13-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15-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7-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19-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1B-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1D-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1F-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21-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23-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25-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27-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29-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2B-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2D-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2F-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31-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33-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35-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37-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39-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3B-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3D-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3F-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41-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43-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45-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47-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49-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4B-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4D-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4F-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51-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53-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55-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57-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59-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5B-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5D-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5F-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61-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63-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65-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67-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69-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6B-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6D-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6F-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71-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73-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75-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7-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9-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B-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D-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F-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81-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83-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85-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87-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89-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8B-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8D-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8F-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91-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93-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95-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partnership'!$T$72:$T$150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596-6CA6-4E61-B19E-D0CADF77DD4A}"/>
            </c:ext>
          </c:extLst>
        </c:ser>
        <c:ser>
          <c:idx val="11"/>
          <c:order val="9"/>
          <c:tx>
            <c:strRef>
              <c:f>'SUMMARY ATV partnership'!$U$71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98-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9A-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9C-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9E-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A0-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A2-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A4-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A6-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A8-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AA-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AC-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AE-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B0-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B2-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B4-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B6-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B8-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BA-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BC-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BE-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C0-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C2-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C4-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C6-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C8-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CA-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CC-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CE-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D0-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D2-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D4-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D6-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D8-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DA-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DC-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DE-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E0-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E2-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E4-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E6-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E8-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EA-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EC-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EE-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F0-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F2-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F4-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F6-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F8-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FA-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FC-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FE-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00-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02-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04-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06-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08-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0A-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0C-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0E-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10-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12-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14-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16-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18-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1A-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1C-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1E-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20-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22-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24-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26-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28-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2A-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2C-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2E-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30-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32-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34-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partnership'!$U$72:$U$150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35-6CA6-4E61-B19E-D0CADF77DD4A}"/>
            </c:ext>
          </c:extLst>
        </c:ser>
        <c:ser>
          <c:idx val="12"/>
          <c:order val="10"/>
          <c:tx>
            <c:strRef>
              <c:f>'SUMMARY ATV partnership'!$V$71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37-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39-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3B-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3D-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3F-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41-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3-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5-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7-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9-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B-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D-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F-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1-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3-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5-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57-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59-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5B-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5D-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5F-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61-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63-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65-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67-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69-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6B-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6D-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6F-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71-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73-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75-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77-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79-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7B-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7D-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7F-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81-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83-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85-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87-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89-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8B-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8D-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8F-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91-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93-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95-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97-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99-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9B-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9D-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9F-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A1-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A3-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A5-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A7-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A9-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AB-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AD-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F-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B1-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3-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5-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7-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9-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B-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D-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F-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C1-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C3-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C5-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C7-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C9-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CB-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CD-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CF-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D1-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D3-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partnership'!$V$72:$V$150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D4-6CA6-4E61-B19E-D0CADF77DD4A}"/>
            </c:ext>
          </c:extLst>
        </c:ser>
        <c:ser>
          <c:idx val="13"/>
          <c:order val="11"/>
          <c:tx>
            <c:strRef>
              <c:f>'SUMMARY ATV partnership'!$W$71</c:f>
              <c:strCache>
                <c:ptCount val="1"/>
                <c:pt idx="0">
                  <c:v>Ridehailing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D6-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D8-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DA-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DC-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DE-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E0-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E2-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E4-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E6-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E8-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EA-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EC-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EE-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F0-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F2-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F4-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F6-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F8-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FA-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FC-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FE-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00-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02-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04-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06-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08-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0A-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0C-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0E-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10-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12-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14-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16-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18-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1A-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1C-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1E-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20-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22-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24-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26-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28-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2A-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2C-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2E-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30-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32-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34-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36-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38-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3A-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3C-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3E-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40-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742-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744-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746-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748-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74A-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74C-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4E-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50-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52-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54-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56-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58-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5A-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5C-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5E-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60-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62-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64-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66-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68-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6A-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6C-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6E-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70-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72-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partnership'!$W$72:$W$150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773-6CA6-4E61-B19E-D0CADF77DD4A}"/>
            </c:ext>
          </c:extLst>
        </c:ser>
        <c:ser>
          <c:idx val="0"/>
          <c:order val="12"/>
          <c:tx>
            <c:strRef>
              <c:f>'SUMMARY ATV partnership'!$E$8</c:f>
              <c:strCache>
                <c:ptCount val="1"/>
                <c:pt idx="0">
                  <c:v>Trucking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75-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77-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79-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7B-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7D-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7F-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1-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3-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5-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7-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9-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8B-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8D-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8F-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1-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3-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95-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97-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99-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9B-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9D-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9F-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A1-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A3-6CA6-4E61-B19E-D0CADF77DD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partnership'!$G$10:$G$30</c:f>
              <c:numCache>
                <c:formatCode>0%</c:formatCode>
                <c:ptCount val="21"/>
                <c:pt idx="0">
                  <c:v>0</c:v>
                </c:pt>
                <c:pt idx="1">
                  <c:v>0.14035087719298245</c:v>
                </c:pt>
                <c:pt idx="2">
                  <c:v>0</c:v>
                </c:pt>
                <c:pt idx="3">
                  <c:v>8.771929824561403E-2</c:v>
                </c:pt>
                <c:pt idx="4">
                  <c:v>1.7543859649122806E-2</c:v>
                </c:pt>
                <c:pt idx="5">
                  <c:v>3.5087719298245612E-2</c:v>
                </c:pt>
                <c:pt idx="6">
                  <c:v>0</c:v>
                </c:pt>
                <c:pt idx="7">
                  <c:v>0</c:v>
                </c:pt>
                <c:pt idx="8">
                  <c:v>7.0175438596491224E-2</c:v>
                </c:pt>
                <c:pt idx="9">
                  <c:v>1.7543859649122806E-2</c:v>
                </c:pt>
                <c:pt idx="10">
                  <c:v>1.7543859649122806E-2</c:v>
                </c:pt>
                <c:pt idx="11">
                  <c:v>0.21052631578947367</c:v>
                </c:pt>
                <c:pt idx="12">
                  <c:v>3.5087719298245612E-2</c:v>
                </c:pt>
                <c:pt idx="13">
                  <c:v>0</c:v>
                </c:pt>
                <c:pt idx="14">
                  <c:v>0</c:v>
                </c:pt>
                <c:pt idx="15">
                  <c:v>0.12280701754385964</c:v>
                </c:pt>
                <c:pt idx="16">
                  <c:v>1.7543859649122806E-2</c:v>
                </c:pt>
                <c:pt idx="17">
                  <c:v>5.2631578947368418E-2</c:v>
                </c:pt>
                <c:pt idx="18">
                  <c:v>3.5087719298245612E-2</c:v>
                </c:pt>
                <c:pt idx="19">
                  <c:v>5.2631578947368418E-2</c:v>
                </c:pt>
                <c:pt idx="20">
                  <c:v>3.5087719298245612E-2</c:v>
                </c:pt>
              </c:numCache>
            </c:numRef>
          </c:val>
          <c:extLst>
            <c:ext xmlns:c16="http://schemas.microsoft.com/office/drawing/2014/chart" uri="{C3380CC4-5D6E-409C-BE32-E72D297353CC}">
              <c16:uniqueId val="{000007A4-6CA6-4E61-B19E-D0CADF77DD4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SAV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pieChart>
        <c:varyColors val="1"/>
        <c:ser>
          <c:idx val="2"/>
          <c:order val="0"/>
          <c:tx>
            <c:strRef>
              <c:f>'SUMMARY ATV partnership'!$L$71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partnership'!$L$72:$L$150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09E-3B27-4163-AD2D-6AAFC74F536D}"/>
            </c:ext>
          </c:extLst>
        </c:ser>
        <c:ser>
          <c:idx val="3"/>
          <c:order val="1"/>
          <c:tx>
            <c:strRef>
              <c:f>'SUMMARY ATV partnership'!$M$71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0-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2-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4-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6-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8-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A-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C-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E-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0-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2-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4-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6-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8-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A-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C-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E-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0-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2-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4-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6-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8-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A-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C-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E-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D0-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D2-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4-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6-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8-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A-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C-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E-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E0-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E2-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4-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6-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8-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A-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C-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E-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0-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F2-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4-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6-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8-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A-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C-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E-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0-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02-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4-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6-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8-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A-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C-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E-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10-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12-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4-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6-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8-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A-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C-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E-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20-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22-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4-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6-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8-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A-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C-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E-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30-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32-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4-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6-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8-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A-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3C-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partnership'!$M$72:$M$150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3D-3B27-4163-AD2D-6AAFC74F536D}"/>
            </c:ext>
          </c:extLst>
        </c:ser>
        <c:ser>
          <c:idx val="4"/>
          <c:order val="2"/>
          <c:tx>
            <c:strRef>
              <c:f>'SUMMARY ATV partnership'!$N$71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3F-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41-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43-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45-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47-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49-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4D-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F-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1-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3-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5-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7-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9-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B-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5D-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F-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1-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3-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5-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7-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9-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6B-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6D-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6F-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1-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3-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5-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7-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9-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7B-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7D-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7F-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1-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3-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5-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7-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9-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8B-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8D-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8F-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1-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3-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5-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7-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9-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9B-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9D-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9F-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1-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3-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5-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7-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9-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AB-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AD-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AF-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B1-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B3-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B5-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9-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B-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BD-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F-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1-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3-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5-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7-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9-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B-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CD-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F-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1-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3-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5-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7-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9-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DB-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partnership'!$N$72:$N$150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DC-3B27-4163-AD2D-6AAFC74F536D}"/>
            </c:ext>
          </c:extLst>
        </c:ser>
        <c:ser>
          <c:idx val="5"/>
          <c:order val="3"/>
          <c:tx>
            <c:strRef>
              <c:f>'SUMMARY ATV partnership'!$O$71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DE-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E0-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E2-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E4-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E6-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E8-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A-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C-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E-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F0-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2-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F4-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6-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F8-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A-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C-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E-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00-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02-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04-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06-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08-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0A-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0C-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0E-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10-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12-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14-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16-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18-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1A-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1C-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1E-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20-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22-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24-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26-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28-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2A-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2C-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2E-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30-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32-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34-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36-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38-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3A-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3C-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3E-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40-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42-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44-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46-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48-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4A-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4C-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4E-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50-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52-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54-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56-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58-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5A-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5C-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5E-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60-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62-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64-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66-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68-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6A-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6C-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6E-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70-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72-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74-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76-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78-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7A-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partnership'!$O$72:$O$150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27B-3B27-4163-AD2D-6AAFC74F536D}"/>
            </c:ext>
          </c:extLst>
        </c:ser>
        <c:ser>
          <c:idx val="6"/>
          <c:order val="4"/>
          <c:tx>
            <c:strRef>
              <c:f>'SUMMARY ATV partnership'!$P$71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7D-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7F-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81-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83-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85-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87-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89-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8B-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8D-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8F-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1-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3-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95-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97-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99-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9B-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9D-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9F-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1-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3-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A5-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A7-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A9-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AB-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AD-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AF-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1-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3-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B5-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B7-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B9-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BB-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BD-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BF-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1-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3-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C5-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C7-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C9-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CB-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CD-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CF-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1-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3-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D5-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D7-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D9-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DB-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DD-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DF-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1-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3-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E5-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E7-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E9-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EB-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ED-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EF-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F1-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F3-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F5-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F7-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F9-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FB-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FD-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FF-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1-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3-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05-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07-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09-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0B-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0D-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0F-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1-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3-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15-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17-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19-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partnership'!$P$72:$P$150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1A-3B27-4163-AD2D-6AAFC74F536D}"/>
            </c:ext>
          </c:extLst>
        </c:ser>
        <c:ser>
          <c:idx val="7"/>
          <c:order val="5"/>
          <c:tx>
            <c:strRef>
              <c:f>'SUMMARY ATV partnership'!$Q$71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1C-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1E-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20-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22-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24-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26-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28-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2A-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2C-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2E-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30-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32-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34-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36-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38-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3A-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3C-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3E-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40-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42-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44-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46-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48-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4A-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4C-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4E-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50-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52-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54-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56-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58-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5A-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5C-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5E-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60-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62-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64-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66-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68-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6A-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6C-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6E-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70-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72-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74-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76-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78-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7A-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7C-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7E-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80-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82-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84-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86-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388-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38A-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38C-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38E-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390-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392-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94-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96-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98-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9A-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9C-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9E-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A0-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A2-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A4-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A6-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A8-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AA-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AC-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AE-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B0-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B2-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B4-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B6-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B8-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partnership'!$Q$72:$Q$150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B9-3B27-4163-AD2D-6AAFC74F536D}"/>
            </c:ext>
          </c:extLst>
        </c:ser>
        <c:ser>
          <c:idx val="8"/>
          <c:order val="6"/>
          <c:tx>
            <c:strRef>
              <c:f>'SUMMARY ATV partnership'!$R$71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BB-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BD-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BF-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C1-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C3-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C5-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C7-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C9-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CB-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CD-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CF-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D1-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D3-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D5-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D7-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D9-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DB-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DD-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DF-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E1-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E3-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E5-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E7-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E9-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EB-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ED-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EF-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F1-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F3-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F5-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F7-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F9-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FB-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FD-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FF-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01-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03-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05-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07-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09-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0B-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0D-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0F-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11-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13-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15-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17-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19-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1B-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1D-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1F-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21-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23-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25-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27-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29-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2B-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2D-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2F-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31-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33-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35-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37-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39-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3B-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3D-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3F-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41-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43-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45-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47-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49-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4B-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4D-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4F-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51-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53-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55-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57-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partnership'!$R$72:$R$150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58-3B27-4163-AD2D-6AAFC74F536D}"/>
            </c:ext>
          </c:extLst>
        </c:ser>
        <c:ser>
          <c:idx val="9"/>
          <c:order val="7"/>
          <c:tx>
            <c:strRef>
              <c:f>'SUMMARY ATV partnership'!$S$71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5A-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5C-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5E-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60-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62-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64-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66-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68-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6A-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6C-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6E-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70-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72-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74-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76-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78-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7A-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7C-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7E-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80-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82-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84-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86-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88-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8A-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8C-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8E-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90-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92-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94-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96-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98-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9A-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9C-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9E-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A0-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A2-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A4-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A6-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A8-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AA-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AC-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AE-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B0-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B2-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B4-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B6-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B8-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BA-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BC-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BE-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C0-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C2-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C4-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C6-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C8-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CA-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CC-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CE-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D0-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D2-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D4-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D6-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D8-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DA-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DC-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DE-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E0-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E2-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E4-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E6-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E8-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EA-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EC-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EE-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F0-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F2-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F4-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F6-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partnership'!$S$72:$S$150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F7-3B27-4163-AD2D-6AAFC74F536D}"/>
            </c:ext>
          </c:extLst>
        </c:ser>
        <c:ser>
          <c:idx val="10"/>
          <c:order val="8"/>
          <c:tx>
            <c:strRef>
              <c:f>'SUMMARY ATV partnership'!$T$71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F9-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FB-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FD-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FF-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01-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03-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05-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7-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09-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0B-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0D-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0F-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11-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13-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15-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7-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19-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1B-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1D-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1F-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21-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23-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25-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27-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29-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2B-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2D-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2F-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31-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33-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35-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37-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39-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3B-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3D-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3F-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41-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43-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45-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47-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49-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4B-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4D-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4F-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51-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53-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55-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57-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59-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5B-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5D-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5F-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61-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63-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65-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67-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69-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6B-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6D-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6F-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71-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73-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75-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7-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9-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B-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D-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F-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81-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83-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85-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87-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89-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8B-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8D-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8F-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91-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93-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95-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partnership'!$T$72:$T$150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596-3B27-4163-AD2D-6AAFC74F536D}"/>
            </c:ext>
          </c:extLst>
        </c:ser>
        <c:ser>
          <c:idx val="11"/>
          <c:order val="9"/>
          <c:tx>
            <c:strRef>
              <c:f>'SUMMARY ATV partnership'!$U$71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98-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9A-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9C-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9E-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A0-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A2-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A4-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A6-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A8-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AA-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AC-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AE-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B0-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B2-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B4-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B6-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B8-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BA-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BC-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BE-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C0-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C2-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C4-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C6-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C8-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CA-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CC-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CE-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D0-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D2-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D4-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D6-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D8-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DA-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DC-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DE-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E0-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E2-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E4-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E6-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E8-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EA-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EC-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EE-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F0-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F2-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F4-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F6-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F8-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FA-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FC-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FE-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00-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02-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04-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06-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08-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0A-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0C-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0E-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10-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12-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14-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16-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18-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1A-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1C-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1E-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20-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22-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24-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26-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28-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2A-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2C-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2E-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30-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32-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34-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partnership'!$U$72:$U$150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35-3B27-4163-AD2D-6AAFC74F536D}"/>
            </c:ext>
          </c:extLst>
        </c:ser>
        <c:ser>
          <c:idx val="12"/>
          <c:order val="10"/>
          <c:tx>
            <c:strRef>
              <c:f>'SUMMARY ATV partnership'!$V$71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37-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39-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3B-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3D-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3F-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41-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3-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5-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7-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9-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B-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D-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F-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1-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3-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5-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57-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59-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5B-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5D-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5F-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61-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63-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65-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67-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69-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6B-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6D-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6F-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71-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73-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75-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77-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79-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7B-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7D-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7F-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81-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83-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85-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87-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89-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8B-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8D-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8F-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91-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93-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95-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97-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99-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9B-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9D-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9F-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A1-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A3-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A5-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A7-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A9-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AB-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AD-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F-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B1-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3-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5-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7-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9-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B-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D-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F-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C1-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C3-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C5-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C7-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C9-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CB-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CD-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CF-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D1-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D3-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partnership'!$V$72:$V$150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D4-3B27-4163-AD2D-6AAFC74F536D}"/>
            </c:ext>
          </c:extLst>
        </c:ser>
        <c:ser>
          <c:idx val="13"/>
          <c:order val="11"/>
          <c:tx>
            <c:strRef>
              <c:f>'SUMMARY ATV partnership'!$W$71</c:f>
              <c:strCache>
                <c:ptCount val="1"/>
                <c:pt idx="0">
                  <c:v>Ridehailing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D6-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D8-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DA-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DC-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DE-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E0-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E2-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E4-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E6-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E8-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EA-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EC-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EE-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F0-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F2-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F4-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F6-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F8-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FA-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FC-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FE-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00-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02-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04-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06-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08-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0A-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0C-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0E-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10-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12-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14-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16-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18-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1A-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1C-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1E-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20-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22-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24-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26-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28-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2A-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2C-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2E-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30-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32-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34-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36-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38-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3A-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3C-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3E-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40-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742-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744-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746-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748-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74A-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74C-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4E-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50-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52-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54-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56-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58-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5A-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5C-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5E-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60-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62-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64-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66-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68-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6A-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6C-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6E-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70-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72-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partnership'!$W$72:$W$150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773-3B27-4163-AD2D-6AAFC74F536D}"/>
            </c:ext>
          </c:extLst>
        </c:ser>
        <c:ser>
          <c:idx val="0"/>
          <c:order val="12"/>
          <c:tx>
            <c:strRef>
              <c:f>'SUMMARY ATV partnership'!$I$8</c:f>
              <c:strCache>
                <c:ptCount val="1"/>
                <c:pt idx="0">
                  <c:v>Last-Mile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75-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77-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79-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7B-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7D-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7F-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1-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3-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5-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7-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9-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8B-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8D-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8F-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1-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3-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95-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97-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99-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9B-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9D-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9F-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A1-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A3-3B27-4163-AD2D-6AAFC74F53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partnership'!$K$10:$K$22</c:f>
              <c:numCache>
                <c:formatCode>0%</c:formatCode>
                <c:ptCount val="13"/>
                <c:pt idx="0">
                  <c:v>7.1428571428571425E-2</c:v>
                </c:pt>
                <c:pt idx="1">
                  <c:v>0</c:v>
                </c:pt>
                <c:pt idx="2">
                  <c:v>7.1428571428571425E-2</c:v>
                </c:pt>
                <c:pt idx="3">
                  <c:v>0.14285714285714285</c:v>
                </c:pt>
                <c:pt idx="4">
                  <c:v>0</c:v>
                </c:pt>
                <c:pt idx="5">
                  <c:v>0</c:v>
                </c:pt>
                <c:pt idx="6">
                  <c:v>0.17857142857142858</c:v>
                </c:pt>
                <c:pt idx="7">
                  <c:v>3.5714285714285712E-2</c:v>
                </c:pt>
                <c:pt idx="8">
                  <c:v>7.1428571428571425E-2</c:v>
                </c:pt>
                <c:pt idx="9">
                  <c:v>0</c:v>
                </c:pt>
                <c:pt idx="10">
                  <c:v>0</c:v>
                </c:pt>
                <c:pt idx="11">
                  <c:v>3.5714285714285712E-2</c:v>
                </c:pt>
                <c:pt idx="12">
                  <c:v>7.1428571428571425E-2</c:v>
                </c:pt>
              </c:numCache>
            </c:numRef>
          </c:val>
          <c:extLst>
            <c:ext xmlns:c16="http://schemas.microsoft.com/office/drawing/2014/chart" uri="{C3380CC4-5D6E-409C-BE32-E72D297353CC}">
              <c16:uniqueId val="{000007A4-3B27-4163-AD2D-6AAFC74F53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de-DE" b="1"/>
              <a:t>6a)</a:t>
            </a:r>
            <a:r>
              <a:rPr lang="de-DE" b="1" baseline="0"/>
              <a:t> - Industry Occurance ATV</a:t>
            </a:r>
            <a:endParaRPr lang="de-DE"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LID4096"/>
        </a:p>
      </c:txPr>
    </c:title>
    <c:autoTitleDeleted val="0"/>
    <c:plotArea>
      <c:layout>
        <c:manualLayout>
          <c:layoutTarget val="inner"/>
          <c:xMode val="edge"/>
          <c:yMode val="edge"/>
          <c:x val="7.7155644890187614E-2"/>
          <c:y val="3.9977466977466979E-2"/>
          <c:w val="0.91514146702716592"/>
          <c:h val="0.46102447552447551"/>
        </c:manualLayout>
      </c:layout>
      <c:barChart>
        <c:barDir val="col"/>
        <c:grouping val="clustered"/>
        <c:varyColors val="0"/>
        <c:ser>
          <c:idx val="30"/>
          <c:order val="0"/>
          <c:tx>
            <c:strRef>
              <c:f>'SUMMARY ATV partnership'!$E$8</c:f>
              <c:strCache>
                <c:ptCount val="1"/>
                <c:pt idx="0">
                  <c:v>Trucking</c:v>
                </c:pt>
              </c:strCache>
            </c:strRef>
          </c:tx>
          <c:spPr>
            <a:solidFill>
              <a:schemeClr val="accent1">
                <a:lumMod val="75000"/>
              </a:schemeClr>
            </a:solidFill>
            <a:ln>
              <a:noFill/>
            </a:ln>
            <a:effectLst/>
          </c:spPr>
          <c:invertIfNegative val="0"/>
          <c:cat>
            <c:strRef>
              <c:f>'SUMMARY ATV partnership'!$A$10:$A$32</c:f>
              <c:strCache>
                <c:ptCount val="2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pt idx="21">
                  <c:v>Transportation Authority</c:v>
                </c:pt>
                <c:pt idx="22">
                  <c:v>V&amp;V</c:v>
                </c:pt>
              </c:strCache>
            </c:strRef>
          </c:cat>
          <c:val>
            <c:numRef>
              <c:f>'SUMMARY ATV partnership'!$G$10:$G$33</c:f>
              <c:numCache>
                <c:formatCode>0%</c:formatCode>
                <c:ptCount val="24"/>
                <c:pt idx="0">
                  <c:v>0</c:v>
                </c:pt>
                <c:pt idx="1">
                  <c:v>0.14035087719298245</c:v>
                </c:pt>
                <c:pt idx="2">
                  <c:v>0</c:v>
                </c:pt>
                <c:pt idx="3">
                  <c:v>8.771929824561403E-2</c:v>
                </c:pt>
                <c:pt idx="4">
                  <c:v>1.7543859649122806E-2</c:v>
                </c:pt>
                <c:pt idx="5">
                  <c:v>3.5087719298245612E-2</c:v>
                </c:pt>
                <c:pt idx="6">
                  <c:v>0</c:v>
                </c:pt>
                <c:pt idx="7">
                  <c:v>0</c:v>
                </c:pt>
                <c:pt idx="8">
                  <c:v>7.0175438596491224E-2</c:v>
                </c:pt>
                <c:pt idx="9">
                  <c:v>1.7543859649122806E-2</c:v>
                </c:pt>
                <c:pt idx="10">
                  <c:v>1.7543859649122806E-2</c:v>
                </c:pt>
                <c:pt idx="11">
                  <c:v>0.21052631578947367</c:v>
                </c:pt>
                <c:pt idx="12">
                  <c:v>3.5087719298245612E-2</c:v>
                </c:pt>
                <c:pt idx="13">
                  <c:v>0</c:v>
                </c:pt>
                <c:pt idx="14">
                  <c:v>0</c:v>
                </c:pt>
                <c:pt idx="15">
                  <c:v>0.12280701754385964</c:v>
                </c:pt>
                <c:pt idx="16">
                  <c:v>1.7543859649122806E-2</c:v>
                </c:pt>
                <c:pt idx="17">
                  <c:v>5.2631578947368418E-2</c:v>
                </c:pt>
                <c:pt idx="18">
                  <c:v>3.5087719298245612E-2</c:v>
                </c:pt>
                <c:pt idx="19">
                  <c:v>5.2631578947368418E-2</c:v>
                </c:pt>
                <c:pt idx="20">
                  <c:v>3.5087719298245612E-2</c:v>
                </c:pt>
                <c:pt idx="21">
                  <c:v>1.7543859649122806E-2</c:v>
                </c:pt>
                <c:pt idx="22">
                  <c:v>1.7543859649122806E-2</c:v>
                </c:pt>
              </c:numCache>
            </c:numRef>
          </c:val>
          <c:extLst>
            <c:ext xmlns:c16="http://schemas.microsoft.com/office/drawing/2014/chart" uri="{C3380CC4-5D6E-409C-BE32-E72D297353CC}">
              <c16:uniqueId val="{00000000-C70F-41B9-89E0-3B3790F32092}"/>
            </c:ext>
          </c:extLst>
        </c:ser>
        <c:ser>
          <c:idx val="31"/>
          <c:order val="1"/>
          <c:tx>
            <c:strRef>
              <c:f>'SUMMARY ATV partnership'!$I$8</c:f>
              <c:strCache>
                <c:ptCount val="1"/>
                <c:pt idx="0">
                  <c:v>Last-Mile</c:v>
                </c:pt>
              </c:strCache>
            </c:strRef>
          </c:tx>
          <c:spPr>
            <a:solidFill>
              <a:schemeClr val="accent1">
                <a:lumMod val="60000"/>
                <a:lumOff val="40000"/>
              </a:schemeClr>
            </a:solidFill>
            <a:ln>
              <a:noFill/>
            </a:ln>
            <a:effectLst/>
          </c:spPr>
          <c:invertIfNegative val="0"/>
          <c:cat>
            <c:strRef>
              <c:f>'SUMMARY ATV partnership'!$A$10:$A$32</c:f>
              <c:strCache>
                <c:ptCount val="2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pt idx="21">
                  <c:v>Transportation Authority</c:v>
                </c:pt>
                <c:pt idx="22">
                  <c:v>V&amp;V</c:v>
                </c:pt>
              </c:strCache>
            </c:strRef>
          </c:cat>
          <c:val>
            <c:numRef>
              <c:f>'SUMMARY ATV partnership'!$K$10:$K$33</c:f>
              <c:numCache>
                <c:formatCode>0%</c:formatCode>
                <c:ptCount val="24"/>
                <c:pt idx="0">
                  <c:v>7.1428571428571425E-2</c:v>
                </c:pt>
                <c:pt idx="1">
                  <c:v>0</c:v>
                </c:pt>
                <c:pt idx="2">
                  <c:v>7.1428571428571425E-2</c:v>
                </c:pt>
                <c:pt idx="3">
                  <c:v>0.14285714285714285</c:v>
                </c:pt>
                <c:pt idx="4">
                  <c:v>0</c:v>
                </c:pt>
                <c:pt idx="5">
                  <c:v>0</c:v>
                </c:pt>
                <c:pt idx="6">
                  <c:v>0.17857142857142858</c:v>
                </c:pt>
                <c:pt idx="7">
                  <c:v>3.5714285714285712E-2</c:v>
                </c:pt>
                <c:pt idx="8">
                  <c:v>7.1428571428571425E-2</c:v>
                </c:pt>
                <c:pt idx="9">
                  <c:v>0</c:v>
                </c:pt>
                <c:pt idx="10">
                  <c:v>0</c:v>
                </c:pt>
                <c:pt idx="11">
                  <c:v>3.5714285714285712E-2</c:v>
                </c:pt>
                <c:pt idx="12">
                  <c:v>7.1428571428571425E-2</c:v>
                </c:pt>
                <c:pt idx="13">
                  <c:v>3.5714285714285712E-2</c:v>
                </c:pt>
                <c:pt idx="14">
                  <c:v>3.5714285714285712E-2</c:v>
                </c:pt>
                <c:pt idx="15">
                  <c:v>0</c:v>
                </c:pt>
                <c:pt idx="16">
                  <c:v>0</c:v>
                </c:pt>
                <c:pt idx="17">
                  <c:v>0.21428571428571427</c:v>
                </c:pt>
                <c:pt idx="18">
                  <c:v>0</c:v>
                </c:pt>
                <c:pt idx="19">
                  <c:v>0</c:v>
                </c:pt>
                <c:pt idx="20">
                  <c:v>0</c:v>
                </c:pt>
                <c:pt idx="21">
                  <c:v>0</c:v>
                </c:pt>
                <c:pt idx="22">
                  <c:v>0</c:v>
                </c:pt>
              </c:numCache>
            </c:numRef>
          </c:val>
          <c:extLst>
            <c:ext xmlns:c16="http://schemas.microsoft.com/office/drawing/2014/chart" uri="{C3380CC4-5D6E-409C-BE32-E72D297353CC}">
              <c16:uniqueId val="{00000001-C70F-41B9-89E0-3B3790F32092}"/>
            </c:ext>
          </c:extLst>
        </c:ser>
        <c:ser>
          <c:idx val="29"/>
          <c:order val="2"/>
          <c:tx>
            <c:strRef>
              <c:f>'SUMMARY ATV partnership'!$A$8</c:f>
              <c:strCache>
                <c:ptCount val="1"/>
                <c:pt idx="0">
                  <c:v>ATV</c:v>
                </c:pt>
              </c:strCache>
            </c:strRef>
          </c:tx>
          <c:spPr>
            <a:solidFill>
              <a:schemeClr val="bg1">
                <a:lumMod val="65000"/>
              </a:schemeClr>
            </a:solidFill>
            <a:ln>
              <a:noFill/>
            </a:ln>
            <a:effectLst/>
          </c:spPr>
          <c:invertIfNegative val="0"/>
          <c:cat>
            <c:strRef>
              <c:f>'SUMMARY ATV partnership'!$A$10:$A$32</c:f>
              <c:strCache>
                <c:ptCount val="2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pt idx="21">
                  <c:v>Transportation Authority</c:v>
                </c:pt>
                <c:pt idx="22">
                  <c:v>V&amp;V</c:v>
                </c:pt>
              </c:strCache>
            </c:strRef>
          </c:cat>
          <c:val>
            <c:numRef>
              <c:f>'SUMMARY ATV partnership'!$C$10:$C$33</c:f>
              <c:numCache>
                <c:formatCode>0%</c:formatCode>
                <c:ptCount val="24"/>
                <c:pt idx="0">
                  <c:v>2.3529411764705882E-2</c:v>
                </c:pt>
                <c:pt idx="1">
                  <c:v>9.4117647058823528E-2</c:v>
                </c:pt>
                <c:pt idx="2">
                  <c:v>2.3529411764705882E-2</c:v>
                </c:pt>
                <c:pt idx="3">
                  <c:v>0.10588235294117647</c:v>
                </c:pt>
                <c:pt idx="4">
                  <c:v>1.1764705882352941E-2</c:v>
                </c:pt>
                <c:pt idx="5">
                  <c:v>2.3529411764705882E-2</c:v>
                </c:pt>
                <c:pt idx="6">
                  <c:v>5.8823529411764705E-2</c:v>
                </c:pt>
                <c:pt idx="7">
                  <c:v>1.1764705882352941E-2</c:v>
                </c:pt>
                <c:pt idx="8">
                  <c:v>7.0588235294117646E-2</c:v>
                </c:pt>
                <c:pt idx="9">
                  <c:v>1.1764705882352941E-2</c:v>
                </c:pt>
                <c:pt idx="10">
                  <c:v>1.1764705882352941E-2</c:v>
                </c:pt>
                <c:pt idx="11">
                  <c:v>0.15294117647058825</c:v>
                </c:pt>
                <c:pt idx="12">
                  <c:v>4.7058823529411764E-2</c:v>
                </c:pt>
                <c:pt idx="13">
                  <c:v>1.1764705882352941E-2</c:v>
                </c:pt>
                <c:pt idx="14">
                  <c:v>1.1764705882352941E-2</c:v>
                </c:pt>
                <c:pt idx="15">
                  <c:v>8.2352941176470587E-2</c:v>
                </c:pt>
                <c:pt idx="16">
                  <c:v>1.1764705882352941E-2</c:v>
                </c:pt>
                <c:pt idx="17">
                  <c:v>0.10588235294117647</c:v>
                </c:pt>
                <c:pt idx="18">
                  <c:v>2.3529411764705882E-2</c:v>
                </c:pt>
                <c:pt idx="19">
                  <c:v>3.5294117647058823E-2</c:v>
                </c:pt>
                <c:pt idx="20">
                  <c:v>2.3529411764705882E-2</c:v>
                </c:pt>
                <c:pt idx="21">
                  <c:v>1.1764705882352941E-2</c:v>
                </c:pt>
                <c:pt idx="22">
                  <c:v>1.1764705882352941E-2</c:v>
                </c:pt>
              </c:numCache>
            </c:numRef>
          </c:val>
          <c:extLst>
            <c:ext xmlns:c16="http://schemas.microsoft.com/office/drawing/2014/chart" uri="{C3380CC4-5D6E-409C-BE32-E72D297353CC}">
              <c16:uniqueId val="{00000004-C70F-41B9-89E0-3B3790F32092}"/>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lgn="ctr">
              <a:defRPr lang="en-US"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LID4096"/>
          </a:p>
        </c:txPr>
        <c:crossAx val="171377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LID4096"/>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6b)</a:t>
            </a:r>
            <a:r>
              <a:rPr lang="de-DE" baseline="0"/>
              <a:t> - Classification by Purpose</a:t>
            </a:r>
            <a:endParaRPr lang="de-DE"/>
          </a:p>
        </c:rich>
      </c:tx>
      <c:layout>
        <c:manualLayout>
          <c:xMode val="edge"/>
          <c:yMode val="edge"/>
          <c:x val="0.32233944902145212"/>
          <c:y val="0.879203240548589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5.8343891300159788E-2"/>
          <c:y val="9.1181218702903022E-2"/>
          <c:w val="0.92054772994269607"/>
          <c:h val="0.62795476934687522"/>
        </c:manualLayout>
      </c:layout>
      <c:barChart>
        <c:barDir val="col"/>
        <c:grouping val="clustered"/>
        <c:varyColors val="0"/>
        <c:ser>
          <c:idx val="30"/>
          <c:order val="0"/>
          <c:tx>
            <c:strRef>
              <c:f>'SUMMARY ATV partnership'!$E$8</c:f>
              <c:strCache>
                <c:ptCount val="1"/>
                <c:pt idx="0">
                  <c:v>Trucking</c:v>
                </c:pt>
              </c:strCache>
            </c:strRef>
          </c:tx>
          <c:spPr>
            <a:solidFill>
              <a:schemeClr val="accent1">
                <a:lumMod val="75000"/>
              </a:schemeClr>
            </a:solidFill>
            <a:ln>
              <a:noFill/>
            </a:ln>
            <a:effectLst/>
          </c:spPr>
          <c:invertIfNegative val="0"/>
          <c:cat>
            <c:strRef>
              <c:f>'SUMMARY ATV partnership'!$A$38:$A$44</c:f>
              <c:strCache>
                <c:ptCount val="7"/>
                <c:pt idx="0">
                  <c:v>Joint D&amp;D</c:v>
                </c:pt>
                <c:pt idx="1">
                  <c:v>Supply Partnership (extended)</c:v>
                </c:pt>
                <c:pt idx="2">
                  <c:v>Joint Service Agreement</c:v>
                </c:pt>
                <c:pt idx="3">
                  <c:v>Research &amp; Collaboration</c:v>
                </c:pt>
                <c:pt idx="4">
                  <c:v>Marketing Agreement</c:v>
                </c:pt>
                <c:pt idx="5">
                  <c:v>Other</c:v>
                </c:pt>
                <c:pt idx="6">
                  <c:v>Supply Partnership (traditional)</c:v>
                </c:pt>
              </c:strCache>
            </c:strRef>
          </c:cat>
          <c:val>
            <c:numRef>
              <c:f>'SUMMARY ATV partnership'!$G$38:$G$44</c:f>
              <c:numCache>
                <c:formatCode>0%</c:formatCode>
                <c:ptCount val="7"/>
                <c:pt idx="0">
                  <c:v>0.2857142857142857</c:v>
                </c:pt>
                <c:pt idx="1">
                  <c:v>0.30158730158730157</c:v>
                </c:pt>
                <c:pt idx="2">
                  <c:v>0.1111111111111111</c:v>
                </c:pt>
                <c:pt idx="3">
                  <c:v>0.1111111111111111</c:v>
                </c:pt>
                <c:pt idx="4">
                  <c:v>1.5873015873015872E-2</c:v>
                </c:pt>
                <c:pt idx="5">
                  <c:v>4.7619047619047616E-2</c:v>
                </c:pt>
                <c:pt idx="6">
                  <c:v>0.12698412698412698</c:v>
                </c:pt>
              </c:numCache>
            </c:numRef>
          </c:val>
          <c:extLst>
            <c:ext xmlns:c16="http://schemas.microsoft.com/office/drawing/2014/chart" uri="{C3380CC4-5D6E-409C-BE32-E72D297353CC}">
              <c16:uniqueId val="{00000000-C2AB-4162-8D20-13ED946E860D}"/>
            </c:ext>
          </c:extLst>
        </c:ser>
        <c:ser>
          <c:idx val="31"/>
          <c:order val="1"/>
          <c:tx>
            <c:strRef>
              <c:f>'SUMMARY ATV partnership'!$I$8</c:f>
              <c:strCache>
                <c:ptCount val="1"/>
                <c:pt idx="0">
                  <c:v>Last-Mile</c:v>
                </c:pt>
              </c:strCache>
            </c:strRef>
          </c:tx>
          <c:spPr>
            <a:solidFill>
              <a:schemeClr val="accent1">
                <a:lumMod val="60000"/>
                <a:lumOff val="40000"/>
              </a:schemeClr>
            </a:solidFill>
            <a:ln>
              <a:noFill/>
            </a:ln>
            <a:effectLst/>
          </c:spPr>
          <c:invertIfNegative val="0"/>
          <c:cat>
            <c:strRef>
              <c:f>'SUMMARY ATV partnership'!$A$38:$A$44</c:f>
              <c:strCache>
                <c:ptCount val="7"/>
                <c:pt idx="0">
                  <c:v>Joint D&amp;D</c:v>
                </c:pt>
                <c:pt idx="1">
                  <c:v>Supply Partnership (extended)</c:v>
                </c:pt>
                <c:pt idx="2">
                  <c:v>Joint Service Agreement</c:v>
                </c:pt>
                <c:pt idx="3">
                  <c:v>Research &amp; Collaboration</c:v>
                </c:pt>
                <c:pt idx="4">
                  <c:v>Marketing Agreement</c:v>
                </c:pt>
                <c:pt idx="5">
                  <c:v>Other</c:v>
                </c:pt>
                <c:pt idx="6">
                  <c:v>Supply Partnership (traditional)</c:v>
                </c:pt>
              </c:strCache>
            </c:strRef>
          </c:cat>
          <c:val>
            <c:numRef>
              <c:f>'SUMMARY ATV partnership'!$K$38:$K$44</c:f>
              <c:numCache>
                <c:formatCode>0%</c:formatCode>
                <c:ptCount val="7"/>
                <c:pt idx="0">
                  <c:v>6.8965517241379309E-2</c:v>
                </c:pt>
                <c:pt idx="1">
                  <c:v>3.4482758620689655E-2</c:v>
                </c:pt>
                <c:pt idx="2">
                  <c:v>0.68965517241379315</c:v>
                </c:pt>
                <c:pt idx="3">
                  <c:v>0.13793103448275862</c:v>
                </c:pt>
                <c:pt idx="4">
                  <c:v>3.4482758620689655E-2</c:v>
                </c:pt>
                <c:pt idx="5">
                  <c:v>3.4482758620689655E-2</c:v>
                </c:pt>
                <c:pt idx="6">
                  <c:v>0</c:v>
                </c:pt>
              </c:numCache>
            </c:numRef>
          </c:val>
          <c:extLst>
            <c:ext xmlns:c16="http://schemas.microsoft.com/office/drawing/2014/chart" uri="{C3380CC4-5D6E-409C-BE32-E72D297353CC}">
              <c16:uniqueId val="{00000001-C2AB-4162-8D20-13ED946E860D}"/>
            </c:ext>
          </c:extLst>
        </c:ser>
        <c:ser>
          <c:idx val="29"/>
          <c:order val="2"/>
          <c:tx>
            <c:strRef>
              <c:f>'SUMMARY ATV partnership'!$A$8</c:f>
              <c:strCache>
                <c:ptCount val="1"/>
                <c:pt idx="0">
                  <c:v>ATV</c:v>
                </c:pt>
              </c:strCache>
            </c:strRef>
          </c:tx>
          <c:spPr>
            <a:solidFill>
              <a:schemeClr val="bg1">
                <a:lumMod val="65000"/>
              </a:schemeClr>
            </a:solidFill>
            <a:ln>
              <a:noFill/>
            </a:ln>
            <a:effectLst/>
          </c:spPr>
          <c:invertIfNegative val="0"/>
          <c:cat>
            <c:strRef>
              <c:f>'SUMMARY ATV partnership'!$A$38:$A$44</c:f>
              <c:strCache>
                <c:ptCount val="7"/>
                <c:pt idx="0">
                  <c:v>Joint D&amp;D</c:v>
                </c:pt>
                <c:pt idx="1">
                  <c:v>Supply Partnership (extended)</c:v>
                </c:pt>
                <c:pt idx="2">
                  <c:v>Joint Service Agreement</c:v>
                </c:pt>
                <c:pt idx="3">
                  <c:v>Research &amp; Collaboration</c:v>
                </c:pt>
                <c:pt idx="4">
                  <c:v>Marketing Agreement</c:v>
                </c:pt>
                <c:pt idx="5">
                  <c:v>Other</c:v>
                </c:pt>
                <c:pt idx="6">
                  <c:v>Supply Partnership (traditional)</c:v>
                </c:pt>
              </c:strCache>
            </c:strRef>
          </c:cat>
          <c:val>
            <c:numRef>
              <c:f>'SUMMARY ATV partnership'!$C$38:$C$44</c:f>
              <c:numCache>
                <c:formatCode>0%</c:formatCode>
                <c:ptCount val="7"/>
                <c:pt idx="0">
                  <c:v>0.21739130434782608</c:v>
                </c:pt>
                <c:pt idx="1">
                  <c:v>0.21739130434782608</c:v>
                </c:pt>
                <c:pt idx="2">
                  <c:v>0.29347826086956524</c:v>
                </c:pt>
                <c:pt idx="3">
                  <c:v>0.11956521739130435</c:v>
                </c:pt>
                <c:pt idx="4">
                  <c:v>2.1739130434782608E-2</c:v>
                </c:pt>
                <c:pt idx="5">
                  <c:v>4.3478260869565216E-2</c:v>
                </c:pt>
                <c:pt idx="6">
                  <c:v>8.6956521739130432E-2</c:v>
                </c:pt>
              </c:numCache>
            </c:numRef>
          </c:val>
          <c:extLst>
            <c:ext xmlns:c16="http://schemas.microsoft.com/office/drawing/2014/chart" uri="{C3380CC4-5D6E-409C-BE32-E72D297353CC}">
              <c16:uniqueId val="{00000004-C2AB-4162-8D20-13ED946E860D}"/>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71743"/>
        <c:crosses val="autoZero"/>
        <c:crossBetween val="between"/>
      </c:valAx>
      <c:spPr>
        <a:noFill/>
        <a:ln>
          <a:noFill/>
        </a:ln>
        <a:effectLst/>
      </c:spPr>
    </c:plotArea>
    <c:legend>
      <c:legendPos val="b"/>
      <c:layout>
        <c:manualLayout>
          <c:xMode val="edge"/>
          <c:yMode val="edge"/>
          <c:x val="0.37364625711576743"/>
          <c:y val="1.0673230274805049E-2"/>
          <c:w val="0.25270747271577959"/>
          <c:h val="5.7732310903339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30"/>
          <c:order val="0"/>
          <c:tx>
            <c:strRef>
              <c:f>'SUMMARY ATV partnership'!$E$8</c:f>
              <c:strCache>
                <c:ptCount val="1"/>
                <c:pt idx="0">
                  <c:v>Trucking</c:v>
                </c:pt>
              </c:strCache>
            </c:strRef>
          </c:tx>
          <c:spPr>
            <a:solidFill>
              <a:schemeClr val="accent1">
                <a:lumMod val="75000"/>
              </a:schemeClr>
            </a:solidFill>
            <a:ln>
              <a:noFill/>
            </a:ln>
            <a:effectLst/>
          </c:spPr>
          <c:invertIfNegative val="0"/>
          <c:cat>
            <c:strRef>
              <c:f>'SUMMARY ATV partnership'!$A$49:$A$56</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ATV partnership'!$G$49:$G$56</c:f>
              <c:numCache>
                <c:formatCode>0%</c:formatCode>
                <c:ptCount val="8"/>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0-D12B-47A9-A024-627A12E5C5BD}"/>
            </c:ext>
          </c:extLst>
        </c:ser>
        <c:ser>
          <c:idx val="31"/>
          <c:order val="1"/>
          <c:tx>
            <c:strRef>
              <c:f>'SUMMARY ATV partnership'!$I$8</c:f>
              <c:strCache>
                <c:ptCount val="1"/>
                <c:pt idx="0">
                  <c:v>Last-Mile</c:v>
                </c:pt>
              </c:strCache>
            </c:strRef>
          </c:tx>
          <c:spPr>
            <a:solidFill>
              <a:schemeClr val="accent1">
                <a:lumMod val="60000"/>
                <a:lumOff val="40000"/>
              </a:schemeClr>
            </a:solidFill>
            <a:ln>
              <a:noFill/>
            </a:ln>
            <a:effectLst/>
          </c:spPr>
          <c:invertIfNegative val="0"/>
          <c:cat>
            <c:strRef>
              <c:f>'SUMMARY ATV partnership'!$A$49:$A$56</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ATV partnership'!$K$49:$K$56</c:f>
              <c:numCache>
                <c:formatCode>0%</c:formatCode>
                <c:ptCount val="8"/>
                <c:pt idx="0">
                  <c:v>3.7037037037037035E-2</c:v>
                </c:pt>
                <c:pt idx="1">
                  <c:v>0.66666666666666663</c:v>
                </c:pt>
                <c:pt idx="2">
                  <c:v>3.7037037037037035E-2</c:v>
                </c:pt>
                <c:pt idx="3">
                  <c:v>0.14814814814814814</c:v>
                </c:pt>
                <c:pt idx="4">
                  <c:v>3.7037037037037035E-2</c:v>
                </c:pt>
                <c:pt idx="5">
                  <c:v>7.407407407407407E-2</c:v>
                </c:pt>
                <c:pt idx="6">
                  <c:v>0</c:v>
                </c:pt>
              </c:numCache>
            </c:numRef>
          </c:val>
          <c:extLst>
            <c:ext xmlns:c16="http://schemas.microsoft.com/office/drawing/2014/chart" uri="{C3380CC4-5D6E-409C-BE32-E72D297353CC}">
              <c16:uniqueId val="{00000001-D12B-47A9-A024-627A12E5C5BD}"/>
            </c:ext>
          </c:extLst>
        </c:ser>
        <c:ser>
          <c:idx val="29"/>
          <c:order val="2"/>
          <c:tx>
            <c:strRef>
              <c:f>'SUMMARY ATV partnership'!$A$8</c:f>
              <c:strCache>
                <c:ptCount val="1"/>
                <c:pt idx="0">
                  <c:v>ATV</c:v>
                </c:pt>
              </c:strCache>
            </c:strRef>
          </c:tx>
          <c:spPr>
            <a:solidFill>
              <a:schemeClr val="bg1">
                <a:lumMod val="65000"/>
              </a:schemeClr>
            </a:solidFill>
            <a:ln>
              <a:noFill/>
            </a:ln>
            <a:effectLst/>
          </c:spPr>
          <c:invertIfNegative val="0"/>
          <c:cat>
            <c:strRef>
              <c:f>'SUMMARY ATV partnership'!$A$49:$A$56</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ATV partnership'!$C$49:$C$56</c:f>
              <c:numCache>
                <c:formatCode>0%</c:formatCode>
                <c:ptCount val="8"/>
                <c:pt idx="0">
                  <c:v>4.9382716049382713E-2</c:v>
                </c:pt>
                <c:pt idx="1">
                  <c:v>0.55555555555555558</c:v>
                </c:pt>
                <c:pt idx="2">
                  <c:v>3.7037037037037035E-2</c:v>
                </c:pt>
                <c:pt idx="3">
                  <c:v>0.23456790123456789</c:v>
                </c:pt>
                <c:pt idx="4">
                  <c:v>2.4691358024691357E-2</c:v>
                </c:pt>
                <c:pt idx="5">
                  <c:v>8.6419753086419748E-2</c:v>
                </c:pt>
                <c:pt idx="6">
                  <c:v>1.2345679012345678E-2</c:v>
                </c:pt>
              </c:numCache>
            </c:numRef>
          </c:val>
          <c:extLst>
            <c:ext xmlns:c16="http://schemas.microsoft.com/office/drawing/2014/chart" uri="{C3380CC4-5D6E-409C-BE32-E72D297353CC}">
              <c16:uniqueId val="{00000004-D12B-47A9-A024-627A12E5C5BD}"/>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max val="0.70000000000000007"/>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7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microsoft.com/office/2014/relationships/chartEx" Target="../charts/chartEx3.xml"/><Relationship Id="rId5" Type="http://schemas.microsoft.com/office/2014/relationships/chartEx" Target="../charts/chartEx2.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s>
</file>

<file path=xl/drawings/_rels/drawing6.xml.rels><?xml version="1.0" encoding="UTF-8" standalone="yes"?>
<Relationships xmlns="http://schemas.openxmlformats.org/package/2006/relationships"><Relationship Id="rId3" Type="http://schemas.microsoft.com/office/2014/relationships/chartEx" Target="../charts/chartEx12.xml"/><Relationship Id="rId2" Type="http://schemas.microsoft.com/office/2014/relationships/chartEx" Target="../charts/chartEx11.xml"/><Relationship Id="rId1" Type="http://schemas.microsoft.com/office/2014/relationships/chartEx" Target="../charts/chartEx10.xml"/></Relationships>
</file>

<file path=xl/drawings/_rels/drawing7.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s>
</file>

<file path=xl/drawings/drawing1.xml><?xml version="1.0" encoding="utf-8"?>
<xdr:wsDr xmlns:xdr="http://schemas.openxmlformats.org/drawingml/2006/spreadsheetDrawing" xmlns:a="http://schemas.openxmlformats.org/drawingml/2006/main">
  <xdr:twoCellAnchor>
    <xdr:from>
      <xdr:col>31</xdr:col>
      <xdr:colOff>621559</xdr:colOff>
      <xdr:row>30</xdr:row>
      <xdr:rowOff>42139</xdr:rowOff>
    </xdr:from>
    <xdr:to>
      <xdr:col>38</xdr:col>
      <xdr:colOff>358359</xdr:colOff>
      <xdr:row>51</xdr:row>
      <xdr:rowOff>14339</xdr:rowOff>
    </xdr:to>
    <xdr:graphicFrame macro="">
      <xdr:nvGraphicFramePr>
        <xdr:cNvPr id="2" name="Chart 1">
          <a:extLst>
            <a:ext uri="{FF2B5EF4-FFF2-40B4-BE49-F238E27FC236}">
              <a16:creationId xmlns:a16="http://schemas.microsoft.com/office/drawing/2014/main" id="{A3321270-4833-410E-854C-4E9F769EC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487600</xdr:colOff>
      <xdr:row>30</xdr:row>
      <xdr:rowOff>34859</xdr:rowOff>
    </xdr:from>
    <xdr:to>
      <xdr:col>47</xdr:col>
      <xdr:colOff>681600</xdr:colOff>
      <xdr:row>51</xdr:row>
      <xdr:rowOff>7059</xdr:rowOff>
    </xdr:to>
    <xdr:graphicFrame macro="">
      <xdr:nvGraphicFramePr>
        <xdr:cNvPr id="3" name="Chart 2">
          <a:extLst>
            <a:ext uri="{FF2B5EF4-FFF2-40B4-BE49-F238E27FC236}">
              <a16:creationId xmlns:a16="http://schemas.microsoft.com/office/drawing/2014/main" id="{F4039341-E8A5-4F02-8BFA-FB680E2DE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34421</xdr:colOff>
      <xdr:row>51</xdr:row>
      <xdr:rowOff>85148</xdr:rowOff>
    </xdr:from>
    <xdr:to>
      <xdr:col>50</xdr:col>
      <xdr:colOff>421000</xdr:colOff>
      <xdr:row>67</xdr:row>
      <xdr:rowOff>119063</xdr:rowOff>
    </xdr:to>
    <xdr:graphicFrame macro="">
      <xdr:nvGraphicFramePr>
        <xdr:cNvPr id="4" name="Chart 3">
          <a:extLst>
            <a:ext uri="{FF2B5EF4-FFF2-40B4-BE49-F238E27FC236}">
              <a16:creationId xmlns:a16="http://schemas.microsoft.com/office/drawing/2014/main" id="{528D4372-33E3-44DB-B09B-3EFB16777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407267</xdr:colOff>
      <xdr:row>51</xdr:row>
      <xdr:rowOff>87562</xdr:rowOff>
    </xdr:from>
    <xdr:to>
      <xdr:col>42</xdr:col>
      <xdr:colOff>713994</xdr:colOff>
      <xdr:row>67</xdr:row>
      <xdr:rowOff>120653</xdr:rowOff>
    </xdr:to>
    <xdr:graphicFrame macro="">
      <xdr:nvGraphicFramePr>
        <xdr:cNvPr id="5" name="Chart 4">
          <a:extLst>
            <a:ext uri="{FF2B5EF4-FFF2-40B4-BE49-F238E27FC236}">
              <a16:creationId xmlns:a16="http://schemas.microsoft.com/office/drawing/2014/main" id="{9E9A6FFE-13DA-4F12-8AAD-B6DC77C06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91282</xdr:colOff>
      <xdr:row>51</xdr:row>
      <xdr:rowOff>78364</xdr:rowOff>
    </xdr:from>
    <xdr:to>
      <xdr:col>59</xdr:col>
      <xdr:colOff>42306</xdr:colOff>
      <xdr:row>66</xdr:row>
      <xdr:rowOff>182563</xdr:rowOff>
    </xdr:to>
    <xdr:graphicFrame macro="">
      <xdr:nvGraphicFramePr>
        <xdr:cNvPr id="6" name="Chart 5">
          <a:extLst>
            <a:ext uri="{FF2B5EF4-FFF2-40B4-BE49-F238E27FC236}">
              <a16:creationId xmlns:a16="http://schemas.microsoft.com/office/drawing/2014/main" id="{D264ED76-C0E2-4830-A5C8-0341C187C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9292</xdr:colOff>
      <xdr:row>51</xdr:row>
      <xdr:rowOff>136540</xdr:rowOff>
    </xdr:from>
    <xdr:to>
      <xdr:col>68</xdr:col>
      <xdr:colOff>98425</xdr:colOff>
      <xdr:row>68</xdr:row>
      <xdr:rowOff>38099</xdr:rowOff>
    </xdr:to>
    <xdr:graphicFrame macro="">
      <xdr:nvGraphicFramePr>
        <xdr:cNvPr id="7" name="Chart 6">
          <a:extLst>
            <a:ext uri="{FF2B5EF4-FFF2-40B4-BE49-F238E27FC236}">
              <a16:creationId xmlns:a16="http://schemas.microsoft.com/office/drawing/2014/main" id="{C3C71A2E-13D3-4FCC-A87F-77CF1C524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339002</xdr:colOff>
      <xdr:row>69</xdr:row>
      <xdr:rowOff>74612</xdr:rowOff>
    </xdr:from>
    <xdr:to>
      <xdr:col>42</xdr:col>
      <xdr:colOff>715818</xdr:colOff>
      <xdr:row>84</xdr:row>
      <xdr:rowOff>178594</xdr:rowOff>
    </xdr:to>
    <xdr:graphicFrame macro="">
      <xdr:nvGraphicFramePr>
        <xdr:cNvPr id="8" name="Chart 7">
          <a:extLst>
            <a:ext uri="{FF2B5EF4-FFF2-40B4-BE49-F238E27FC236}">
              <a16:creationId xmlns:a16="http://schemas.microsoft.com/office/drawing/2014/main" id="{501D8EEC-04AA-4604-8C21-B18C84E8C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107228</xdr:colOff>
      <xdr:row>68</xdr:row>
      <xdr:rowOff>213518</xdr:rowOff>
    </xdr:from>
    <xdr:to>
      <xdr:col>50</xdr:col>
      <xdr:colOff>485775</xdr:colOff>
      <xdr:row>85</xdr:row>
      <xdr:rowOff>146817</xdr:rowOff>
    </xdr:to>
    <xdr:graphicFrame macro="">
      <xdr:nvGraphicFramePr>
        <xdr:cNvPr id="9" name="Chart 8">
          <a:extLst>
            <a:ext uri="{FF2B5EF4-FFF2-40B4-BE49-F238E27FC236}">
              <a16:creationId xmlns:a16="http://schemas.microsoft.com/office/drawing/2014/main" id="{C838D263-BDF9-4702-B9BA-444BC545F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51</xdr:col>
      <xdr:colOff>147421</xdr:colOff>
      <xdr:row>68</xdr:row>
      <xdr:rowOff>169861</xdr:rowOff>
    </xdr:from>
    <xdr:to>
      <xdr:col>59</xdr:col>
      <xdr:colOff>12700</xdr:colOff>
      <xdr:row>84</xdr:row>
      <xdr:rowOff>118607</xdr:rowOff>
    </xdr:to>
    <xdr:graphicFrame macro="">
      <xdr:nvGraphicFramePr>
        <xdr:cNvPr id="10" name="Chart 9">
          <a:extLst>
            <a:ext uri="{FF2B5EF4-FFF2-40B4-BE49-F238E27FC236}">
              <a16:creationId xmlns:a16="http://schemas.microsoft.com/office/drawing/2014/main" id="{D606187C-32C9-448B-B430-4EEB17AF3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59</xdr:col>
      <xdr:colOff>571294</xdr:colOff>
      <xdr:row>70</xdr:row>
      <xdr:rowOff>5895</xdr:rowOff>
    </xdr:from>
    <xdr:to>
      <xdr:col>68</xdr:col>
      <xdr:colOff>85725</xdr:colOff>
      <xdr:row>85</xdr:row>
      <xdr:rowOff>150813</xdr:rowOff>
    </xdr:to>
    <xdr:graphicFrame macro="">
      <xdr:nvGraphicFramePr>
        <xdr:cNvPr id="11" name="Chart 10">
          <a:extLst>
            <a:ext uri="{FF2B5EF4-FFF2-40B4-BE49-F238E27FC236}">
              <a16:creationId xmlns:a16="http://schemas.microsoft.com/office/drawing/2014/main" id="{7D2598F5-CE71-4DD3-9151-85278BCD0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615209</xdr:colOff>
      <xdr:row>1</xdr:row>
      <xdr:rowOff>102464</xdr:rowOff>
    </xdr:from>
    <xdr:to>
      <xdr:col>38</xdr:col>
      <xdr:colOff>352009</xdr:colOff>
      <xdr:row>29</xdr:row>
      <xdr:rowOff>150864</xdr:rowOff>
    </xdr:to>
    <xdr:graphicFrame macro="">
      <xdr:nvGraphicFramePr>
        <xdr:cNvPr id="12" name="Chart 11">
          <a:extLst>
            <a:ext uri="{FF2B5EF4-FFF2-40B4-BE49-F238E27FC236}">
              <a16:creationId xmlns:a16="http://schemas.microsoft.com/office/drawing/2014/main" id="{6C0ACE13-45CA-40BD-B9AE-31A2493FD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38</xdr:col>
      <xdr:colOff>484425</xdr:colOff>
      <xdr:row>1</xdr:row>
      <xdr:rowOff>104709</xdr:rowOff>
    </xdr:from>
    <xdr:to>
      <xdr:col>47</xdr:col>
      <xdr:colOff>678425</xdr:colOff>
      <xdr:row>29</xdr:row>
      <xdr:rowOff>153109</xdr:rowOff>
    </xdr:to>
    <xdr:graphicFrame macro="">
      <xdr:nvGraphicFramePr>
        <xdr:cNvPr id="13" name="Chart 12">
          <a:extLst>
            <a:ext uri="{FF2B5EF4-FFF2-40B4-BE49-F238E27FC236}">
              <a16:creationId xmlns:a16="http://schemas.microsoft.com/office/drawing/2014/main" id="{17815B01-376F-41F8-BE2C-AFD7285C4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118139</xdr:colOff>
      <xdr:row>3</xdr:row>
      <xdr:rowOff>169191</xdr:rowOff>
    </xdr:from>
    <xdr:to>
      <xdr:col>23</xdr:col>
      <xdr:colOff>1074700</xdr:colOff>
      <xdr:row>28</xdr:row>
      <xdr:rowOff>29831</xdr:rowOff>
    </xdr:to>
    <xdr:graphicFrame macro="">
      <xdr:nvGraphicFramePr>
        <xdr:cNvPr id="14" name="Chart 13">
          <a:extLst>
            <a:ext uri="{FF2B5EF4-FFF2-40B4-BE49-F238E27FC236}">
              <a16:creationId xmlns:a16="http://schemas.microsoft.com/office/drawing/2014/main" id="{82D2C8D8-A88F-469B-A051-1166A800F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241300</xdr:colOff>
      <xdr:row>3</xdr:row>
      <xdr:rowOff>162177</xdr:rowOff>
    </xdr:from>
    <xdr:to>
      <xdr:col>30</xdr:col>
      <xdr:colOff>577850</xdr:colOff>
      <xdr:row>28</xdr:row>
      <xdr:rowOff>22225</xdr:rowOff>
    </xdr:to>
    <xdr:graphicFrame macro="">
      <xdr:nvGraphicFramePr>
        <xdr:cNvPr id="15" name="Chart 14">
          <a:extLst>
            <a:ext uri="{FF2B5EF4-FFF2-40B4-BE49-F238E27FC236}">
              <a16:creationId xmlns:a16="http://schemas.microsoft.com/office/drawing/2014/main" id="{55C3ACA4-3743-42AD-A9A9-BB3641AC1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237503</xdr:colOff>
      <xdr:row>28</xdr:row>
      <xdr:rowOff>152400</xdr:rowOff>
    </xdr:from>
    <xdr:to>
      <xdr:col>30</xdr:col>
      <xdr:colOff>577851</xdr:colOff>
      <xdr:row>50</xdr:row>
      <xdr:rowOff>133338</xdr:rowOff>
    </xdr:to>
    <xdr:graphicFrame macro="">
      <xdr:nvGraphicFramePr>
        <xdr:cNvPr id="16" name="Chart 15">
          <a:extLst>
            <a:ext uri="{FF2B5EF4-FFF2-40B4-BE49-F238E27FC236}">
              <a16:creationId xmlns:a16="http://schemas.microsoft.com/office/drawing/2014/main" id="{A08BFCE4-DD85-4FD1-B661-068CFF45D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37</xdr:col>
      <xdr:colOff>674278</xdr:colOff>
      <xdr:row>82</xdr:row>
      <xdr:rowOff>100788</xdr:rowOff>
    </xdr:from>
    <xdr:to>
      <xdr:col>45</xdr:col>
      <xdr:colOff>115730</xdr:colOff>
      <xdr:row>101</xdr:row>
      <xdr:rowOff>163268</xdr:rowOff>
    </xdr:to>
    <xdr:graphicFrame macro="">
      <xdr:nvGraphicFramePr>
        <xdr:cNvPr id="20" name="Chart 19">
          <a:extLst>
            <a:ext uri="{FF2B5EF4-FFF2-40B4-BE49-F238E27FC236}">
              <a16:creationId xmlns:a16="http://schemas.microsoft.com/office/drawing/2014/main" id="{69277AFA-DF60-493C-965D-D0B999848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45</xdr:col>
      <xdr:colOff>240413</xdr:colOff>
      <xdr:row>81</xdr:row>
      <xdr:rowOff>278841</xdr:rowOff>
    </xdr:from>
    <xdr:to>
      <xdr:col>55</xdr:col>
      <xdr:colOff>453959</xdr:colOff>
      <xdr:row>101</xdr:row>
      <xdr:rowOff>38957</xdr:rowOff>
    </xdr:to>
    <xdr:graphicFrame macro="">
      <xdr:nvGraphicFramePr>
        <xdr:cNvPr id="21" name="Chart 20">
          <a:extLst>
            <a:ext uri="{FF2B5EF4-FFF2-40B4-BE49-F238E27FC236}">
              <a16:creationId xmlns:a16="http://schemas.microsoft.com/office/drawing/2014/main" id="{3C569B18-D7B8-4F21-B8AC-9C1066655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30</xdr:col>
      <xdr:colOff>536575</xdr:colOff>
      <xdr:row>44</xdr:row>
      <xdr:rowOff>63325</xdr:rowOff>
    </xdr:from>
    <xdr:to>
      <xdr:col>33</xdr:col>
      <xdr:colOff>676275</xdr:colOff>
      <xdr:row>64</xdr:row>
      <xdr:rowOff>110245</xdr:rowOff>
    </xdr:to>
    <xdr:graphicFrame macro="">
      <xdr:nvGraphicFramePr>
        <xdr:cNvPr id="17" name="Chart 16">
          <a:extLst>
            <a:ext uri="{FF2B5EF4-FFF2-40B4-BE49-F238E27FC236}">
              <a16:creationId xmlns:a16="http://schemas.microsoft.com/office/drawing/2014/main" id="{06287EB0-0FEB-41E2-A6D4-B6259113B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945830</xdr:colOff>
      <xdr:row>44</xdr:row>
      <xdr:rowOff>4635</xdr:rowOff>
    </xdr:from>
    <xdr:to>
      <xdr:col>38</xdr:col>
      <xdr:colOff>65778</xdr:colOff>
      <xdr:row>64</xdr:row>
      <xdr:rowOff>51555</xdr:rowOff>
    </xdr:to>
    <xdr:graphicFrame macro="">
      <xdr:nvGraphicFramePr>
        <xdr:cNvPr id="18" name="Chart 17">
          <a:extLst>
            <a:ext uri="{FF2B5EF4-FFF2-40B4-BE49-F238E27FC236}">
              <a16:creationId xmlns:a16="http://schemas.microsoft.com/office/drawing/2014/main" id="{F800CF2E-CC36-4D04-BFDA-408485AAD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2026585</xdr:colOff>
      <xdr:row>4</xdr:row>
      <xdr:rowOff>31749</xdr:rowOff>
    </xdr:from>
    <xdr:to>
      <xdr:col>19</xdr:col>
      <xdr:colOff>279399</xdr:colOff>
      <xdr:row>23</xdr:row>
      <xdr:rowOff>79374</xdr:rowOff>
    </xdr:to>
    <xdr:graphicFrame macro="">
      <xdr:nvGraphicFramePr>
        <xdr:cNvPr id="6" name="Chart 5">
          <a:extLst>
            <a:ext uri="{FF2B5EF4-FFF2-40B4-BE49-F238E27FC236}">
              <a16:creationId xmlns:a16="http://schemas.microsoft.com/office/drawing/2014/main" id="{E1C84D13-3404-497D-8FFE-1C07BFBB0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92364</xdr:colOff>
      <xdr:row>175</xdr:row>
      <xdr:rowOff>0</xdr:rowOff>
    </xdr:from>
    <xdr:to>
      <xdr:col>55</xdr:col>
      <xdr:colOff>293687</xdr:colOff>
      <xdr:row>188</xdr:row>
      <xdr:rowOff>93663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D23CFF7-51A5-4F08-98DA-90929D0406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9301014" y="32740600"/>
              <a:ext cx="1293523" cy="2487613"/>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175</xdr:row>
      <xdr:rowOff>0</xdr:rowOff>
    </xdr:from>
    <xdr:to>
      <xdr:col>56</xdr:col>
      <xdr:colOff>738909</xdr:colOff>
      <xdr:row>187</xdr:row>
      <xdr:rowOff>139845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7E4ED04-8912-4605-B45D-0A09210737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589487" y="32740600"/>
              <a:ext cx="1542472" cy="2349645"/>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175</xdr:row>
      <xdr:rowOff>0</xdr:rowOff>
    </xdr:from>
    <xdr:to>
      <xdr:col>46</xdr:col>
      <xdr:colOff>729528</xdr:colOff>
      <xdr:row>188</xdr:row>
      <xdr:rowOff>93663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D8688EF-D520-4AD1-BC66-4E76E673C3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907055" y="32740600"/>
              <a:ext cx="1293523" cy="2487613"/>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27</xdr:col>
      <xdr:colOff>412430</xdr:colOff>
      <xdr:row>53</xdr:row>
      <xdr:rowOff>20510</xdr:rowOff>
    </xdr:from>
    <xdr:to>
      <xdr:col>30</xdr:col>
      <xdr:colOff>100703</xdr:colOff>
      <xdr:row>72</xdr:row>
      <xdr:rowOff>83305</xdr:rowOff>
    </xdr:to>
    <xdr:graphicFrame macro="">
      <xdr:nvGraphicFramePr>
        <xdr:cNvPr id="3" name="Chart 2">
          <a:extLst>
            <a:ext uri="{FF2B5EF4-FFF2-40B4-BE49-F238E27FC236}">
              <a16:creationId xmlns:a16="http://schemas.microsoft.com/office/drawing/2014/main" id="{BF877930-0969-4C3C-99E8-C08DDEFC7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760890</xdr:colOff>
      <xdr:row>0</xdr:row>
      <xdr:rowOff>80818</xdr:rowOff>
    </xdr:from>
    <xdr:to>
      <xdr:col>29</xdr:col>
      <xdr:colOff>1201171</xdr:colOff>
      <xdr:row>32</xdr:row>
      <xdr:rowOff>150091</xdr:rowOff>
    </xdr:to>
    <xdr:graphicFrame macro="">
      <xdr:nvGraphicFramePr>
        <xdr:cNvPr id="4" name="Chart 3">
          <a:extLst>
            <a:ext uri="{FF2B5EF4-FFF2-40B4-BE49-F238E27FC236}">
              <a16:creationId xmlns:a16="http://schemas.microsoft.com/office/drawing/2014/main" id="{A3C54EFC-68A3-4807-9A9B-49E4B641C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1395890</xdr:colOff>
      <xdr:row>0</xdr:row>
      <xdr:rowOff>80818</xdr:rowOff>
    </xdr:from>
    <xdr:to>
      <xdr:col>31</xdr:col>
      <xdr:colOff>1286652</xdr:colOff>
      <xdr:row>32</xdr:row>
      <xdr:rowOff>150091</xdr:rowOff>
    </xdr:to>
    <xdr:graphicFrame macro="">
      <xdr:nvGraphicFramePr>
        <xdr:cNvPr id="5" name="Chart 4">
          <a:extLst>
            <a:ext uri="{FF2B5EF4-FFF2-40B4-BE49-F238E27FC236}">
              <a16:creationId xmlns:a16="http://schemas.microsoft.com/office/drawing/2014/main" id="{D57AEA9E-BF7A-41DA-8C45-447D074AE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72571</xdr:colOff>
      <xdr:row>0</xdr:row>
      <xdr:rowOff>154214</xdr:rowOff>
    </xdr:from>
    <xdr:to>
      <xdr:col>18</xdr:col>
      <xdr:colOff>115661</xdr:colOff>
      <xdr:row>15</xdr:row>
      <xdr:rowOff>106489</xdr:rowOff>
    </xdr:to>
    <xdr:graphicFrame macro="">
      <xdr:nvGraphicFramePr>
        <xdr:cNvPr id="6" name="Chart 5">
          <a:extLst>
            <a:ext uri="{FF2B5EF4-FFF2-40B4-BE49-F238E27FC236}">
              <a16:creationId xmlns:a16="http://schemas.microsoft.com/office/drawing/2014/main" id="{58CCA476-D62B-461C-B19B-B5F99252E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92569</xdr:colOff>
      <xdr:row>16</xdr:row>
      <xdr:rowOff>99579</xdr:rowOff>
    </xdr:from>
    <xdr:to>
      <xdr:col>18</xdr:col>
      <xdr:colOff>138544</xdr:colOff>
      <xdr:row>32</xdr:row>
      <xdr:rowOff>128342</xdr:rowOff>
    </xdr:to>
    <xdr:graphicFrame macro="">
      <xdr:nvGraphicFramePr>
        <xdr:cNvPr id="7" name="Chart 6">
          <a:extLst>
            <a:ext uri="{FF2B5EF4-FFF2-40B4-BE49-F238E27FC236}">
              <a16:creationId xmlns:a16="http://schemas.microsoft.com/office/drawing/2014/main" id="{CD93B9B7-F994-4D51-B7D1-E3C064393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115660</xdr:colOff>
      <xdr:row>33</xdr:row>
      <xdr:rowOff>40409</xdr:rowOff>
    </xdr:from>
    <xdr:to>
      <xdr:col>18</xdr:col>
      <xdr:colOff>158749</xdr:colOff>
      <xdr:row>48</xdr:row>
      <xdr:rowOff>160109</xdr:rowOff>
    </xdr:to>
    <xdr:graphicFrame macro="">
      <xdr:nvGraphicFramePr>
        <xdr:cNvPr id="8" name="Chart 7">
          <a:extLst>
            <a:ext uri="{FF2B5EF4-FFF2-40B4-BE49-F238E27FC236}">
              <a16:creationId xmlns:a16="http://schemas.microsoft.com/office/drawing/2014/main" id="{AE33283E-76A6-4925-B04A-DF265B6FE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54</xdr:col>
      <xdr:colOff>92364</xdr:colOff>
      <xdr:row>114</xdr:row>
      <xdr:rowOff>17463</xdr:rowOff>
    </xdr:from>
    <xdr:to>
      <xdr:col>55</xdr:col>
      <xdr:colOff>293687</xdr:colOff>
      <xdr:row>128</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726C675-0C72-44F3-81BB-8EB2A71495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26298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113</xdr:row>
      <xdr:rowOff>63645</xdr:rowOff>
    </xdr:from>
    <xdr:to>
      <xdr:col>56</xdr:col>
      <xdr:colOff>738909</xdr:colOff>
      <xdr:row>127</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85EC740-11BF-4AD0-9F2F-48A89A759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24918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114</xdr:row>
      <xdr:rowOff>17463</xdr:rowOff>
    </xdr:from>
    <xdr:to>
      <xdr:col>46</xdr:col>
      <xdr:colOff>729528</xdr:colOff>
      <xdr:row>128</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AB21E4FA-A311-42A1-8693-CCA02FDD54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26298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54</xdr:col>
      <xdr:colOff>92364</xdr:colOff>
      <xdr:row>105</xdr:row>
      <xdr:rowOff>17463</xdr:rowOff>
    </xdr:from>
    <xdr:to>
      <xdr:col>55</xdr:col>
      <xdr:colOff>293687</xdr:colOff>
      <xdr:row>119</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DB4AA1B-EBF8-4AAB-847F-EF9DAC72D2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02295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104</xdr:row>
      <xdr:rowOff>63645</xdr:rowOff>
    </xdr:from>
    <xdr:to>
      <xdr:col>56</xdr:col>
      <xdr:colOff>738909</xdr:colOff>
      <xdr:row>118</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24A1D8B-D843-4D90-BE0C-0E202782F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00915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105</xdr:row>
      <xdr:rowOff>17463</xdr:rowOff>
    </xdr:from>
    <xdr:to>
      <xdr:col>46</xdr:col>
      <xdr:colOff>729528</xdr:colOff>
      <xdr:row>119</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6035D5F-4778-45E1-9298-F808F5B59C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02295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54</xdr:col>
      <xdr:colOff>92364</xdr:colOff>
      <xdr:row>111</xdr:row>
      <xdr:rowOff>17463</xdr:rowOff>
    </xdr:from>
    <xdr:to>
      <xdr:col>55</xdr:col>
      <xdr:colOff>293687</xdr:colOff>
      <xdr:row>125</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617F134-8DF2-4CE7-B96A-FE982A38B5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13344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110</xdr:row>
      <xdr:rowOff>63645</xdr:rowOff>
    </xdr:from>
    <xdr:to>
      <xdr:col>56</xdr:col>
      <xdr:colOff>738909</xdr:colOff>
      <xdr:row>124</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ED2ED79-CB67-4BF0-96DD-8496E251E5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11964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111</xdr:row>
      <xdr:rowOff>17463</xdr:rowOff>
    </xdr:from>
    <xdr:to>
      <xdr:col>46</xdr:col>
      <xdr:colOff>729528</xdr:colOff>
      <xdr:row>125</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7C31085-255C-4DFF-9223-0A89FB751C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13344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54</xdr:col>
      <xdr:colOff>92364</xdr:colOff>
      <xdr:row>119</xdr:row>
      <xdr:rowOff>17463</xdr:rowOff>
    </xdr:from>
    <xdr:to>
      <xdr:col>55</xdr:col>
      <xdr:colOff>293687</xdr:colOff>
      <xdr:row>133</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5A87AAD-3F95-4445-B490-91C47ACCA3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29600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118</xdr:row>
      <xdr:rowOff>63645</xdr:rowOff>
    </xdr:from>
    <xdr:to>
      <xdr:col>56</xdr:col>
      <xdr:colOff>738909</xdr:colOff>
      <xdr:row>132</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1D8E071-0FAC-47C3-80F0-F8F7B1C455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28220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119</xdr:row>
      <xdr:rowOff>17463</xdr:rowOff>
    </xdr:from>
    <xdr:to>
      <xdr:col>46</xdr:col>
      <xdr:colOff>729528</xdr:colOff>
      <xdr:row>133</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99AA3711-5269-4035-B1A6-BA6DF84384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29600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ridebeep.com/press-releases/contra-costa-transportation-authority-and-beep-partner-to-deliver-autonomous-vehicle-projects-in-california" TargetMode="External"/><Relationship Id="rId2" Type="http://schemas.openxmlformats.org/officeDocument/2006/relationships/hyperlink" Target="https://www.2getthere.eu/news/singapore-partnership/" TargetMode="External"/><Relationship Id="rId1" Type="http://schemas.openxmlformats.org/officeDocument/2006/relationships/hyperlink" Target="https://www.transdev.com/en/sustainable-mobility/transdev-usa-partners-lavta-begin-testing-shared-autonomous-vehicle/"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transdev.com/en/sustainable-mobility/transdev-usa-partners-lavta-begin-testing-shared-autonomous-vehicle/" TargetMode="External"/><Relationship Id="rId21" Type="http://schemas.openxmlformats.org/officeDocument/2006/relationships/hyperlink" Target="https://easymile.com/news/easymile-strengthens-its-partnership-engineering-schools" TargetMode="External"/><Relationship Id="rId42" Type="http://schemas.openxmlformats.org/officeDocument/2006/relationships/hyperlink" Target="https://ioki.com/en/automated-public-transport-ioki-to-be-technology-partner-of-the-research-project-minga-in-munich/" TargetMode="External"/><Relationship Id="rId63" Type="http://schemas.openxmlformats.org/officeDocument/2006/relationships/hyperlink" Target="https://www.mobileye.com/news/mobileye-and-valeo-launch-partnership-for-world-class-imaging-radars/" TargetMode="External"/><Relationship Id="rId84" Type="http://schemas.openxmlformats.org/officeDocument/2006/relationships/hyperlink" Target="https://www.perronerobotics.com/news/perrone-robotics-and-tropos-team-up-to-develop-autonomous-electric-compact-utility-vehicles" TargetMode="External"/><Relationship Id="rId138" Type="http://schemas.openxmlformats.org/officeDocument/2006/relationships/hyperlink" Target="https://waymo.com/blog/2020/07/waymo-and-fiat-chrysler-automobiles-fca-expand-partnership/" TargetMode="External"/><Relationship Id="rId159" Type="http://schemas.openxmlformats.org/officeDocument/2006/relationships/hyperlink" Target="https://www.prnewswire.com/news-releases/tusimple-and-zf-partner-to-develop-technology-for-mass-produced-autonomous-trucks-301030033.html" TargetMode="External"/><Relationship Id="rId170" Type="http://schemas.openxmlformats.org/officeDocument/2006/relationships/hyperlink" Target="https://easymile.com/news/easymile-and-kalray-strengthen-development-platform-collaboration" TargetMode="External"/><Relationship Id="rId107" Type="http://schemas.openxmlformats.org/officeDocument/2006/relationships/hyperlink" Target="https://www.businesswire.com/news/home/20220104005793/en/Autonomous-Trucking-Milestone-Pony.ai-Forms-Joint-Venture-with-Sinotrans-One-of-China%E2%80%99s-Leading-Logistics-Firms-to-Further-Deployment-of-Autonomous-Driving-Technologies" TargetMode="External"/><Relationship Id="rId11" Type="http://schemas.openxmlformats.org/officeDocument/2006/relationships/hyperlink" Target="https://www.ridebeep.com/press-releases/north-carolina-department-of-transportation-and-beep-partner-for-autonomous-vehicle-testing-projects" TargetMode="External"/><Relationship Id="rId32" Type="http://schemas.openxmlformats.org/officeDocument/2006/relationships/hyperlink" Target="https://einride.tech/press/einride-and-beyond-meat-work-together" TargetMode="External"/><Relationship Id="rId53" Type="http://schemas.openxmlformats.org/officeDocument/2006/relationships/hyperlink" Target="https://www.globenewswire.com/en/news-release/2015/03/23/717890/34491/en/Mission-Secure-Inc-Perrone-Robotics-and-University-of-Virginia-Demonstrate-Cyber-Attacks-and-Protections-for-Automobile-Braking-and-Acceleration.html" TargetMode="External"/><Relationship Id="rId74" Type="http://schemas.openxmlformats.org/officeDocument/2006/relationships/hyperlink" Target="https://www.navya.tech/en/michelin-navya-and-beti-enter-into-a-technological-partnership-and-launch-their-first-autonomous-mobility-experimentation-within-the-framework-of-the-movinon-think-do-tank/" TargetMode="External"/><Relationship Id="rId128" Type="http://schemas.openxmlformats.org/officeDocument/2006/relationships/hyperlink" Target="https://www.prnewswire.com/news-releases/dhl-partners-with-tusimple-to-adopt-integrate-and-scale-autonomous-trucking-operations-301446160.html" TargetMode="External"/><Relationship Id="rId149" Type="http://schemas.openxmlformats.org/officeDocument/2006/relationships/hyperlink" Target="https://press.zf.com/press/en/releases/release_31362.html" TargetMode="External"/><Relationship Id="rId5" Type="http://schemas.openxmlformats.org/officeDocument/2006/relationships/hyperlink" Target="https://www.2getthere.eu/news/2getthere-asia-joint-venture/" TargetMode="External"/><Relationship Id="rId95" Type="http://schemas.openxmlformats.org/officeDocument/2006/relationships/hyperlink" Target="https://plus.ai/news-and-insights/bosch-and-plus-collaborate-on-assisted-driving-solution-for-commercial-vehicles" TargetMode="External"/><Relationship Id="rId160" Type="http://schemas.openxmlformats.org/officeDocument/2006/relationships/hyperlink" Target="https://www.uberfreight.com/blog/uber-freight-and-waymo-via-partnership/" TargetMode="External"/><Relationship Id="rId22" Type="http://schemas.openxmlformats.org/officeDocument/2006/relationships/hyperlink" Target="https://easymile.com/news/ces2023-trust-soft-and-easymile-collaborate-complement-product-development-strategies" TargetMode="External"/><Relationship Id="rId43" Type="http://schemas.openxmlformats.org/officeDocument/2006/relationships/hyperlink" Target="https://www.kiwibot.com/blog-posts/kiwibot-partners-aramex" TargetMode="External"/><Relationship Id="rId64" Type="http://schemas.openxmlformats.org/officeDocument/2006/relationships/hyperlink" Target="https://www.mobileye.com/news/mobileye-zeekr-expand-future-cars-partnership/" TargetMode="External"/><Relationship Id="rId118" Type="http://schemas.openxmlformats.org/officeDocument/2006/relationships/hyperlink" Target="https://www.transdev.com/en/press-release/transdev-and-delphi-announce-commercial-partnership-for-autonomous-transportation/" TargetMode="External"/><Relationship Id="rId139" Type="http://schemas.openxmlformats.org/officeDocument/2006/relationships/hyperlink" Target="https://waymo.com/blog/2020/09/providing-covid-19-testing-to-our-team.html" TargetMode="External"/><Relationship Id="rId85" Type="http://schemas.openxmlformats.org/officeDocument/2006/relationships/hyperlink" Target="https://www.perronerobotics.com/news/perrone-robotics-partners-with-tropos-on-self-driving-trucks" TargetMode="External"/><Relationship Id="rId150" Type="http://schemas.openxmlformats.org/officeDocument/2006/relationships/hyperlink" Target="https://ridebeep.com/press-releases/zf-announces-partnership-with-beep-unveils-next-generation-autonomous-shuttle" TargetMode="External"/><Relationship Id="rId171" Type="http://schemas.openxmlformats.org/officeDocument/2006/relationships/hyperlink" Target="https://einride.tech/press/skf-and-einride-enter-into-partnership-for-testing-autonomous-and-electric" TargetMode="External"/><Relationship Id="rId12" Type="http://schemas.openxmlformats.org/officeDocument/2006/relationships/hyperlink" Target="https://www.ridebeep.com/press-releases/contra-costa-transportation-authority-and-beep-partner-to-deliver-autonomous-vehicle-projects-in-california" TargetMode="External"/><Relationship Id="rId33" Type="http://schemas.openxmlformats.org/officeDocument/2006/relationships/hyperlink" Target="https://einride.tech/press/coca-cola-european-partners-teams-up-with-einride-for-sustainable-transport" TargetMode="External"/><Relationship Id="rId108" Type="http://schemas.openxmlformats.org/officeDocument/2006/relationships/hyperlink" Target="https://www.businesswire.com/news/home/20220727006184/en/Pony.ai-and-SANY-Establish-Joint-Venture-to-Develop-Next-Generation-of-Autonomous-Trucks-for-Mass-Production" TargetMode="External"/><Relationship Id="rId129" Type="http://schemas.openxmlformats.org/officeDocument/2006/relationships/hyperlink" Target="https://www.uber.com/newsroom/uber-toyota-team-self-driving-cars/" TargetMode="External"/><Relationship Id="rId54" Type="http://schemas.openxmlformats.org/officeDocument/2006/relationships/hyperlink" Target="https://www.mobileye.com/news/goggo-network-and-mobileye-plan-to-collaborate-to-introduce-level-autonomous-vehicles-for-logistics-in-europe/" TargetMode="External"/><Relationship Id="rId75" Type="http://schemas.openxmlformats.org/officeDocument/2006/relationships/hyperlink" Target="https://www.prnewswire.com/news-releases/uber-and-nuro-announce-10-year-partnership-for-autonomous-food-deliveries-starting-in-california-and-texas-301618947.html" TargetMode="External"/><Relationship Id="rId96" Type="http://schemas.openxmlformats.org/officeDocument/2006/relationships/hyperlink" Target="https://plus.ai/news-and-insights/plus-ai-partners-with-minnesota-department-of-transportation-to-accelerate-adoption-of-self-driving-trucks-and-prepare-them-for-extreme-winter-road-conditions" TargetMode="External"/><Relationship Id="rId140" Type="http://schemas.openxmlformats.org/officeDocument/2006/relationships/hyperlink" Target="https://waymo.com/blog/2022/09/waymo-and-swiss-res-new-research.html" TargetMode="External"/><Relationship Id="rId161" Type="http://schemas.openxmlformats.org/officeDocument/2006/relationships/hyperlink" Target="https://waabi.ai/waabi-uber-freight/2" TargetMode="External"/><Relationship Id="rId6" Type="http://schemas.openxmlformats.org/officeDocument/2006/relationships/hyperlink" Target="https://www.adastec.com/news-coverage/adastec-and-vicinity-motor-corp-collaborate-to-deploy-automated-bus-at-michigan-state-university" TargetMode="External"/><Relationship Id="rId23" Type="http://schemas.openxmlformats.org/officeDocument/2006/relationships/hyperlink" Target="https://easymile.com/news/iaa-frankfurt-continental-and-easymile-partner-demonstrate-ez10" TargetMode="External"/><Relationship Id="rId28" Type="http://schemas.openxmlformats.org/officeDocument/2006/relationships/hyperlink" Target="https://einride.tech/press/einride-and-innovative-swedish-logistics-company-collaborates-around-sustainable-transport" TargetMode="External"/><Relationship Id="rId49" Type="http://schemas.openxmlformats.org/officeDocument/2006/relationships/hyperlink" Target="https://maymobility.com/posts/spare-and-may-mobility-partner-to-deliver-a-powerful-on-demand-transit-solution-with-autonomous-vehicles/" TargetMode="External"/><Relationship Id="rId114" Type="http://schemas.openxmlformats.org/officeDocument/2006/relationships/hyperlink" Target="https://www.prnewswire.com/news-releases/torc-robotics-collaborates-with-applied-intuition-to-accelerate-development-and-validation-of-autonomous-trucks-301419986.html" TargetMode="External"/><Relationship Id="rId119" Type="http://schemas.openxmlformats.org/officeDocument/2006/relationships/hyperlink" Target="https://www.transdev.com/en/press-release/zf-partnership/" TargetMode="External"/><Relationship Id="rId44" Type="http://schemas.openxmlformats.org/officeDocument/2006/relationships/hyperlink" Target="https://www.kiwibot.com/blog-posts/grubhub-and-kiwibot-partner-for-robot-delivery-on-college-campuses" TargetMode="External"/><Relationship Id="rId60" Type="http://schemas.openxmlformats.org/officeDocument/2006/relationships/hyperlink" Target="https://www.mobileye.com/news/mobileye-and-wnc-collaborate-on-imaging-radar-production/" TargetMode="External"/><Relationship Id="rId65" Type="http://schemas.openxmlformats.org/officeDocument/2006/relationships/hyperlink" Target="https://www.moia.io/en/news-center/hochbahn-volkswagen-commercial-vehicles-and-moia-cooperate-for-the-traffic-turnaround" TargetMode="External"/><Relationship Id="rId81" Type="http://schemas.openxmlformats.org/officeDocument/2006/relationships/hyperlink" Target="https://www.perronerobotics.com/news/perrone-robotics-and-global-finance-group-partner-to-bring-turnkey-autonomous-vehicle-program-to-university-and-college-campuses" TargetMode="External"/><Relationship Id="rId86" Type="http://schemas.openxmlformats.org/officeDocument/2006/relationships/hyperlink" Target="https://www.perronerobotics.com/news/perrone-robotics-inc-and-guident-corp-sign-strategic-alliance" TargetMode="External"/><Relationship Id="rId130" Type="http://schemas.openxmlformats.org/officeDocument/2006/relationships/hyperlink" Target="https://www.uberfreight.com/blog/uber-freight-and-volvo-autonomous-solutions/" TargetMode="External"/><Relationship Id="rId135" Type="http://schemas.openxmlformats.org/officeDocument/2006/relationships/hyperlink" Target="https://techcrunch.com/2021/04/12/ntels-mobileye-teams-with-udelv-to-launch-35000-driverless-delivery-vehicles-by-2028/" TargetMode="External"/><Relationship Id="rId151" Type="http://schemas.openxmlformats.org/officeDocument/2006/relationships/hyperlink" Target="https://www.ridebeep.com/press-releases/beep-and-oxa-announce-partnership-to-deploy-autonomous-vehicles-driven-by-oxa-in-united-states" TargetMode="External"/><Relationship Id="rId156" Type="http://schemas.openxmlformats.org/officeDocument/2006/relationships/hyperlink" Target="https://www.serverobotics.com/uber-eats-partnership" TargetMode="External"/><Relationship Id="rId177" Type="http://schemas.openxmlformats.org/officeDocument/2006/relationships/hyperlink" Target="https://www.kiwibot.com/blog-posts/kiwibot-secures-10m-in-tailor-made-partnership-with-kineo-finance-to-scale-their-robotic-fleet" TargetMode="External"/><Relationship Id="rId172" Type="http://schemas.openxmlformats.org/officeDocument/2006/relationships/hyperlink" Target="https://einride.tech/press/einride-ericsson-and-telia-partners-on-5g-to-bring-autonomous-all-electric-vehicles-to-the-market" TargetMode="External"/><Relationship Id="rId13" Type="http://schemas.openxmlformats.org/officeDocument/2006/relationships/hyperlink" Target="https://ridebeep.com/press-releases/zf-announces-partnership-with-beep-unveils-next-generation-autonomous-shuttle" TargetMode="External"/><Relationship Id="rId18" Type="http://schemas.openxmlformats.org/officeDocument/2006/relationships/hyperlink" Target="https://corporate.walmart.com/news/2020/11/10/walmart-teams-up-with-cruise-to-pilot-all-electric-self-driving-delivery-powered-by-100-renewable-energy" TargetMode="External"/><Relationship Id="rId39" Type="http://schemas.openxmlformats.org/officeDocument/2006/relationships/hyperlink" Target="https://gatik.ai/wp-content/uploads/Isuzu-and-Gatik-Form-Strategic-Collaboration_22.03.2021.pdf" TargetMode="External"/><Relationship Id="rId109" Type="http://schemas.openxmlformats.org/officeDocument/2006/relationships/hyperlink" Target="https://www.businesswire.com/news/home/20221006005368/en/Nickelytics-Serve-Robotics-and-The-Ad-Council-Partner-on-Innovative-Smokey-Bear-Out-of-Home-Advertising-Campaign" TargetMode="External"/><Relationship Id="rId34" Type="http://schemas.openxmlformats.org/officeDocument/2006/relationships/hyperlink" Target="https://einride.tech/press/uae-grid-announcement" TargetMode="External"/><Relationship Id="rId50" Type="http://schemas.openxmlformats.org/officeDocument/2006/relationships/hyperlink" Target="https://maymobility.com/posts/may-mobility-moovit-partner-to-deploy-complete-autonomous-mobility-package/" TargetMode="External"/><Relationship Id="rId55" Type="http://schemas.openxmlformats.org/officeDocument/2006/relationships/hyperlink" Target="https://www.mobileye.com/news/mobileye-and-man-truck-bus-launch-collaboration-for-av-city-buses/" TargetMode="External"/><Relationship Id="rId76" Type="http://schemas.openxmlformats.org/officeDocument/2006/relationships/hyperlink" Target="https://oxa.tech/news-and-insights/oxa-and-eversum-announce-partnership-to-develop-and-deploy-autonomous-passenger-shuttles/" TargetMode="External"/><Relationship Id="rId97" Type="http://schemas.openxmlformats.org/officeDocument/2006/relationships/hyperlink" Target="https://plus.ai/news-and-insights/transurban-and-plus-collaborate-to-advance-level-4-autonomous-trucks-in-australia" TargetMode="External"/><Relationship Id="rId104" Type="http://schemas.openxmlformats.org/officeDocument/2006/relationships/hyperlink" Target="https://www.businesswire.com/news/home/20230109005725/en/Pony.ai-and-Horizon-Robotics-Partner-to-Create-a-Comprehensive-Smart-Driving-Solution-for-OEMs" TargetMode="External"/><Relationship Id="rId120" Type="http://schemas.openxmlformats.org/officeDocument/2006/relationships/hyperlink" Target="https://www.prnewswire.com/news-releases/tusimple-and-zf-partner-to-develop-technology-for-mass-produced-autonomous-trucks-301030033.html" TargetMode="External"/><Relationship Id="rId125" Type="http://schemas.openxmlformats.org/officeDocument/2006/relationships/hyperlink" Target="https://www.prnewswire.com/news-releases/tusimple-and-ryder-partner-to-expand-nationwide-autonomous-trucking-301344048.html" TargetMode="External"/><Relationship Id="rId141" Type="http://schemas.openxmlformats.org/officeDocument/2006/relationships/hyperlink" Target="https://waymo.com/blog/2019/03/waymo-aaa-northern-california-nevada/" TargetMode="External"/><Relationship Id="rId146" Type="http://schemas.openxmlformats.org/officeDocument/2006/relationships/hyperlink" Target="https://wayve.ai/press/wayve-and-ocado-group-partner-to-develop-autonomous-grocery-deliveries-for-osp-retailers-globally/" TargetMode="External"/><Relationship Id="rId167" Type="http://schemas.openxmlformats.org/officeDocument/2006/relationships/hyperlink" Target="https://ir.aurora.tech/news-events/press-releases/detail/68/continental-and-aurora-partner-to-realize-commercially" TargetMode="External"/><Relationship Id="rId7" Type="http://schemas.openxmlformats.org/officeDocument/2006/relationships/hyperlink" Target="https://www.adastec.com/news-coverage/adastec-and-vicinity-motor-corp-partner-to-deploy-automated-bus-at-the-university-at-buffalo" TargetMode="External"/><Relationship Id="rId71" Type="http://schemas.openxmlformats.org/officeDocument/2006/relationships/hyperlink" Target="https://www.navya.tech/en/ion-and-navya-form-partnership-to-deliver-sustainable-and-autonomous-transportation-offerings-in-gcc-region/" TargetMode="External"/><Relationship Id="rId92" Type="http://schemas.openxmlformats.org/officeDocument/2006/relationships/hyperlink" Target="https://www.perronerobotics.com/news/greenpower-partners-with-perrone-robotics-jta-to-win-innovative-solutions-award-for-autonomous-vehicles" TargetMode="External"/><Relationship Id="rId162" Type="http://schemas.openxmlformats.org/officeDocument/2006/relationships/hyperlink" Target="https://waymo.com/blog/2019/05/partnering-with-lyft-to-serve-more-riders/" TargetMode="External"/><Relationship Id="rId2" Type="http://schemas.openxmlformats.org/officeDocument/2006/relationships/hyperlink" Target="https://www.2getthere.eu/news/partnering-with-benteler/" TargetMode="External"/><Relationship Id="rId29" Type="http://schemas.openxmlformats.org/officeDocument/2006/relationships/hyperlink" Target="https://einride.tech/press/polarrenen-sustainable-transport-einride-financing-partner" TargetMode="External"/><Relationship Id="rId24" Type="http://schemas.openxmlformats.org/officeDocument/2006/relationships/hyperlink" Target="https://easymile.com/news/phoenix-motorcars-and-easymile-collaborate-deploy-delivery-trucks-well-autonomous-shuttle" TargetMode="External"/><Relationship Id="rId40" Type="http://schemas.openxmlformats.org/officeDocument/2006/relationships/hyperlink" Target="https://gatik.ai/wp-content/uploads/Gatik-Announces-Collaboration-with-Americas-Grocer-to-Future-Proof-Supply-Chain-with-Autonomous-Box-Trucks.pdf" TargetMode="External"/><Relationship Id="rId45" Type="http://schemas.openxmlformats.org/officeDocument/2006/relationships/hyperlink" Target="https://kodiak.ai/news/kodiak-partners-with-10-roads-express" TargetMode="External"/><Relationship Id="rId66" Type="http://schemas.openxmlformats.org/officeDocument/2006/relationships/hyperlink" Target="https://www.moia.io/en/news-center/new-licensing-model-moia-opens-ridepooling-ecosystem-to-cities-and-local-transport-operators" TargetMode="External"/><Relationship Id="rId87" Type="http://schemas.openxmlformats.org/officeDocument/2006/relationships/hyperlink" Target="https://www.perronerobotics.com/news/lightning-emotors-partners-with-perrone-robotics-to-offer-fully-autonomous-vehicle-option-to-zero-emission-fleet-customers" TargetMode="External"/><Relationship Id="rId110" Type="http://schemas.openxmlformats.org/officeDocument/2006/relationships/hyperlink" Target="https://www.serverobotics.com/pizzahut-partnership" TargetMode="External"/><Relationship Id="rId115" Type="http://schemas.openxmlformats.org/officeDocument/2006/relationships/hyperlink" Target="https://www.automotiveworld.com/news-releases/daimler-trucks-and-torc-partner-with-luminar-to-enable-automated-trucking-daimler-trucks-acquires-minority-stake-in-luminar/" TargetMode="External"/><Relationship Id="rId131" Type="http://schemas.openxmlformats.org/officeDocument/2006/relationships/hyperlink" Target="https://www.uberfreight.com/blog/uber-freight-and-waymo-via-partnership/" TargetMode="External"/><Relationship Id="rId136" Type="http://schemas.openxmlformats.org/officeDocument/2006/relationships/hyperlink" Target="https://waabi.ai/mit/" TargetMode="External"/><Relationship Id="rId157" Type="http://schemas.openxmlformats.org/officeDocument/2006/relationships/hyperlink" Target="https://www.transdev.com/en/press-release/partnership-torc-autonomous-shuttle/" TargetMode="External"/><Relationship Id="rId178" Type="http://schemas.openxmlformats.org/officeDocument/2006/relationships/hyperlink" Target="https://motional.com/news/tfnsw-and-motional-partner-lay-foundations-nsws-driverless-future" TargetMode="External"/><Relationship Id="rId61" Type="http://schemas.openxmlformats.org/officeDocument/2006/relationships/hyperlink" Target="https://www.mobileye.com/news/geely-holding-group-expands-mobileye-collaboration/" TargetMode="External"/><Relationship Id="rId82" Type="http://schemas.openxmlformats.org/officeDocument/2006/relationships/hyperlink" Target="https://www.perronerobotics.com/news/western-reserve-transit-authority-selects-first-transit-in-partnership-with-perrone-robotics-and-greenpower-motor-company-for-autonomous-vehicle-pilot" TargetMode="External"/><Relationship Id="rId152" Type="http://schemas.openxmlformats.org/officeDocument/2006/relationships/hyperlink" Target="https://bolt.eu/en/blog/bolt-starship-technologies-partnership/" TargetMode="External"/><Relationship Id="rId173" Type="http://schemas.openxmlformats.org/officeDocument/2006/relationships/hyperlink" Target="https://einride.tech/press/einride-and-oatly-expand-partnership-to-north-america" TargetMode="External"/><Relationship Id="rId19" Type="http://schemas.openxmlformats.org/officeDocument/2006/relationships/hyperlink" Target="https://getcruise.com/news/blog/2023/cruise-teams-up-with-replate-to-launch-food-rescue-partnership/" TargetMode="External"/><Relationship Id="rId14" Type="http://schemas.openxmlformats.org/officeDocument/2006/relationships/hyperlink" Target="https://www.ridebeep.com/press-releases/beep-and-oxa-announce-partnership-to-deploy-autonomous-vehicles-driven-by-oxa-in-united-states" TargetMode="External"/><Relationship Id="rId30" Type="http://schemas.openxmlformats.org/officeDocument/2006/relationships/hyperlink" Target="https://einride.tech/press/einride-partners-with-oatly-to-electrify-transport-in-sweden" TargetMode="External"/><Relationship Id="rId35" Type="http://schemas.openxmlformats.org/officeDocument/2006/relationships/hyperlink" Target="https://einride.tech/press/first-fulltime-autonomous-operations" TargetMode="External"/><Relationship Id="rId56" Type="http://schemas.openxmlformats.org/officeDocument/2006/relationships/hyperlink" Target="https://www.mobileye.com/news/porsche-mobileye-supervision-collaboration/" TargetMode="External"/><Relationship Id="rId77" Type="http://schemas.openxmlformats.org/officeDocument/2006/relationships/hyperlink" Target="https://oxa.tech/news-and-insights/goggo-network-and-oxbotica-partner-to-bring-autonomous-deliveries-to-europe/" TargetMode="External"/><Relationship Id="rId100" Type="http://schemas.openxmlformats.org/officeDocument/2006/relationships/hyperlink" Target="https://plus.ai/news-and-insights/plus-and-cummins-collaborate-to-develop-the-industry-s-first-supervised-autonomous-trucks-using-a-natural-gas-powertrain" TargetMode="External"/><Relationship Id="rId105" Type="http://schemas.openxmlformats.org/officeDocument/2006/relationships/hyperlink" Target="https://www.globenewswire.com/news-release/2019/08/26/1906248/0/en/Pony-ai-collaborates-with-Toyota-for-future-of-autonomous-mobility.html" TargetMode="External"/><Relationship Id="rId126" Type="http://schemas.openxmlformats.org/officeDocument/2006/relationships/hyperlink" Target="https://www.prnewswire.com/news-releases/tusimple-partners-with-loadsmith-for-350-unit-reservation-for-sae-l4-operation-301512230.html" TargetMode="External"/><Relationship Id="rId147" Type="http://schemas.openxmlformats.org/officeDocument/2006/relationships/hyperlink" Target="https://press.zf.com/press/en/releases/release_45890.html" TargetMode="External"/><Relationship Id="rId168" Type="http://schemas.openxmlformats.org/officeDocument/2006/relationships/hyperlink" Target="https://bolt.eu/en/blog/bolt-starship-technologies-partnership/" TargetMode="External"/><Relationship Id="rId8" Type="http://schemas.openxmlformats.org/officeDocument/2006/relationships/hyperlink" Target="https://ir.aurora.tech/news-events/press-releases/detail/69/aurora-expands-commercial-operations-through-partnership" TargetMode="External"/><Relationship Id="rId51" Type="http://schemas.openxmlformats.org/officeDocument/2006/relationships/hyperlink" Target="https://maymobility.com/posts/liftango-and-may-mobility-partner/" TargetMode="External"/><Relationship Id="rId72" Type="http://schemas.openxmlformats.org/officeDocument/2006/relationships/hyperlink" Target="https://www.navya.tech/en/navya-and-valeo-partner-to-develop-a-unique-safety-system-for-the-commercialization-of-level-4-autonomous-vehicles/" TargetMode="External"/><Relationship Id="rId93" Type="http://schemas.openxmlformats.org/officeDocument/2006/relationships/hyperlink" Target="https://www.perronerobotics.com/news/perrone-robotics-collaborates-with-uva-foundation-to-bring-autonomous-shuttle-service-to-north-fork" TargetMode="External"/><Relationship Id="rId98" Type="http://schemas.openxmlformats.org/officeDocument/2006/relationships/hyperlink" Target="https://plus.ai/news-and-insights/goodyear-and-plus-collaborate-on-autonomous-trucks" TargetMode="External"/><Relationship Id="rId121" Type="http://schemas.openxmlformats.org/officeDocument/2006/relationships/hyperlink" Target="https://www.prnewswire.com/news-releases/navistar-and-tusimple-partner-to-bring-autonomous-trucks-to-market-navistar-invests-in-autonomous-trucking-company-301093698.html" TargetMode="External"/><Relationship Id="rId142" Type="http://schemas.openxmlformats.org/officeDocument/2006/relationships/hyperlink" Target="https://waymo.com/blog/2017/06/well-oiled-and-squeaky-clean-partnering/" TargetMode="External"/><Relationship Id="rId163" Type="http://schemas.openxmlformats.org/officeDocument/2006/relationships/hyperlink" Target="https://waymo.com/blog/2019/06/partnering-with-alliance-in-france-japan-and-beyond/" TargetMode="External"/><Relationship Id="rId3" Type="http://schemas.openxmlformats.org/officeDocument/2006/relationships/hyperlink" Target="https://www.2getthere.eu/news/singapore-partnership/" TargetMode="External"/><Relationship Id="rId25" Type="http://schemas.openxmlformats.org/officeDocument/2006/relationships/hyperlink" Target="https://easymile.com/news/easymile-and-continental-collaborate-shanghai-jiading-industrial-zone-develop-driverless" TargetMode="External"/><Relationship Id="rId46" Type="http://schemas.openxmlformats.org/officeDocument/2006/relationships/hyperlink" Target="https://kodiak.ai/news/kodiak-and-werner-collaborate" TargetMode="External"/><Relationship Id="rId67" Type="http://schemas.openxmlformats.org/officeDocument/2006/relationships/hyperlink" Target="https://motional.com/news/motional-derq-partner-give-driverless-vehicles-birds-eye-view" TargetMode="External"/><Relationship Id="rId116" Type="http://schemas.openxmlformats.org/officeDocument/2006/relationships/hyperlink" Target="https://www.transdev.com/en/press-release/partnership-torc-autonomous-shuttle/" TargetMode="External"/><Relationship Id="rId137" Type="http://schemas.openxmlformats.org/officeDocument/2006/relationships/hyperlink" Target="https://waabi.ai/waabi-uber-freight/" TargetMode="External"/><Relationship Id="rId158" Type="http://schemas.openxmlformats.org/officeDocument/2006/relationships/hyperlink" Target="https://www.transdev.com/en/press-release/zf-partnership/" TargetMode="External"/><Relationship Id="rId20" Type="http://schemas.openxmlformats.org/officeDocument/2006/relationships/hyperlink" Target="https://getcruise.com/news/pressrelease/2021/cruise-and-gm-team-up-with-microsoft-to-commercialize-self-driving-vehicles/" TargetMode="External"/><Relationship Id="rId41" Type="http://schemas.openxmlformats.org/officeDocument/2006/relationships/hyperlink" Target="https://ioki.com/en/deutsche-bahn-and-berlins-municipal-public-transportation-operator-berliner-verkehrsbetriebe-are-cooperation-partners-in-the-area-of-autonomous-driving/" TargetMode="External"/><Relationship Id="rId62" Type="http://schemas.openxmlformats.org/officeDocument/2006/relationships/hyperlink" Target="https://www.mobileye.com/news/zeekr-mobileye-working-together/" TargetMode="External"/><Relationship Id="rId83" Type="http://schemas.openxmlformats.org/officeDocument/2006/relationships/hyperlink" Target="https://www.perronerobotics.com/news/pri-partners-sae-tampa" TargetMode="External"/><Relationship Id="rId88" Type="http://schemas.openxmlformats.org/officeDocument/2006/relationships/hyperlink" Target="https://www.perronerobotics.com/news/perrone-robotics-collaborates-machine-learning-pioneer" TargetMode="External"/><Relationship Id="rId111" Type="http://schemas.openxmlformats.org/officeDocument/2006/relationships/hyperlink" Target="https://www.serverobotics.com/uber-eats-partnership" TargetMode="External"/><Relationship Id="rId132" Type="http://schemas.openxmlformats.org/officeDocument/2006/relationships/hyperlink" Target="https://udelv.com/announcing-our-walmart-partnership/" TargetMode="External"/><Relationship Id="rId153" Type="http://schemas.openxmlformats.org/officeDocument/2006/relationships/hyperlink" Target="https://maymobility.com/posts/may-mobility-and-via-announce-partnership-that-will-integrate-on-demand-avs-into-public-transit/" TargetMode="External"/><Relationship Id="rId174" Type="http://schemas.openxmlformats.org/officeDocument/2006/relationships/hyperlink" Target="https://einride.tech/press/einride-partners-with-lidl-to-reduce-emissions" TargetMode="External"/><Relationship Id="rId179" Type="http://schemas.openxmlformats.org/officeDocument/2006/relationships/hyperlink" Target="https://www.perronerobotics.com/news/autonomous-ev-bus-collaboration-announced" TargetMode="External"/><Relationship Id="rId15" Type="http://schemas.openxmlformats.org/officeDocument/2006/relationships/hyperlink" Target="https://techcrunch.com/2022/01/20/mitsubishi-partners-with-cartken-to-break-into-the-robotic-delivery-world/" TargetMode="External"/><Relationship Id="rId36" Type="http://schemas.openxmlformats.org/officeDocument/2006/relationships/hyperlink" Target="https://gatik.ai/wp-content/uploads/Goodyear-Invests-in-Autonomous-Trucking-Company-Gatik-and-Collaborates-to-Enhance-Safety-and-Efficiency_28.9.2021.pdf" TargetMode="External"/><Relationship Id="rId57" Type="http://schemas.openxmlformats.org/officeDocument/2006/relationships/hyperlink" Target="https://www.mobileye.com/news/ecarx-announces-mobileye-collaboration-for-polestar-future-products/" TargetMode="External"/><Relationship Id="rId106" Type="http://schemas.openxmlformats.org/officeDocument/2006/relationships/hyperlink" Target="https://www.reuters.com/article/us-autonomous-luminar-pony-ai/toyota-backed-self-driving-car-pony-ai-partners-with-luminar-idUSKBN2CR0ZY/" TargetMode="External"/><Relationship Id="rId127" Type="http://schemas.openxmlformats.org/officeDocument/2006/relationships/hyperlink" Target="https://www.prnewswire.com/news-releases/tusimple-partners-with-global-logistics-leader-hegelmann-group-301588546.html" TargetMode="External"/><Relationship Id="rId10" Type="http://schemas.openxmlformats.org/officeDocument/2006/relationships/hyperlink" Target="https://ir.aurora.tech/news-events/press-releases/detail/31/u-s-xpress-and-aurora-announce-collaboration-for-the" TargetMode="External"/><Relationship Id="rId31" Type="http://schemas.openxmlformats.org/officeDocument/2006/relationships/hyperlink" Target="https://einride.tech/press/einride-and-electrolux-enter-innovation-partnership-to-electrify-transports" TargetMode="External"/><Relationship Id="rId52" Type="http://schemas.openxmlformats.org/officeDocument/2006/relationships/hyperlink" Target="https://maymobility.com/posts/may-mobility-and-via-announce-partnership-that-will-integrate-on-demand-avs-into-public-transit/" TargetMode="External"/><Relationship Id="rId73" Type="http://schemas.openxmlformats.org/officeDocument/2006/relationships/hyperlink" Target="https://www.navya.tech/en/navya-and-lohr-form-a-strategic-alliance-to-speed-up-their-technological-industrial-and-commercial-development-in-the-field-of-autonomous-mobility/" TargetMode="External"/><Relationship Id="rId78" Type="http://schemas.openxmlformats.org/officeDocument/2006/relationships/hyperlink" Target="https://oxa.tech/news-and-insights/oxbotica-partners-with-Navtech/" TargetMode="External"/><Relationship Id="rId94" Type="http://schemas.openxmlformats.org/officeDocument/2006/relationships/hyperlink" Target="https://www.perronerobotics.com/news/revolutionizing-transportation-perrone-robotics-unveils-historic-collaboration-with-e-charger-systems-revealed-at-sema-2023" TargetMode="External"/><Relationship Id="rId99" Type="http://schemas.openxmlformats.org/officeDocument/2006/relationships/hyperlink" Target="https://plus.ai/news-and-insights/plus-partners-with-iveco-to-develop-autonomous-trucks-for-global-deployment" TargetMode="External"/><Relationship Id="rId101" Type="http://schemas.openxmlformats.org/officeDocument/2006/relationships/hyperlink" Target="https://plus.ai/news-and-insights/luminar-and-plus-partner-for-lidar-and-ai-based-assisted-driving-software-for-trucking" TargetMode="External"/><Relationship Id="rId122" Type="http://schemas.openxmlformats.org/officeDocument/2006/relationships/hyperlink" Target="https://www.prnewswire.com/news-releases/the-traton-group-and-tusimple-agreed-on-global-partnership-for-autonomous-trucks-301136263.html" TargetMode="External"/><Relationship Id="rId143" Type="http://schemas.openxmlformats.org/officeDocument/2006/relationships/hyperlink" Target="https://waymo.com/blog/2018/07/partnering-with-valley-metro-to-explore-public-transport-solutions/" TargetMode="External"/><Relationship Id="rId148" Type="http://schemas.openxmlformats.org/officeDocument/2006/relationships/hyperlink" Target="https://press.zf.com/press/en/releases/release_14913.html" TargetMode="External"/><Relationship Id="rId164" Type="http://schemas.openxmlformats.org/officeDocument/2006/relationships/hyperlink" Target="https://www.mobileye.com/news/mobileye-willer-self-driving-mobility-solutions/" TargetMode="External"/><Relationship Id="rId169" Type="http://schemas.openxmlformats.org/officeDocument/2006/relationships/hyperlink" Target="https://easymile.com/news/easymile-and-sono-motors-reveal-collaboration-autonomous-solar-powered-passenger-shuttle" TargetMode="External"/><Relationship Id="rId4" Type="http://schemas.openxmlformats.org/officeDocument/2006/relationships/hyperlink" Target="https://www.2getthere.eu/news/uae-partner-united-technical-services-takes-a-stake-in-2getthere/" TargetMode="External"/><Relationship Id="rId9" Type="http://schemas.openxmlformats.org/officeDocument/2006/relationships/hyperlink" Target="https://ir.aurora.tech/news-events/press-releases/detail/42/covenant-and-aurora-announce-collaboration-to-transform" TargetMode="External"/><Relationship Id="rId26" Type="http://schemas.openxmlformats.org/officeDocument/2006/relationships/hyperlink" Target="https://einride.tech/press/einride-partners-with-bridgestone-to-create-cleaner-safer-low-carbon-freight" TargetMode="External"/><Relationship Id="rId47" Type="http://schemas.openxmlformats.org/officeDocument/2006/relationships/hyperlink" Target="https://maymobility.com/posts/bridgestone-invests-in-autonomous-driving-technology-provider-may-mobility-kicks-off-broader-partnership/" TargetMode="External"/><Relationship Id="rId68" Type="http://schemas.openxmlformats.org/officeDocument/2006/relationships/hyperlink" Target="https://motional.com/news/motional-boston-university-partner-navigational-assistance-research-blind" TargetMode="External"/><Relationship Id="rId89" Type="http://schemas.openxmlformats.org/officeDocument/2006/relationships/hyperlink" Target="https://www.perronerobotics.com/news/perrone-robotics-enters-into-agreement-with-sustainability-partners-bringing-autonomous-vehicles-to-the-state-of-hawaii" TargetMode="External"/><Relationship Id="rId112" Type="http://schemas.openxmlformats.org/officeDocument/2006/relationships/hyperlink" Target="https://www.serverobotics.com/piestro-partnership" TargetMode="External"/><Relationship Id="rId133" Type="http://schemas.openxmlformats.org/officeDocument/2006/relationships/hyperlink" Target="https://venturebeat.com/ai/farmstead-partners-with-udelv-for-autonomous-grocery-delivery/" TargetMode="External"/><Relationship Id="rId154" Type="http://schemas.openxmlformats.org/officeDocument/2006/relationships/hyperlink" Target="https://www.navya.tech/en/navya-and-lohr-form-a-strategic-alliance-to-speed-up-their-technological-industrial-and-commercial-development-in-the-field-of-autonomous-mobility/" TargetMode="External"/><Relationship Id="rId175" Type="http://schemas.openxmlformats.org/officeDocument/2006/relationships/hyperlink" Target="https://gatik.ai/wp-content/uploads/Gatik-and-Walmart-Partner-to-Enable-AV-Legislation-in-Kansas_18.05.2022.pdf" TargetMode="External"/><Relationship Id="rId16" Type="http://schemas.openxmlformats.org/officeDocument/2006/relationships/hyperlink" Target="https://about.grubhub.com/news/grubhub-and-cartken-partner-to-bring-robot-delivery-to-college-campuses/" TargetMode="External"/><Relationship Id="rId37" Type="http://schemas.openxmlformats.org/officeDocument/2006/relationships/hyperlink" Target="https://gatik.ai/wp-content/uploads/Ryder-Invests-in-Gatik-and-Partners-to-Establish-North-American-Autonomous-Delivery-Network-for-B2B-Short-Haul-Logistics_19.10.2021.pdf" TargetMode="External"/><Relationship Id="rId58" Type="http://schemas.openxmlformats.org/officeDocument/2006/relationships/hyperlink" Target="https://www.mobileye.com/news/faw-group-and-mobileye-forge-strategic-alliance-in-autonomous-driving/" TargetMode="External"/><Relationship Id="rId79" Type="http://schemas.openxmlformats.org/officeDocument/2006/relationships/hyperlink" Target="https://oxa.tech/news-and-insights/oxbotica-partners-with-nevs-to-reshape-the-future-of-urban-mobility-with-fleet-of-shared-self-driving-all-electric-vehicles/" TargetMode="External"/><Relationship Id="rId102" Type="http://schemas.openxmlformats.org/officeDocument/2006/relationships/hyperlink" Target="https://www.businesswire.com/news/home/20230804774136/en/Pony.ai-and-Toyota-to-Form-Joint-Venture-to-Advance-Mass-Production-of-L4-Autonomous-Vehicles" TargetMode="External"/><Relationship Id="rId123" Type="http://schemas.openxmlformats.org/officeDocument/2006/relationships/hyperlink" Target="https://www.prnewswire.com/news-releases/goodyear-and-tusimple-collaborate-on-autonomous-vehicle-freight-operations-301175138.html" TargetMode="External"/><Relationship Id="rId144" Type="http://schemas.openxmlformats.org/officeDocument/2006/relationships/hyperlink" Target="https://waymo.com/blog/2019/06/partnering-with-alliance-in-france-japan-and-beyond/" TargetMode="External"/><Relationship Id="rId90" Type="http://schemas.openxmlformats.org/officeDocument/2006/relationships/hyperlink" Target="https://www.perronerobotics.com/news/perrone-robotics-and-rampini-announce-partnership-to-provide-automated-6-meter-electric-buses" TargetMode="External"/><Relationship Id="rId165" Type="http://schemas.openxmlformats.org/officeDocument/2006/relationships/hyperlink" Target="https://wayve.ai/press/wayve-announces-autonomous-van-trial-in-partnership-with-asda/" TargetMode="External"/><Relationship Id="rId27" Type="http://schemas.openxmlformats.org/officeDocument/2006/relationships/hyperlink" Target="https://einride.tech/press/einride-is-teaming-up-with-ericsson-to-demonstrate-the-future-of-transport-at-the-worlds-largest-mobile-event" TargetMode="External"/><Relationship Id="rId48" Type="http://schemas.openxmlformats.org/officeDocument/2006/relationships/hyperlink" Target="https://maymobility.com/posts/may-mobility-and-stantec-partner-to-deliver-turnkey-av-microtransit-solutions/" TargetMode="External"/><Relationship Id="rId69" Type="http://schemas.openxmlformats.org/officeDocument/2006/relationships/hyperlink" Target="https://motional.com/news/motional-and-uber-announce-partnership-autonomous-deliveries" TargetMode="External"/><Relationship Id="rId113" Type="http://schemas.openxmlformats.org/officeDocument/2006/relationships/hyperlink" Target="https://www.autonews.com/shift/torc-robotics-teams-daimler-trucks-design-build-million-mile-vehicles" TargetMode="External"/><Relationship Id="rId134" Type="http://schemas.openxmlformats.org/officeDocument/2006/relationships/hyperlink" Target="https://udelv.com/h-e-b-and-udelv-announce-our-partnership/" TargetMode="External"/><Relationship Id="rId80" Type="http://schemas.openxmlformats.org/officeDocument/2006/relationships/hyperlink" Target="https://oxa.tech/news-and-insights/ocado-group-and-oxbotica-announce-investment-and-joint-collaboration-to-develop-autonomous-integrated-mobility-solution/" TargetMode="External"/><Relationship Id="rId155" Type="http://schemas.openxmlformats.org/officeDocument/2006/relationships/hyperlink" Target="https://www.prnewswire.com/news-releases/uber-and-nuro-announce-10-year-partnership-for-autonomous-food-deliveries-starting-in-california-and-texas-301618947.html" TargetMode="External"/><Relationship Id="rId176" Type="http://schemas.openxmlformats.org/officeDocument/2006/relationships/hyperlink" Target="https://gatik.ai/wp-content/uploads/Gatik-and-Pitney-Bowes-Partner-to-Deploy-Autonomous-Trucks-for-Ecommerce-Shipments-in-Dallas-Market-.pdf" TargetMode="External"/><Relationship Id="rId17" Type="http://schemas.openxmlformats.org/officeDocument/2006/relationships/hyperlink" Target="https://getcruise.com/news/blog/2023/cruise-and-madd-partnering-to-combat-impaired-driving/" TargetMode="External"/><Relationship Id="rId38" Type="http://schemas.openxmlformats.org/officeDocument/2006/relationships/hyperlink" Target="https://gatik.ai/wp-content/uploads/Gatik-Partners-with-ChargePoint-to-Develop-Electric-Ecosystem_28.3.2022.pdf" TargetMode="External"/><Relationship Id="rId59" Type="http://schemas.openxmlformats.org/officeDocument/2006/relationships/hyperlink" Target="https://www.mobileye.com/news/mobileye-willer-self-driving-mobility-solutions/" TargetMode="External"/><Relationship Id="rId103" Type="http://schemas.openxmlformats.org/officeDocument/2006/relationships/hyperlink" Target="https://www.globenewswire.com/news-release/2020/01/06/1966657/0/en/ON-Semiconductor-and-Pony-ai-Collaboration-on-Next-Gen-Image-Sensing-and-Processing-Technologies-for-Autonomous-Vehicles.html" TargetMode="External"/><Relationship Id="rId124" Type="http://schemas.openxmlformats.org/officeDocument/2006/relationships/hyperlink" Target="https://www.prnewswire.com/news-releases/tusimple-and-liberty-mutual-insurance-partner-to-study-the-safety-benefits-of-autonomous-trucks-301283935.html" TargetMode="External"/><Relationship Id="rId70" Type="http://schemas.openxmlformats.org/officeDocument/2006/relationships/hyperlink" Target="https://www.navya.tech/en/valeo-navya-technological-collaboration/" TargetMode="External"/><Relationship Id="rId91" Type="http://schemas.openxmlformats.org/officeDocument/2006/relationships/hyperlink" Target="https://www.perronerobotics.com/news/perrone-robotics-and-tropos-technologies-announce-partnership-to-develop-fully-autonomous-electric-compact-utility-vehicles" TargetMode="External"/><Relationship Id="rId145" Type="http://schemas.openxmlformats.org/officeDocument/2006/relationships/hyperlink" Target="https://waymo.com/blog/2020/06/partnering-with-volvo-car-group-to-scale-the-waymo-driver/" TargetMode="External"/><Relationship Id="rId166" Type="http://schemas.openxmlformats.org/officeDocument/2006/relationships/hyperlink" Target="https://waymo.com/blog/2019/05/partnering-with-lyft-to-serve-more-riders/" TargetMode="External"/><Relationship Id="rId1" Type="http://schemas.openxmlformats.org/officeDocument/2006/relationships/hyperlink" Target="https://www.2getthere.eu/news/strategic-cooperation-agreement-with-sltn-extended/"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8" Type="http://schemas.openxmlformats.org/officeDocument/2006/relationships/hyperlink" Target="https://ir.deutschebahn.com/de/berichte/db-konzern-und-db-ag/" TargetMode="External"/><Relationship Id="rId3" Type="http://schemas.openxmlformats.org/officeDocument/2006/relationships/hyperlink" Target="https://www.chargepoint.com/de-de/" TargetMode="External"/><Relationship Id="rId7" Type="http://schemas.openxmlformats.org/officeDocument/2006/relationships/hyperlink" Target="https://investor.lyft.com/financials-and-reports/quarterly-results/default.aspx" TargetMode="External"/><Relationship Id="rId2" Type="http://schemas.openxmlformats.org/officeDocument/2006/relationships/hyperlink" Target="http://www.faw.com/" TargetMode="External"/><Relationship Id="rId1" Type="http://schemas.openxmlformats.org/officeDocument/2006/relationships/hyperlink" Target="https://www.mvg.de/ueber/mvg-projekte/bus/minga.html" TargetMode="External"/><Relationship Id="rId6" Type="http://schemas.openxmlformats.org/officeDocument/2006/relationships/hyperlink" Target="https://www.reuters.com/business/autos-transportation/autonomous-driving-firm-aurora-lays-off-3-staff-2024-01-25/" TargetMode="External"/><Relationship Id="rId5" Type="http://schemas.openxmlformats.org/officeDocument/2006/relationships/hyperlink" Target="https://techcrunch.com/2023/05/12/autonomous-delivery-startup-nuro-to-lay-off-30-of-workforce/" TargetMode="External"/><Relationship Id="rId4" Type="http://schemas.openxmlformats.org/officeDocument/2006/relationships/hyperlink" Target="http://www.uberfreight.com/" TargetMode="External"/><Relationship Id="rId9"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44"/>
  <sheetViews>
    <sheetView zoomScale="85" zoomScaleNormal="85" workbookViewId="0">
      <selection activeCell="C1" sqref="C1"/>
    </sheetView>
  </sheetViews>
  <sheetFormatPr defaultColWidth="14.453125" defaultRowHeight="15" customHeight="1" x14ac:dyDescent="0.35"/>
  <cols>
    <col min="1" max="1" width="5.81640625" style="6" customWidth="1"/>
    <col min="2" max="3" width="12.81640625" style="6" customWidth="1"/>
    <col min="4" max="4" width="51" style="6" customWidth="1"/>
    <col min="5" max="5" width="24.08984375" style="6" customWidth="1"/>
    <col min="6" max="8" width="12.81640625" style="6" customWidth="1"/>
    <col min="9" max="9" width="27.7265625" style="6" customWidth="1"/>
    <col min="10" max="10" width="34.1796875" style="45" customWidth="1"/>
    <col min="11" max="11" width="49" style="6" customWidth="1"/>
    <col min="12" max="12" width="53.1796875" style="6" customWidth="1"/>
    <col min="13" max="13" width="24.08984375" style="6" customWidth="1"/>
    <col min="14" max="14" width="32.6328125" style="6" customWidth="1"/>
    <col min="15" max="15" width="36.81640625" style="6" customWidth="1"/>
    <col min="16" max="16" width="36.36328125" style="6" customWidth="1"/>
    <col min="17" max="17" width="17.08984375" style="6" customWidth="1"/>
    <col min="18" max="18" width="10.6328125" style="15" customWidth="1"/>
    <col min="19" max="19" width="27.7265625" style="15" customWidth="1"/>
    <col min="20" max="20" width="18.81640625" style="15" customWidth="1"/>
    <col min="21" max="21" width="11.36328125" style="15" customWidth="1"/>
    <col min="22" max="22" width="10.6328125" style="15" customWidth="1"/>
    <col min="23" max="23" width="70.26953125" style="15" customWidth="1"/>
    <col min="24" max="24" width="8.90625" style="14" customWidth="1"/>
    <col min="25" max="25" width="27.08984375" style="14" customWidth="1"/>
    <col min="26" max="26" width="30.36328125" style="6" bestFit="1" customWidth="1"/>
    <col min="27" max="27" width="19.6328125" style="14" hidden="1" customWidth="1"/>
    <col min="28" max="28" width="29.54296875" style="6" bestFit="1" customWidth="1"/>
    <col min="29" max="29" width="29.453125" style="6" hidden="1" customWidth="1"/>
    <col min="30" max="30" width="18.90625" style="6" customWidth="1"/>
    <col min="31" max="31" width="29.453125" style="6" hidden="1" customWidth="1"/>
    <col min="32" max="32" width="120.08984375" style="40" customWidth="1"/>
    <col min="33" max="33" width="35.26953125" style="40" customWidth="1"/>
    <col min="34" max="34" width="27.36328125" style="6" bestFit="1" customWidth="1"/>
    <col min="35" max="16384" width="14.453125" style="6"/>
  </cols>
  <sheetData>
    <row r="1" spans="1:36" s="11" customFormat="1" ht="30" customHeight="1" x14ac:dyDescent="0.35">
      <c r="A1" s="23" t="s">
        <v>1422</v>
      </c>
      <c r="B1" s="23" t="s">
        <v>2298</v>
      </c>
      <c r="C1" s="23" t="s">
        <v>1026</v>
      </c>
      <c r="D1" s="23" t="s">
        <v>0</v>
      </c>
      <c r="E1" s="23" t="s">
        <v>1943</v>
      </c>
      <c r="F1" s="23" t="s">
        <v>1946</v>
      </c>
      <c r="G1" s="23" t="s">
        <v>2052</v>
      </c>
      <c r="H1" s="23" t="s">
        <v>1949</v>
      </c>
      <c r="I1" s="23" t="s">
        <v>1947</v>
      </c>
      <c r="J1" s="23" t="s">
        <v>1948</v>
      </c>
      <c r="K1" s="23" t="s">
        <v>2001</v>
      </c>
      <c r="L1" s="23" t="s">
        <v>1993</v>
      </c>
      <c r="M1" s="23" t="s">
        <v>1994</v>
      </c>
      <c r="N1" s="23" t="s">
        <v>2118</v>
      </c>
      <c r="O1" s="23" t="s">
        <v>1</v>
      </c>
      <c r="P1" s="23" t="s">
        <v>2</v>
      </c>
      <c r="Q1" s="23" t="s">
        <v>3</v>
      </c>
      <c r="R1" s="24" t="s">
        <v>976</v>
      </c>
      <c r="S1" s="24" t="s">
        <v>1193</v>
      </c>
      <c r="T1" s="24" t="s">
        <v>982</v>
      </c>
      <c r="U1" s="24" t="s">
        <v>975</v>
      </c>
      <c r="V1" s="24" t="s">
        <v>956</v>
      </c>
      <c r="W1" s="24" t="s">
        <v>1194</v>
      </c>
      <c r="X1" s="23" t="s">
        <v>2050</v>
      </c>
      <c r="Y1" s="10" t="s">
        <v>4</v>
      </c>
      <c r="Z1" s="23" t="s">
        <v>5</v>
      </c>
      <c r="AA1" s="10" t="s">
        <v>2120</v>
      </c>
      <c r="AB1" s="23" t="s">
        <v>1939</v>
      </c>
      <c r="AC1" s="23" t="s">
        <v>1942</v>
      </c>
      <c r="AD1" s="23" t="s">
        <v>1940</v>
      </c>
      <c r="AE1" s="23" t="s">
        <v>1941</v>
      </c>
      <c r="AF1" s="40" t="s">
        <v>1761</v>
      </c>
      <c r="AG1" s="40" t="s">
        <v>1762</v>
      </c>
      <c r="AH1" s="173" t="s">
        <v>2170</v>
      </c>
    </row>
    <row r="2" spans="1:36" ht="14" customHeight="1" x14ac:dyDescent="0.35">
      <c r="A2" s="25" t="s">
        <v>1426</v>
      </c>
      <c r="B2" s="25" t="s">
        <v>1030</v>
      </c>
      <c r="C2" s="65">
        <f t="shared" ref="C2:C33" si="0">DATE(LEFT(B2,4),MID(B2,7,1),RIGHT(B2,LEN(B2)-SEARCH(",",B2,6)))</f>
        <v>42249</v>
      </c>
      <c r="D2" s="25" t="s">
        <v>14</v>
      </c>
      <c r="E2" s="25" t="s">
        <v>1937</v>
      </c>
      <c r="F2" s="25" t="s">
        <v>309</v>
      </c>
      <c r="G2" s="25" t="str">
        <f t="shared" ref="G2:G33" si="1">E2&amp;"-"&amp;H2</f>
        <v>2getthere-SAV</v>
      </c>
      <c r="H2" s="25" t="str">
        <f>IF(OR(EXACT(J2,"Trucking"),EXACT(J2,"Last-Mile")),"ATV",IF(OR(EXACT(J2,"Ridepooling"),EXACT(J2,"Ridehailing")),"SAV","Other"))</f>
        <v>SAV</v>
      </c>
      <c r="I2" s="25" t="s">
        <v>372</v>
      </c>
      <c r="J2" s="32" t="s">
        <v>372</v>
      </c>
      <c r="K2" s="25" t="str">
        <f>_xlfn.TEXTJOIN(";",TRUE,L2:N2)</f>
        <v>SLTN</v>
      </c>
      <c r="L2" s="25" t="s">
        <v>880</v>
      </c>
      <c r="M2" s="25"/>
      <c r="N2" s="25"/>
      <c r="O2" s="26" t="s">
        <v>1730</v>
      </c>
      <c r="P2" s="32" t="s">
        <v>1319</v>
      </c>
      <c r="Q2" s="25" t="s">
        <v>10</v>
      </c>
      <c r="R2" s="27" t="s">
        <v>53</v>
      </c>
      <c r="S2" s="27" t="s">
        <v>978</v>
      </c>
      <c r="T2" s="27" t="s">
        <v>949</v>
      </c>
      <c r="U2" s="27" t="s">
        <v>53</v>
      </c>
      <c r="V2" s="27" t="s">
        <v>949</v>
      </c>
      <c r="W2" s="27" t="str">
        <f>IF(Q2="Joint Venture","4. Joint Venture",IF(Q2="Strategic Partnership","3. Strategic Partnership",IF(Q2="Informal Agreement","1. Informal Agreement",
IF(AND(Q2="Strategic Alliance",LEFT(T2,9)="Long term"),"2.3. Long term Alliance",
IF(AND(Q2="Strategic Alliance",V2="Yes"),"2.4. Exclusive Alliance",
IF(AND(Q2="Strategic Alliance",U2="Yes"),"2.2. Renewed Alliance ",
IF(OR(AND(Q2="Strategic Alliance",LEFT(S2,8)="One time",U2="-",V2="-"),AND(Q2="Strategic Alliance",U2="-",V2="-"),AND(Q2="Strategic Alliance",LEFT(T2,10)="Short term")),"2.1. Short term Alliance (no exclusivity / previous experience)",
)))))))</f>
        <v xml:space="preserve">2.2. Renewed Alliance </v>
      </c>
      <c r="X2" s="7"/>
      <c r="Y2" s="7" t="s">
        <v>1320</v>
      </c>
      <c r="Z2" s="25" t="s">
        <v>15</v>
      </c>
      <c r="AA2" s="7" t="s">
        <v>1320</v>
      </c>
      <c r="AB2" s="25"/>
      <c r="AC2" s="25"/>
      <c r="AD2" s="25"/>
      <c r="AE2" s="25"/>
      <c r="AF2" s="40" t="s">
        <v>14</v>
      </c>
      <c r="AH2" s="6" t="str">
        <f>E2&amp;"-"&amp;J2</f>
        <v>2getthere-Ridepooling</v>
      </c>
      <c r="AI2" s="6">
        <f>COUNTA(_xlfn.UNIQUE(AH2:AH180))</f>
        <v>56</v>
      </c>
      <c r="AJ2" s="6" t="str" cm="1">
        <f t="array" ref="AJ2:AJ57">_xlfn.UNIQUE(AH2:AH180)</f>
        <v>2getthere-Ridepooling</v>
      </c>
    </row>
    <row r="3" spans="1:36" ht="14.25" customHeight="1" x14ac:dyDescent="0.35">
      <c r="A3" s="25" t="s">
        <v>1424</v>
      </c>
      <c r="B3" s="25" t="s">
        <v>1028</v>
      </c>
      <c r="C3" s="65">
        <f t="shared" si="0"/>
        <v>42213</v>
      </c>
      <c r="D3" s="25" t="s">
        <v>9</v>
      </c>
      <c r="E3" s="25" t="s">
        <v>1937</v>
      </c>
      <c r="F3" s="25" t="s">
        <v>309</v>
      </c>
      <c r="G3" s="25" t="str">
        <f t="shared" si="1"/>
        <v>2getthere-SAV</v>
      </c>
      <c r="H3" s="25" t="str">
        <f t="shared" ref="H3:H66" si="2">IF(OR(EXACT(J3,"Trucking"),EXACT(J3,"Last-Mile")),"ATV",IF(OR(EXACT(J3,"Ridepooling"),EXACT(J3,"Ridehailing")),"SAV","Other"))</f>
        <v>SAV</v>
      </c>
      <c r="I3" s="25" t="s">
        <v>372</v>
      </c>
      <c r="J3" s="32" t="s">
        <v>372</v>
      </c>
      <c r="K3" s="25" t="str">
        <f t="shared" ref="K3:K66" si="3">_xlfn.TEXTJOIN(";",TRUE,L3:N3)</f>
        <v>Benteler</v>
      </c>
      <c r="L3" s="25" t="s">
        <v>1952</v>
      </c>
      <c r="M3" s="25"/>
      <c r="N3" s="25"/>
      <c r="O3" s="26" t="s">
        <v>1731</v>
      </c>
      <c r="P3" s="32" t="s">
        <v>1321</v>
      </c>
      <c r="Q3" s="25" t="s">
        <v>10</v>
      </c>
      <c r="R3" s="27" t="s">
        <v>69</v>
      </c>
      <c r="S3" s="27" t="s">
        <v>980</v>
      </c>
      <c r="T3" s="27" t="s">
        <v>949</v>
      </c>
      <c r="U3" s="27" t="s">
        <v>53</v>
      </c>
      <c r="V3" s="27" t="s">
        <v>949</v>
      </c>
      <c r="W3" s="27" t="str">
        <f t="shared" ref="W3:W66" si="4">IF(Q3="Joint Venture","4. Joint Venture",IF(Q3="Strategic Partnership","3. Strategic Partnership",IF(Q3="Informal Agreement","1. Informal Agreement",
IF(AND(Q3="Strategic Alliance",LEFT(T3,9)="Long term"),"2.3. Long term Alliance",
IF(AND(Q3="Strategic Alliance",V3="Yes"),"2.4. Exclusive Alliance",
IF(AND(Q3="Strategic Alliance",U3="Yes"),"2.2. Renewed Alliance ",
IF(OR(AND(Q3="Strategic Alliance",LEFT(S3,8)="One time",U3="-",V3="-"),AND(Q3="Strategic Alliance",U3="-",V3="-"),AND(Q3="Strategic Alliance",LEFT(T3,10)="Short term")),"2.1. Short term Alliance (no exclusivity / previous experience)",
)))))))</f>
        <v xml:space="preserve">2.2. Renewed Alliance </v>
      </c>
      <c r="X3" s="7"/>
      <c r="Y3" s="7" t="s">
        <v>11</v>
      </c>
      <c r="Z3" s="25" t="s">
        <v>12</v>
      </c>
      <c r="AA3" s="7" t="s">
        <v>11</v>
      </c>
      <c r="AB3" s="25"/>
      <c r="AC3" s="25"/>
      <c r="AD3" s="25"/>
      <c r="AE3" s="25"/>
      <c r="AF3" s="40" t="s">
        <v>9</v>
      </c>
      <c r="AH3" s="6" t="str">
        <f t="shared" ref="AH3:AH66" si="5">E3&amp;"-"&amp;J3</f>
        <v>2getthere-Ridepooling</v>
      </c>
      <c r="AJ3" s="6" t="str">
        <v>ADASTEC-Ridepooling</v>
      </c>
    </row>
    <row r="4" spans="1:36" ht="14.25" customHeight="1" x14ac:dyDescent="0.35">
      <c r="A4" s="133" t="s">
        <v>1425</v>
      </c>
      <c r="B4" s="25" t="s">
        <v>1029</v>
      </c>
      <c r="C4" s="65">
        <f t="shared" si="0"/>
        <v>41793</v>
      </c>
      <c r="D4" s="25" t="s">
        <v>13</v>
      </c>
      <c r="E4" s="25" t="s">
        <v>1937</v>
      </c>
      <c r="F4" s="25" t="s">
        <v>309</v>
      </c>
      <c r="G4" s="25" t="str">
        <f t="shared" si="1"/>
        <v>2getthere-SAV</v>
      </c>
      <c r="H4" s="25" t="str">
        <f t="shared" si="2"/>
        <v>SAV</v>
      </c>
      <c r="I4" s="25" t="s">
        <v>372</v>
      </c>
      <c r="J4" s="32" t="s">
        <v>372</v>
      </c>
      <c r="K4" s="25" t="str">
        <f t="shared" si="3"/>
        <v>SMRT</v>
      </c>
      <c r="L4" s="25" t="s">
        <v>922</v>
      </c>
      <c r="M4" s="25"/>
      <c r="N4" s="25"/>
      <c r="O4" s="26" t="s">
        <v>1361</v>
      </c>
      <c r="P4" s="32" t="s">
        <v>1328</v>
      </c>
      <c r="Q4" s="25" t="s">
        <v>10</v>
      </c>
      <c r="R4" s="27" t="s">
        <v>53</v>
      </c>
      <c r="S4" s="27" t="s">
        <v>980</v>
      </c>
      <c r="T4" s="27" t="s">
        <v>949</v>
      </c>
      <c r="U4" s="27" t="s">
        <v>53</v>
      </c>
      <c r="V4" s="27" t="s">
        <v>53</v>
      </c>
      <c r="W4" s="27" t="str">
        <f t="shared" si="4"/>
        <v>2.4. Exclusive Alliance</v>
      </c>
      <c r="X4" s="7"/>
      <c r="Y4" s="7" t="s">
        <v>1329</v>
      </c>
      <c r="Z4" s="25" t="s">
        <v>8</v>
      </c>
      <c r="AA4" s="7" t="s">
        <v>1329</v>
      </c>
      <c r="AB4" s="25"/>
      <c r="AC4" s="25"/>
      <c r="AD4" s="25"/>
      <c r="AE4" s="25"/>
      <c r="AF4" s="40" t="s">
        <v>13</v>
      </c>
      <c r="AH4" s="6" t="str">
        <f t="shared" si="5"/>
        <v>2getthere-Ridepooling</v>
      </c>
      <c r="AJ4" s="6" t="str">
        <v>Aurora-Trucking</v>
      </c>
    </row>
    <row r="5" spans="1:36" s="19" customFormat="1" ht="14.25" customHeight="1" x14ac:dyDescent="0.35">
      <c r="A5" s="25" t="s">
        <v>1427</v>
      </c>
      <c r="B5" s="25" t="s">
        <v>1031</v>
      </c>
      <c r="C5" s="65">
        <f t="shared" si="0"/>
        <v>42394</v>
      </c>
      <c r="D5" s="28" t="s">
        <v>16</v>
      </c>
      <c r="E5" s="54" t="s">
        <v>1937</v>
      </c>
      <c r="F5" s="25" t="s">
        <v>309</v>
      </c>
      <c r="G5" s="25" t="str">
        <f t="shared" si="1"/>
        <v>2getthere-SAV</v>
      </c>
      <c r="H5" s="25" t="str">
        <f t="shared" si="2"/>
        <v>SAV</v>
      </c>
      <c r="I5" s="25" t="s">
        <v>372</v>
      </c>
      <c r="J5" s="32" t="s">
        <v>372</v>
      </c>
      <c r="K5" s="25" t="str">
        <f t="shared" si="3"/>
        <v>United Technical Services</v>
      </c>
      <c r="L5" s="25" t="s">
        <v>643</v>
      </c>
      <c r="M5" s="25"/>
      <c r="N5" s="25"/>
      <c r="O5" s="30" t="s">
        <v>1363</v>
      </c>
      <c r="P5" s="37" t="s">
        <v>979</v>
      </c>
      <c r="Q5" s="28" t="s">
        <v>17</v>
      </c>
      <c r="R5" s="27" t="s">
        <v>69</v>
      </c>
      <c r="S5" s="27" t="s">
        <v>980</v>
      </c>
      <c r="T5" s="27" t="s">
        <v>949</v>
      </c>
      <c r="U5" s="27" t="s">
        <v>53</v>
      </c>
      <c r="V5" s="27" t="s">
        <v>949</v>
      </c>
      <c r="W5" s="27" t="str">
        <f t="shared" si="4"/>
        <v>3. Strategic Partnership</v>
      </c>
      <c r="X5" s="7"/>
      <c r="Y5" s="7" t="s">
        <v>1342</v>
      </c>
      <c r="Z5" s="25" t="s">
        <v>1200</v>
      </c>
      <c r="AA5" s="7" t="s">
        <v>1342</v>
      </c>
      <c r="AB5" s="25"/>
      <c r="AC5" s="25"/>
      <c r="AD5" s="25"/>
      <c r="AE5" s="25"/>
      <c r="AF5" s="40" t="s">
        <v>16</v>
      </c>
      <c r="AG5" s="40"/>
      <c r="AH5" s="6" t="str">
        <f t="shared" si="5"/>
        <v>2getthere-Ridepooling</v>
      </c>
      <c r="AJ5" s="19" t="str">
        <v>Beep-Ridepooling</v>
      </c>
    </row>
    <row r="6" spans="1:36" ht="14.25" customHeight="1" x14ac:dyDescent="0.35">
      <c r="A6" s="25" t="s">
        <v>1423</v>
      </c>
      <c r="B6" s="25" t="s">
        <v>1027</v>
      </c>
      <c r="C6" s="65">
        <f t="shared" si="0"/>
        <v>42480</v>
      </c>
      <c r="D6" s="28" t="s">
        <v>6</v>
      </c>
      <c r="E6" s="54" t="s">
        <v>1937</v>
      </c>
      <c r="F6" s="25" t="s">
        <v>309</v>
      </c>
      <c r="G6" s="25" t="str">
        <f t="shared" si="1"/>
        <v>2getthere-SAV</v>
      </c>
      <c r="H6" s="25" t="str">
        <f t="shared" si="2"/>
        <v>SAV</v>
      </c>
      <c r="I6" s="25" t="s">
        <v>372</v>
      </c>
      <c r="J6" s="32" t="s">
        <v>372</v>
      </c>
      <c r="K6" s="25" t="str">
        <f t="shared" si="3"/>
        <v>SMRT</v>
      </c>
      <c r="L6" s="25" t="s">
        <v>922</v>
      </c>
      <c r="M6" s="25"/>
      <c r="N6" s="25"/>
      <c r="O6" s="30" t="s">
        <v>1910</v>
      </c>
      <c r="P6" s="37" t="s">
        <v>1911</v>
      </c>
      <c r="Q6" s="28" t="s">
        <v>7</v>
      </c>
      <c r="R6" s="27" t="s">
        <v>53</v>
      </c>
      <c r="S6" s="27" t="s">
        <v>978</v>
      </c>
      <c r="T6" s="27" t="s">
        <v>949</v>
      </c>
      <c r="U6" s="27" t="s">
        <v>53</v>
      </c>
      <c r="V6" s="27" t="s">
        <v>949</v>
      </c>
      <c r="W6" s="27" t="str">
        <f t="shared" si="4"/>
        <v>4. Joint Venture</v>
      </c>
      <c r="X6" s="7"/>
      <c r="Y6" s="7" t="s">
        <v>1912</v>
      </c>
      <c r="Z6" s="25" t="s">
        <v>8</v>
      </c>
      <c r="AA6" s="7" t="s">
        <v>1912</v>
      </c>
      <c r="AB6" s="25"/>
      <c r="AC6" s="25"/>
      <c r="AD6" s="25"/>
      <c r="AE6" s="25"/>
      <c r="AF6" s="40" t="s">
        <v>6</v>
      </c>
      <c r="AH6" s="6" t="str">
        <f t="shared" si="5"/>
        <v>2getthere-Ridepooling</v>
      </c>
      <c r="AJ6" s="6" t="str">
        <v>Bolt-Last-Mile</v>
      </c>
    </row>
    <row r="7" spans="1:36" ht="14.25" customHeight="1" x14ac:dyDescent="0.35">
      <c r="A7" s="25" t="s">
        <v>1428</v>
      </c>
      <c r="B7" s="25" t="s">
        <v>1032</v>
      </c>
      <c r="C7" s="65">
        <f t="shared" si="0"/>
        <v>44935</v>
      </c>
      <c r="D7" s="25" t="s">
        <v>18</v>
      </c>
      <c r="E7" s="25" t="s">
        <v>375</v>
      </c>
      <c r="F7" s="25" t="s">
        <v>286</v>
      </c>
      <c r="G7" s="25" t="str">
        <f t="shared" si="1"/>
        <v>ADASTEC-SAV</v>
      </c>
      <c r="H7" s="25" t="str">
        <f t="shared" si="2"/>
        <v>SAV</v>
      </c>
      <c r="I7" s="25" t="s">
        <v>372</v>
      </c>
      <c r="J7" s="32" t="s">
        <v>372</v>
      </c>
      <c r="K7" s="25" t="str">
        <f t="shared" si="3"/>
        <v>Vicinity Motor Corp.</v>
      </c>
      <c r="L7" s="25" t="s">
        <v>811</v>
      </c>
      <c r="M7" s="25"/>
      <c r="N7" s="25"/>
      <c r="O7" s="26" t="s">
        <v>1662</v>
      </c>
      <c r="P7" s="32" t="s">
        <v>1366</v>
      </c>
      <c r="Q7" s="25" t="s">
        <v>10</v>
      </c>
      <c r="R7" s="27" t="s">
        <v>69</v>
      </c>
      <c r="S7" s="27" t="s">
        <v>980</v>
      </c>
      <c r="T7" s="27" t="s">
        <v>949</v>
      </c>
      <c r="U7" s="27" t="s">
        <v>949</v>
      </c>
      <c r="V7" s="27" t="s">
        <v>949</v>
      </c>
      <c r="W7" s="27" t="str">
        <f t="shared" si="4"/>
        <v>2.1. Short term Alliance (no exclusivity / previous experience)</v>
      </c>
      <c r="X7" s="7"/>
      <c r="Y7" s="7" t="s">
        <v>19</v>
      </c>
      <c r="Z7" s="25" t="s">
        <v>15</v>
      </c>
      <c r="AA7" s="7" t="s">
        <v>19</v>
      </c>
      <c r="AB7" s="25"/>
      <c r="AC7" s="25"/>
      <c r="AD7" s="25"/>
      <c r="AE7" s="25"/>
      <c r="AF7" s="40" t="s">
        <v>1890</v>
      </c>
      <c r="AG7" s="40" t="s">
        <v>1891</v>
      </c>
      <c r="AH7" s="6" t="str">
        <f t="shared" si="5"/>
        <v>ADASTEC-Ridepooling</v>
      </c>
      <c r="AJ7" s="6" t="str">
        <v>Cartken-Last-Mile</v>
      </c>
    </row>
    <row r="8" spans="1:36" s="13" customFormat="1" ht="14.25" customHeight="1" x14ac:dyDescent="0.35">
      <c r="A8" s="25" t="s">
        <v>1429</v>
      </c>
      <c r="B8" s="25" t="s">
        <v>1033</v>
      </c>
      <c r="C8" s="65">
        <f t="shared" si="0"/>
        <v>44931</v>
      </c>
      <c r="D8" s="25" t="s">
        <v>20</v>
      </c>
      <c r="E8" s="25" t="s">
        <v>375</v>
      </c>
      <c r="F8" s="25" t="s">
        <v>286</v>
      </c>
      <c r="G8" s="25" t="str">
        <f t="shared" si="1"/>
        <v>ADASTEC-SAV</v>
      </c>
      <c r="H8" s="25" t="str">
        <f t="shared" si="2"/>
        <v>SAV</v>
      </c>
      <c r="I8" s="25" t="s">
        <v>372</v>
      </c>
      <c r="J8" s="32" t="s">
        <v>372</v>
      </c>
      <c r="K8" s="25" t="str">
        <f t="shared" si="3"/>
        <v>Vicinity Motor Corp.</v>
      </c>
      <c r="L8" s="25" t="s">
        <v>811</v>
      </c>
      <c r="M8" s="25"/>
      <c r="N8" s="25"/>
      <c r="O8" s="26" t="s">
        <v>1697</v>
      </c>
      <c r="P8" s="32" t="s">
        <v>2143</v>
      </c>
      <c r="Q8" s="25" t="s">
        <v>10</v>
      </c>
      <c r="R8" s="27" t="s">
        <v>69</v>
      </c>
      <c r="S8" s="27" t="s">
        <v>980</v>
      </c>
      <c r="T8" s="27" t="s">
        <v>949</v>
      </c>
      <c r="U8" s="27" t="s">
        <v>949</v>
      </c>
      <c r="V8" s="27" t="s">
        <v>949</v>
      </c>
      <c r="W8" s="27" t="str">
        <f t="shared" si="4"/>
        <v>2.1. Short term Alliance (no exclusivity / previous experience)</v>
      </c>
      <c r="X8" s="7"/>
      <c r="Y8" s="7" t="s">
        <v>21</v>
      </c>
      <c r="Z8" s="25" t="s">
        <v>15</v>
      </c>
      <c r="AA8" s="7" t="s">
        <v>21</v>
      </c>
      <c r="AB8" s="25"/>
      <c r="AC8" s="25"/>
      <c r="AD8" s="25"/>
      <c r="AE8" s="25"/>
      <c r="AF8" s="40" t="s">
        <v>20</v>
      </c>
      <c r="AG8" s="40"/>
      <c r="AH8" s="6" t="str">
        <f t="shared" si="5"/>
        <v>ADASTEC-Ridepooling</v>
      </c>
      <c r="AJ8" s="13" t="str">
        <v>Cruise-Other</v>
      </c>
    </row>
    <row r="9" spans="1:36" s="13" customFormat="1" ht="14.25" customHeight="1" x14ac:dyDescent="0.35">
      <c r="A9" s="25" t="s">
        <v>1431</v>
      </c>
      <c r="B9" s="25" t="s">
        <v>1035</v>
      </c>
      <c r="C9" s="65">
        <f t="shared" si="0"/>
        <v>45043</v>
      </c>
      <c r="D9" s="25" t="s">
        <v>25</v>
      </c>
      <c r="E9" s="25" t="s">
        <v>431</v>
      </c>
      <c r="F9" s="25" t="s">
        <v>286</v>
      </c>
      <c r="G9" s="25" t="str">
        <f t="shared" si="1"/>
        <v>Aurora-ATV</v>
      </c>
      <c r="H9" s="25" t="str">
        <f t="shared" si="2"/>
        <v>ATV</v>
      </c>
      <c r="I9" s="25" t="s">
        <v>405</v>
      </c>
      <c r="J9" s="32" t="s">
        <v>405</v>
      </c>
      <c r="K9" s="25" t="str">
        <f t="shared" si="3"/>
        <v>Continental</v>
      </c>
      <c r="L9" s="25" t="s">
        <v>515</v>
      </c>
      <c r="M9" s="25"/>
      <c r="N9" s="25"/>
      <c r="O9" s="26" t="s">
        <v>1644</v>
      </c>
      <c r="P9" s="32" t="s">
        <v>1318</v>
      </c>
      <c r="Q9" s="25" t="s">
        <v>10</v>
      </c>
      <c r="R9" s="27" t="s">
        <v>983</v>
      </c>
      <c r="S9" s="27" t="s">
        <v>980</v>
      </c>
      <c r="T9" s="27" t="s">
        <v>1170</v>
      </c>
      <c r="U9" s="27" t="s">
        <v>949</v>
      </c>
      <c r="V9" s="27" t="s">
        <v>53</v>
      </c>
      <c r="W9" s="27" t="str">
        <f t="shared" si="4"/>
        <v>2.3. Long term Alliance</v>
      </c>
      <c r="X9" s="29"/>
      <c r="Y9" s="7" t="s">
        <v>26</v>
      </c>
      <c r="Z9" s="25" t="s">
        <v>15</v>
      </c>
      <c r="AA9" s="7" t="s">
        <v>1607</v>
      </c>
      <c r="AB9" s="28" t="s">
        <v>12</v>
      </c>
      <c r="AC9" s="28" t="s">
        <v>1606</v>
      </c>
      <c r="AD9" s="25"/>
      <c r="AE9" s="25"/>
      <c r="AF9" s="40" t="s">
        <v>1777</v>
      </c>
      <c r="AG9" s="40" t="s">
        <v>1778</v>
      </c>
      <c r="AH9" s="6" t="str">
        <f t="shared" si="5"/>
        <v>Aurora-Trucking</v>
      </c>
      <c r="AJ9" s="13" t="str">
        <v>Cruise-Last-Mile</v>
      </c>
    </row>
    <row r="10" spans="1:36" ht="14.25" customHeight="1" x14ac:dyDescent="0.35">
      <c r="A10" s="25" t="s">
        <v>1430</v>
      </c>
      <c r="B10" s="25" t="s">
        <v>1034</v>
      </c>
      <c r="C10" s="65">
        <f t="shared" si="0"/>
        <v>45048</v>
      </c>
      <c r="D10" s="25" t="s">
        <v>22</v>
      </c>
      <c r="E10" s="25" t="s">
        <v>431</v>
      </c>
      <c r="F10" s="25" t="s">
        <v>286</v>
      </c>
      <c r="G10" s="25" t="str">
        <f t="shared" si="1"/>
        <v>Aurora-ATV</v>
      </c>
      <c r="H10" s="25" t="str">
        <f t="shared" si="2"/>
        <v>ATV</v>
      </c>
      <c r="I10" s="25" t="s">
        <v>405</v>
      </c>
      <c r="J10" s="32" t="s">
        <v>405</v>
      </c>
      <c r="K10" s="25" t="str">
        <f t="shared" si="3"/>
        <v>Hirschbach</v>
      </c>
      <c r="L10" s="25" t="s">
        <v>695</v>
      </c>
      <c r="M10" s="25"/>
      <c r="N10" s="25"/>
      <c r="O10" s="26" t="s">
        <v>1657</v>
      </c>
      <c r="P10" s="26" t="s">
        <v>2115</v>
      </c>
      <c r="Q10" s="25" t="s">
        <v>10</v>
      </c>
      <c r="R10" s="27" t="s">
        <v>69</v>
      </c>
      <c r="S10" s="27" t="s">
        <v>981</v>
      </c>
      <c r="T10" s="27" t="s">
        <v>949</v>
      </c>
      <c r="U10" s="27" t="s">
        <v>949</v>
      </c>
      <c r="V10" s="27" t="s">
        <v>949</v>
      </c>
      <c r="W10" s="27" t="str">
        <f t="shared" si="4"/>
        <v>2.1. Short term Alliance (no exclusivity / previous experience)</v>
      </c>
      <c r="X10" s="7"/>
      <c r="Y10" s="7" t="s">
        <v>2116</v>
      </c>
      <c r="Z10" s="26" t="s">
        <v>24</v>
      </c>
      <c r="AA10" s="7" t="s">
        <v>23</v>
      </c>
      <c r="AB10" s="26"/>
      <c r="AC10" s="26"/>
      <c r="AD10" s="26"/>
      <c r="AE10" s="26"/>
      <c r="AF10" s="40" t="s">
        <v>1837</v>
      </c>
      <c r="AG10" s="40" t="s">
        <v>1838</v>
      </c>
      <c r="AH10" s="6" t="str">
        <f t="shared" si="5"/>
        <v>Aurora-Trucking</v>
      </c>
      <c r="AJ10" s="6" t="str">
        <v>Cruise-Ridehailing</v>
      </c>
    </row>
    <row r="11" spans="1:36" ht="14.25" customHeight="1" x14ac:dyDescent="0.35">
      <c r="A11" s="25" t="s">
        <v>1432</v>
      </c>
      <c r="B11" s="25" t="s">
        <v>1036</v>
      </c>
      <c r="C11" s="65">
        <f t="shared" si="0"/>
        <v>44692</v>
      </c>
      <c r="D11" s="25" t="s">
        <v>27</v>
      </c>
      <c r="E11" s="25" t="s">
        <v>431</v>
      </c>
      <c r="F11" s="25" t="s">
        <v>286</v>
      </c>
      <c r="G11" s="25" t="str">
        <f t="shared" si="1"/>
        <v>Aurora-ATV</v>
      </c>
      <c r="H11" s="25" t="str">
        <f t="shared" si="2"/>
        <v>ATV</v>
      </c>
      <c r="I11" s="25" t="s">
        <v>405</v>
      </c>
      <c r="J11" s="32" t="s">
        <v>405</v>
      </c>
      <c r="K11" s="25" t="str">
        <f t="shared" si="3"/>
        <v>Covenant</v>
      </c>
      <c r="L11" s="25" t="s">
        <v>684</v>
      </c>
      <c r="M11" s="25"/>
      <c r="N11" s="25"/>
      <c r="O11" s="26" t="s">
        <v>2119</v>
      </c>
      <c r="P11" s="32" t="s">
        <v>1378</v>
      </c>
      <c r="Q11" s="25" t="s">
        <v>10</v>
      </c>
      <c r="R11" s="27" t="s">
        <v>69</v>
      </c>
      <c r="S11" s="27" t="s">
        <v>984</v>
      </c>
      <c r="T11" s="27" t="s">
        <v>949</v>
      </c>
      <c r="U11" s="27" t="s">
        <v>949</v>
      </c>
      <c r="V11" s="27" t="s">
        <v>949</v>
      </c>
      <c r="W11" s="27" t="str">
        <f t="shared" si="4"/>
        <v>2.1. Short term Alliance (no exclusivity / previous experience)</v>
      </c>
      <c r="X11" s="7"/>
      <c r="Y11" s="7" t="s">
        <v>1239</v>
      </c>
      <c r="Z11" s="26" t="s">
        <v>24</v>
      </c>
      <c r="AA11" s="7" t="s">
        <v>1239</v>
      </c>
      <c r="AB11" s="26"/>
      <c r="AC11" s="26"/>
      <c r="AD11" s="26"/>
      <c r="AE11" s="26"/>
      <c r="AF11" s="40" t="s">
        <v>1860</v>
      </c>
      <c r="AG11" s="40" t="s">
        <v>1861</v>
      </c>
      <c r="AH11" s="6" t="str">
        <f t="shared" si="5"/>
        <v>Aurora-Trucking</v>
      </c>
      <c r="AJ11" s="6" t="str">
        <v>EasyMile-Other</v>
      </c>
    </row>
    <row r="12" spans="1:36" ht="14.25" customHeight="1" x14ac:dyDescent="0.35">
      <c r="A12" s="25" t="s">
        <v>1433</v>
      </c>
      <c r="B12" s="25" t="s">
        <v>1037</v>
      </c>
      <c r="C12" s="65">
        <f t="shared" si="0"/>
        <v>44606</v>
      </c>
      <c r="D12" s="25" t="s">
        <v>28</v>
      </c>
      <c r="E12" s="25" t="s">
        <v>431</v>
      </c>
      <c r="F12" s="25" t="s">
        <v>286</v>
      </c>
      <c r="G12" s="25" t="str">
        <f t="shared" si="1"/>
        <v>Aurora-ATV</v>
      </c>
      <c r="H12" s="25" t="str">
        <f t="shared" si="2"/>
        <v>ATV</v>
      </c>
      <c r="I12" s="25" t="s">
        <v>405</v>
      </c>
      <c r="J12" s="32" t="s">
        <v>405</v>
      </c>
      <c r="K12" s="25" t="str">
        <f t="shared" si="3"/>
        <v>U.S. Xpress</v>
      </c>
      <c r="L12" s="25" t="s">
        <v>705</v>
      </c>
      <c r="M12" s="25"/>
      <c r="N12" s="25"/>
      <c r="O12" s="26" t="s">
        <v>1907</v>
      </c>
      <c r="P12" s="32" t="s">
        <v>1925</v>
      </c>
      <c r="Q12" s="25" t="s">
        <v>10</v>
      </c>
      <c r="R12" s="27" t="s">
        <v>69</v>
      </c>
      <c r="S12" s="27" t="s">
        <v>984</v>
      </c>
      <c r="T12" s="27" t="s">
        <v>949</v>
      </c>
      <c r="U12" s="27" t="s">
        <v>949</v>
      </c>
      <c r="V12" s="27" t="s">
        <v>949</v>
      </c>
      <c r="W12" s="27" t="str">
        <f t="shared" si="4"/>
        <v>2.1. Short term Alliance (no exclusivity / previous experience)</v>
      </c>
      <c r="X12" s="7"/>
      <c r="Y12" s="7" t="s">
        <v>2121</v>
      </c>
      <c r="Z12" s="26" t="s">
        <v>24</v>
      </c>
      <c r="AA12" s="7" t="s">
        <v>1245</v>
      </c>
      <c r="AB12" s="26"/>
      <c r="AC12" s="26"/>
      <c r="AD12" s="26"/>
      <c r="AE12" s="26"/>
      <c r="AF12" s="40" t="s">
        <v>1866</v>
      </c>
      <c r="AG12" s="40" t="s">
        <v>1867</v>
      </c>
      <c r="AH12" s="6" t="str">
        <f t="shared" si="5"/>
        <v>Aurora-Trucking</v>
      </c>
      <c r="AJ12" s="6" t="str">
        <v>EasyMile-Ridepooling</v>
      </c>
    </row>
    <row r="13" spans="1:36" ht="14.25" customHeight="1" x14ac:dyDescent="0.35">
      <c r="A13" s="25" t="s">
        <v>1436</v>
      </c>
      <c r="B13" s="25" t="s">
        <v>1040</v>
      </c>
      <c r="C13" s="65">
        <f t="shared" si="0"/>
        <v>44999</v>
      </c>
      <c r="D13" s="25" t="s">
        <v>32</v>
      </c>
      <c r="E13" s="25" t="s">
        <v>379</v>
      </c>
      <c r="F13" s="25" t="s">
        <v>331</v>
      </c>
      <c r="G13" s="25" t="str">
        <f t="shared" si="1"/>
        <v>Beep-SAV</v>
      </c>
      <c r="H13" s="25" t="str">
        <f t="shared" si="2"/>
        <v>SAV</v>
      </c>
      <c r="I13" s="25" t="s">
        <v>372</v>
      </c>
      <c r="J13" s="32" t="s">
        <v>372</v>
      </c>
      <c r="K13" s="25" t="str">
        <f t="shared" si="3"/>
        <v>North Carolina Department of Transportation</v>
      </c>
      <c r="L13" s="25" t="s">
        <v>1953</v>
      </c>
      <c r="M13" s="25"/>
      <c r="N13" s="25"/>
      <c r="O13" s="26" t="s">
        <v>2117</v>
      </c>
      <c r="P13" s="32" t="s">
        <v>1258</v>
      </c>
      <c r="Q13" s="25" t="s">
        <v>10</v>
      </c>
      <c r="R13" s="27" t="s">
        <v>69</v>
      </c>
      <c r="S13" s="27" t="s">
        <v>978</v>
      </c>
      <c r="T13" s="27" t="s">
        <v>949</v>
      </c>
      <c r="U13" s="27" t="s">
        <v>949</v>
      </c>
      <c r="V13" s="27" t="s">
        <v>949</v>
      </c>
      <c r="W13" s="27" t="str">
        <f t="shared" si="4"/>
        <v>2.1. Short term Alliance (no exclusivity / previous experience)</v>
      </c>
      <c r="X13" s="7"/>
      <c r="Y13" s="7" t="s">
        <v>1259</v>
      </c>
      <c r="Z13" s="25" t="s">
        <v>8</v>
      </c>
      <c r="AA13" s="7" t="s">
        <v>1259</v>
      </c>
      <c r="AB13" s="25"/>
      <c r="AC13" s="25"/>
      <c r="AD13" s="25"/>
      <c r="AE13" s="25"/>
      <c r="AF13" s="40" t="s">
        <v>1898</v>
      </c>
      <c r="AG13" s="40" t="s">
        <v>1899</v>
      </c>
      <c r="AH13" s="6" t="str">
        <f t="shared" si="5"/>
        <v>Beep-Ridepooling</v>
      </c>
      <c r="AJ13" s="6" t="str">
        <v>Einride-Trucking</v>
      </c>
    </row>
    <row r="14" spans="1:36" ht="14.25" customHeight="1" x14ac:dyDescent="0.35">
      <c r="A14" s="133" t="s">
        <v>1435</v>
      </c>
      <c r="B14" s="25" t="s">
        <v>1039</v>
      </c>
      <c r="C14" s="65">
        <f t="shared" si="0"/>
        <v>45037</v>
      </c>
      <c r="D14" s="25" t="s">
        <v>30</v>
      </c>
      <c r="E14" s="25" t="s">
        <v>379</v>
      </c>
      <c r="F14" s="25" t="s">
        <v>331</v>
      </c>
      <c r="G14" s="25" t="str">
        <f t="shared" si="1"/>
        <v>Beep-SAV</v>
      </c>
      <c r="H14" s="25" t="str">
        <f t="shared" si="2"/>
        <v>SAV</v>
      </c>
      <c r="I14" s="25" t="s">
        <v>372</v>
      </c>
      <c r="J14" s="32" t="s">
        <v>372</v>
      </c>
      <c r="K14" s="25" t="str">
        <f t="shared" si="3"/>
        <v>Contra Costa Transportation Authority</v>
      </c>
      <c r="L14" s="25" t="s">
        <v>913</v>
      </c>
      <c r="M14" s="25"/>
      <c r="N14" s="25"/>
      <c r="O14" s="26" t="s">
        <v>1663</v>
      </c>
      <c r="P14" s="25" t="s">
        <v>31</v>
      </c>
      <c r="Q14" s="25" t="s">
        <v>10</v>
      </c>
      <c r="R14" s="27" t="s">
        <v>69</v>
      </c>
      <c r="S14" s="27" t="s">
        <v>978</v>
      </c>
      <c r="T14" s="27" t="s">
        <v>949</v>
      </c>
      <c r="U14" s="27" t="s">
        <v>949</v>
      </c>
      <c r="V14" s="27" t="s">
        <v>949</v>
      </c>
      <c r="W14" s="27" t="str">
        <f t="shared" si="4"/>
        <v>2.1. Short term Alliance (no exclusivity / previous experience)</v>
      </c>
      <c r="X14" s="7"/>
      <c r="Y14" s="7" t="s">
        <v>1260</v>
      </c>
      <c r="Z14" s="25" t="s">
        <v>8</v>
      </c>
      <c r="AA14" s="7" t="s">
        <v>1260</v>
      </c>
      <c r="AB14" s="25"/>
      <c r="AC14" s="25"/>
      <c r="AD14" s="25"/>
      <c r="AE14" s="25"/>
      <c r="AF14" s="40" t="s">
        <v>1900</v>
      </c>
      <c r="AG14" s="40" t="s">
        <v>1901</v>
      </c>
      <c r="AH14" s="6" t="str">
        <f t="shared" si="5"/>
        <v>Beep-Ridepooling</v>
      </c>
      <c r="AJ14" s="6" t="str">
        <v>Gatik-Trucking</v>
      </c>
    </row>
    <row r="15" spans="1:36" ht="14.25" customHeight="1" x14ac:dyDescent="0.35">
      <c r="A15" s="25" t="s">
        <v>1437</v>
      </c>
      <c r="B15" s="25" t="s">
        <v>1041</v>
      </c>
      <c r="C15" s="65">
        <f t="shared" si="0"/>
        <v>44930</v>
      </c>
      <c r="D15" s="25" t="s">
        <v>33</v>
      </c>
      <c r="E15" s="25" t="s">
        <v>379</v>
      </c>
      <c r="F15" s="25" t="s">
        <v>331</v>
      </c>
      <c r="G15" s="25" t="str">
        <f t="shared" si="1"/>
        <v>Beep-SAV</v>
      </c>
      <c r="H15" s="25" t="str">
        <f t="shared" si="2"/>
        <v>SAV</v>
      </c>
      <c r="I15" s="25" t="s">
        <v>372</v>
      </c>
      <c r="J15" s="32" t="s">
        <v>372</v>
      </c>
      <c r="K15" s="25" t="str">
        <f t="shared" si="3"/>
        <v>ZF</v>
      </c>
      <c r="L15" s="279" t="s">
        <v>1932</v>
      </c>
      <c r="M15" s="25"/>
      <c r="N15" s="25"/>
      <c r="O15" s="26" t="s">
        <v>1389</v>
      </c>
      <c r="P15" s="32" t="s">
        <v>1294</v>
      </c>
      <c r="Q15" s="25" t="s">
        <v>10</v>
      </c>
      <c r="R15" s="27" t="s">
        <v>53</v>
      </c>
      <c r="S15" s="27" t="s">
        <v>978</v>
      </c>
      <c r="T15" s="27" t="s">
        <v>986</v>
      </c>
      <c r="U15" s="27" t="s">
        <v>949</v>
      </c>
      <c r="V15" s="27" t="s">
        <v>949</v>
      </c>
      <c r="W15" s="27" t="str">
        <f t="shared" si="4"/>
        <v>2.3. Long term Alliance</v>
      </c>
      <c r="X15" s="8"/>
      <c r="Y15" s="8" t="s">
        <v>2122</v>
      </c>
      <c r="Z15" s="26" t="s">
        <v>8</v>
      </c>
      <c r="AA15" s="8" t="s">
        <v>1357</v>
      </c>
      <c r="AB15" s="26"/>
      <c r="AC15" s="26"/>
      <c r="AD15" s="26"/>
      <c r="AE15" s="26"/>
      <c r="AF15" s="40" t="s">
        <v>33</v>
      </c>
      <c r="AH15" s="6" t="str">
        <f t="shared" si="5"/>
        <v>Beep-Ridepooling</v>
      </c>
      <c r="AJ15" s="6" t="str">
        <v>Ioki-Ridepooling</v>
      </c>
    </row>
    <row r="16" spans="1:36" ht="14.25" customHeight="1" x14ac:dyDescent="0.35">
      <c r="A16" s="25" t="s">
        <v>1434</v>
      </c>
      <c r="B16" s="25" t="s">
        <v>1038</v>
      </c>
      <c r="C16" s="65">
        <f t="shared" si="0"/>
        <v>45162</v>
      </c>
      <c r="D16" s="25" t="s">
        <v>29</v>
      </c>
      <c r="E16" s="25" t="s">
        <v>379</v>
      </c>
      <c r="F16" s="25" t="s">
        <v>331</v>
      </c>
      <c r="G16" s="25" t="str">
        <f t="shared" si="1"/>
        <v>Beep-SAV</v>
      </c>
      <c r="H16" s="25" t="str">
        <f t="shared" si="2"/>
        <v>SAV</v>
      </c>
      <c r="I16" s="25" t="s">
        <v>372</v>
      </c>
      <c r="J16" s="32" t="s">
        <v>372</v>
      </c>
      <c r="K16" s="25" t="str">
        <f t="shared" si="3"/>
        <v>Oxa</v>
      </c>
      <c r="L16" s="279" t="s">
        <v>364</v>
      </c>
      <c r="M16" s="25"/>
      <c r="N16" s="25"/>
      <c r="O16" s="26" t="s">
        <v>1689</v>
      </c>
      <c r="P16" s="32" t="s">
        <v>1369</v>
      </c>
      <c r="Q16" s="25" t="s">
        <v>10</v>
      </c>
      <c r="R16" s="27" t="s">
        <v>69</v>
      </c>
      <c r="S16" s="27" t="s">
        <v>978</v>
      </c>
      <c r="T16" s="27" t="s">
        <v>985</v>
      </c>
      <c r="U16" s="27" t="s">
        <v>53</v>
      </c>
      <c r="V16" s="27" t="s">
        <v>949</v>
      </c>
      <c r="W16" s="27" t="str">
        <f t="shared" si="4"/>
        <v>2.3. Long term Alliance</v>
      </c>
      <c r="X16" s="7"/>
      <c r="Y16" s="7" t="s">
        <v>1315</v>
      </c>
      <c r="Z16" s="26" t="s">
        <v>8</v>
      </c>
      <c r="AA16" s="7" t="s">
        <v>1315</v>
      </c>
      <c r="AB16" s="26"/>
      <c r="AC16" s="26"/>
      <c r="AD16" s="26"/>
      <c r="AE16" s="26"/>
      <c r="AF16" s="40" t="s">
        <v>29</v>
      </c>
      <c r="AH16" s="6" t="str">
        <f t="shared" si="5"/>
        <v>Beep-Ridepooling</v>
      </c>
      <c r="AJ16" s="6" t="str">
        <v>Kiwibot-Last-Mile</v>
      </c>
    </row>
    <row r="17" spans="1:36" ht="14.25" customHeight="1" x14ac:dyDescent="0.35">
      <c r="A17" s="25" t="s">
        <v>1438</v>
      </c>
      <c r="B17" s="25" t="s">
        <v>1042</v>
      </c>
      <c r="C17" s="65">
        <f t="shared" si="0"/>
        <v>45098</v>
      </c>
      <c r="D17" s="25" t="s">
        <v>34</v>
      </c>
      <c r="E17" s="25" t="s">
        <v>340</v>
      </c>
      <c r="F17" s="25" t="s">
        <v>320</v>
      </c>
      <c r="G17" s="25" t="str">
        <f t="shared" si="1"/>
        <v>Bolt-ATV</v>
      </c>
      <c r="H17" s="25" t="str">
        <f t="shared" si="2"/>
        <v>ATV</v>
      </c>
      <c r="I17" s="25" t="s">
        <v>273</v>
      </c>
      <c r="J17" s="32" t="s">
        <v>273</v>
      </c>
      <c r="K17" s="25" t="str">
        <f t="shared" si="3"/>
        <v>Starship Technologies</v>
      </c>
      <c r="L17" s="279" t="s">
        <v>674</v>
      </c>
      <c r="M17" s="25"/>
      <c r="N17" s="25"/>
      <c r="O17" s="26" t="s">
        <v>1741</v>
      </c>
      <c r="P17" s="32" t="s">
        <v>1742</v>
      </c>
      <c r="Q17" s="25" t="s">
        <v>10</v>
      </c>
      <c r="R17" s="27" t="s">
        <v>69</v>
      </c>
      <c r="S17" s="27" t="s">
        <v>978</v>
      </c>
      <c r="T17" s="27" t="s">
        <v>949</v>
      </c>
      <c r="U17" s="27" t="s">
        <v>949</v>
      </c>
      <c r="V17" s="27" t="s">
        <v>949</v>
      </c>
      <c r="W17" s="27" t="str">
        <f t="shared" si="4"/>
        <v>2.1. Short term Alliance (no exclusivity / previous experience)</v>
      </c>
      <c r="X17" s="7"/>
      <c r="Y17" s="7" t="s">
        <v>1255</v>
      </c>
      <c r="Z17" s="26" t="s">
        <v>8</v>
      </c>
      <c r="AA17" s="7" t="s">
        <v>1255</v>
      </c>
      <c r="AB17" s="26"/>
      <c r="AC17" s="26"/>
      <c r="AD17" s="26"/>
      <c r="AE17" s="26"/>
      <c r="AF17" s="40" t="s">
        <v>1882</v>
      </c>
      <c r="AG17" s="40" t="s">
        <v>1883</v>
      </c>
      <c r="AH17" s="6" t="str">
        <f t="shared" si="5"/>
        <v>Bolt-Last-Mile</v>
      </c>
      <c r="AJ17" s="6" t="str">
        <v>Kodiak-Trucking</v>
      </c>
    </row>
    <row r="18" spans="1:36" ht="14.25" customHeight="1" x14ac:dyDescent="0.35">
      <c r="A18" s="25" t="s">
        <v>1440</v>
      </c>
      <c r="B18" s="25" t="s">
        <v>1044</v>
      </c>
      <c r="C18" s="65">
        <f t="shared" si="0"/>
        <v>44581</v>
      </c>
      <c r="D18" s="25" t="s">
        <v>37</v>
      </c>
      <c r="E18" s="25" t="s">
        <v>272</v>
      </c>
      <c r="F18" s="25" t="s">
        <v>309</v>
      </c>
      <c r="G18" s="25" t="str">
        <f t="shared" si="1"/>
        <v>Cartken-ATV</v>
      </c>
      <c r="H18" s="25" t="str">
        <f t="shared" si="2"/>
        <v>ATV</v>
      </c>
      <c r="I18" s="25" t="s">
        <v>273</v>
      </c>
      <c r="J18" s="32" t="s">
        <v>273</v>
      </c>
      <c r="K18" s="25" t="str">
        <f t="shared" si="3"/>
        <v>Mitsubishi</v>
      </c>
      <c r="L18" s="25" t="s">
        <v>755</v>
      </c>
      <c r="M18" s="25"/>
      <c r="N18" s="25"/>
      <c r="O18" s="26" t="s">
        <v>1381</v>
      </c>
      <c r="P18" s="25" t="s">
        <v>1250</v>
      </c>
      <c r="Q18" s="25" t="s">
        <v>10</v>
      </c>
      <c r="R18" s="27" t="s">
        <v>69</v>
      </c>
      <c r="S18" s="27" t="s">
        <v>981</v>
      </c>
      <c r="T18" s="31" t="s">
        <v>1188</v>
      </c>
      <c r="U18" s="27" t="s">
        <v>949</v>
      </c>
      <c r="V18" s="27" t="s">
        <v>949</v>
      </c>
      <c r="W18" s="27" t="str">
        <f t="shared" si="4"/>
        <v>2.1. Short term Alliance (no exclusivity / previous experience)</v>
      </c>
      <c r="X18" s="20"/>
      <c r="Y18" s="20" t="s">
        <v>1251</v>
      </c>
      <c r="Z18" s="30" t="s">
        <v>38</v>
      </c>
      <c r="AA18" s="20" t="s">
        <v>1251</v>
      </c>
      <c r="AB18" s="30"/>
      <c r="AC18" s="30"/>
      <c r="AD18" s="30"/>
      <c r="AE18" s="30"/>
      <c r="AF18" s="40" t="s">
        <v>1876</v>
      </c>
      <c r="AG18" s="40" t="s">
        <v>1877</v>
      </c>
      <c r="AH18" s="6" t="str">
        <f t="shared" si="5"/>
        <v>Cartken-Last-Mile</v>
      </c>
      <c r="AJ18" s="6" t="str">
        <v>May Mobility-Ridehailing</v>
      </c>
    </row>
    <row r="19" spans="1:36" ht="14.25" customHeight="1" x14ac:dyDescent="0.35">
      <c r="A19" s="25" t="s">
        <v>1439</v>
      </c>
      <c r="B19" s="25" t="s">
        <v>1043</v>
      </c>
      <c r="C19" s="65">
        <f t="shared" si="0"/>
        <v>44725</v>
      </c>
      <c r="D19" s="25" t="s">
        <v>35</v>
      </c>
      <c r="E19" s="25" t="s">
        <v>272</v>
      </c>
      <c r="F19" s="25" t="s">
        <v>309</v>
      </c>
      <c r="G19" s="25" t="str">
        <f t="shared" si="1"/>
        <v>Cartken-ATV</v>
      </c>
      <c r="H19" s="25" t="str">
        <f t="shared" si="2"/>
        <v>ATV</v>
      </c>
      <c r="I19" s="25" t="s">
        <v>273</v>
      </c>
      <c r="J19" s="32" t="s">
        <v>273</v>
      </c>
      <c r="K19" s="25" t="str">
        <f t="shared" si="3"/>
        <v>Grubhub</v>
      </c>
      <c r="L19" s="25" t="s">
        <v>574</v>
      </c>
      <c r="M19" s="25"/>
      <c r="N19" s="25"/>
      <c r="O19" s="26" t="s">
        <v>1691</v>
      </c>
      <c r="P19" s="32" t="s">
        <v>987</v>
      </c>
      <c r="Q19" s="25" t="s">
        <v>10</v>
      </c>
      <c r="R19" s="27" t="s">
        <v>69</v>
      </c>
      <c r="S19" s="27" t="s">
        <v>978</v>
      </c>
      <c r="T19" s="27" t="s">
        <v>949</v>
      </c>
      <c r="U19" s="27" t="s">
        <v>53</v>
      </c>
      <c r="V19" s="27" t="s">
        <v>949</v>
      </c>
      <c r="W19" s="27" t="str">
        <f t="shared" si="4"/>
        <v xml:space="preserve">2.2. Renewed Alliance </v>
      </c>
      <c r="X19" s="20"/>
      <c r="Y19" s="20" t="s">
        <v>36</v>
      </c>
      <c r="Z19" s="30" t="s">
        <v>8</v>
      </c>
      <c r="AA19" s="20" t="s">
        <v>36</v>
      </c>
      <c r="AB19" s="30"/>
      <c r="AC19" s="30"/>
      <c r="AD19" s="30"/>
      <c r="AE19" s="30"/>
      <c r="AF19" s="40" t="s">
        <v>35</v>
      </c>
      <c r="AH19" s="6" t="str">
        <f t="shared" si="5"/>
        <v>Cartken-Last-Mile</v>
      </c>
      <c r="AJ19" s="6" t="str">
        <v>May Mobility-Ridepooling</v>
      </c>
    </row>
    <row r="20" spans="1:36" ht="14.25" customHeight="1" x14ac:dyDescent="0.35">
      <c r="A20" s="25" t="s">
        <v>1441</v>
      </c>
      <c r="B20" s="25" t="s">
        <v>1045</v>
      </c>
      <c r="C20" s="65">
        <f t="shared" si="0"/>
        <v>45107</v>
      </c>
      <c r="D20" s="25" t="s">
        <v>39</v>
      </c>
      <c r="E20" s="25" t="s">
        <v>349</v>
      </c>
      <c r="F20" s="25" t="s">
        <v>286</v>
      </c>
      <c r="G20" s="25" t="str">
        <f t="shared" si="1"/>
        <v>Cruise-Other</v>
      </c>
      <c r="H20" s="25" t="str">
        <f t="shared" si="2"/>
        <v>Other</v>
      </c>
      <c r="I20" s="25" t="s">
        <v>341</v>
      </c>
      <c r="J20" s="32" t="s">
        <v>1200</v>
      </c>
      <c r="K20" s="25" t="str">
        <f t="shared" si="3"/>
        <v>Mothers-Against-Drunk-Driving</v>
      </c>
      <c r="L20" s="25" t="s">
        <v>720</v>
      </c>
      <c r="M20" s="25"/>
      <c r="N20" s="25"/>
      <c r="O20" s="26" t="s">
        <v>1370</v>
      </c>
      <c r="P20" s="25" t="s">
        <v>1222</v>
      </c>
      <c r="Q20" s="25" t="s">
        <v>40</v>
      </c>
      <c r="R20" s="27" t="s">
        <v>69</v>
      </c>
      <c r="S20" s="27" t="s">
        <v>977</v>
      </c>
      <c r="T20" s="27" t="s">
        <v>949</v>
      </c>
      <c r="U20" s="27" t="s">
        <v>949</v>
      </c>
      <c r="V20" s="27" t="s">
        <v>949</v>
      </c>
      <c r="W20" s="27" t="str">
        <f t="shared" si="4"/>
        <v>1. Informal Agreement</v>
      </c>
      <c r="X20" s="20"/>
      <c r="Y20" s="20" t="s">
        <v>1371</v>
      </c>
      <c r="Z20" s="30" t="s">
        <v>1200</v>
      </c>
      <c r="AA20" s="20" t="s">
        <v>1371</v>
      </c>
      <c r="AB20" s="30"/>
      <c r="AC20" s="30"/>
      <c r="AD20" s="30"/>
      <c r="AE20" s="30"/>
      <c r="AF20" s="40" t="s">
        <v>1815</v>
      </c>
      <c r="AG20" s="40" t="s">
        <v>1816</v>
      </c>
      <c r="AH20" s="6" t="str">
        <f t="shared" si="5"/>
        <v>Cruise-Other</v>
      </c>
      <c r="AJ20" s="6" t="str">
        <v>Perrone Robotics-Ridepooling</v>
      </c>
    </row>
    <row r="21" spans="1:36" ht="14.25" customHeight="1" x14ac:dyDescent="0.35">
      <c r="A21" s="25" t="s">
        <v>1444</v>
      </c>
      <c r="B21" s="25" t="s">
        <v>1048</v>
      </c>
      <c r="C21" s="65">
        <f t="shared" si="0"/>
        <v>43840</v>
      </c>
      <c r="D21" s="25" t="s">
        <v>44</v>
      </c>
      <c r="E21" s="25" t="s">
        <v>349</v>
      </c>
      <c r="F21" s="25" t="s">
        <v>286</v>
      </c>
      <c r="G21" s="25" t="str">
        <f t="shared" si="1"/>
        <v>Cruise-ATV</v>
      </c>
      <c r="H21" s="25" t="str">
        <f t="shared" si="2"/>
        <v>ATV</v>
      </c>
      <c r="I21" s="25" t="s">
        <v>273</v>
      </c>
      <c r="J21" s="32" t="s">
        <v>273</v>
      </c>
      <c r="K21" s="25" t="str">
        <f t="shared" si="3"/>
        <v>Walmart</v>
      </c>
      <c r="L21" s="25" t="s">
        <v>840</v>
      </c>
      <c r="M21" s="25"/>
      <c r="N21" s="25"/>
      <c r="O21" s="26" t="s">
        <v>1232</v>
      </c>
      <c r="P21" s="25" t="s">
        <v>45</v>
      </c>
      <c r="Q21" s="25" t="s">
        <v>10</v>
      </c>
      <c r="R21" s="27" t="s">
        <v>69</v>
      </c>
      <c r="S21" s="27" t="s">
        <v>981</v>
      </c>
      <c r="T21" s="27" t="s">
        <v>949</v>
      </c>
      <c r="U21" s="27" t="s">
        <v>949</v>
      </c>
      <c r="V21" s="27" t="s">
        <v>949</v>
      </c>
      <c r="W21" s="27" t="str">
        <f t="shared" si="4"/>
        <v>2.1. Short term Alliance (no exclusivity / previous experience)</v>
      </c>
      <c r="X21" s="7"/>
      <c r="Y21" s="7" t="s">
        <v>46</v>
      </c>
      <c r="Z21" s="26" t="s">
        <v>8</v>
      </c>
      <c r="AA21" s="7" t="s">
        <v>46</v>
      </c>
      <c r="AB21" s="26"/>
      <c r="AC21" s="26"/>
      <c r="AD21" s="26"/>
      <c r="AE21" s="26"/>
      <c r="AF21" s="40" t="s">
        <v>1835</v>
      </c>
      <c r="AG21" s="40" t="s">
        <v>1836</v>
      </c>
      <c r="AH21" s="6" t="str">
        <f t="shared" si="5"/>
        <v>Cruise-Last-Mile</v>
      </c>
      <c r="AJ21" s="6" t="str">
        <v>Mobileye-Last-Mile</v>
      </c>
    </row>
    <row r="22" spans="1:36" ht="14.25" customHeight="1" x14ac:dyDescent="0.35">
      <c r="A22" s="25" t="s">
        <v>1443</v>
      </c>
      <c r="B22" s="25" t="s">
        <v>1047</v>
      </c>
      <c r="C22" s="65">
        <f t="shared" si="0"/>
        <v>45083</v>
      </c>
      <c r="D22" s="25" t="s">
        <v>43</v>
      </c>
      <c r="E22" s="25" t="s">
        <v>349</v>
      </c>
      <c r="F22" s="25" t="s">
        <v>286</v>
      </c>
      <c r="G22" s="25" t="str">
        <f t="shared" si="1"/>
        <v>Cruise-ATV</v>
      </c>
      <c r="H22" s="25" t="str">
        <f t="shared" si="2"/>
        <v>ATV</v>
      </c>
      <c r="I22" s="25" t="s">
        <v>273</v>
      </c>
      <c r="J22" s="32" t="s">
        <v>273</v>
      </c>
      <c r="K22" s="25" t="str">
        <f t="shared" si="3"/>
        <v>Replate</v>
      </c>
      <c r="L22" s="25" t="s">
        <v>631</v>
      </c>
      <c r="M22" s="25"/>
      <c r="N22" s="25"/>
      <c r="O22" s="26" t="s">
        <v>2124</v>
      </c>
      <c r="P22" s="25" t="s">
        <v>1254</v>
      </c>
      <c r="Q22" s="25" t="s">
        <v>10</v>
      </c>
      <c r="R22" s="27" t="s">
        <v>69</v>
      </c>
      <c r="S22" s="27" t="s">
        <v>977</v>
      </c>
      <c r="T22" s="27" t="s">
        <v>949</v>
      </c>
      <c r="U22" s="27" t="s">
        <v>949</v>
      </c>
      <c r="V22" s="27" t="s">
        <v>949</v>
      </c>
      <c r="W22" s="27" t="str">
        <f t="shared" si="4"/>
        <v>2.1. Short term Alliance (no exclusivity / previous experience)</v>
      </c>
      <c r="X22" s="7"/>
      <c r="Y22" s="7" t="s">
        <v>2123</v>
      </c>
      <c r="Z22" s="26" t="s">
        <v>8</v>
      </c>
      <c r="AA22" s="7" t="s">
        <v>1740</v>
      </c>
      <c r="AB22" s="26"/>
      <c r="AC22" s="26"/>
      <c r="AD22" s="26"/>
      <c r="AE22" s="26"/>
      <c r="AF22" s="40" t="s">
        <v>1880</v>
      </c>
      <c r="AG22" s="40" t="s">
        <v>1881</v>
      </c>
      <c r="AH22" s="6" t="str">
        <f t="shared" si="5"/>
        <v>Cruise-Last-Mile</v>
      </c>
      <c r="AJ22" s="6" t="str">
        <v>Mobileye-Ridepooling</v>
      </c>
    </row>
    <row r="23" spans="1:36" ht="14.25" customHeight="1" x14ac:dyDescent="0.35">
      <c r="A23" s="25" t="s">
        <v>1442</v>
      </c>
      <c r="B23" s="25" t="s">
        <v>1046</v>
      </c>
      <c r="C23" s="65">
        <f t="shared" si="0"/>
        <v>44215</v>
      </c>
      <c r="D23" s="28" t="s">
        <v>42</v>
      </c>
      <c r="E23" s="28" t="s">
        <v>349</v>
      </c>
      <c r="F23" s="25" t="s">
        <v>286</v>
      </c>
      <c r="G23" s="25" t="str">
        <f t="shared" si="1"/>
        <v>Cruise-SAV</v>
      </c>
      <c r="H23" s="25" t="str">
        <f t="shared" si="2"/>
        <v>SAV</v>
      </c>
      <c r="I23" s="25" t="s">
        <v>341</v>
      </c>
      <c r="J23" s="32" t="s">
        <v>341</v>
      </c>
      <c r="K23" s="25" t="str">
        <f t="shared" si="3"/>
        <v>GM;Microsoft</v>
      </c>
      <c r="L23" s="280" t="s">
        <v>1954</v>
      </c>
      <c r="M23" s="25" t="s">
        <v>872</v>
      </c>
      <c r="N23" s="25"/>
      <c r="O23" s="30" t="s">
        <v>1694</v>
      </c>
      <c r="P23" s="37" t="s">
        <v>1338</v>
      </c>
      <c r="Q23" s="28" t="s">
        <v>17</v>
      </c>
      <c r="R23" s="27" t="s">
        <v>69</v>
      </c>
      <c r="S23" s="27" t="s">
        <v>980</v>
      </c>
      <c r="T23" s="27" t="s">
        <v>946</v>
      </c>
      <c r="U23" s="27" t="s">
        <v>949</v>
      </c>
      <c r="V23" s="27" t="s">
        <v>949</v>
      </c>
      <c r="W23" s="27" t="str">
        <f t="shared" si="4"/>
        <v>3. Strategic Partnership</v>
      </c>
      <c r="X23" s="7"/>
      <c r="Y23" s="7" t="s">
        <v>1339</v>
      </c>
      <c r="Z23" s="25" t="s">
        <v>15</v>
      </c>
      <c r="AA23" s="7" t="s">
        <v>1339</v>
      </c>
      <c r="AB23" s="25"/>
      <c r="AC23" s="25"/>
      <c r="AD23" s="25"/>
      <c r="AE23" s="25"/>
      <c r="AF23" s="40" t="s">
        <v>42</v>
      </c>
      <c r="AH23" s="6" t="str">
        <f t="shared" si="5"/>
        <v>Cruise-Ridehailing</v>
      </c>
      <c r="AJ23" s="6" t="str">
        <v>Mobileye-Other</v>
      </c>
    </row>
    <row r="24" spans="1:36" ht="14.25" customHeight="1" x14ac:dyDescent="0.35">
      <c r="A24" s="25" t="s">
        <v>1449</v>
      </c>
      <c r="B24" s="25" t="s">
        <v>1587</v>
      </c>
      <c r="C24" s="65">
        <f t="shared" si="0"/>
        <v>44950</v>
      </c>
      <c r="D24" s="25" t="s">
        <v>55</v>
      </c>
      <c r="E24" s="25" t="s">
        <v>56</v>
      </c>
      <c r="F24" s="25" t="s">
        <v>309</v>
      </c>
      <c r="G24" s="25" t="str">
        <f t="shared" si="1"/>
        <v>EasyMile-Other</v>
      </c>
      <c r="H24" s="25" t="str">
        <f t="shared" si="2"/>
        <v>Other</v>
      </c>
      <c r="I24" s="25" t="s">
        <v>372</v>
      </c>
      <c r="J24" s="32" t="s">
        <v>1200</v>
      </c>
      <c r="K24" s="25" t="str">
        <f t="shared" si="3"/>
        <v/>
      </c>
      <c r="L24" s="25"/>
      <c r="M24" s="25"/>
      <c r="N24" s="25"/>
      <c r="O24" s="26" t="s">
        <v>1365</v>
      </c>
      <c r="P24" s="25" t="s">
        <v>57</v>
      </c>
      <c r="Q24" s="25" t="s">
        <v>40</v>
      </c>
      <c r="R24" s="27" t="s">
        <v>69</v>
      </c>
      <c r="S24" s="27" t="s">
        <v>989</v>
      </c>
      <c r="T24" s="27" t="s">
        <v>949</v>
      </c>
      <c r="U24" s="27" t="s">
        <v>949</v>
      </c>
      <c r="V24" s="27" t="s">
        <v>949</v>
      </c>
      <c r="W24" s="27" t="str">
        <f t="shared" si="4"/>
        <v>1. Informal Agreement</v>
      </c>
      <c r="X24" s="7"/>
      <c r="Y24" s="7" t="s">
        <v>58</v>
      </c>
      <c r="Z24" s="26" t="s">
        <v>38</v>
      </c>
      <c r="AA24" s="7" t="s">
        <v>58</v>
      </c>
      <c r="AB24" s="26"/>
      <c r="AC24" s="26"/>
      <c r="AD24" s="26"/>
      <c r="AE24" s="26"/>
      <c r="AF24" s="40" t="s">
        <v>1813</v>
      </c>
      <c r="AG24" s="40" t="s">
        <v>1814</v>
      </c>
      <c r="AH24" s="6" t="str">
        <f t="shared" si="5"/>
        <v>EasyMile-Other</v>
      </c>
      <c r="AJ24" s="6" t="str">
        <v>Mobileye-Ridehailing</v>
      </c>
    </row>
    <row r="25" spans="1:36" ht="14.25" customHeight="1" x14ac:dyDescent="0.35">
      <c r="A25" s="25" t="s">
        <v>1445</v>
      </c>
      <c r="B25" s="25" t="s">
        <v>1049</v>
      </c>
      <c r="C25" s="65">
        <f t="shared" si="0"/>
        <v>44931</v>
      </c>
      <c r="D25" s="25" t="s">
        <v>47</v>
      </c>
      <c r="E25" s="25" t="s">
        <v>56</v>
      </c>
      <c r="F25" s="25" t="s">
        <v>309</v>
      </c>
      <c r="G25" s="25" t="str">
        <f t="shared" si="1"/>
        <v>EasyMile-SAV</v>
      </c>
      <c r="H25" s="25" t="str">
        <f t="shared" si="2"/>
        <v>SAV</v>
      </c>
      <c r="I25" s="25" t="s">
        <v>372</v>
      </c>
      <c r="J25" s="32" t="s">
        <v>372</v>
      </c>
      <c r="K25" s="25" t="str">
        <f t="shared" si="3"/>
        <v>TrustInSoft</v>
      </c>
      <c r="L25" s="25" t="s">
        <v>568</v>
      </c>
      <c r="M25" s="25"/>
      <c r="N25" s="25"/>
      <c r="O25" s="26" t="s">
        <v>1652</v>
      </c>
      <c r="P25" s="25" t="s">
        <v>48</v>
      </c>
      <c r="Q25" s="25" t="s">
        <v>40</v>
      </c>
      <c r="R25" s="27" t="s">
        <v>69</v>
      </c>
      <c r="S25" s="27" t="s">
        <v>1192</v>
      </c>
      <c r="T25" s="27" t="s">
        <v>949</v>
      </c>
      <c r="U25" s="27" t="s">
        <v>949</v>
      </c>
      <c r="V25" s="27" t="s">
        <v>949</v>
      </c>
      <c r="W25" s="27" t="str">
        <f t="shared" si="4"/>
        <v>1. Informal Agreement</v>
      </c>
      <c r="X25" s="7"/>
      <c r="Y25" s="7" t="s">
        <v>1372</v>
      </c>
      <c r="Z25" s="26" t="s">
        <v>49</v>
      </c>
      <c r="AA25" s="7" t="s">
        <v>1372</v>
      </c>
      <c r="AB25" s="26"/>
      <c r="AC25" s="26"/>
      <c r="AD25" s="26"/>
      <c r="AE25" s="26"/>
      <c r="AF25" s="40" t="s">
        <v>1817</v>
      </c>
      <c r="AG25" s="40" t="s">
        <v>1818</v>
      </c>
      <c r="AH25" s="6" t="str">
        <f t="shared" si="5"/>
        <v>EasyMile-Ridepooling</v>
      </c>
      <c r="AJ25" s="6" t="str">
        <v>MOIA-Ridepooling</v>
      </c>
    </row>
    <row r="26" spans="1:36" ht="14.25" customHeight="1" x14ac:dyDescent="0.35">
      <c r="A26" s="25" t="s">
        <v>1450</v>
      </c>
      <c r="B26" s="25" t="s">
        <v>1053</v>
      </c>
      <c r="C26" s="65">
        <f t="shared" si="0"/>
        <v>43720</v>
      </c>
      <c r="D26" s="25" t="s">
        <v>59</v>
      </c>
      <c r="E26" s="25" t="s">
        <v>56</v>
      </c>
      <c r="F26" s="25" t="s">
        <v>309</v>
      </c>
      <c r="G26" s="25" t="str">
        <f t="shared" si="1"/>
        <v>EasyMile-SAV</v>
      </c>
      <c r="H26" s="25" t="str">
        <f t="shared" si="2"/>
        <v>SAV</v>
      </c>
      <c r="I26" s="25" t="s">
        <v>372</v>
      </c>
      <c r="J26" s="32" t="s">
        <v>372</v>
      </c>
      <c r="K26" s="25" t="str">
        <f t="shared" si="3"/>
        <v>Continental</v>
      </c>
      <c r="L26" s="25" t="s">
        <v>515</v>
      </c>
      <c r="M26" s="25"/>
      <c r="N26" s="25"/>
      <c r="O26" s="26" t="s">
        <v>1708</v>
      </c>
      <c r="P26" s="25" t="s">
        <v>1230</v>
      </c>
      <c r="Q26" s="25" t="s">
        <v>40</v>
      </c>
      <c r="R26" s="27" t="s">
        <v>69</v>
      </c>
      <c r="S26" s="27" t="s">
        <v>990</v>
      </c>
      <c r="T26" s="27" t="s">
        <v>949</v>
      </c>
      <c r="U26" s="27" t="s">
        <v>53</v>
      </c>
      <c r="V26" s="27" t="s">
        <v>949</v>
      </c>
      <c r="W26" s="27" t="str">
        <f t="shared" si="4"/>
        <v>1. Informal Agreement</v>
      </c>
      <c r="X26" s="7"/>
      <c r="Y26" s="7" t="s">
        <v>1230</v>
      </c>
      <c r="Z26" s="26" t="s">
        <v>41</v>
      </c>
      <c r="AA26" s="7" t="s">
        <v>1230</v>
      </c>
      <c r="AB26" s="26"/>
      <c r="AC26" s="26"/>
      <c r="AD26" s="26"/>
      <c r="AE26" s="26"/>
      <c r="AF26" s="40" t="s">
        <v>1829</v>
      </c>
      <c r="AG26" s="40" t="s">
        <v>1830</v>
      </c>
      <c r="AH26" s="6" t="str">
        <f t="shared" si="5"/>
        <v>EasyMile-Ridepooling</v>
      </c>
      <c r="AJ26" s="6" t="str">
        <v>Motional-Ridehailing</v>
      </c>
    </row>
    <row r="27" spans="1:36" ht="14.25" customHeight="1" x14ac:dyDescent="0.35">
      <c r="A27" s="25" t="s">
        <v>1448</v>
      </c>
      <c r="B27" s="25" t="s">
        <v>1052</v>
      </c>
      <c r="C27" s="65">
        <f t="shared" si="0"/>
        <v>44218</v>
      </c>
      <c r="D27" s="25" t="s">
        <v>54</v>
      </c>
      <c r="E27" s="25" t="s">
        <v>56</v>
      </c>
      <c r="F27" s="25" t="s">
        <v>309</v>
      </c>
      <c r="G27" s="25" t="str">
        <f t="shared" si="1"/>
        <v>EasyMile-SAV</v>
      </c>
      <c r="H27" s="25" t="str">
        <f t="shared" si="2"/>
        <v>SAV</v>
      </c>
      <c r="I27" s="25" t="s">
        <v>372</v>
      </c>
      <c r="J27" s="32" t="s">
        <v>372</v>
      </c>
      <c r="K27" s="25" t="str">
        <f t="shared" si="3"/>
        <v>Sono Motors</v>
      </c>
      <c r="L27" s="25" t="s">
        <v>768</v>
      </c>
      <c r="M27" s="25"/>
      <c r="N27" s="25"/>
      <c r="O27" s="26" t="s">
        <v>1655</v>
      </c>
      <c r="P27" s="25" t="s">
        <v>1235</v>
      </c>
      <c r="Q27" s="25" t="s">
        <v>10</v>
      </c>
      <c r="R27" s="27" t="s">
        <v>69</v>
      </c>
      <c r="S27" s="27" t="s">
        <v>988</v>
      </c>
      <c r="T27" s="27" t="s">
        <v>949</v>
      </c>
      <c r="U27" s="27" t="s">
        <v>949</v>
      </c>
      <c r="V27" s="27" t="s">
        <v>949</v>
      </c>
      <c r="W27" s="27" t="str">
        <f t="shared" si="4"/>
        <v>2.1. Short term Alliance (no exclusivity / previous experience)</v>
      </c>
      <c r="X27" s="7"/>
      <c r="Y27" s="7" t="s">
        <v>1235</v>
      </c>
      <c r="Z27" s="26" t="s">
        <v>38</v>
      </c>
      <c r="AA27" s="7" t="s">
        <v>1235</v>
      </c>
      <c r="AB27" s="26"/>
      <c r="AC27" s="26"/>
      <c r="AD27" s="26"/>
      <c r="AE27" s="26"/>
      <c r="AF27" s="40" t="s">
        <v>1848</v>
      </c>
      <c r="AG27" s="40" t="s">
        <v>1849</v>
      </c>
      <c r="AH27" s="6" t="str">
        <f t="shared" si="5"/>
        <v>EasyMile-Ridepooling</v>
      </c>
      <c r="AJ27" s="6" t="str">
        <v>Motional-Last-Mile</v>
      </c>
    </row>
    <row r="28" spans="1:36" ht="14.25" customHeight="1" x14ac:dyDescent="0.35">
      <c r="A28" s="25" t="s">
        <v>1451</v>
      </c>
      <c r="B28" s="25" t="s">
        <v>1054</v>
      </c>
      <c r="C28" s="65">
        <f t="shared" si="0"/>
        <v>43851</v>
      </c>
      <c r="D28" s="25" t="s">
        <v>60</v>
      </c>
      <c r="E28" s="25" t="s">
        <v>56</v>
      </c>
      <c r="F28" s="25" t="s">
        <v>309</v>
      </c>
      <c r="G28" s="25" t="str">
        <f t="shared" si="1"/>
        <v>EasyMile-SAV</v>
      </c>
      <c r="H28" s="25" t="str">
        <f t="shared" si="2"/>
        <v>SAV</v>
      </c>
      <c r="I28" s="25" t="s">
        <v>372</v>
      </c>
      <c r="J28" s="32" t="s">
        <v>372</v>
      </c>
      <c r="K28" s="25" t="str">
        <f t="shared" si="3"/>
        <v>Phoenix Motorcars</v>
      </c>
      <c r="L28" s="25" t="s">
        <v>798</v>
      </c>
      <c r="M28" s="25"/>
      <c r="N28" s="25"/>
      <c r="O28" s="26" t="s">
        <v>1928</v>
      </c>
      <c r="P28" s="25" t="s">
        <v>1929</v>
      </c>
      <c r="Q28" s="25" t="s">
        <v>10</v>
      </c>
      <c r="R28" s="27" t="s">
        <v>69</v>
      </c>
      <c r="S28" s="27" t="s">
        <v>980</v>
      </c>
      <c r="T28" s="27" t="s">
        <v>949</v>
      </c>
      <c r="U28" s="27" t="s">
        <v>949</v>
      </c>
      <c r="V28" s="27" t="s">
        <v>949</v>
      </c>
      <c r="W28" s="27" t="str">
        <f t="shared" si="4"/>
        <v>2.1. Short term Alliance (no exclusivity / previous experience)</v>
      </c>
      <c r="X28" s="8"/>
      <c r="Y28" s="8" t="s">
        <v>1930</v>
      </c>
      <c r="Z28" s="26" t="s">
        <v>15</v>
      </c>
      <c r="AA28" s="8" t="s">
        <v>1929</v>
      </c>
      <c r="AB28" s="26"/>
      <c r="AC28" s="26"/>
      <c r="AD28" s="26"/>
      <c r="AE28" s="26"/>
      <c r="AF28" s="40" t="s">
        <v>60</v>
      </c>
      <c r="AH28" s="6" t="str">
        <f t="shared" si="5"/>
        <v>EasyMile-Ridepooling</v>
      </c>
      <c r="AJ28" s="6" t="str">
        <v>Navya-Ridepooling</v>
      </c>
    </row>
    <row r="29" spans="1:36" ht="14.25" customHeight="1" x14ac:dyDescent="0.35">
      <c r="A29" s="25" t="s">
        <v>1446</v>
      </c>
      <c r="B29" s="25" t="s">
        <v>1050</v>
      </c>
      <c r="C29" s="65">
        <f t="shared" si="0"/>
        <v>43484</v>
      </c>
      <c r="D29" s="25" t="s">
        <v>50</v>
      </c>
      <c r="E29" s="25" t="s">
        <v>56</v>
      </c>
      <c r="F29" s="25" t="s">
        <v>309</v>
      </c>
      <c r="G29" s="25" t="str">
        <f t="shared" si="1"/>
        <v>EasyMile-SAV</v>
      </c>
      <c r="H29" s="25" t="str">
        <f t="shared" si="2"/>
        <v>SAV</v>
      </c>
      <c r="I29" s="25" t="s">
        <v>372</v>
      </c>
      <c r="J29" s="32" t="s">
        <v>372</v>
      </c>
      <c r="K29" s="25" t="str">
        <f t="shared" si="3"/>
        <v>Continental;Shanghai Jiading Industrial Zone</v>
      </c>
      <c r="L29" s="25" t="s">
        <v>515</v>
      </c>
      <c r="M29" s="25" t="s">
        <v>1980</v>
      </c>
      <c r="N29" s="25"/>
      <c r="O29" s="26" t="s">
        <v>1729</v>
      </c>
      <c r="P29" s="32" t="s">
        <v>1350</v>
      </c>
      <c r="Q29" s="25" t="s">
        <v>10</v>
      </c>
      <c r="R29" s="27" t="s">
        <v>53</v>
      </c>
      <c r="S29" s="27" t="s">
        <v>980</v>
      </c>
      <c r="T29" s="27" t="s">
        <v>949</v>
      </c>
      <c r="U29" s="27" t="s">
        <v>53</v>
      </c>
      <c r="V29" s="27" t="s">
        <v>949</v>
      </c>
      <c r="W29" s="27" t="str">
        <f t="shared" si="4"/>
        <v xml:space="preserve">2.2. Renewed Alliance </v>
      </c>
      <c r="X29" s="7"/>
      <c r="Y29" s="7" t="s">
        <v>1359</v>
      </c>
      <c r="Z29" s="26" t="s">
        <v>15</v>
      </c>
      <c r="AA29" s="7" t="s">
        <v>1359</v>
      </c>
      <c r="AB29" s="26"/>
      <c r="AC29" s="26"/>
      <c r="AD29" s="26"/>
      <c r="AE29" s="26"/>
      <c r="AF29" s="40" t="s">
        <v>50</v>
      </c>
      <c r="AH29" s="6" t="str">
        <f t="shared" si="5"/>
        <v>EasyMile-Ridepooling</v>
      </c>
      <c r="AJ29" s="6" t="str">
        <v>Nuro-Last-Mile</v>
      </c>
    </row>
    <row r="30" spans="1:36" ht="14.25" customHeight="1" x14ac:dyDescent="0.35">
      <c r="A30" s="25" t="s">
        <v>1447</v>
      </c>
      <c r="B30" s="25" t="s">
        <v>1051</v>
      </c>
      <c r="C30" s="65">
        <f t="shared" si="0"/>
        <v>44202</v>
      </c>
      <c r="D30" s="25" t="s">
        <v>51</v>
      </c>
      <c r="E30" s="25" t="s">
        <v>56</v>
      </c>
      <c r="F30" s="25" t="s">
        <v>309</v>
      </c>
      <c r="G30" s="25" t="str">
        <f t="shared" si="1"/>
        <v>EasyMile-SAV</v>
      </c>
      <c r="H30" s="25" t="str">
        <f t="shared" si="2"/>
        <v>SAV</v>
      </c>
      <c r="I30" s="25" t="s">
        <v>372</v>
      </c>
      <c r="J30" s="32" t="s">
        <v>372</v>
      </c>
      <c r="K30" s="25" t="str">
        <f t="shared" si="3"/>
        <v>Kalray</v>
      </c>
      <c r="L30" s="25" t="s">
        <v>853</v>
      </c>
      <c r="M30" s="25"/>
      <c r="N30" s="25"/>
      <c r="O30" s="26" t="s">
        <v>2125</v>
      </c>
      <c r="P30" s="25" t="s">
        <v>52</v>
      </c>
      <c r="Q30" s="25" t="s">
        <v>10</v>
      </c>
      <c r="R30" s="27" t="s">
        <v>53</v>
      </c>
      <c r="S30" s="27" t="s">
        <v>980</v>
      </c>
      <c r="T30" s="27" t="s">
        <v>949</v>
      </c>
      <c r="U30" s="27" t="s">
        <v>53</v>
      </c>
      <c r="V30" s="27" t="s">
        <v>949</v>
      </c>
      <c r="W30" s="27" t="str">
        <f t="shared" si="4"/>
        <v xml:space="preserve">2.2. Renewed Alliance </v>
      </c>
      <c r="X30" s="8"/>
      <c r="Y30" s="8" t="s">
        <v>1411</v>
      </c>
      <c r="Z30" s="26" t="s">
        <v>1201</v>
      </c>
      <c r="AA30" s="8" t="s">
        <v>1410</v>
      </c>
      <c r="AB30" s="26"/>
      <c r="AC30" s="26"/>
      <c r="AD30" s="26"/>
      <c r="AE30" s="26"/>
      <c r="AF30" s="40" t="s">
        <v>51</v>
      </c>
      <c r="AH30" s="6" t="str">
        <f t="shared" si="5"/>
        <v>EasyMile-Ridepooling</v>
      </c>
      <c r="AJ30" s="6" t="str">
        <v>Oxa-Ridepooling</v>
      </c>
    </row>
    <row r="31" spans="1:36" ht="14.25" customHeight="1" x14ac:dyDescent="0.35">
      <c r="A31" s="25" t="s">
        <v>1460</v>
      </c>
      <c r="B31" s="25" t="s">
        <v>1063</v>
      </c>
      <c r="C31" s="65">
        <f t="shared" si="0"/>
        <v>44420</v>
      </c>
      <c r="D31" s="25" t="s">
        <v>67</v>
      </c>
      <c r="E31" s="25" t="s">
        <v>404</v>
      </c>
      <c r="F31" s="25" t="s">
        <v>309</v>
      </c>
      <c r="G31" s="25" t="str">
        <f t="shared" si="1"/>
        <v>Einride-ATV</v>
      </c>
      <c r="H31" s="25" t="str">
        <f t="shared" si="2"/>
        <v>ATV</v>
      </c>
      <c r="I31" s="25" t="s">
        <v>405</v>
      </c>
      <c r="J31" s="32" t="s">
        <v>405</v>
      </c>
      <c r="K31" s="25" t="str">
        <f t="shared" si="3"/>
        <v>Bridgestone</v>
      </c>
      <c r="L31" s="25" t="s">
        <v>512</v>
      </c>
      <c r="M31" s="25"/>
      <c r="N31" s="25"/>
      <c r="O31" s="26" t="s">
        <v>1643</v>
      </c>
      <c r="P31" s="32" t="s">
        <v>1316</v>
      </c>
      <c r="Q31" s="25" t="s">
        <v>10</v>
      </c>
      <c r="R31" s="27" t="s">
        <v>53</v>
      </c>
      <c r="S31" s="27" t="s">
        <v>991</v>
      </c>
      <c r="T31" s="27" t="s">
        <v>1179</v>
      </c>
      <c r="U31" s="27" t="s">
        <v>949</v>
      </c>
      <c r="V31" s="27" t="s">
        <v>53</v>
      </c>
      <c r="W31" s="27" t="str">
        <f t="shared" si="4"/>
        <v>2.3. Long term Alliance</v>
      </c>
      <c r="X31" s="29"/>
      <c r="Y31" s="8" t="s">
        <v>1317</v>
      </c>
      <c r="Z31" s="26" t="s">
        <v>15</v>
      </c>
      <c r="AA31" s="8" t="s">
        <v>1605</v>
      </c>
      <c r="AB31" s="28" t="s">
        <v>1201</v>
      </c>
      <c r="AC31" s="28" t="s">
        <v>1604</v>
      </c>
      <c r="AD31" s="26"/>
      <c r="AE31" s="26"/>
      <c r="AF31" s="40" t="s">
        <v>1775</v>
      </c>
      <c r="AG31" s="40" t="s">
        <v>1776</v>
      </c>
      <c r="AH31" s="6" t="str">
        <f t="shared" si="5"/>
        <v>Einride-Trucking</v>
      </c>
      <c r="AJ31" s="6" t="str">
        <v>Oxa-Last-Mile</v>
      </c>
    </row>
    <row r="32" spans="1:36" ht="14.25" customHeight="1" x14ac:dyDescent="0.35">
      <c r="A32" s="25" t="s">
        <v>1459</v>
      </c>
      <c r="B32" s="25" t="s">
        <v>1062</v>
      </c>
      <c r="C32" s="65">
        <f t="shared" si="0"/>
        <v>43510</v>
      </c>
      <c r="D32" s="25" t="s">
        <v>1415</v>
      </c>
      <c r="E32" s="25" t="s">
        <v>404</v>
      </c>
      <c r="F32" s="25" t="s">
        <v>309</v>
      </c>
      <c r="G32" s="25" t="str">
        <f t="shared" si="1"/>
        <v>Einride-ATV</v>
      </c>
      <c r="H32" s="25" t="str">
        <f t="shared" si="2"/>
        <v>ATV</v>
      </c>
      <c r="I32" s="25" t="s">
        <v>405</v>
      </c>
      <c r="J32" s="32" t="s">
        <v>405</v>
      </c>
      <c r="K32" s="25" t="str">
        <f t="shared" si="3"/>
        <v>Ericsson;Bridgestone</v>
      </c>
      <c r="L32" s="25" t="s">
        <v>652</v>
      </c>
      <c r="M32" s="25" t="s">
        <v>512</v>
      </c>
      <c r="N32" s="25"/>
      <c r="O32" s="26" t="s">
        <v>1710</v>
      </c>
      <c r="P32" s="25" t="s">
        <v>1223</v>
      </c>
      <c r="Q32" s="25" t="s">
        <v>40</v>
      </c>
      <c r="R32" s="27" t="s">
        <v>69</v>
      </c>
      <c r="S32" s="27" t="s">
        <v>990</v>
      </c>
      <c r="T32" s="31" t="s">
        <v>1012</v>
      </c>
      <c r="U32" s="27" t="s">
        <v>949</v>
      </c>
      <c r="V32" s="27" t="s">
        <v>949</v>
      </c>
      <c r="W32" s="27" t="str">
        <f t="shared" si="4"/>
        <v>1. Informal Agreement</v>
      </c>
      <c r="X32" s="7"/>
      <c r="Y32" s="7" t="s">
        <v>1223</v>
      </c>
      <c r="Z32" s="26" t="s">
        <v>41</v>
      </c>
      <c r="AA32" s="7" t="s">
        <v>1223</v>
      </c>
      <c r="AB32" s="26"/>
      <c r="AC32" s="26"/>
      <c r="AD32" s="26"/>
      <c r="AE32" s="26"/>
      <c r="AF32" s="40" t="s">
        <v>1819</v>
      </c>
      <c r="AG32" s="40" t="s">
        <v>1820</v>
      </c>
      <c r="AH32" s="6" t="str">
        <f t="shared" si="5"/>
        <v>Einride-Trucking</v>
      </c>
      <c r="AJ32" s="6" t="str">
        <v>Oxa-Other</v>
      </c>
    </row>
    <row r="33" spans="1:36" ht="14.25" customHeight="1" x14ac:dyDescent="0.35">
      <c r="A33" s="25" t="s">
        <v>1465</v>
      </c>
      <c r="B33" s="25" t="s">
        <v>1068</v>
      </c>
      <c r="C33" s="65">
        <f t="shared" si="0"/>
        <v>44271</v>
      </c>
      <c r="D33" s="25" t="s">
        <v>74</v>
      </c>
      <c r="E33" s="25" t="s">
        <v>404</v>
      </c>
      <c r="F33" s="25" t="s">
        <v>309</v>
      </c>
      <c r="G33" s="25" t="str">
        <f t="shared" si="1"/>
        <v>Einride-ATV</v>
      </c>
      <c r="H33" s="25" t="str">
        <f t="shared" si="2"/>
        <v>ATV</v>
      </c>
      <c r="I33" s="25" t="s">
        <v>405</v>
      </c>
      <c r="J33" s="32" t="s">
        <v>405</v>
      </c>
      <c r="K33" s="25" t="str">
        <f t="shared" si="3"/>
        <v>SKF</v>
      </c>
      <c r="L33" s="25" t="s">
        <v>648</v>
      </c>
      <c r="M33" s="25"/>
      <c r="N33" s="25"/>
      <c r="O33" s="26" t="s">
        <v>1711</v>
      </c>
      <c r="P33" s="25" t="s">
        <v>1240</v>
      </c>
      <c r="Q33" s="25" t="s">
        <v>10</v>
      </c>
      <c r="R33" s="27" t="s">
        <v>53</v>
      </c>
      <c r="S33" s="27" t="s">
        <v>981</v>
      </c>
      <c r="T33" s="27" t="s">
        <v>949</v>
      </c>
      <c r="U33" s="27" t="s">
        <v>949</v>
      </c>
      <c r="V33" s="27" t="s">
        <v>949</v>
      </c>
      <c r="W33" s="27" t="str">
        <f t="shared" si="4"/>
        <v>2.1. Short term Alliance (no exclusivity / previous experience)</v>
      </c>
      <c r="X33" s="7"/>
      <c r="Y33" s="7" t="s">
        <v>1595</v>
      </c>
      <c r="Z33" s="26" t="s">
        <v>24</v>
      </c>
      <c r="AA33" s="7" t="s">
        <v>1595</v>
      </c>
      <c r="AB33" s="26"/>
      <c r="AC33" s="26"/>
      <c r="AD33" s="26"/>
      <c r="AE33" s="26"/>
      <c r="AF33" s="40" t="s">
        <v>1862</v>
      </c>
      <c r="AG33" s="40" t="s">
        <v>1863</v>
      </c>
      <c r="AH33" s="6" t="str">
        <f t="shared" si="5"/>
        <v>Einride-Trucking</v>
      </c>
      <c r="AJ33" s="6" t="str">
        <v>Plus.ai-Trucking</v>
      </c>
    </row>
    <row r="34" spans="1:36" ht="14.25" customHeight="1" x14ac:dyDescent="0.35">
      <c r="A34" s="25" t="s">
        <v>1455</v>
      </c>
      <c r="B34" s="25" t="s">
        <v>1058</v>
      </c>
      <c r="C34" s="65">
        <f t="shared" ref="C34:C65" si="6">DATE(LEFT(B34,4),MID(B34,7,1),RIGHT(B34,LEN(B34)-SEARCH(",",B34,6)))</f>
        <v>43593</v>
      </c>
      <c r="D34" s="25" t="s">
        <v>64</v>
      </c>
      <c r="E34" s="25" t="s">
        <v>404</v>
      </c>
      <c r="F34" s="25" t="s">
        <v>309</v>
      </c>
      <c r="G34" s="25" t="str">
        <f t="shared" ref="G34:G65" si="7">E34&amp;"-"&amp;H34</f>
        <v>Einride-ATV</v>
      </c>
      <c r="H34" s="25" t="str">
        <f t="shared" si="2"/>
        <v>ATV</v>
      </c>
      <c r="I34" s="25" t="s">
        <v>405</v>
      </c>
      <c r="J34" s="32" t="s">
        <v>405</v>
      </c>
      <c r="K34" s="25" t="str">
        <f t="shared" si="3"/>
        <v>Svenska Retursystem</v>
      </c>
      <c r="L34" s="25" t="s">
        <v>846</v>
      </c>
      <c r="M34" s="25"/>
      <c r="N34" s="25"/>
      <c r="O34" s="26" t="s">
        <v>1698</v>
      </c>
      <c r="P34" s="32" t="s">
        <v>1712</v>
      </c>
      <c r="Q34" s="25" t="s">
        <v>10</v>
      </c>
      <c r="R34" s="27" t="s">
        <v>69</v>
      </c>
      <c r="S34" s="27" t="s">
        <v>981</v>
      </c>
      <c r="T34" s="27" t="s">
        <v>949</v>
      </c>
      <c r="U34" s="27" t="s">
        <v>949</v>
      </c>
      <c r="V34" s="27" t="s">
        <v>949</v>
      </c>
      <c r="W34" s="27" t="str">
        <f t="shared" si="4"/>
        <v>2.1. Short term Alliance (no exclusivity / previous experience)</v>
      </c>
      <c r="X34" s="7"/>
      <c r="Y34" s="7" t="s">
        <v>1713</v>
      </c>
      <c r="Z34" s="26" t="s">
        <v>24</v>
      </c>
      <c r="AA34" s="7" t="s">
        <v>1713</v>
      </c>
      <c r="AB34" s="26"/>
      <c r="AC34" s="26"/>
      <c r="AD34" s="26"/>
      <c r="AE34" s="26"/>
      <c r="AF34" s="40" t="s">
        <v>1874</v>
      </c>
      <c r="AG34" s="40" t="s">
        <v>1875</v>
      </c>
      <c r="AH34" s="6" t="str">
        <f t="shared" si="5"/>
        <v>Einride-Trucking</v>
      </c>
      <c r="AJ34" s="6" t="str">
        <v>Pony.ai-Ridehailing</v>
      </c>
    </row>
    <row r="35" spans="1:36" ht="14.25" customHeight="1" x14ac:dyDescent="0.35">
      <c r="A35" s="25" t="s">
        <v>1464</v>
      </c>
      <c r="B35" s="25" t="s">
        <v>1067</v>
      </c>
      <c r="C35" s="65">
        <f t="shared" si="6"/>
        <v>43850</v>
      </c>
      <c r="D35" s="25" t="s">
        <v>72</v>
      </c>
      <c r="E35" s="25" t="s">
        <v>404</v>
      </c>
      <c r="F35" s="25" t="s">
        <v>309</v>
      </c>
      <c r="G35" s="25" t="str">
        <f t="shared" si="7"/>
        <v>Einride-ATV</v>
      </c>
      <c r="H35" s="25" t="str">
        <f t="shared" si="2"/>
        <v>ATV</v>
      </c>
      <c r="I35" s="25" t="s">
        <v>405</v>
      </c>
      <c r="J35" s="32" t="s">
        <v>405</v>
      </c>
      <c r="K35" s="25" t="str">
        <f t="shared" si="3"/>
        <v>Polarrenen</v>
      </c>
      <c r="L35" s="25" t="s">
        <v>1955</v>
      </c>
      <c r="M35" s="25"/>
      <c r="N35" s="25"/>
      <c r="O35" s="26" t="s">
        <v>1699</v>
      </c>
      <c r="P35" s="25" t="s">
        <v>73</v>
      </c>
      <c r="Q35" s="32" t="s">
        <v>10</v>
      </c>
      <c r="R35" s="27" t="s">
        <v>53</v>
      </c>
      <c r="S35" s="27" t="s">
        <v>1192</v>
      </c>
      <c r="T35" s="27" t="s">
        <v>949</v>
      </c>
      <c r="U35" s="27" t="s">
        <v>949</v>
      </c>
      <c r="V35" s="27" t="s">
        <v>949</v>
      </c>
      <c r="W35" s="27" t="str">
        <f t="shared" si="4"/>
        <v>2.1. Short term Alliance (no exclusivity / previous experience)</v>
      </c>
      <c r="X35" s="7"/>
      <c r="Y35" s="7" t="s">
        <v>1256</v>
      </c>
      <c r="Z35" s="26" t="s">
        <v>1200</v>
      </c>
      <c r="AA35" s="7" t="s">
        <v>1256</v>
      </c>
      <c r="AB35" s="26"/>
      <c r="AC35" s="26"/>
      <c r="AD35" s="26"/>
      <c r="AE35" s="26"/>
      <c r="AF35" s="40" t="s">
        <v>1884</v>
      </c>
      <c r="AG35" s="40" t="s">
        <v>1885</v>
      </c>
      <c r="AH35" s="6" t="str">
        <f t="shared" si="5"/>
        <v>Einride-Trucking</v>
      </c>
      <c r="AJ35" s="6" t="str">
        <v>Pony.ai-Trucking</v>
      </c>
    </row>
    <row r="36" spans="1:36" ht="14.25" customHeight="1" x14ac:dyDescent="0.35">
      <c r="A36" s="25" t="s">
        <v>1463</v>
      </c>
      <c r="B36" s="25" t="s">
        <v>1066</v>
      </c>
      <c r="C36" s="65">
        <f t="shared" si="6"/>
        <v>43107</v>
      </c>
      <c r="D36" s="25" t="s">
        <v>71</v>
      </c>
      <c r="E36" s="25" t="s">
        <v>404</v>
      </c>
      <c r="F36" s="25" t="s">
        <v>309</v>
      </c>
      <c r="G36" s="25" t="str">
        <f t="shared" si="7"/>
        <v>Einride-ATV</v>
      </c>
      <c r="H36" s="25" t="str">
        <f t="shared" si="2"/>
        <v>ATV</v>
      </c>
      <c r="I36" s="25" t="s">
        <v>405</v>
      </c>
      <c r="J36" s="32" t="s">
        <v>405</v>
      </c>
      <c r="K36" s="25" t="str">
        <f t="shared" si="3"/>
        <v>Ericsson;Telia</v>
      </c>
      <c r="L36" s="25" t="s">
        <v>652</v>
      </c>
      <c r="M36" s="25" t="s">
        <v>883</v>
      </c>
      <c r="N36" s="25"/>
      <c r="O36" s="26" t="s">
        <v>1700</v>
      </c>
      <c r="P36" s="25" t="s">
        <v>992</v>
      </c>
      <c r="Q36" s="25" t="s">
        <v>10</v>
      </c>
      <c r="R36" s="27" t="s">
        <v>69</v>
      </c>
      <c r="S36" s="27" t="s">
        <v>980</v>
      </c>
      <c r="T36" s="27" t="s">
        <v>949</v>
      </c>
      <c r="U36" s="27" t="s">
        <v>949</v>
      </c>
      <c r="V36" s="27" t="s">
        <v>949</v>
      </c>
      <c r="W36" s="27" t="str">
        <f t="shared" si="4"/>
        <v>2.1. Short term Alliance (no exclusivity / previous experience)</v>
      </c>
      <c r="X36" s="9"/>
      <c r="Y36" s="9" t="s">
        <v>1701</v>
      </c>
      <c r="Z36" s="26" t="s">
        <v>15</v>
      </c>
      <c r="AA36" s="9" t="s">
        <v>1219</v>
      </c>
      <c r="AB36" s="26"/>
      <c r="AC36" s="26"/>
      <c r="AD36" s="26"/>
      <c r="AE36" s="26"/>
      <c r="AF36" s="40" t="s">
        <v>71</v>
      </c>
      <c r="AH36" s="6" t="str">
        <f t="shared" si="5"/>
        <v>Einride-Trucking</v>
      </c>
      <c r="AJ36" s="6" t="str">
        <v>ServeRobotics-Last-Mile</v>
      </c>
    </row>
    <row r="37" spans="1:36" ht="14.25" customHeight="1" x14ac:dyDescent="0.35">
      <c r="A37" s="25" t="s">
        <v>1461</v>
      </c>
      <c r="B37" s="25" t="s">
        <v>1064</v>
      </c>
      <c r="C37" s="65">
        <f t="shared" si="6"/>
        <v>43965</v>
      </c>
      <c r="D37" s="25" t="s">
        <v>68</v>
      </c>
      <c r="E37" s="25" t="s">
        <v>404</v>
      </c>
      <c r="F37" s="25" t="s">
        <v>309</v>
      </c>
      <c r="G37" s="25" t="str">
        <f t="shared" si="7"/>
        <v>Einride-ATV</v>
      </c>
      <c r="H37" s="25" t="str">
        <f t="shared" si="2"/>
        <v>ATV</v>
      </c>
      <c r="I37" s="25" t="s">
        <v>405</v>
      </c>
      <c r="J37" s="32" t="s">
        <v>405</v>
      </c>
      <c r="K37" s="25" t="str">
        <f t="shared" si="3"/>
        <v>Oatly</v>
      </c>
      <c r="L37" s="25" t="s">
        <v>615</v>
      </c>
      <c r="M37" s="25"/>
      <c r="N37" s="25"/>
      <c r="O37" s="26" t="s">
        <v>1678</v>
      </c>
      <c r="P37" s="25" t="s">
        <v>1285</v>
      </c>
      <c r="Q37" s="25" t="s">
        <v>10</v>
      </c>
      <c r="R37" s="27" t="s">
        <v>69</v>
      </c>
      <c r="S37" s="27" t="s">
        <v>991</v>
      </c>
      <c r="T37" s="27" t="s">
        <v>949</v>
      </c>
      <c r="U37" s="27" t="s">
        <v>949</v>
      </c>
      <c r="V37" s="27" t="s">
        <v>949</v>
      </c>
      <c r="W37" s="27" t="str">
        <f t="shared" si="4"/>
        <v>2.1. Short term Alliance (no exclusivity / previous experience)</v>
      </c>
      <c r="X37" s="7"/>
      <c r="Y37" s="7" t="s">
        <v>1285</v>
      </c>
      <c r="Z37" s="26" t="s">
        <v>24</v>
      </c>
      <c r="AA37" s="7" t="s">
        <v>1285</v>
      </c>
      <c r="AB37" s="26"/>
      <c r="AC37" s="26"/>
      <c r="AD37" s="26"/>
      <c r="AE37" s="26"/>
      <c r="AF37" s="40" t="s">
        <v>68</v>
      </c>
      <c r="AH37" s="6" t="str">
        <f t="shared" si="5"/>
        <v>Einride-Trucking</v>
      </c>
      <c r="AJ37" s="6" t="str">
        <v>Torc-Trucking</v>
      </c>
    </row>
    <row r="38" spans="1:36" ht="14.25" customHeight="1" x14ac:dyDescent="0.35">
      <c r="A38" s="25" t="s">
        <v>1454</v>
      </c>
      <c r="B38" s="25" t="s">
        <v>1057</v>
      </c>
      <c r="C38" s="65">
        <f t="shared" si="6"/>
        <v>44249</v>
      </c>
      <c r="D38" s="25" t="s">
        <v>62</v>
      </c>
      <c r="E38" s="25" t="s">
        <v>404</v>
      </c>
      <c r="F38" s="25" t="s">
        <v>309</v>
      </c>
      <c r="G38" s="25" t="str">
        <f t="shared" si="7"/>
        <v>Einride-ATV</v>
      </c>
      <c r="H38" s="25" t="str">
        <f t="shared" si="2"/>
        <v>ATV</v>
      </c>
      <c r="I38" s="25" t="s">
        <v>405</v>
      </c>
      <c r="J38" s="32" t="s">
        <v>405</v>
      </c>
      <c r="K38" s="25" t="str">
        <f t="shared" si="3"/>
        <v>Electrolux</v>
      </c>
      <c r="L38" s="25" t="s">
        <v>554</v>
      </c>
      <c r="M38" s="25"/>
      <c r="N38" s="25"/>
      <c r="O38" s="26" t="s">
        <v>1680</v>
      </c>
      <c r="P38" s="25" t="s">
        <v>63</v>
      </c>
      <c r="Q38" s="25" t="s">
        <v>10</v>
      </c>
      <c r="R38" s="27" t="s">
        <v>69</v>
      </c>
      <c r="S38" s="27" t="s">
        <v>991</v>
      </c>
      <c r="T38" s="27" t="s">
        <v>1178</v>
      </c>
      <c r="U38" s="27" t="s">
        <v>949</v>
      </c>
      <c r="V38" s="27" t="s">
        <v>949</v>
      </c>
      <c r="W38" s="27" t="str">
        <f t="shared" si="4"/>
        <v>2.3. Long term Alliance</v>
      </c>
      <c r="X38" s="7"/>
      <c r="Y38" s="7" t="s">
        <v>1297</v>
      </c>
      <c r="Z38" s="26" t="s">
        <v>24</v>
      </c>
      <c r="AA38" s="7" t="s">
        <v>1297</v>
      </c>
      <c r="AB38" s="26"/>
      <c r="AC38" s="26"/>
      <c r="AD38" s="26"/>
      <c r="AE38" s="26"/>
      <c r="AF38" s="40" t="s">
        <v>62</v>
      </c>
      <c r="AH38" s="6" t="str">
        <f t="shared" si="5"/>
        <v>Einride-Trucking</v>
      </c>
      <c r="AJ38" s="6" t="str">
        <v>Transdev-Ridepooling</v>
      </c>
    </row>
    <row r="39" spans="1:36" ht="14.25" customHeight="1" x14ac:dyDescent="0.35">
      <c r="A39" s="25" t="s">
        <v>1453</v>
      </c>
      <c r="B39" s="25" t="s">
        <v>1056</v>
      </c>
      <c r="C39" s="65">
        <f t="shared" si="6"/>
        <v>44770</v>
      </c>
      <c r="D39" s="25" t="s">
        <v>1416</v>
      </c>
      <c r="E39" s="25" t="s">
        <v>404</v>
      </c>
      <c r="F39" s="25" t="s">
        <v>309</v>
      </c>
      <c r="G39" s="25" t="str">
        <f t="shared" si="7"/>
        <v>Einride-ATV</v>
      </c>
      <c r="H39" s="25" t="str">
        <f t="shared" si="2"/>
        <v>ATV</v>
      </c>
      <c r="I39" s="25" t="s">
        <v>405</v>
      </c>
      <c r="J39" s="32" t="s">
        <v>405</v>
      </c>
      <c r="K39" s="25" t="str">
        <f t="shared" si="3"/>
        <v>Beyond Meat</v>
      </c>
      <c r="L39" s="25" t="s">
        <v>605</v>
      </c>
      <c r="M39" s="25"/>
      <c r="N39" s="25"/>
      <c r="O39" s="26" t="s">
        <v>1681</v>
      </c>
      <c r="P39" s="32" t="s">
        <v>1298</v>
      </c>
      <c r="Q39" s="25" t="s">
        <v>10</v>
      </c>
      <c r="R39" s="27" t="s">
        <v>69</v>
      </c>
      <c r="S39" s="27" t="s">
        <v>991</v>
      </c>
      <c r="T39" s="27" t="s">
        <v>1177</v>
      </c>
      <c r="U39" s="27" t="s">
        <v>949</v>
      </c>
      <c r="V39" s="27" t="s">
        <v>949</v>
      </c>
      <c r="W39" s="27" t="str">
        <f t="shared" si="4"/>
        <v>2.3. Long term Alliance</v>
      </c>
      <c r="X39" s="7"/>
      <c r="Y39" s="7" t="s">
        <v>1299</v>
      </c>
      <c r="Z39" s="26" t="s">
        <v>24</v>
      </c>
      <c r="AA39" s="7" t="s">
        <v>1299</v>
      </c>
      <c r="AB39" s="26"/>
      <c r="AC39" s="26"/>
      <c r="AD39" s="26"/>
      <c r="AE39" s="26"/>
      <c r="AF39" s="40" t="s">
        <v>1416</v>
      </c>
      <c r="AH39" s="6" t="str">
        <f t="shared" si="5"/>
        <v>Einride-Trucking</v>
      </c>
      <c r="AJ39" s="6" t="str">
        <v>TuSimple-Trucking</v>
      </c>
    </row>
    <row r="40" spans="1:36" ht="14.25" customHeight="1" x14ac:dyDescent="0.35">
      <c r="A40" s="25" t="s">
        <v>1452</v>
      </c>
      <c r="B40" s="25" t="s">
        <v>1055</v>
      </c>
      <c r="C40" s="65">
        <f t="shared" si="6"/>
        <v>43628</v>
      </c>
      <c r="D40" s="25" t="s">
        <v>61</v>
      </c>
      <c r="E40" s="25" t="s">
        <v>404</v>
      </c>
      <c r="F40" s="25" t="s">
        <v>309</v>
      </c>
      <c r="G40" s="25" t="str">
        <f t="shared" si="7"/>
        <v>Einride-ATV</v>
      </c>
      <c r="H40" s="25" t="str">
        <f t="shared" si="2"/>
        <v>ATV</v>
      </c>
      <c r="I40" s="25" t="s">
        <v>405</v>
      </c>
      <c r="J40" s="32" t="s">
        <v>405</v>
      </c>
      <c r="K40" s="25" t="str">
        <f t="shared" si="3"/>
        <v>Coca - Cola</v>
      </c>
      <c r="L40" s="25" t="s">
        <v>1956</v>
      </c>
      <c r="M40" s="25"/>
      <c r="N40" s="25"/>
      <c r="O40" s="26" t="s">
        <v>1358</v>
      </c>
      <c r="P40" s="32" t="s">
        <v>1300</v>
      </c>
      <c r="Q40" s="25" t="s">
        <v>10</v>
      </c>
      <c r="R40" s="27" t="s">
        <v>69</v>
      </c>
      <c r="S40" s="27" t="s">
        <v>991</v>
      </c>
      <c r="T40" s="27" t="s">
        <v>1177</v>
      </c>
      <c r="U40" s="27" t="s">
        <v>949</v>
      </c>
      <c r="V40" s="27" t="s">
        <v>949</v>
      </c>
      <c r="W40" s="27" t="str">
        <f t="shared" si="4"/>
        <v>2.3. Long term Alliance</v>
      </c>
      <c r="X40" s="7"/>
      <c r="Y40" s="7" t="s">
        <v>1301</v>
      </c>
      <c r="Z40" s="26" t="s">
        <v>24</v>
      </c>
      <c r="AA40" s="7" t="s">
        <v>1301</v>
      </c>
      <c r="AB40" s="26"/>
      <c r="AC40" s="26"/>
      <c r="AD40" s="26"/>
      <c r="AE40" s="26"/>
      <c r="AF40" s="40" t="s">
        <v>61</v>
      </c>
      <c r="AH40" s="6" t="str">
        <f t="shared" si="5"/>
        <v>Einride-Trucking</v>
      </c>
      <c r="AJ40" s="6" t="str">
        <v>Uber-Ridehailing</v>
      </c>
    </row>
    <row r="41" spans="1:36" ht="14.25" customHeight="1" x14ac:dyDescent="0.35">
      <c r="A41" s="25" t="s">
        <v>1457</v>
      </c>
      <c r="B41" s="25" t="s">
        <v>1060</v>
      </c>
      <c r="C41" s="65">
        <f t="shared" si="6"/>
        <v>45077</v>
      </c>
      <c r="D41" s="25" t="s">
        <v>65</v>
      </c>
      <c r="E41" s="25" t="s">
        <v>404</v>
      </c>
      <c r="F41" s="25" t="s">
        <v>309</v>
      </c>
      <c r="G41" s="25" t="str">
        <f t="shared" si="7"/>
        <v>Einride-ATV</v>
      </c>
      <c r="H41" s="25" t="str">
        <f t="shared" si="2"/>
        <v>ATV</v>
      </c>
      <c r="I41" s="25" t="s">
        <v>405</v>
      </c>
      <c r="J41" s="32" t="s">
        <v>405</v>
      </c>
      <c r="K41" s="25" t="str">
        <f t="shared" si="3"/>
        <v>UAE Ministry of Energy and Infrastructure</v>
      </c>
      <c r="L41" s="25" t="s">
        <v>1957</v>
      </c>
      <c r="M41" s="25"/>
      <c r="N41" s="25"/>
      <c r="O41" s="26" t="s">
        <v>1683</v>
      </c>
      <c r="P41" s="26" t="s">
        <v>1307</v>
      </c>
      <c r="Q41" s="25" t="s">
        <v>10</v>
      </c>
      <c r="R41" s="27" t="s">
        <v>53</v>
      </c>
      <c r="S41" s="27" t="s">
        <v>991</v>
      </c>
      <c r="T41" s="27" t="s">
        <v>1177</v>
      </c>
      <c r="U41" s="27" t="s">
        <v>949</v>
      </c>
      <c r="V41" s="27" t="s">
        <v>949</v>
      </c>
      <c r="W41" s="27" t="str">
        <f t="shared" si="4"/>
        <v>2.3. Long term Alliance</v>
      </c>
      <c r="X41" s="7"/>
      <c r="Y41" s="7" t="s">
        <v>1308</v>
      </c>
      <c r="Z41" s="26" t="s">
        <v>24</v>
      </c>
      <c r="AA41" s="7" t="s">
        <v>1308</v>
      </c>
      <c r="AB41" s="26"/>
      <c r="AC41" s="26"/>
      <c r="AD41" s="26"/>
      <c r="AE41" s="26"/>
      <c r="AF41" s="40" t="s">
        <v>65</v>
      </c>
      <c r="AH41" s="6" t="str">
        <f t="shared" si="5"/>
        <v>Einride-Trucking</v>
      </c>
      <c r="AJ41" s="6" t="str">
        <v>Uber Freight-Trucking</v>
      </c>
    </row>
    <row r="42" spans="1:36" ht="14.25" customHeight="1" x14ac:dyDescent="0.35">
      <c r="A42" s="25" t="s">
        <v>1456</v>
      </c>
      <c r="B42" s="25" t="s">
        <v>1059</v>
      </c>
      <c r="C42" s="65">
        <f t="shared" si="6"/>
        <v>44721</v>
      </c>
      <c r="D42" s="25" t="s">
        <v>1417</v>
      </c>
      <c r="E42" s="25" t="s">
        <v>404</v>
      </c>
      <c r="F42" s="25" t="s">
        <v>309</v>
      </c>
      <c r="G42" s="25" t="str">
        <f t="shared" si="7"/>
        <v>Einride-ATV</v>
      </c>
      <c r="H42" s="25" t="str">
        <f t="shared" si="2"/>
        <v>ATV</v>
      </c>
      <c r="I42" s="25" t="s">
        <v>405</v>
      </c>
      <c r="J42" s="32" t="s">
        <v>405</v>
      </c>
      <c r="K42" s="25" t="str">
        <f t="shared" si="3"/>
        <v>Oatly</v>
      </c>
      <c r="L42" s="25" t="s">
        <v>615</v>
      </c>
      <c r="M42" s="25"/>
      <c r="N42" s="25"/>
      <c r="O42" s="26" t="s">
        <v>1687</v>
      </c>
      <c r="P42" s="32" t="s">
        <v>1311</v>
      </c>
      <c r="Q42" s="25" t="s">
        <v>10</v>
      </c>
      <c r="R42" s="27" t="s">
        <v>69</v>
      </c>
      <c r="S42" s="27" t="s">
        <v>991</v>
      </c>
      <c r="T42" s="27" t="s">
        <v>1176</v>
      </c>
      <c r="U42" s="27" t="s">
        <v>53</v>
      </c>
      <c r="V42" s="27" t="s">
        <v>949</v>
      </c>
      <c r="W42" s="27" t="str">
        <f t="shared" si="4"/>
        <v>2.3. Long term Alliance</v>
      </c>
      <c r="X42" s="7"/>
      <c r="Y42" s="7" t="s">
        <v>1312</v>
      </c>
      <c r="Z42" s="26" t="s">
        <v>24</v>
      </c>
      <c r="AA42" s="7" t="s">
        <v>1312</v>
      </c>
      <c r="AB42" s="26"/>
      <c r="AC42" s="26"/>
      <c r="AD42" s="26"/>
      <c r="AE42" s="26"/>
      <c r="AF42" s="40" t="s">
        <v>1417</v>
      </c>
      <c r="AH42" s="6" t="str">
        <f t="shared" si="5"/>
        <v>Einride-Trucking</v>
      </c>
      <c r="AJ42" s="6" t="str">
        <v>Udelv-Last-Mile</v>
      </c>
    </row>
    <row r="43" spans="1:36" ht="14.25" customHeight="1" x14ac:dyDescent="0.35">
      <c r="A43" s="25" t="s">
        <v>1458</v>
      </c>
      <c r="B43" s="25" t="s">
        <v>1061</v>
      </c>
      <c r="C43" s="65">
        <f t="shared" si="6"/>
        <v>44939</v>
      </c>
      <c r="D43" s="25" t="s">
        <v>66</v>
      </c>
      <c r="E43" s="25" t="s">
        <v>404</v>
      </c>
      <c r="F43" s="25" t="s">
        <v>309</v>
      </c>
      <c r="G43" s="25" t="str">
        <f t="shared" si="7"/>
        <v>Einride-ATV</v>
      </c>
      <c r="H43" s="25" t="str">
        <f t="shared" si="2"/>
        <v>ATV</v>
      </c>
      <c r="I43" s="25" t="s">
        <v>405</v>
      </c>
      <c r="J43" s="32" t="s">
        <v>405</v>
      </c>
      <c r="K43" s="25" t="str">
        <f t="shared" si="3"/>
        <v>GE Appliances</v>
      </c>
      <c r="L43" s="25" t="s">
        <v>560</v>
      </c>
      <c r="M43" s="25"/>
      <c r="N43" s="25"/>
      <c r="O43" s="26" t="s">
        <v>1688</v>
      </c>
      <c r="P43" s="25" t="s">
        <v>1313</v>
      </c>
      <c r="Q43" s="25" t="s">
        <v>10</v>
      </c>
      <c r="R43" s="27" t="s">
        <v>69</v>
      </c>
      <c r="S43" s="27" t="s">
        <v>991</v>
      </c>
      <c r="T43" s="27" t="s">
        <v>946</v>
      </c>
      <c r="U43" s="27" t="s">
        <v>53</v>
      </c>
      <c r="V43" s="27" t="s">
        <v>949</v>
      </c>
      <c r="W43" s="27" t="str">
        <f t="shared" si="4"/>
        <v>2.3. Long term Alliance</v>
      </c>
      <c r="X43" s="7"/>
      <c r="Y43" s="7" t="s">
        <v>1314</v>
      </c>
      <c r="Z43" s="26" t="s">
        <v>24</v>
      </c>
      <c r="AA43" s="7" t="s">
        <v>1314</v>
      </c>
      <c r="AB43" s="26"/>
      <c r="AC43" s="26"/>
      <c r="AD43" s="26"/>
      <c r="AE43" s="26"/>
      <c r="AF43" s="40" t="s">
        <v>66</v>
      </c>
      <c r="AH43" s="6" t="str">
        <f t="shared" si="5"/>
        <v>Einride-Trucking</v>
      </c>
      <c r="AJ43" s="6" t="str">
        <v>Waabi-Trucking</v>
      </c>
    </row>
    <row r="44" spans="1:36" ht="14.25" customHeight="1" x14ac:dyDescent="0.35">
      <c r="A44" s="25" t="s">
        <v>1462</v>
      </c>
      <c r="B44" s="25" t="s">
        <v>1065</v>
      </c>
      <c r="C44" s="65">
        <f t="shared" si="6"/>
        <v>42760</v>
      </c>
      <c r="D44" s="25" t="s">
        <v>70</v>
      </c>
      <c r="E44" s="25" t="s">
        <v>404</v>
      </c>
      <c r="F44" s="25" t="s">
        <v>309</v>
      </c>
      <c r="G44" s="25" t="str">
        <f t="shared" si="7"/>
        <v>Einride-ATV</v>
      </c>
      <c r="H44" s="25" t="str">
        <f t="shared" si="2"/>
        <v>ATV</v>
      </c>
      <c r="I44" s="25" t="s">
        <v>405</v>
      </c>
      <c r="J44" s="32" t="s">
        <v>405</v>
      </c>
      <c r="K44" s="25" t="str">
        <f t="shared" si="3"/>
        <v>Lidl</v>
      </c>
      <c r="L44" s="25" t="s">
        <v>833</v>
      </c>
      <c r="M44" s="25"/>
      <c r="N44" s="25"/>
      <c r="O44" s="26" t="s">
        <v>1692</v>
      </c>
      <c r="P44" s="25" t="s">
        <v>1326</v>
      </c>
      <c r="Q44" s="25" t="s">
        <v>10</v>
      </c>
      <c r="R44" s="27" t="s">
        <v>69</v>
      </c>
      <c r="S44" s="27" t="s">
        <v>991</v>
      </c>
      <c r="T44" s="27" t="s">
        <v>949</v>
      </c>
      <c r="U44" s="27" t="s">
        <v>53</v>
      </c>
      <c r="V44" s="27" t="s">
        <v>949</v>
      </c>
      <c r="W44" s="27" t="str">
        <f t="shared" si="4"/>
        <v xml:space="preserve">2.2. Renewed Alliance </v>
      </c>
      <c r="X44" s="7"/>
      <c r="Y44" s="7" t="s">
        <v>1360</v>
      </c>
      <c r="Z44" s="26" t="s">
        <v>24</v>
      </c>
      <c r="AA44" s="7" t="s">
        <v>1360</v>
      </c>
      <c r="AB44" s="26"/>
      <c r="AC44" s="26"/>
      <c r="AD44" s="26"/>
      <c r="AE44" s="26"/>
      <c r="AF44" s="40" t="s">
        <v>70</v>
      </c>
      <c r="AH44" s="6" t="str">
        <f t="shared" si="5"/>
        <v>Einride-Trucking</v>
      </c>
      <c r="AJ44" s="6" t="str">
        <v>Waymo-Ridehailing</v>
      </c>
    </row>
    <row r="45" spans="1:36" ht="14.25" customHeight="1" x14ac:dyDescent="0.35">
      <c r="A45" s="25" t="s">
        <v>1470</v>
      </c>
      <c r="B45" s="25" t="s">
        <v>1073</v>
      </c>
      <c r="C45" s="65">
        <f t="shared" si="6"/>
        <v>44467</v>
      </c>
      <c r="D45" s="25" t="s">
        <v>81</v>
      </c>
      <c r="E45" s="25" t="s">
        <v>285</v>
      </c>
      <c r="F45" s="25" t="s">
        <v>286</v>
      </c>
      <c r="G45" s="25" t="str">
        <f t="shared" si="7"/>
        <v>Gatik-ATV</v>
      </c>
      <c r="H45" s="25" t="str">
        <f t="shared" si="2"/>
        <v>ATV</v>
      </c>
      <c r="I45" s="25" t="s">
        <v>405</v>
      </c>
      <c r="J45" s="32" t="s">
        <v>405</v>
      </c>
      <c r="K45" s="25" t="str">
        <f t="shared" si="3"/>
        <v>Goodyear</v>
      </c>
      <c r="L45" s="25" t="s">
        <v>507</v>
      </c>
      <c r="M45" s="25"/>
      <c r="N45" s="25"/>
      <c r="O45" s="26" t="s">
        <v>1914</v>
      </c>
      <c r="P45" s="26" t="s">
        <v>1915</v>
      </c>
      <c r="Q45" s="25" t="s">
        <v>17</v>
      </c>
      <c r="R45" s="27" t="s">
        <v>69</v>
      </c>
      <c r="S45" s="27" t="s">
        <v>980</v>
      </c>
      <c r="T45" s="27" t="s">
        <v>994</v>
      </c>
      <c r="U45" s="27" t="s">
        <v>949</v>
      </c>
      <c r="V45" s="27" t="s">
        <v>949</v>
      </c>
      <c r="W45" s="27" t="str">
        <f t="shared" si="4"/>
        <v>3. Strategic Partnership</v>
      </c>
      <c r="X45" s="39"/>
      <c r="Y45" s="8" t="s">
        <v>1340</v>
      </c>
      <c r="Z45" s="26" t="s">
        <v>1200</v>
      </c>
      <c r="AA45" s="8" t="s">
        <v>1617</v>
      </c>
      <c r="AB45" s="26" t="s">
        <v>1201</v>
      </c>
      <c r="AC45" s="8" t="s">
        <v>1618</v>
      </c>
      <c r="AD45" s="35" t="s">
        <v>15</v>
      </c>
      <c r="AE45" s="14" t="s">
        <v>1616</v>
      </c>
      <c r="AF45" s="40" t="s">
        <v>1791</v>
      </c>
      <c r="AG45" s="40" t="s">
        <v>1792</v>
      </c>
      <c r="AH45" s="6" t="str">
        <f t="shared" si="5"/>
        <v>Gatik-Trucking</v>
      </c>
      <c r="AJ45" s="6" t="str">
        <v>Waymo-Other</v>
      </c>
    </row>
    <row r="46" spans="1:36" ht="14.25" customHeight="1" x14ac:dyDescent="0.35">
      <c r="A46" s="25" t="s">
        <v>1472</v>
      </c>
      <c r="B46" s="25" t="s">
        <v>1075</v>
      </c>
      <c r="C46" s="65">
        <f t="shared" si="6"/>
        <v>44215</v>
      </c>
      <c r="D46" s="25" t="s">
        <v>83</v>
      </c>
      <c r="E46" s="25" t="s">
        <v>285</v>
      </c>
      <c r="F46" s="25" t="s">
        <v>286</v>
      </c>
      <c r="G46" s="25" t="str">
        <f t="shared" si="7"/>
        <v>Gatik-ATV</v>
      </c>
      <c r="H46" s="25" t="str">
        <f t="shared" si="2"/>
        <v>ATV</v>
      </c>
      <c r="I46" s="25" t="s">
        <v>405</v>
      </c>
      <c r="J46" s="32" t="s">
        <v>405</v>
      </c>
      <c r="K46" s="25" t="str">
        <f t="shared" si="3"/>
        <v>Ryder</v>
      </c>
      <c r="L46" s="25" t="s">
        <v>700</v>
      </c>
      <c r="M46" s="25"/>
      <c r="N46" s="25"/>
      <c r="O46" s="26" t="s">
        <v>1735</v>
      </c>
      <c r="P46" s="32" t="s">
        <v>1760</v>
      </c>
      <c r="Q46" s="25" t="s">
        <v>17</v>
      </c>
      <c r="R46" s="27" t="s">
        <v>69</v>
      </c>
      <c r="S46" s="27" t="s">
        <v>980</v>
      </c>
      <c r="T46" s="27" t="s">
        <v>994</v>
      </c>
      <c r="U46" s="27" t="s">
        <v>949</v>
      </c>
      <c r="V46" s="27" t="s">
        <v>949</v>
      </c>
      <c r="W46" s="27" t="str">
        <f t="shared" si="4"/>
        <v>3. Strategic Partnership</v>
      </c>
      <c r="X46" s="29"/>
      <c r="Y46" s="8" t="s">
        <v>1737</v>
      </c>
      <c r="Z46" s="26" t="s">
        <v>1201</v>
      </c>
      <c r="AA46" s="8" t="s">
        <v>1736</v>
      </c>
      <c r="AB46" s="28" t="s">
        <v>8</v>
      </c>
      <c r="AC46" s="28" t="s">
        <v>1619</v>
      </c>
      <c r="AD46" s="26"/>
      <c r="AE46" s="26"/>
      <c r="AF46" s="40" t="s">
        <v>1793</v>
      </c>
      <c r="AG46" s="40" t="s">
        <v>1794</v>
      </c>
      <c r="AH46" s="6" t="str">
        <f t="shared" si="5"/>
        <v>Gatik-Trucking</v>
      </c>
      <c r="AJ46" s="6" t="str">
        <v>Wayve-Last-Mile</v>
      </c>
    </row>
    <row r="47" spans="1:36" ht="14.25" customHeight="1" x14ac:dyDescent="0.35">
      <c r="A47" s="25" t="s">
        <v>1468</v>
      </c>
      <c r="B47" s="25" t="s">
        <v>1071</v>
      </c>
      <c r="C47" s="65">
        <f t="shared" si="6"/>
        <v>44699</v>
      </c>
      <c r="D47" s="25" t="s">
        <v>80</v>
      </c>
      <c r="E47" s="25" t="s">
        <v>285</v>
      </c>
      <c r="F47" s="25" t="s">
        <v>286</v>
      </c>
      <c r="G47" s="25" t="str">
        <f t="shared" si="7"/>
        <v>Gatik-ATV</v>
      </c>
      <c r="H47" s="25" t="str">
        <f t="shared" si="2"/>
        <v>ATV</v>
      </c>
      <c r="I47" s="25" t="s">
        <v>405</v>
      </c>
      <c r="J47" s="32" t="s">
        <v>405</v>
      </c>
      <c r="K47" s="25" t="str">
        <f t="shared" si="3"/>
        <v>Walmart</v>
      </c>
      <c r="L47" s="25" t="s">
        <v>840</v>
      </c>
      <c r="M47" s="25"/>
      <c r="N47" s="25"/>
      <c r="O47" s="26" t="s">
        <v>1373</v>
      </c>
      <c r="P47" s="26" t="s">
        <v>1224</v>
      </c>
      <c r="Q47" s="25" t="s">
        <v>40</v>
      </c>
      <c r="R47" s="27" t="s">
        <v>69</v>
      </c>
      <c r="S47" s="27" t="s">
        <v>1199</v>
      </c>
      <c r="T47" s="27" t="s">
        <v>949</v>
      </c>
      <c r="U47" s="27" t="s">
        <v>949</v>
      </c>
      <c r="V47" s="27" t="s">
        <v>949</v>
      </c>
      <c r="W47" s="27" t="str">
        <f t="shared" si="4"/>
        <v>1. Informal Agreement</v>
      </c>
      <c r="X47" s="8"/>
      <c r="Y47" s="8" t="s">
        <v>1225</v>
      </c>
      <c r="Z47" s="26" t="s">
        <v>1200</v>
      </c>
      <c r="AA47" s="8" t="s">
        <v>1225</v>
      </c>
      <c r="AB47" s="26"/>
      <c r="AC47" s="26"/>
      <c r="AD47" s="26"/>
      <c r="AE47" s="26"/>
      <c r="AF47" s="40" t="s">
        <v>1821</v>
      </c>
      <c r="AG47" s="40" t="s">
        <v>1822</v>
      </c>
      <c r="AH47" s="6" t="str">
        <f t="shared" si="5"/>
        <v>Gatik-Trucking</v>
      </c>
      <c r="AJ47" s="6" t="str">
        <v>ZF-Other</v>
      </c>
    </row>
    <row r="48" spans="1:36" ht="14.25" customHeight="1" x14ac:dyDescent="0.35">
      <c r="A48" s="25" t="s">
        <v>1466</v>
      </c>
      <c r="B48" s="25" t="s">
        <v>1069</v>
      </c>
      <c r="C48" s="65">
        <f t="shared" si="6"/>
        <v>44648</v>
      </c>
      <c r="D48" s="25" t="s">
        <v>75</v>
      </c>
      <c r="E48" s="25" t="s">
        <v>285</v>
      </c>
      <c r="F48" s="25" t="s">
        <v>286</v>
      </c>
      <c r="G48" s="25" t="str">
        <f t="shared" si="7"/>
        <v>Gatik-ATV</v>
      </c>
      <c r="H48" s="25" t="str">
        <f t="shared" si="2"/>
        <v>ATV</v>
      </c>
      <c r="I48" s="25" t="s">
        <v>273</v>
      </c>
      <c r="J48" s="32" t="s">
        <v>405</v>
      </c>
      <c r="K48" s="25" t="str">
        <f t="shared" si="3"/>
        <v>ChargePoint</v>
      </c>
      <c r="L48" s="25" t="s">
        <v>1958</v>
      </c>
      <c r="M48" s="25"/>
      <c r="N48" s="25"/>
      <c r="O48" s="26" t="s">
        <v>1385</v>
      </c>
      <c r="P48" s="25" t="s">
        <v>1262</v>
      </c>
      <c r="Q48" s="25" t="s">
        <v>76</v>
      </c>
      <c r="R48" s="27" t="s">
        <v>69</v>
      </c>
      <c r="S48" s="27" t="s">
        <v>980</v>
      </c>
      <c r="T48" s="27" t="s">
        <v>949</v>
      </c>
      <c r="U48" s="27" t="s">
        <v>949</v>
      </c>
      <c r="V48" s="27" t="s">
        <v>949</v>
      </c>
      <c r="W48" s="27" t="str">
        <f t="shared" si="4"/>
        <v>2.1. Short term Alliance (no exclusivity / previous experience)</v>
      </c>
      <c r="X48" s="7"/>
      <c r="Y48" s="7" t="s">
        <v>1263</v>
      </c>
      <c r="Z48" s="26" t="s">
        <v>15</v>
      </c>
      <c r="AA48" s="7" t="s">
        <v>1263</v>
      </c>
      <c r="AB48" s="26"/>
      <c r="AC48" s="26"/>
      <c r="AD48" s="26"/>
      <c r="AE48" s="26"/>
      <c r="AF48" s="40" t="s">
        <v>75</v>
      </c>
      <c r="AH48" s="6" t="str">
        <f t="shared" si="5"/>
        <v>Gatik-Trucking</v>
      </c>
      <c r="AJ48" s="6" t="str">
        <v>ZF-Ridepooling</v>
      </c>
    </row>
    <row r="49" spans="1:36" ht="14.25" customHeight="1" x14ac:dyDescent="0.35">
      <c r="A49" s="25" t="s">
        <v>1471</v>
      </c>
      <c r="B49" s="25" t="s">
        <v>1074</v>
      </c>
      <c r="C49" s="65">
        <f t="shared" si="6"/>
        <v>44277</v>
      </c>
      <c r="D49" s="25" t="s">
        <v>82</v>
      </c>
      <c r="E49" s="25" t="s">
        <v>285</v>
      </c>
      <c r="F49" s="25" t="s">
        <v>286</v>
      </c>
      <c r="G49" s="25" t="str">
        <f t="shared" si="7"/>
        <v>Gatik-ATV</v>
      </c>
      <c r="H49" s="25" t="str">
        <f t="shared" si="2"/>
        <v>ATV</v>
      </c>
      <c r="I49" s="25" t="s">
        <v>273</v>
      </c>
      <c r="J49" s="32" t="s">
        <v>405</v>
      </c>
      <c r="K49" s="25" t="str">
        <f t="shared" si="3"/>
        <v>Isuzu North America</v>
      </c>
      <c r="L49" s="25" t="s">
        <v>1959</v>
      </c>
      <c r="M49" s="25"/>
      <c r="N49" s="25"/>
      <c r="O49" s="26" t="s">
        <v>1759</v>
      </c>
      <c r="P49" s="25" t="s">
        <v>943</v>
      </c>
      <c r="Q49" s="25" t="s">
        <v>10</v>
      </c>
      <c r="R49" s="27" t="s">
        <v>69</v>
      </c>
      <c r="S49" s="27" t="s">
        <v>980</v>
      </c>
      <c r="T49" s="27" t="s">
        <v>949</v>
      </c>
      <c r="U49" s="27" t="s">
        <v>949</v>
      </c>
      <c r="V49" s="27" t="s">
        <v>949</v>
      </c>
      <c r="W49" s="27" t="str">
        <f t="shared" si="4"/>
        <v>2.1. Short term Alliance (no exclusivity / previous experience)</v>
      </c>
      <c r="X49" s="8"/>
      <c r="Y49" s="8" t="s">
        <v>1266</v>
      </c>
      <c r="Z49" s="26" t="s">
        <v>15</v>
      </c>
      <c r="AA49" s="8" t="s">
        <v>1266</v>
      </c>
      <c r="AB49" s="26"/>
      <c r="AC49" s="26"/>
      <c r="AD49" s="26"/>
      <c r="AE49" s="26"/>
      <c r="AF49" s="40" t="s">
        <v>82</v>
      </c>
      <c r="AH49" s="6" t="str">
        <f t="shared" si="5"/>
        <v>Gatik-Trucking</v>
      </c>
      <c r="AJ49" s="6" t="str">
        <v>Starship Technologies-Last-Mile</v>
      </c>
    </row>
    <row r="50" spans="1:36" ht="14.25" customHeight="1" x14ac:dyDescent="0.35">
      <c r="A50" s="25" t="s">
        <v>1467</v>
      </c>
      <c r="B50" s="25" t="s">
        <v>1070</v>
      </c>
      <c r="C50" s="65">
        <f t="shared" si="6"/>
        <v>44804</v>
      </c>
      <c r="D50" s="25" t="s">
        <v>77</v>
      </c>
      <c r="E50" s="25" t="s">
        <v>285</v>
      </c>
      <c r="F50" s="25" t="s">
        <v>286</v>
      </c>
      <c r="G50" s="25" t="str">
        <f t="shared" si="7"/>
        <v>Gatik-ATV</v>
      </c>
      <c r="H50" s="25" t="str">
        <f t="shared" si="2"/>
        <v>ATV</v>
      </c>
      <c r="I50" s="25" t="s">
        <v>405</v>
      </c>
      <c r="J50" s="32" t="s">
        <v>405</v>
      </c>
      <c r="K50" s="25" t="str">
        <f t="shared" si="3"/>
        <v>Pitney Bowes</v>
      </c>
      <c r="L50" s="25" t="s">
        <v>710</v>
      </c>
      <c r="M50" s="25"/>
      <c r="N50" s="25"/>
      <c r="O50" s="26" t="s">
        <v>2128</v>
      </c>
      <c r="P50" s="26" t="s">
        <v>78</v>
      </c>
      <c r="Q50" s="25" t="s">
        <v>10</v>
      </c>
      <c r="R50" s="27" t="s">
        <v>53</v>
      </c>
      <c r="S50" s="27" t="s">
        <v>993</v>
      </c>
      <c r="T50" s="27" t="s">
        <v>994</v>
      </c>
      <c r="U50" s="27" t="s">
        <v>949</v>
      </c>
      <c r="V50" s="27" t="s">
        <v>949</v>
      </c>
      <c r="W50" s="27" t="str">
        <f t="shared" si="4"/>
        <v>2.3. Long term Alliance</v>
      </c>
      <c r="X50" s="8"/>
      <c r="Y50" s="8" t="s">
        <v>79</v>
      </c>
      <c r="Z50" s="26" t="s">
        <v>24</v>
      </c>
      <c r="AA50" s="8" t="s">
        <v>79</v>
      </c>
      <c r="AB50" s="26"/>
      <c r="AC50" s="26"/>
      <c r="AD50" s="26"/>
      <c r="AE50" s="26"/>
      <c r="AF50" s="40" t="s">
        <v>77</v>
      </c>
      <c r="AH50" s="6" t="str">
        <f t="shared" si="5"/>
        <v>Gatik-Trucking</v>
      </c>
      <c r="AJ50" s="6" t="str">
        <v>Via-Ridepooling</v>
      </c>
    </row>
    <row r="51" spans="1:36" ht="14.25" customHeight="1" x14ac:dyDescent="0.35">
      <c r="A51" s="25" t="s">
        <v>1469</v>
      </c>
      <c r="B51" s="25" t="s">
        <v>1072</v>
      </c>
      <c r="C51" s="65">
        <f t="shared" si="6"/>
        <v>45000</v>
      </c>
      <c r="D51" s="25" t="s">
        <v>1291</v>
      </c>
      <c r="E51" s="25" t="s">
        <v>285</v>
      </c>
      <c r="F51" s="25" t="s">
        <v>286</v>
      </c>
      <c r="G51" s="25" t="str">
        <f t="shared" si="7"/>
        <v>Gatik-ATV</v>
      </c>
      <c r="H51" s="25" t="str">
        <f t="shared" si="2"/>
        <v>ATV</v>
      </c>
      <c r="I51" s="25" t="s">
        <v>405</v>
      </c>
      <c r="J51" s="32" t="s">
        <v>405</v>
      </c>
      <c r="K51" s="25" t="str">
        <f t="shared" si="3"/>
        <v>Kroger</v>
      </c>
      <c r="L51" s="25" t="s">
        <v>829</v>
      </c>
      <c r="M51" s="25"/>
      <c r="N51" s="25"/>
      <c r="O51" s="26" t="s">
        <v>2129</v>
      </c>
      <c r="P51" s="26" t="s">
        <v>1292</v>
      </c>
      <c r="Q51" s="25" t="s">
        <v>10</v>
      </c>
      <c r="R51" s="27" t="s">
        <v>69</v>
      </c>
      <c r="S51" s="27" t="s">
        <v>991</v>
      </c>
      <c r="T51" s="27" t="s">
        <v>994</v>
      </c>
      <c r="U51" s="27" t="s">
        <v>949</v>
      </c>
      <c r="V51" s="27" t="s">
        <v>949</v>
      </c>
      <c r="W51" s="27" t="str">
        <f t="shared" si="4"/>
        <v>2.3. Long term Alliance</v>
      </c>
      <c r="X51" s="7"/>
      <c r="Y51" s="7" t="s">
        <v>1293</v>
      </c>
      <c r="Z51" s="26" t="s">
        <v>8</v>
      </c>
      <c r="AA51" s="7" t="s">
        <v>1293</v>
      </c>
      <c r="AB51" s="26"/>
      <c r="AC51" s="26"/>
      <c r="AD51" s="26"/>
      <c r="AE51" s="26"/>
      <c r="AF51" s="40" t="s">
        <v>1291</v>
      </c>
      <c r="AH51" s="6" t="str">
        <f t="shared" si="5"/>
        <v>Gatik-Trucking</v>
      </c>
      <c r="AJ51" s="6" t="str">
        <v>Lohr-Ridepooling</v>
      </c>
    </row>
    <row r="52" spans="1:36" ht="14.25" customHeight="1" x14ac:dyDescent="0.35">
      <c r="A52" s="25" t="s">
        <v>1474</v>
      </c>
      <c r="B52" s="25" t="s">
        <v>1077</v>
      </c>
      <c r="C52" s="65">
        <f t="shared" si="6"/>
        <v>43199</v>
      </c>
      <c r="D52" s="25" t="s">
        <v>1234</v>
      </c>
      <c r="E52" s="25" t="s">
        <v>338</v>
      </c>
      <c r="F52" s="25" t="s">
        <v>320</v>
      </c>
      <c r="G52" s="25" t="str">
        <f t="shared" si="7"/>
        <v>Ioki-SAV</v>
      </c>
      <c r="H52" s="25" t="str">
        <f t="shared" si="2"/>
        <v>SAV</v>
      </c>
      <c r="I52" s="25" t="s">
        <v>372</v>
      </c>
      <c r="J52" s="32" t="s">
        <v>372</v>
      </c>
      <c r="K52" s="25" t="str">
        <f t="shared" si="3"/>
        <v>Deutsche Bahn;Berliner Verkehrsbetriebe</v>
      </c>
      <c r="L52" s="25" t="s">
        <v>888</v>
      </c>
      <c r="M52" s="25" t="s">
        <v>917</v>
      </c>
      <c r="N52" s="25"/>
      <c r="O52" s="26" t="s">
        <v>1721</v>
      </c>
      <c r="P52" s="26" t="s">
        <v>995</v>
      </c>
      <c r="Q52" s="25" t="s">
        <v>10</v>
      </c>
      <c r="R52" s="27" t="s">
        <v>69</v>
      </c>
      <c r="S52" s="27" t="s">
        <v>1191</v>
      </c>
      <c r="T52" s="27" t="s">
        <v>949</v>
      </c>
      <c r="U52" s="27" t="s">
        <v>949</v>
      </c>
      <c r="V52" s="27" t="s">
        <v>949</v>
      </c>
      <c r="W52" s="27" t="str">
        <f t="shared" si="4"/>
        <v>2.1. Short term Alliance (no exclusivity / previous experience)</v>
      </c>
      <c r="X52" s="8"/>
      <c r="Y52" s="8" t="s">
        <v>86</v>
      </c>
      <c r="Z52" s="26" t="s">
        <v>15</v>
      </c>
      <c r="AA52" s="8" t="s">
        <v>1217</v>
      </c>
      <c r="AB52" s="26"/>
      <c r="AC52" s="26"/>
      <c r="AD52" s="26"/>
      <c r="AE52" s="26"/>
      <c r="AF52" s="40" t="s">
        <v>1846</v>
      </c>
      <c r="AG52" s="40" t="s">
        <v>1847</v>
      </c>
      <c r="AH52" s="6" t="str">
        <f t="shared" si="5"/>
        <v>Ioki-Ridepooling</v>
      </c>
      <c r="AJ52" s="6" t="str">
        <v>Uber Eats-Last-Mile</v>
      </c>
    </row>
    <row r="53" spans="1:36" ht="14.25" customHeight="1" x14ac:dyDescent="0.35">
      <c r="A53" s="25" t="s">
        <v>1473</v>
      </c>
      <c r="B53" s="25" t="s">
        <v>1076</v>
      </c>
      <c r="C53" s="65">
        <f t="shared" si="6"/>
        <v>45070</v>
      </c>
      <c r="D53" s="25" t="s">
        <v>84</v>
      </c>
      <c r="E53" s="25" t="s">
        <v>338</v>
      </c>
      <c r="F53" s="25" t="s">
        <v>320</v>
      </c>
      <c r="G53" s="25" t="str">
        <f t="shared" si="7"/>
        <v>Ioki-SAV</v>
      </c>
      <c r="H53" s="25" t="str">
        <f t="shared" si="2"/>
        <v>SAV</v>
      </c>
      <c r="I53" s="25" t="s">
        <v>372</v>
      </c>
      <c r="J53" s="32" t="s">
        <v>372</v>
      </c>
      <c r="K53" s="25" t="str">
        <f t="shared" si="3"/>
        <v>MINGA</v>
      </c>
      <c r="L53" s="25" t="s">
        <v>1960</v>
      </c>
      <c r="M53" s="25"/>
      <c r="N53" s="25"/>
      <c r="O53" s="26" t="s">
        <v>1659</v>
      </c>
      <c r="P53" s="26" t="s">
        <v>944</v>
      </c>
      <c r="Q53" s="25" t="s">
        <v>10</v>
      </c>
      <c r="R53" s="27" t="s">
        <v>69</v>
      </c>
      <c r="S53" s="27" t="s">
        <v>1191</v>
      </c>
      <c r="T53" s="27" t="s">
        <v>949</v>
      </c>
      <c r="U53" s="27" t="s">
        <v>949</v>
      </c>
      <c r="V53" s="27" t="s">
        <v>949</v>
      </c>
      <c r="W53" s="27" t="str">
        <f t="shared" si="4"/>
        <v>2.1. Short term Alliance (no exclusivity / previous experience)</v>
      </c>
      <c r="X53" s="8"/>
      <c r="Y53" s="8" t="s">
        <v>85</v>
      </c>
      <c r="Z53" s="26" t="s">
        <v>8</v>
      </c>
      <c r="AA53" s="8" t="s">
        <v>85</v>
      </c>
      <c r="AB53" s="26"/>
      <c r="AC53" s="26"/>
      <c r="AD53" s="26"/>
      <c r="AE53" s="26"/>
      <c r="AF53" s="40" t="s">
        <v>1868</v>
      </c>
      <c r="AG53" s="40" t="s">
        <v>1869</v>
      </c>
      <c r="AH53" s="6" t="str">
        <f t="shared" si="5"/>
        <v>Ioki-Ridepooling</v>
      </c>
      <c r="AJ53" s="6" t="str">
        <v>Torc-Ridepooling</v>
      </c>
    </row>
    <row r="54" spans="1:36" ht="14.25" customHeight="1" x14ac:dyDescent="0.35">
      <c r="A54" s="25" t="s">
        <v>1476</v>
      </c>
      <c r="B54" s="25" t="s">
        <v>1079</v>
      </c>
      <c r="C54" s="65">
        <f t="shared" si="6"/>
        <v>44972</v>
      </c>
      <c r="D54" s="25" t="s">
        <v>88</v>
      </c>
      <c r="E54" s="25" t="s">
        <v>293</v>
      </c>
      <c r="F54" s="25" t="s">
        <v>309</v>
      </c>
      <c r="G54" s="25" t="str">
        <f t="shared" si="7"/>
        <v>Kiwibot-ATV</v>
      </c>
      <c r="H54" s="25" t="str">
        <f t="shared" si="2"/>
        <v>ATV</v>
      </c>
      <c r="I54" s="25" t="s">
        <v>273</v>
      </c>
      <c r="J54" s="32" t="s">
        <v>273</v>
      </c>
      <c r="K54" s="25" t="str">
        <f t="shared" si="3"/>
        <v>Aramex</v>
      </c>
      <c r="L54" s="25" t="s">
        <v>680</v>
      </c>
      <c r="M54" s="25"/>
      <c r="N54" s="25"/>
      <c r="O54" s="26" t="s">
        <v>1702</v>
      </c>
      <c r="P54" s="26" t="s">
        <v>1703</v>
      </c>
      <c r="Q54" s="25" t="s">
        <v>10</v>
      </c>
      <c r="R54" s="27" t="s">
        <v>69</v>
      </c>
      <c r="S54" s="27" t="s">
        <v>1191</v>
      </c>
      <c r="T54" s="27" t="s">
        <v>949</v>
      </c>
      <c r="U54" s="27" t="s">
        <v>949</v>
      </c>
      <c r="V54" s="27" t="s">
        <v>949</v>
      </c>
      <c r="W54" s="27" t="str">
        <f t="shared" si="4"/>
        <v>2.1. Short term Alliance (no exclusivity / previous experience)</v>
      </c>
      <c r="X54" s="29"/>
      <c r="Y54" s="8" t="s">
        <v>1703</v>
      </c>
      <c r="Z54" s="26" t="s">
        <v>8</v>
      </c>
      <c r="AA54" s="8" t="s">
        <v>15</v>
      </c>
      <c r="AB54" s="9"/>
      <c r="AC54" s="28" t="s">
        <v>2155</v>
      </c>
      <c r="AD54" s="26"/>
      <c r="AE54" s="26"/>
      <c r="AF54" s="40" t="s">
        <v>1781</v>
      </c>
      <c r="AG54" s="40" t="s">
        <v>1782</v>
      </c>
      <c r="AH54" s="6" t="str">
        <f t="shared" si="5"/>
        <v>Kiwibot-Last-Mile</v>
      </c>
      <c r="AJ54" s="6" t="str">
        <v>ZF-Trucking</v>
      </c>
    </row>
    <row r="55" spans="1:36" ht="14.25" customHeight="1" x14ac:dyDescent="0.35">
      <c r="A55" s="25" t="s">
        <v>1475</v>
      </c>
      <c r="B55" s="25" t="s">
        <v>1078</v>
      </c>
      <c r="C55" s="65">
        <f t="shared" si="6"/>
        <v>44570</v>
      </c>
      <c r="D55" s="25" t="s">
        <v>87</v>
      </c>
      <c r="E55" s="25" t="s">
        <v>293</v>
      </c>
      <c r="F55" s="25" t="s">
        <v>309</v>
      </c>
      <c r="G55" s="25" t="str">
        <f t="shared" si="7"/>
        <v>Kiwibot-ATV</v>
      </c>
      <c r="H55" s="25" t="str">
        <f t="shared" si="2"/>
        <v>ATV</v>
      </c>
      <c r="I55" s="25" t="s">
        <v>273</v>
      </c>
      <c r="J55" s="32" t="s">
        <v>273</v>
      </c>
      <c r="K55" s="25" t="str">
        <f t="shared" si="3"/>
        <v>Grubhub</v>
      </c>
      <c r="L55" s="25" t="s">
        <v>574</v>
      </c>
      <c r="M55" s="25"/>
      <c r="N55" s="25"/>
      <c r="O55" s="26" t="s">
        <v>1904</v>
      </c>
      <c r="P55" s="26" t="s">
        <v>1288</v>
      </c>
      <c r="Q55" s="25" t="s">
        <v>10</v>
      </c>
      <c r="R55" s="27" t="s">
        <v>69</v>
      </c>
      <c r="S55" s="27" t="s">
        <v>993</v>
      </c>
      <c r="T55" s="27" t="s">
        <v>1190</v>
      </c>
      <c r="U55" s="27" t="s">
        <v>949</v>
      </c>
      <c r="V55" s="27" t="s">
        <v>949</v>
      </c>
      <c r="W55" s="27" t="str">
        <f t="shared" si="4"/>
        <v>2.1. Short term Alliance (no exclusivity / previous experience)</v>
      </c>
      <c r="X55" s="8"/>
      <c r="Y55" s="8" t="s">
        <v>1594</v>
      </c>
      <c r="Z55" s="26" t="s">
        <v>8</v>
      </c>
      <c r="AA55" s="8" t="s">
        <v>1594</v>
      </c>
      <c r="AB55" s="26"/>
      <c r="AC55" s="26"/>
      <c r="AD55" s="26"/>
      <c r="AE55" s="26"/>
      <c r="AF55" s="40" t="s">
        <v>87</v>
      </c>
      <c r="AH55" s="6" t="str">
        <f t="shared" si="5"/>
        <v>Kiwibot-Last-Mile</v>
      </c>
      <c r="AJ55" s="6" t="str">
        <v>Waymo-Trucking</v>
      </c>
    </row>
    <row r="56" spans="1:36" ht="14.25" customHeight="1" x14ac:dyDescent="0.35">
      <c r="A56" s="25" t="s">
        <v>1477</v>
      </c>
      <c r="B56" s="25" t="s">
        <v>1080</v>
      </c>
      <c r="C56" s="65">
        <f t="shared" si="6"/>
        <v>44979</v>
      </c>
      <c r="D56" s="28" t="s">
        <v>89</v>
      </c>
      <c r="E56" s="28" t="s">
        <v>293</v>
      </c>
      <c r="F56" s="25" t="s">
        <v>309</v>
      </c>
      <c r="G56" s="25" t="str">
        <f t="shared" si="7"/>
        <v>Kiwibot-ATV</v>
      </c>
      <c r="H56" s="25" t="str">
        <f t="shared" si="2"/>
        <v>ATV</v>
      </c>
      <c r="I56" s="25" t="s">
        <v>273</v>
      </c>
      <c r="J56" s="32" t="s">
        <v>273</v>
      </c>
      <c r="K56" s="25" t="str">
        <f t="shared" si="3"/>
        <v>kineo</v>
      </c>
      <c r="L56" s="25" t="s">
        <v>593</v>
      </c>
      <c r="M56" s="25"/>
      <c r="N56" s="25"/>
      <c r="O56" s="30" t="s">
        <v>1757</v>
      </c>
      <c r="P56" s="30" t="s">
        <v>1341</v>
      </c>
      <c r="Q56" s="38" t="s">
        <v>17</v>
      </c>
      <c r="R56" s="27" t="s">
        <v>69</v>
      </c>
      <c r="S56" s="27" t="s">
        <v>1192</v>
      </c>
      <c r="T56" s="27" t="s">
        <v>949</v>
      </c>
      <c r="U56" s="27" t="s">
        <v>949</v>
      </c>
      <c r="V56" s="27" t="s">
        <v>949</v>
      </c>
      <c r="W56" s="27" t="str">
        <f t="shared" si="4"/>
        <v>3. Strategic Partnership</v>
      </c>
      <c r="X56" s="8"/>
      <c r="Y56" s="8" t="s">
        <v>1341</v>
      </c>
      <c r="Z56" s="26" t="s">
        <v>1200</v>
      </c>
      <c r="AA56" s="8" t="s">
        <v>1341</v>
      </c>
      <c r="AB56" s="26"/>
      <c r="AC56" s="26"/>
      <c r="AD56" s="26"/>
      <c r="AE56" s="26"/>
      <c r="AF56" s="40" t="s">
        <v>89</v>
      </c>
      <c r="AH56" s="6" t="str">
        <f t="shared" si="5"/>
        <v>Kiwibot-Last-Mile</v>
      </c>
      <c r="AJ56" s="6" t="str">
        <v>Lyft-Ridehailing</v>
      </c>
    </row>
    <row r="57" spans="1:36" ht="14.25" customHeight="1" x14ac:dyDescent="0.35">
      <c r="A57" s="25" t="s">
        <v>1479</v>
      </c>
      <c r="B57" s="25" t="s">
        <v>1082</v>
      </c>
      <c r="C57" s="65">
        <f t="shared" si="6"/>
        <v>44768</v>
      </c>
      <c r="D57" s="25" t="s">
        <v>91</v>
      </c>
      <c r="E57" s="25" t="s">
        <v>408</v>
      </c>
      <c r="F57" s="25" t="s">
        <v>286</v>
      </c>
      <c r="G57" s="25" t="str">
        <f t="shared" si="7"/>
        <v>Kodiak-ATV</v>
      </c>
      <c r="H57" s="25" t="str">
        <f t="shared" si="2"/>
        <v>ATV</v>
      </c>
      <c r="I57" s="25" t="s">
        <v>405</v>
      </c>
      <c r="J57" s="32" t="s">
        <v>405</v>
      </c>
      <c r="K57" s="25" t="str">
        <f t="shared" si="3"/>
        <v>Ten Roads Express</v>
      </c>
      <c r="L57" s="25" t="s">
        <v>2077</v>
      </c>
      <c r="M57" s="25"/>
      <c r="N57" s="25"/>
      <c r="O57" s="26" t="s">
        <v>1738</v>
      </c>
      <c r="P57" s="26" t="s">
        <v>1353</v>
      </c>
      <c r="Q57" s="25" t="s">
        <v>10</v>
      </c>
      <c r="R57" s="27" t="s">
        <v>69</v>
      </c>
      <c r="S57" s="27" t="s">
        <v>1021</v>
      </c>
      <c r="T57" s="27" t="s">
        <v>949</v>
      </c>
      <c r="U57" s="27" t="s">
        <v>949</v>
      </c>
      <c r="V57" s="27" t="s">
        <v>949</v>
      </c>
      <c r="W57" s="27" t="str">
        <f t="shared" si="4"/>
        <v>2.1. Short term Alliance (no exclusivity / previous experience)</v>
      </c>
      <c r="X57" s="8"/>
      <c r="Y57" s="8" t="s">
        <v>92</v>
      </c>
      <c r="Z57" s="26" t="s">
        <v>24</v>
      </c>
      <c r="AA57" s="8" t="s">
        <v>92</v>
      </c>
      <c r="AB57" s="26"/>
      <c r="AC57" s="26"/>
      <c r="AD57" s="26"/>
      <c r="AE57" s="26"/>
      <c r="AF57" s="40" t="s">
        <v>1843</v>
      </c>
      <c r="AG57" s="40" t="s">
        <v>678</v>
      </c>
      <c r="AH57" s="6" t="str">
        <f t="shared" si="5"/>
        <v>Kodiak-Trucking</v>
      </c>
      <c r="AJ57" s="6" t="str">
        <v>Waymo-Last-Mile</v>
      </c>
    </row>
    <row r="58" spans="1:36" ht="14.25" customHeight="1" x14ac:dyDescent="0.35">
      <c r="A58" s="25" t="s">
        <v>1478</v>
      </c>
      <c r="B58" s="25" t="s">
        <v>1081</v>
      </c>
      <c r="C58" s="65">
        <f t="shared" si="6"/>
        <v>44833</v>
      </c>
      <c r="D58" s="25" t="s">
        <v>90</v>
      </c>
      <c r="E58" s="25" t="s">
        <v>408</v>
      </c>
      <c r="F58" s="25" t="s">
        <v>286</v>
      </c>
      <c r="G58" s="25" t="str">
        <f t="shared" si="7"/>
        <v>Kodiak-ATV</v>
      </c>
      <c r="H58" s="25" t="str">
        <f t="shared" si="2"/>
        <v>ATV</v>
      </c>
      <c r="I58" s="25" t="s">
        <v>405</v>
      </c>
      <c r="J58" s="32" t="s">
        <v>405</v>
      </c>
      <c r="K58" s="25" t="str">
        <f t="shared" si="3"/>
        <v>Werner</v>
      </c>
      <c r="L58" s="25" t="s">
        <v>707</v>
      </c>
      <c r="M58" s="25"/>
      <c r="N58" s="25"/>
      <c r="O58" s="26" t="s">
        <v>1696</v>
      </c>
      <c r="P58" s="26" t="s">
        <v>1244</v>
      </c>
      <c r="Q58" s="25" t="s">
        <v>10</v>
      </c>
      <c r="R58" s="27" t="s">
        <v>69</v>
      </c>
      <c r="S58" s="27" t="s">
        <v>1191</v>
      </c>
      <c r="T58" s="27" t="s">
        <v>949</v>
      </c>
      <c r="U58" s="27" t="s">
        <v>949</v>
      </c>
      <c r="V58" s="27" t="s">
        <v>949</v>
      </c>
      <c r="W58" s="27" t="str">
        <f t="shared" si="4"/>
        <v>2.1. Short term Alliance (no exclusivity / previous experience)</v>
      </c>
      <c r="X58" s="8"/>
      <c r="Y58" s="8" t="s">
        <v>1630</v>
      </c>
      <c r="Z58" s="26" t="s">
        <v>15</v>
      </c>
      <c r="AA58" s="8" t="s">
        <v>1630</v>
      </c>
      <c r="AB58" s="26"/>
      <c r="AC58" s="26"/>
      <c r="AD58" s="26"/>
      <c r="AE58" s="26"/>
      <c r="AF58" s="40" t="s">
        <v>90</v>
      </c>
      <c r="AH58" s="6" t="str">
        <f t="shared" si="5"/>
        <v>Kodiak-Trucking</v>
      </c>
    </row>
    <row r="59" spans="1:36" ht="14.25" customHeight="1" x14ac:dyDescent="0.35">
      <c r="A59" s="25" t="s">
        <v>1481</v>
      </c>
      <c r="B59" s="25" t="s">
        <v>1084</v>
      </c>
      <c r="C59" s="65">
        <f t="shared" si="6"/>
        <v>44641</v>
      </c>
      <c r="D59" s="28" t="s">
        <v>94</v>
      </c>
      <c r="E59" s="28" t="s">
        <v>386</v>
      </c>
      <c r="F59" s="25" t="s">
        <v>286</v>
      </c>
      <c r="G59" s="25" t="str">
        <f t="shared" si="7"/>
        <v>May Mobility-SAV</v>
      </c>
      <c r="H59" s="25" t="str">
        <f t="shared" si="2"/>
        <v>SAV</v>
      </c>
      <c r="I59" s="25" t="s">
        <v>341</v>
      </c>
      <c r="J59" s="32" t="s">
        <v>341</v>
      </c>
      <c r="K59" s="25" t="str">
        <f t="shared" si="3"/>
        <v>Bridgestone</v>
      </c>
      <c r="L59" s="25" t="s">
        <v>512</v>
      </c>
      <c r="M59" s="25"/>
      <c r="N59" s="25"/>
      <c r="O59" s="30" t="s">
        <v>1393</v>
      </c>
      <c r="P59" s="37" t="s">
        <v>1336</v>
      </c>
      <c r="Q59" s="38" t="s">
        <v>17</v>
      </c>
      <c r="R59" s="27" t="s">
        <v>69</v>
      </c>
      <c r="S59" s="27" t="s">
        <v>991</v>
      </c>
      <c r="T59" s="27" t="s">
        <v>949</v>
      </c>
      <c r="U59" s="27" t="s">
        <v>949</v>
      </c>
      <c r="V59" s="27" t="s">
        <v>949</v>
      </c>
      <c r="W59" s="27" t="str">
        <f t="shared" si="4"/>
        <v>3. Strategic Partnership</v>
      </c>
      <c r="X59" s="29"/>
      <c r="Y59" s="8" t="s">
        <v>1337</v>
      </c>
      <c r="Z59" s="26" t="s">
        <v>15</v>
      </c>
      <c r="AA59" s="8" t="s">
        <v>1614</v>
      </c>
      <c r="AB59" s="28" t="s">
        <v>38</v>
      </c>
      <c r="AC59" s="28" t="s">
        <v>1615</v>
      </c>
      <c r="AD59" s="26"/>
      <c r="AE59" s="26"/>
      <c r="AF59" s="40" t="s">
        <v>1789</v>
      </c>
      <c r="AG59" s="40" t="s">
        <v>1790</v>
      </c>
      <c r="AH59" s="6" t="str">
        <f t="shared" si="5"/>
        <v>May Mobility-Ridehailing</v>
      </c>
    </row>
    <row r="60" spans="1:36" ht="14.25" customHeight="1" x14ac:dyDescent="0.35">
      <c r="A60" s="25" t="s">
        <v>1483</v>
      </c>
      <c r="B60" s="25" t="s">
        <v>1086</v>
      </c>
      <c r="C60" s="65">
        <f t="shared" si="6"/>
        <v>45013</v>
      </c>
      <c r="D60" s="25" t="s">
        <v>96</v>
      </c>
      <c r="E60" s="25" t="s">
        <v>386</v>
      </c>
      <c r="F60" s="25" t="s">
        <v>286</v>
      </c>
      <c r="G60" s="25" t="str">
        <f t="shared" si="7"/>
        <v>May Mobility-SAV</v>
      </c>
      <c r="H60" s="25" t="str">
        <f t="shared" si="2"/>
        <v>SAV</v>
      </c>
      <c r="I60" s="25" t="s">
        <v>341</v>
      </c>
      <c r="J60" s="32" t="s">
        <v>341</v>
      </c>
      <c r="K60" s="25" t="str">
        <f t="shared" si="3"/>
        <v>Stantec</v>
      </c>
      <c r="L60" s="25" t="s">
        <v>539</v>
      </c>
      <c r="M60" s="25"/>
      <c r="N60" s="25"/>
      <c r="O60" s="26" t="s">
        <v>1399</v>
      </c>
      <c r="P60" s="26" t="s">
        <v>1346</v>
      </c>
      <c r="Q60" s="25" t="s">
        <v>10</v>
      </c>
      <c r="R60" s="27" t="s">
        <v>69</v>
      </c>
      <c r="S60" s="27" t="s">
        <v>978</v>
      </c>
      <c r="T60" s="27" t="s">
        <v>949</v>
      </c>
      <c r="U60" s="27" t="s">
        <v>949</v>
      </c>
      <c r="V60" s="27" t="s">
        <v>949</v>
      </c>
      <c r="W60" s="27" t="str">
        <f t="shared" si="4"/>
        <v>2.1. Short term Alliance (no exclusivity / previous experience)</v>
      </c>
      <c r="X60" s="8"/>
      <c r="Y60" s="8" t="s">
        <v>97</v>
      </c>
      <c r="Z60" s="26" t="s">
        <v>15</v>
      </c>
      <c r="AA60" s="8" t="s">
        <v>97</v>
      </c>
      <c r="AB60" s="26"/>
      <c r="AC60" s="26"/>
      <c r="AD60" s="26"/>
      <c r="AE60" s="26"/>
      <c r="AF60" s="40" t="s">
        <v>1886</v>
      </c>
      <c r="AG60" s="40" t="s">
        <v>1887</v>
      </c>
      <c r="AH60" s="6" t="str">
        <f t="shared" si="5"/>
        <v>May Mobility-Ridehailing</v>
      </c>
    </row>
    <row r="61" spans="1:36" ht="14.25" customHeight="1" x14ac:dyDescent="0.35">
      <c r="A61" s="25" t="s">
        <v>1485</v>
      </c>
      <c r="B61" s="25" t="s">
        <v>1088</v>
      </c>
      <c r="C61" s="65">
        <f t="shared" si="6"/>
        <v>45126</v>
      </c>
      <c r="D61" s="25" t="s">
        <v>99</v>
      </c>
      <c r="E61" s="25" t="s">
        <v>386</v>
      </c>
      <c r="F61" s="25" t="s">
        <v>286</v>
      </c>
      <c r="G61" s="25" t="str">
        <f t="shared" si="7"/>
        <v>May Mobility-SAV</v>
      </c>
      <c r="H61" s="25" t="str">
        <f t="shared" si="2"/>
        <v>SAV</v>
      </c>
      <c r="I61" s="25" t="s">
        <v>341</v>
      </c>
      <c r="J61" s="32" t="s">
        <v>341</v>
      </c>
      <c r="K61" s="25" t="str">
        <f t="shared" si="3"/>
        <v>Spare</v>
      </c>
      <c r="L61" s="25" t="s">
        <v>715</v>
      </c>
      <c r="M61" s="25"/>
      <c r="N61" s="25"/>
      <c r="O61" s="26" t="s">
        <v>1670</v>
      </c>
      <c r="P61" s="26" t="s">
        <v>945</v>
      </c>
      <c r="Q61" s="25" t="s">
        <v>10</v>
      </c>
      <c r="R61" s="27" t="s">
        <v>69</v>
      </c>
      <c r="S61" s="27" t="s">
        <v>978</v>
      </c>
      <c r="T61" s="27" t="s">
        <v>949</v>
      </c>
      <c r="U61" s="27" t="s">
        <v>949</v>
      </c>
      <c r="V61" s="27" t="s">
        <v>949</v>
      </c>
      <c r="W61" s="27" t="str">
        <f t="shared" si="4"/>
        <v>2.1. Short term Alliance (no exclusivity / previous experience)</v>
      </c>
      <c r="X61" s="8"/>
      <c r="Y61" s="8" t="s">
        <v>1403</v>
      </c>
      <c r="Z61" s="26" t="s">
        <v>8</v>
      </c>
      <c r="AA61" s="8" t="s">
        <v>1403</v>
      </c>
      <c r="AB61" s="26"/>
      <c r="AC61" s="26"/>
      <c r="AD61" s="26"/>
      <c r="AE61" s="26"/>
      <c r="AF61" s="40" t="s">
        <v>99</v>
      </c>
      <c r="AH61" s="6" t="str">
        <f t="shared" si="5"/>
        <v>May Mobility-Ridehailing</v>
      </c>
    </row>
    <row r="62" spans="1:36" ht="14.25" customHeight="1" x14ac:dyDescent="0.35">
      <c r="A62" s="25" t="s">
        <v>1482</v>
      </c>
      <c r="B62" s="25" t="s">
        <v>1085</v>
      </c>
      <c r="C62" s="65">
        <f t="shared" si="6"/>
        <v>45029</v>
      </c>
      <c r="D62" s="25" t="s">
        <v>95</v>
      </c>
      <c r="E62" s="25" t="s">
        <v>386</v>
      </c>
      <c r="F62" s="25" t="s">
        <v>286</v>
      </c>
      <c r="G62" s="25" t="str">
        <f t="shared" si="7"/>
        <v>May Mobility-SAV</v>
      </c>
      <c r="H62" s="25" t="str">
        <f t="shared" si="2"/>
        <v>SAV</v>
      </c>
      <c r="I62" s="25" t="s">
        <v>341</v>
      </c>
      <c r="J62" s="32" t="s">
        <v>341</v>
      </c>
      <c r="K62" s="25" t="str">
        <f t="shared" si="3"/>
        <v>Moovit</v>
      </c>
      <c r="L62" s="25" t="s">
        <v>740</v>
      </c>
      <c r="M62" s="25"/>
      <c r="N62" s="25"/>
      <c r="O62" s="26" t="s">
        <v>1672</v>
      </c>
      <c r="P62" s="26" t="s">
        <v>996</v>
      </c>
      <c r="Q62" s="25" t="s">
        <v>10</v>
      </c>
      <c r="R62" s="27" t="s">
        <v>69</v>
      </c>
      <c r="S62" s="27" t="s">
        <v>978</v>
      </c>
      <c r="T62" s="27" t="s">
        <v>949</v>
      </c>
      <c r="U62" s="27" t="s">
        <v>949</v>
      </c>
      <c r="V62" s="27" t="s">
        <v>949</v>
      </c>
      <c r="W62" s="27" t="str">
        <f t="shared" si="4"/>
        <v>2.1. Short term Alliance (no exclusivity / previous experience)</v>
      </c>
      <c r="X62" s="8"/>
      <c r="Y62" s="8" t="s">
        <v>1274</v>
      </c>
      <c r="Z62" s="26" t="s">
        <v>8</v>
      </c>
      <c r="AA62" s="8" t="s">
        <v>1274</v>
      </c>
      <c r="AB62" s="26"/>
      <c r="AC62" s="26"/>
      <c r="AD62" s="26"/>
      <c r="AE62" s="26"/>
      <c r="AF62" s="40" t="s">
        <v>95</v>
      </c>
      <c r="AH62" s="6" t="str">
        <f t="shared" si="5"/>
        <v>May Mobility-Ridehailing</v>
      </c>
    </row>
    <row r="63" spans="1:36" ht="14.25" customHeight="1" x14ac:dyDescent="0.35">
      <c r="A63" s="25" t="s">
        <v>1480</v>
      </c>
      <c r="B63" s="25" t="s">
        <v>1083</v>
      </c>
      <c r="C63" s="65">
        <f t="shared" si="6"/>
        <v>44951</v>
      </c>
      <c r="D63" s="25" t="s">
        <v>93</v>
      </c>
      <c r="E63" s="25" t="s">
        <v>386</v>
      </c>
      <c r="F63" s="25" t="s">
        <v>286</v>
      </c>
      <c r="G63" s="25" t="str">
        <f t="shared" si="7"/>
        <v>May Mobility-SAV</v>
      </c>
      <c r="H63" s="25" t="str">
        <f t="shared" si="2"/>
        <v>SAV</v>
      </c>
      <c r="I63" s="25" t="s">
        <v>341</v>
      </c>
      <c r="J63" s="32" t="s">
        <v>341</v>
      </c>
      <c r="K63" s="25" t="str">
        <f t="shared" si="3"/>
        <v>Liftango</v>
      </c>
      <c r="L63" s="25" t="s">
        <v>732</v>
      </c>
      <c r="M63" s="25"/>
      <c r="N63" s="25"/>
      <c r="O63" s="26" t="s">
        <v>1673</v>
      </c>
      <c r="P63" s="26" t="s">
        <v>1275</v>
      </c>
      <c r="Q63" s="25" t="s">
        <v>10</v>
      </c>
      <c r="R63" s="27" t="s">
        <v>69</v>
      </c>
      <c r="S63" s="27" t="s">
        <v>978</v>
      </c>
      <c r="T63" s="27" t="s">
        <v>949</v>
      </c>
      <c r="U63" s="27" t="s">
        <v>949</v>
      </c>
      <c r="V63" s="27" t="s">
        <v>949</v>
      </c>
      <c r="W63" s="27" t="str">
        <f t="shared" si="4"/>
        <v>2.1. Short term Alliance (no exclusivity / previous experience)</v>
      </c>
      <c r="X63" s="8"/>
      <c r="Y63" s="8" t="s">
        <v>1277</v>
      </c>
      <c r="Z63" s="26" t="s">
        <v>8</v>
      </c>
      <c r="AA63" s="8" t="s">
        <v>1276</v>
      </c>
      <c r="AB63" s="26"/>
      <c r="AC63" s="26"/>
      <c r="AD63" s="26"/>
      <c r="AE63" s="26"/>
      <c r="AF63" s="40" t="s">
        <v>93</v>
      </c>
      <c r="AH63" s="6" t="str">
        <f t="shared" si="5"/>
        <v>May Mobility-Ridehailing</v>
      </c>
    </row>
    <row r="64" spans="1:36" ht="14" customHeight="1" x14ac:dyDescent="0.35">
      <c r="A64" s="25" t="s">
        <v>1484</v>
      </c>
      <c r="B64" s="25" t="s">
        <v>1087</v>
      </c>
      <c r="C64" s="65">
        <f t="shared" si="6"/>
        <v>43848</v>
      </c>
      <c r="D64" s="25" t="s">
        <v>98</v>
      </c>
      <c r="E64" s="25" t="s">
        <v>386</v>
      </c>
      <c r="F64" s="25" t="s">
        <v>286</v>
      </c>
      <c r="G64" s="25" t="str">
        <f t="shared" si="7"/>
        <v>May Mobility-SAV</v>
      </c>
      <c r="H64" s="25" t="str">
        <f t="shared" si="2"/>
        <v>SAV</v>
      </c>
      <c r="I64" s="25" t="s">
        <v>341</v>
      </c>
      <c r="J64" s="32" t="s">
        <v>372</v>
      </c>
      <c r="K64" s="25" t="str">
        <f t="shared" si="3"/>
        <v>Via</v>
      </c>
      <c r="L64" s="279" t="s">
        <v>724</v>
      </c>
      <c r="M64" s="25"/>
      <c r="N64" s="25"/>
      <c r="O64" s="26" t="s">
        <v>1682</v>
      </c>
      <c r="P64" s="26" t="s">
        <v>1302</v>
      </c>
      <c r="Q64" s="25" t="s">
        <v>10</v>
      </c>
      <c r="R64" s="27" t="s">
        <v>69</v>
      </c>
      <c r="S64" s="27" t="s">
        <v>978</v>
      </c>
      <c r="T64" s="27" t="s">
        <v>1196</v>
      </c>
      <c r="U64" s="27" t="s">
        <v>949</v>
      </c>
      <c r="V64" s="27" t="s">
        <v>949</v>
      </c>
      <c r="W64" s="27" t="str">
        <f t="shared" si="4"/>
        <v>2.3. Long term Alliance</v>
      </c>
      <c r="X64" s="8"/>
      <c r="Y64" s="8" t="s">
        <v>1304</v>
      </c>
      <c r="Z64" s="26" t="s">
        <v>8</v>
      </c>
      <c r="AA64" s="8" t="s">
        <v>1303</v>
      </c>
      <c r="AB64" s="26"/>
      <c r="AC64" s="26"/>
      <c r="AD64" s="26"/>
      <c r="AE64" s="26"/>
      <c r="AF64" s="40" t="s">
        <v>98</v>
      </c>
      <c r="AH64" s="6" t="str">
        <f t="shared" si="5"/>
        <v>May Mobility-Ridepooling</v>
      </c>
    </row>
    <row r="65" spans="1:34" ht="14.25" customHeight="1" x14ac:dyDescent="0.35">
      <c r="A65" s="25" t="s">
        <v>1518</v>
      </c>
      <c r="B65" s="25" t="s">
        <v>1108</v>
      </c>
      <c r="C65" s="65">
        <f t="shared" si="6"/>
        <v>42088</v>
      </c>
      <c r="D65" s="25" t="s">
        <v>147</v>
      </c>
      <c r="E65" s="25" t="s">
        <v>141</v>
      </c>
      <c r="F65" s="25" t="s">
        <v>286</v>
      </c>
      <c r="G65" s="25" t="str">
        <f t="shared" si="7"/>
        <v>Perrone Robotics-SAV</v>
      </c>
      <c r="H65" s="25" t="str">
        <f t="shared" si="2"/>
        <v>SAV</v>
      </c>
      <c r="I65" s="25" t="s">
        <v>372</v>
      </c>
      <c r="J65" s="32" t="s">
        <v>372</v>
      </c>
      <c r="K65" s="25" t="str">
        <f t="shared" si="3"/>
        <v>Mission Secure</v>
      </c>
      <c r="L65" s="25" t="s">
        <v>563</v>
      </c>
      <c r="M65" s="25"/>
      <c r="N65" s="25"/>
      <c r="O65" s="26" t="s">
        <v>1661</v>
      </c>
      <c r="P65" s="26" t="s">
        <v>1010</v>
      </c>
      <c r="Q65" s="25" t="s">
        <v>10</v>
      </c>
      <c r="R65" s="27" t="s">
        <v>69</v>
      </c>
      <c r="S65" s="27" t="s">
        <v>981</v>
      </c>
      <c r="T65" s="31" t="s">
        <v>1189</v>
      </c>
      <c r="U65" s="27" t="s">
        <v>949</v>
      </c>
      <c r="V65" s="27" t="s">
        <v>949</v>
      </c>
      <c r="W65" s="27" t="str">
        <f t="shared" si="4"/>
        <v>2.1. Short term Alliance (no exclusivity / previous experience)</v>
      </c>
      <c r="X65" s="8"/>
      <c r="Y65" s="8" t="s">
        <v>148</v>
      </c>
      <c r="Z65" s="26" t="s">
        <v>38</v>
      </c>
      <c r="AA65" s="8" t="s">
        <v>148</v>
      </c>
      <c r="AB65" s="26"/>
      <c r="AC65" s="26"/>
      <c r="AD65" s="26"/>
      <c r="AE65" s="26"/>
      <c r="AF65" s="40" t="s">
        <v>147</v>
      </c>
      <c r="AH65" s="6" t="str">
        <f t="shared" si="5"/>
        <v>Perrone Robotics-Ridepooling</v>
      </c>
    </row>
    <row r="66" spans="1:34" ht="14.25" customHeight="1" x14ac:dyDescent="0.35">
      <c r="A66" s="25" t="s">
        <v>1490</v>
      </c>
      <c r="B66" s="25" t="s">
        <v>1208</v>
      </c>
      <c r="C66" s="65">
        <f t="shared" ref="C66:C97" si="8">DATE(LEFT(B66,4),MID(B66,7,1),RIGHT(B66,LEN(B66)-SEARCH(",",B66,6)))</f>
        <v>44589</v>
      </c>
      <c r="D66" s="25" t="s">
        <v>106</v>
      </c>
      <c r="E66" s="25" t="s">
        <v>354</v>
      </c>
      <c r="F66" s="25" t="s">
        <v>286</v>
      </c>
      <c r="G66" s="25" t="str">
        <f t="shared" ref="G66:G97" si="9">E66&amp;"-"&amp;H66</f>
        <v>Mobileye-ATV</v>
      </c>
      <c r="H66" s="25" t="str">
        <f t="shared" si="2"/>
        <v>ATV</v>
      </c>
      <c r="I66" s="25" t="s">
        <v>273</v>
      </c>
      <c r="J66" s="32" t="s">
        <v>273</v>
      </c>
      <c r="K66" s="25" t="str">
        <f t="shared" si="3"/>
        <v>Goggo Network</v>
      </c>
      <c r="L66" s="25" t="s">
        <v>519</v>
      </c>
      <c r="M66" s="25"/>
      <c r="N66" s="25"/>
      <c r="O66" s="26" t="s">
        <v>1666</v>
      </c>
      <c r="P66" s="32" t="s">
        <v>947</v>
      </c>
      <c r="Q66" s="25" t="s">
        <v>10</v>
      </c>
      <c r="R66" s="27" t="s">
        <v>983</v>
      </c>
      <c r="S66" s="27" t="s">
        <v>991</v>
      </c>
      <c r="T66" s="27" t="s">
        <v>949</v>
      </c>
      <c r="U66" s="27" t="s">
        <v>949</v>
      </c>
      <c r="V66" s="27" t="s">
        <v>949</v>
      </c>
      <c r="W66" s="27" t="str">
        <f t="shared" si="4"/>
        <v>2.1. Short term Alliance (no exclusivity / previous experience)</v>
      </c>
      <c r="X66" s="8"/>
      <c r="Y66" s="8" t="s">
        <v>1592</v>
      </c>
      <c r="Z66" s="26" t="s">
        <v>24</v>
      </c>
      <c r="AA66" s="8" t="s">
        <v>1591</v>
      </c>
      <c r="AB66" s="26"/>
      <c r="AC66" s="26"/>
      <c r="AD66" s="26"/>
      <c r="AE66" s="26"/>
      <c r="AF66" s="40" t="s">
        <v>106</v>
      </c>
      <c r="AH66" s="6" t="str">
        <f t="shared" si="5"/>
        <v>Mobileye-Last-Mile</v>
      </c>
    </row>
    <row r="67" spans="1:34" ht="14.25" customHeight="1" x14ac:dyDescent="0.35">
      <c r="A67" s="25" t="s">
        <v>1492</v>
      </c>
      <c r="B67" s="25" t="s">
        <v>1209</v>
      </c>
      <c r="C67" s="65">
        <f t="shared" si="8"/>
        <v>45063</v>
      </c>
      <c r="D67" s="25" t="s">
        <v>109</v>
      </c>
      <c r="E67" s="25" t="s">
        <v>354</v>
      </c>
      <c r="F67" s="25" t="s">
        <v>286</v>
      </c>
      <c r="G67" s="25" t="str">
        <f t="shared" si="9"/>
        <v>Mobileye-SAV</v>
      </c>
      <c r="H67" s="25" t="str">
        <f t="shared" ref="H67:H130" si="10">IF(OR(EXACT(J67,"Trucking"),EXACT(J67,"Last-Mile")),"ATV",IF(OR(EXACT(J67,"Ridepooling"),EXACT(J67,"Ridehailing")),"SAV","Other"))</f>
        <v>SAV</v>
      </c>
      <c r="I67" s="25" t="s">
        <v>372</v>
      </c>
      <c r="J67" s="32" t="s">
        <v>372</v>
      </c>
      <c r="K67" s="25" t="str">
        <f t="shared" ref="K67:K130" si="11">_xlfn.TEXTJOIN(";",TRUE,L67:N67)</f>
        <v>MAN Truck &amp; Bus</v>
      </c>
      <c r="L67" s="25" t="s">
        <v>793</v>
      </c>
      <c r="M67" s="25"/>
      <c r="N67" s="25"/>
      <c r="O67" s="26" t="s">
        <v>1401</v>
      </c>
      <c r="P67" s="32" t="s">
        <v>1267</v>
      </c>
      <c r="Q67" s="25" t="s">
        <v>10</v>
      </c>
      <c r="R67" s="27" t="s">
        <v>69</v>
      </c>
      <c r="S67" s="27" t="s">
        <v>980</v>
      </c>
      <c r="T67" s="27" t="s">
        <v>949</v>
      </c>
      <c r="U67" s="27" t="s">
        <v>949</v>
      </c>
      <c r="V67" s="27" t="s">
        <v>949</v>
      </c>
      <c r="W67" s="27" t="str">
        <f t="shared" ref="W67:W130" si="12">IF(Q67="Joint Venture","4. Joint Venture",IF(Q67="Strategic Partnership","3. Strategic Partnership",IF(Q67="Informal Agreement","1. Informal Agreement",
IF(AND(Q67="Strategic Alliance",LEFT(T67,9)="Long term"),"2.3. Long term Alliance",
IF(AND(Q67="Strategic Alliance",V67="Yes"),"2.4. Exclusive Alliance",
IF(AND(Q67="Strategic Alliance",U67="Yes"),"2.2. Renewed Alliance ",
IF(OR(AND(Q67="Strategic Alliance",LEFT(S67,8)="One time",U67="-",V67="-"),AND(Q67="Strategic Alliance",U67="-",V67="-"),AND(Q67="Strategic Alliance",LEFT(T67,10)="Short term")),"2.1. Short term Alliance (no exclusivity / previous experience)",
)))))))</f>
        <v>2.1. Short term Alliance (no exclusivity / previous experience)</v>
      </c>
      <c r="X67" s="8"/>
      <c r="Y67" s="8" t="s">
        <v>110</v>
      </c>
      <c r="Z67" s="26" t="s">
        <v>15</v>
      </c>
      <c r="AA67" s="8" t="s">
        <v>110</v>
      </c>
      <c r="AB67" s="26"/>
      <c r="AC67" s="26"/>
      <c r="AD67" s="26"/>
      <c r="AE67" s="26"/>
      <c r="AF67" s="40" t="s">
        <v>109</v>
      </c>
      <c r="AH67" s="6" t="str">
        <f t="shared" ref="AH67:AH130" si="13">E67&amp;"-"&amp;J67</f>
        <v>Mobileye-Ridepooling</v>
      </c>
    </row>
    <row r="68" spans="1:34" ht="14.25" customHeight="1" x14ac:dyDescent="0.35">
      <c r="A68" s="25" t="s">
        <v>1496</v>
      </c>
      <c r="B68" s="25" t="s">
        <v>1210</v>
      </c>
      <c r="C68" s="65">
        <f t="shared" si="8"/>
        <v>45055</v>
      </c>
      <c r="D68" s="25" t="s">
        <v>115</v>
      </c>
      <c r="E68" s="25" t="s">
        <v>354</v>
      </c>
      <c r="F68" s="25" t="s">
        <v>286</v>
      </c>
      <c r="G68" s="25" t="str">
        <f t="shared" si="9"/>
        <v>Mobileye-Other</v>
      </c>
      <c r="H68" s="25" t="str">
        <f t="shared" si="10"/>
        <v>Other</v>
      </c>
      <c r="I68" s="25" t="s">
        <v>372</v>
      </c>
      <c r="J68" s="32" t="s">
        <v>1200</v>
      </c>
      <c r="K68" s="25" t="str">
        <f t="shared" si="11"/>
        <v>Porsche</v>
      </c>
      <c r="L68" s="25" t="s">
        <v>762</v>
      </c>
      <c r="M68" s="25"/>
      <c r="N68" s="25"/>
      <c r="O68" s="26" t="s">
        <v>1745</v>
      </c>
      <c r="P68" s="25" t="s">
        <v>1268</v>
      </c>
      <c r="Q68" s="25" t="s">
        <v>10</v>
      </c>
      <c r="R68" s="27" t="s">
        <v>69</v>
      </c>
      <c r="S68" s="27" t="s">
        <v>980</v>
      </c>
      <c r="T68" s="27" t="s">
        <v>949</v>
      </c>
      <c r="U68" s="27" t="s">
        <v>949</v>
      </c>
      <c r="V68" s="27" t="s">
        <v>949</v>
      </c>
      <c r="W68" s="27" t="str">
        <f t="shared" si="12"/>
        <v>2.1. Short term Alliance (no exclusivity / previous experience)</v>
      </c>
      <c r="X68" s="8"/>
      <c r="Y68" s="8" t="s">
        <v>1402</v>
      </c>
      <c r="Z68" s="26" t="s">
        <v>15</v>
      </c>
      <c r="AA68" s="8" t="s">
        <v>1402</v>
      </c>
      <c r="AB68" s="26"/>
      <c r="AC68" s="26"/>
      <c r="AD68" s="26"/>
      <c r="AE68" s="26"/>
      <c r="AF68" s="40" t="s">
        <v>115</v>
      </c>
      <c r="AH68" s="6" t="str">
        <f t="shared" si="13"/>
        <v>Mobileye-Other</v>
      </c>
    </row>
    <row r="69" spans="1:34" ht="14.25" customHeight="1" x14ac:dyDescent="0.35">
      <c r="A69" s="25" t="s">
        <v>1487</v>
      </c>
      <c r="B69" s="25" t="s">
        <v>1211</v>
      </c>
      <c r="C69" s="65">
        <f t="shared" si="8"/>
        <v>45163</v>
      </c>
      <c r="D69" s="25" t="s">
        <v>102</v>
      </c>
      <c r="E69" s="25" t="s">
        <v>354</v>
      </c>
      <c r="F69" s="25" t="s">
        <v>286</v>
      </c>
      <c r="G69" s="25" t="str">
        <f t="shared" si="9"/>
        <v>Mobileye-Other</v>
      </c>
      <c r="H69" s="25" t="str">
        <f t="shared" si="10"/>
        <v>Other</v>
      </c>
      <c r="I69" s="25" t="s">
        <v>372</v>
      </c>
      <c r="J69" s="32" t="s">
        <v>1200</v>
      </c>
      <c r="K69" s="25" t="str">
        <f t="shared" si="11"/>
        <v>Ecarx</v>
      </c>
      <c r="L69" s="25" t="s">
        <v>1961</v>
      </c>
      <c r="M69" s="25"/>
      <c r="N69" s="25"/>
      <c r="O69" s="26" t="s">
        <v>1676</v>
      </c>
      <c r="P69" s="32" t="s">
        <v>1405</v>
      </c>
      <c r="Q69" s="25" t="s">
        <v>10</v>
      </c>
      <c r="R69" s="27" t="s">
        <v>69</v>
      </c>
      <c r="S69" s="27" t="s">
        <v>997</v>
      </c>
      <c r="T69" s="27" t="s">
        <v>949</v>
      </c>
      <c r="U69" s="27" t="s">
        <v>949</v>
      </c>
      <c r="V69" s="27" t="s">
        <v>949</v>
      </c>
      <c r="W69" s="27" t="str">
        <f t="shared" si="12"/>
        <v>2.1. Short term Alliance (no exclusivity / previous experience)</v>
      </c>
      <c r="X69" s="8"/>
      <c r="Y69" s="8" t="s">
        <v>1406</v>
      </c>
      <c r="Z69" s="26" t="s">
        <v>1201</v>
      </c>
      <c r="AA69" s="8" t="s">
        <v>1406</v>
      </c>
      <c r="AB69" s="26"/>
      <c r="AC69" s="26"/>
      <c r="AD69" s="26"/>
      <c r="AE69" s="26"/>
      <c r="AF69" s="40" t="s">
        <v>102</v>
      </c>
      <c r="AH69" s="6" t="str">
        <f t="shared" si="13"/>
        <v>Mobileye-Other</v>
      </c>
    </row>
    <row r="70" spans="1:34" ht="14.25" customHeight="1" x14ac:dyDescent="0.35">
      <c r="A70" s="25" t="s">
        <v>1488</v>
      </c>
      <c r="B70" s="25" t="s">
        <v>1212</v>
      </c>
      <c r="C70" s="65">
        <f t="shared" si="8"/>
        <v>45183</v>
      </c>
      <c r="D70" s="25" t="s">
        <v>103</v>
      </c>
      <c r="E70" s="25" t="s">
        <v>354</v>
      </c>
      <c r="F70" s="25" t="s">
        <v>286</v>
      </c>
      <c r="G70" s="25" t="str">
        <f t="shared" si="9"/>
        <v>Mobileye-Other</v>
      </c>
      <c r="H70" s="25" t="str">
        <f t="shared" si="10"/>
        <v>Other</v>
      </c>
      <c r="I70" s="25" t="s">
        <v>372</v>
      </c>
      <c r="J70" s="32" t="s">
        <v>1200</v>
      </c>
      <c r="K70" s="25" t="str">
        <f t="shared" si="11"/>
        <v>FAW Group</v>
      </c>
      <c r="L70" s="25" t="s">
        <v>1962</v>
      </c>
      <c r="M70" s="25"/>
      <c r="N70" s="25"/>
      <c r="O70" s="26" t="s">
        <v>1926</v>
      </c>
      <c r="P70" s="32" t="s">
        <v>999</v>
      </c>
      <c r="Q70" s="25" t="s">
        <v>10</v>
      </c>
      <c r="R70" s="27" t="s">
        <v>53</v>
      </c>
      <c r="S70" s="27" t="s">
        <v>997</v>
      </c>
      <c r="T70" s="27" t="s">
        <v>1171</v>
      </c>
      <c r="U70" s="27" t="s">
        <v>949</v>
      </c>
      <c r="V70" s="27" t="s">
        <v>949</v>
      </c>
      <c r="W70" s="27" t="str">
        <f t="shared" si="12"/>
        <v>2.3. Long term Alliance</v>
      </c>
      <c r="X70" s="8"/>
      <c r="Y70" s="8" t="s">
        <v>1408</v>
      </c>
      <c r="Z70" s="26" t="s">
        <v>15</v>
      </c>
      <c r="AA70" s="8" t="s">
        <v>1408</v>
      </c>
      <c r="AB70" s="26"/>
      <c r="AC70" s="26"/>
      <c r="AD70" s="26"/>
      <c r="AE70" s="26"/>
      <c r="AF70" s="40" t="s">
        <v>103</v>
      </c>
      <c r="AH70" s="6" t="str">
        <f t="shared" si="13"/>
        <v>Mobileye-Other</v>
      </c>
    </row>
    <row r="71" spans="1:34" ht="14.25" customHeight="1" x14ac:dyDescent="0.35">
      <c r="A71" s="25" t="s">
        <v>1494</v>
      </c>
      <c r="B71" s="25" t="s">
        <v>1213</v>
      </c>
      <c r="C71" s="65">
        <f t="shared" si="8"/>
        <v>44019</v>
      </c>
      <c r="D71" s="25" t="s">
        <v>113</v>
      </c>
      <c r="E71" s="25" t="s">
        <v>354</v>
      </c>
      <c r="F71" s="25" t="s">
        <v>286</v>
      </c>
      <c r="G71" s="25" t="str">
        <f t="shared" si="9"/>
        <v>Mobileye-SAV</v>
      </c>
      <c r="H71" s="25" t="str">
        <f t="shared" si="10"/>
        <v>SAV</v>
      </c>
      <c r="I71" s="25" t="s">
        <v>372</v>
      </c>
      <c r="J71" s="32" t="s">
        <v>341</v>
      </c>
      <c r="K71" s="25" t="str">
        <f t="shared" si="11"/>
        <v>WILLER</v>
      </c>
      <c r="L71" s="25" t="s">
        <v>1963</v>
      </c>
      <c r="M71" s="25"/>
      <c r="N71" s="25"/>
      <c r="O71" s="26" t="s">
        <v>1684</v>
      </c>
      <c r="P71" s="32" t="s">
        <v>948</v>
      </c>
      <c r="Q71" s="25" t="s">
        <v>10</v>
      </c>
      <c r="R71" s="27" t="s">
        <v>69</v>
      </c>
      <c r="S71" s="27" t="s">
        <v>1002</v>
      </c>
      <c r="T71" s="27" t="s">
        <v>1175</v>
      </c>
      <c r="U71" s="27" t="s">
        <v>949</v>
      </c>
      <c r="V71" s="27" t="s">
        <v>949</v>
      </c>
      <c r="W71" s="27" t="str">
        <f t="shared" si="12"/>
        <v>2.3. Long term Alliance</v>
      </c>
      <c r="X71" s="8"/>
      <c r="Y71" s="8" t="s">
        <v>1309</v>
      </c>
      <c r="Z71" s="26" t="s">
        <v>24</v>
      </c>
      <c r="AA71" s="8" t="s">
        <v>1309</v>
      </c>
      <c r="AB71" s="26"/>
      <c r="AC71" s="26"/>
      <c r="AD71" s="26"/>
      <c r="AE71" s="26"/>
      <c r="AF71" s="40" t="s">
        <v>113</v>
      </c>
      <c r="AH71" s="6" t="str">
        <f t="shared" si="13"/>
        <v>Mobileye-Ridehailing</v>
      </c>
    </row>
    <row r="72" spans="1:34" ht="14.25" customHeight="1" x14ac:dyDescent="0.35">
      <c r="A72" s="25" t="s">
        <v>1491</v>
      </c>
      <c r="B72" s="25" t="s">
        <v>1041</v>
      </c>
      <c r="C72" s="65">
        <f t="shared" si="8"/>
        <v>44930</v>
      </c>
      <c r="D72" s="25" t="s">
        <v>107</v>
      </c>
      <c r="E72" s="25" t="s">
        <v>354</v>
      </c>
      <c r="F72" s="25" t="s">
        <v>286</v>
      </c>
      <c r="G72" s="25" t="str">
        <f t="shared" si="9"/>
        <v>Mobileye-Other</v>
      </c>
      <c r="H72" s="25" t="str">
        <f t="shared" si="10"/>
        <v>Other</v>
      </c>
      <c r="I72" s="25" t="s">
        <v>372</v>
      </c>
      <c r="J72" s="32" t="s">
        <v>1200</v>
      </c>
      <c r="K72" s="25" t="str">
        <f t="shared" si="11"/>
        <v xml:space="preserve">Wistron NeWeb Corp </v>
      </c>
      <c r="L72" s="25" t="s">
        <v>1964</v>
      </c>
      <c r="M72" s="25"/>
      <c r="N72" s="25"/>
      <c r="O72" s="26" t="s">
        <v>1685</v>
      </c>
      <c r="P72" s="32" t="s">
        <v>1000</v>
      </c>
      <c r="Q72" s="25" t="s">
        <v>10</v>
      </c>
      <c r="R72" s="27" t="s">
        <v>69</v>
      </c>
      <c r="S72" s="27" t="s">
        <v>980</v>
      </c>
      <c r="T72" s="27" t="s">
        <v>998</v>
      </c>
      <c r="U72" s="27" t="s">
        <v>949</v>
      </c>
      <c r="V72" s="27" t="s">
        <v>949</v>
      </c>
      <c r="W72" s="27" t="str">
        <f t="shared" si="12"/>
        <v>2.3. Long term Alliance</v>
      </c>
      <c r="X72" s="8"/>
      <c r="Y72" s="8" t="s">
        <v>108</v>
      </c>
      <c r="Z72" s="26" t="s">
        <v>1201</v>
      </c>
      <c r="AA72" s="8" t="s">
        <v>108</v>
      </c>
      <c r="AB72" s="26"/>
      <c r="AC72" s="26"/>
      <c r="AD72" s="26"/>
      <c r="AE72" s="26"/>
      <c r="AF72" s="40" t="s">
        <v>107</v>
      </c>
      <c r="AH72" s="6" t="str">
        <f t="shared" si="13"/>
        <v>Mobileye-Other</v>
      </c>
    </row>
    <row r="73" spans="1:34" ht="14.25" customHeight="1" x14ac:dyDescent="0.35">
      <c r="A73" s="25" t="s">
        <v>1489</v>
      </c>
      <c r="B73" s="25" t="s">
        <v>1214</v>
      </c>
      <c r="C73" s="65">
        <f t="shared" si="8"/>
        <v>45195</v>
      </c>
      <c r="D73" s="25" t="s">
        <v>104</v>
      </c>
      <c r="E73" s="25" t="s">
        <v>354</v>
      </c>
      <c r="F73" s="25" t="s">
        <v>286</v>
      </c>
      <c r="G73" s="25" t="str">
        <f t="shared" si="9"/>
        <v>Mobileye-Other</v>
      </c>
      <c r="H73" s="25" t="str">
        <f t="shared" si="10"/>
        <v>Other</v>
      </c>
      <c r="I73" s="25" t="s">
        <v>1944</v>
      </c>
      <c r="J73" s="32" t="s">
        <v>1200</v>
      </c>
      <c r="K73" s="25" t="str">
        <f t="shared" si="11"/>
        <v>Geely</v>
      </c>
      <c r="L73" s="25" t="s">
        <v>748</v>
      </c>
      <c r="M73" s="25"/>
      <c r="N73" s="25"/>
      <c r="O73" s="26" t="s">
        <v>1728</v>
      </c>
      <c r="P73" s="32" t="s">
        <v>1348</v>
      </c>
      <c r="Q73" s="25" t="s">
        <v>10</v>
      </c>
      <c r="R73" s="27" t="s">
        <v>69</v>
      </c>
      <c r="S73" s="27" t="s">
        <v>997</v>
      </c>
      <c r="T73" s="27" t="s">
        <v>1196</v>
      </c>
      <c r="U73" s="27" t="s">
        <v>53</v>
      </c>
      <c r="V73" s="27" t="s">
        <v>949</v>
      </c>
      <c r="W73" s="27" t="str">
        <f t="shared" si="12"/>
        <v>2.3. Long term Alliance</v>
      </c>
      <c r="X73" s="8"/>
      <c r="Y73" s="8" t="s">
        <v>105</v>
      </c>
      <c r="Z73" s="26" t="s">
        <v>1201</v>
      </c>
      <c r="AA73" s="8" t="s">
        <v>105</v>
      </c>
      <c r="AB73" s="26"/>
      <c r="AC73" s="26"/>
      <c r="AD73" s="26"/>
      <c r="AE73" s="26"/>
      <c r="AF73" s="40" t="s">
        <v>104</v>
      </c>
      <c r="AH73" s="6" t="str">
        <f t="shared" si="13"/>
        <v>Mobileye-Other</v>
      </c>
    </row>
    <row r="74" spans="1:34" ht="14.25" customHeight="1" x14ac:dyDescent="0.35">
      <c r="A74" s="25" t="s">
        <v>1486</v>
      </c>
      <c r="B74" s="25" t="s">
        <v>1125</v>
      </c>
      <c r="C74" s="65">
        <f t="shared" si="8"/>
        <v>44565</v>
      </c>
      <c r="D74" s="25" t="s">
        <v>100</v>
      </c>
      <c r="E74" s="25" t="s">
        <v>354</v>
      </c>
      <c r="F74" s="25" t="s">
        <v>286</v>
      </c>
      <c r="G74" s="25" t="str">
        <f t="shared" si="9"/>
        <v>Mobileye-Other</v>
      </c>
      <c r="H74" s="25" t="str">
        <f t="shared" si="10"/>
        <v>Other</v>
      </c>
      <c r="I74" s="25" t="s">
        <v>372</v>
      </c>
      <c r="J74" s="32" t="s">
        <v>1200</v>
      </c>
      <c r="K74" s="25" t="str">
        <f t="shared" si="11"/>
        <v>Zeekr</v>
      </c>
      <c r="L74" s="25" t="s">
        <v>780</v>
      </c>
      <c r="M74" s="25"/>
      <c r="N74" s="25"/>
      <c r="O74" s="26" t="s">
        <v>1690</v>
      </c>
      <c r="P74" s="32" t="s">
        <v>1409</v>
      </c>
      <c r="Q74" s="25" t="s">
        <v>10</v>
      </c>
      <c r="R74" s="27" t="s">
        <v>69</v>
      </c>
      <c r="S74" s="27" t="s">
        <v>997</v>
      </c>
      <c r="T74" s="27" t="s">
        <v>1197</v>
      </c>
      <c r="U74" s="27" t="s">
        <v>53</v>
      </c>
      <c r="V74" s="27" t="s">
        <v>949</v>
      </c>
      <c r="W74" s="27" t="str">
        <f t="shared" si="12"/>
        <v>2.3. Long term Alliance</v>
      </c>
      <c r="X74" s="8"/>
      <c r="Y74" s="8" t="s">
        <v>101</v>
      </c>
      <c r="Z74" s="26" t="s">
        <v>15</v>
      </c>
      <c r="AA74" s="8" t="s">
        <v>101</v>
      </c>
      <c r="AB74" s="26"/>
      <c r="AC74" s="26"/>
      <c r="AD74" s="26"/>
      <c r="AE74" s="26"/>
      <c r="AF74" s="40" t="s">
        <v>100</v>
      </c>
      <c r="AH74" s="6" t="str">
        <f t="shared" si="13"/>
        <v>Mobileye-Other</v>
      </c>
    </row>
    <row r="75" spans="1:34" ht="14.25" customHeight="1" x14ac:dyDescent="0.35">
      <c r="A75" s="25" t="s">
        <v>1493</v>
      </c>
      <c r="B75" s="25" t="s">
        <v>1215</v>
      </c>
      <c r="C75" s="65">
        <f t="shared" si="8"/>
        <v>45173</v>
      </c>
      <c r="D75" s="25" t="s">
        <v>111</v>
      </c>
      <c r="E75" s="25" t="s">
        <v>354</v>
      </c>
      <c r="F75" s="25" t="s">
        <v>286</v>
      </c>
      <c r="G75" s="25" t="str">
        <f t="shared" si="9"/>
        <v>Mobileye-Other</v>
      </c>
      <c r="H75" s="25" t="str">
        <f t="shared" si="10"/>
        <v>Other</v>
      </c>
      <c r="I75" s="25" t="s">
        <v>372</v>
      </c>
      <c r="J75" s="32" t="s">
        <v>1200</v>
      </c>
      <c r="K75" s="25" t="str">
        <f t="shared" si="11"/>
        <v>Valeo</v>
      </c>
      <c r="L75" s="25" t="s">
        <v>868</v>
      </c>
      <c r="M75" s="25"/>
      <c r="N75" s="25"/>
      <c r="O75" s="26" t="s">
        <v>1392</v>
      </c>
      <c r="P75" s="32" t="s">
        <v>1001</v>
      </c>
      <c r="Q75" s="25" t="s">
        <v>10</v>
      </c>
      <c r="R75" s="27" t="s">
        <v>69</v>
      </c>
      <c r="S75" s="27" t="s">
        <v>980</v>
      </c>
      <c r="T75" s="27" t="s">
        <v>949</v>
      </c>
      <c r="U75" s="27" t="s">
        <v>53</v>
      </c>
      <c r="V75" s="27" t="s">
        <v>949</v>
      </c>
      <c r="W75" s="27" t="str">
        <f t="shared" si="12"/>
        <v xml:space="preserve">2.2. Renewed Alliance </v>
      </c>
      <c r="X75" s="8"/>
      <c r="Y75" s="8" t="s">
        <v>112</v>
      </c>
      <c r="Z75" s="26" t="s">
        <v>1201</v>
      </c>
      <c r="AA75" s="8" t="s">
        <v>112</v>
      </c>
      <c r="AB75" s="26"/>
      <c r="AC75" s="26"/>
      <c r="AD75" s="26"/>
      <c r="AE75" s="26"/>
      <c r="AF75" s="40" t="s">
        <v>111</v>
      </c>
      <c r="AH75" s="6" t="str">
        <f t="shared" si="13"/>
        <v>Mobileye-Other</v>
      </c>
    </row>
    <row r="76" spans="1:34" ht="14.25" customHeight="1" x14ac:dyDescent="0.35">
      <c r="A76" s="25" t="s">
        <v>1495</v>
      </c>
      <c r="B76" s="25" t="s">
        <v>1216</v>
      </c>
      <c r="C76" s="65">
        <f t="shared" si="8"/>
        <v>44435</v>
      </c>
      <c r="D76" s="25" t="s">
        <v>114</v>
      </c>
      <c r="E76" s="25" t="s">
        <v>354</v>
      </c>
      <c r="F76" s="25" t="s">
        <v>286</v>
      </c>
      <c r="G76" s="25" t="str">
        <f t="shared" si="9"/>
        <v>Mobileye-Other</v>
      </c>
      <c r="H76" s="25" t="str">
        <f t="shared" si="10"/>
        <v>Other</v>
      </c>
      <c r="I76" s="25" t="s">
        <v>341</v>
      </c>
      <c r="J76" s="32" t="s">
        <v>1200</v>
      </c>
      <c r="K76" s="25" t="str">
        <f t="shared" si="11"/>
        <v>Zeekr</v>
      </c>
      <c r="L76" s="25" t="s">
        <v>780</v>
      </c>
      <c r="M76" s="25"/>
      <c r="N76" s="25"/>
      <c r="O76" s="26" t="s">
        <v>1412</v>
      </c>
      <c r="P76" s="32" t="s">
        <v>1003</v>
      </c>
      <c r="Q76" s="25" t="s">
        <v>17</v>
      </c>
      <c r="R76" s="27" t="s">
        <v>69</v>
      </c>
      <c r="S76" s="27" t="s">
        <v>980</v>
      </c>
      <c r="T76" s="27" t="s">
        <v>949</v>
      </c>
      <c r="U76" s="27" t="s">
        <v>949</v>
      </c>
      <c r="V76" s="27" t="s">
        <v>949</v>
      </c>
      <c r="W76" s="27" t="str">
        <f t="shared" si="12"/>
        <v>3. Strategic Partnership</v>
      </c>
      <c r="X76" s="8"/>
      <c r="Y76" s="8" t="s">
        <v>1413</v>
      </c>
      <c r="Z76" s="26" t="s">
        <v>15</v>
      </c>
      <c r="AA76" s="8" t="s">
        <v>1413</v>
      </c>
      <c r="AB76" s="26"/>
      <c r="AC76" s="26"/>
      <c r="AD76" s="26"/>
      <c r="AE76" s="26"/>
      <c r="AF76" s="40" t="s">
        <v>114</v>
      </c>
      <c r="AH76" s="6" t="str">
        <f t="shared" si="13"/>
        <v>Mobileye-Other</v>
      </c>
    </row>
    <row r="77" spans="1:34" ht="14.25" customHeight="1" x14ac:dyDescent="0.35">
      <c r="A77" s="25" t="s">
        <v>1498</v>
      </c>
      <c r="B77" s="25" t="s">
        <v>1090</v>
      </c>
      <c r="C77" s="65">
        <f t="shared" si="8"/>
        <v>44574</v>
      </c>
      <c r="D77" s="25" t="s">
        <v>119</v>
      </c>
      <c r="E77" s="25" t="s">
        <v>117</v>
      </c>
      <c r="F77" s="25" t="s">
        <v>331</v>
      </c>
      <c r="G77" s="25" t="str">
        <f t="shared" si="9"/>
        <v>MOIA-SAV</v>
      </c>
      <c r="H77" s="25" t="str">
        <f t="shared" si="10"/>
        <v>SAV</v>
      </c>
      <c r="I77" s="25" t="s">
        <v>372</v>
      </c>
      <c r="J77" s="32" t="s">
        <v>372</v>
      </c>
      <c r="K77" s="25" t="str">
        <f t="shared" si="11"/>
        <v>HOCHBAHN;Volkswagen Commercial Vehicles</v>
      </c>
      <c r="L77" s="25" t="s">
        <v>1965</v>
      </c>
      <c r="M77" s="25" t="s">
        <v>1981</v>
      </c>
      <c r="N77" s="25"/>
      <c r="O77" s="26" t="s">
        <v>1641</v>
      </c>
      <c r="P77" s="32" t="s">
        <v>1005</v>
      </c>
      <c r="Q77" s="25" t="s">
        <v>10</v>
      </c>
      <c r="R77" s="27" t="s">
        <v>53</v>
      </c>
      <c r="S77" s="27" t="s">
        <v>978</v>
      </c>
      <c r="T77" s="27" t="s">
        <v>986</v>
      </c>
      <c r="U77" s="27" t="s">
        <v>53</v>
      </c>
      <c r="V77" s="27" t="s">
        <v>949</v>
      </c>
      <c r="W77" s="27" t="str">
        <f t="shared" si="12"/>
        <v>2.3. Long term Alliance</v>
      </c>
      <c r="X77" s="29"/>
      <c r="Y77" s="8" t="s">
        <v>120</v>
      </c>
      <c r="Z77" s="26" t="s">
        <v>8</v>
      </c>
      <c r="AA77" s="8" t="s">
        <v>1601</v>
      </c>
      <c r="AB77" s="28" t="s">
        <v>38</v>
      </c>
      <c r="AC77" s="28" t="s">
        <v>1636</v>
      </c>
      <c r="AD77" s="26"/>
      <c r="AE77" s="26"/>
      <c r="AF77" s="40" t="s">
        <v>1771</v>
      </c>
      <c r="AG77" s="40" t="s">
        <v>1772</v>
      </c>
      <c r="AH77" s="6" t="str">
        <f t="shared" si="13"/>
        <v>MOIA-Ridepooling</v>
      </c>
    </row>
    <row r="78" spans="1:34" ht="14.25" customHeight="1" x14ac:dyDescent="0.35">
      <c r="A78" s="25" t="s">
        <v>1497</v>
      </c>
      <c r="B78" s="25" t="s">
        <v>1089</v>
      </c>
      <c r="C78" s="65">
        <f t="shared" si="8"/>
        <v>45188</v>
      </c>
      <c r="D78" s="25" t="s">
        <v>116</v>
      </c>
      <c r="E78" s="25" t="s">
        <v>117</v>
      </c>
      <c r="F78" s="25" t="s">
        <v>331</v>
      </c>
      <c r="G78" s="25" t="str">
        <f t="shared" si="9"/>
        <v>MOIA-SAV</v>
      </c>
      <c r="H78" s="25" t="str">
        <f t="shared" si="10"/>
        <v>SAV</v>
      </c>
      <c r="I78" s="25" t="s">
        <v>372</v>
      </c>
      <c r="J78" s="32" t="s">
        <v>372</v>
      </c>
      <c r="K78" s="25" t="str">
        <f t="shared" si="11"/>
        <v/>
      </c>
      <c r="L78" s="25"/>
      <c r="M78" s="25"/>
      <c r="N78" s="25"/>
      <c r="O78" s="26" t="s">
        <v>1679</v>
      </c>
      <c r="P78" s="32" t="s">
        <v>949</v>
      </c>
      <c r="Q78" s="25" t="s">
        <v>10</v>
      </c>
      <c r="R78" s="27" t="s">
        <v>69</v>
      </c>
      <c r="S78" s="27" t="s">
        <v>49</v>
      </c>
      <c r="T78" s="27" t="s">
        <v>949</v>
      </c>
      <c r="U78" s="27" t="s">
        <v>949</v>
      </c>
      <c r="V78" s="27" t="s">
        <v>949</v>
      </c>
      <c r="W78" s="27" t="str">
        <f t="shared" si="12"/>
        <v>2.1. Short term Alliance (no exclusivity / previous experience)</v>
      </c>
      <c r="X78" s="8"/>
      <c r="Y78" s="8" t="s">
        <v>118</v>
      </c>
      <c r="Z78" s="26" t="s">
        <v>49</v>
      </c>
      <c r="AA78" s="8" t="s">
        <v>118</v>
      </c>
      <c r="AB78" s="26"/>
      <c r="AC78" s="26"/>
      <c r="AD78" s="26"/>
      <c r="AE78" s="26"/>
      <c r="AF78" s="40" t="s">
        <v>116</v>
      </c>
      <c r="AH78" s="6" t="str">
        <f t="shared" si="13"/>
        <v>MOIA-Ridepooling</v>
      </c>
    </row>
    <row r="79" spans="1:34" ht="14.25" customHeight="1" x14ac:dyDescent="0.35">
      <c r="A79" s="25" t="s">
        <v>1500</v>
      </c>
      <c r="B79" s="25" t="s">
        <v>1092</v>
      </c>
      <c r="C79" s="65">
        <f t="shared" si="8"/>
        <v>44306</v>
      </c>
      <c r="D79" s="25" t="s">
        <v>122</v>
      </c>
      <c r="E79" s="25" t="s">
        <v>359</v>
      </c>
      <c r="F79" s="25" t="s">
        <v>286</v>
      </c>
      <c r="G79" s="25" t="str">
        <f t="shared" si="9"/>
        <v>Motional-SAV</v>
      </c>
      <c r="H79" s="25" t="str">
        <f t="shared" si="10"/>
        <v>SAV</v>
      </c>
      <c r="I79" s="25" t="s">
        <v>273</v>
      </c>
      <c r="J79" s="32" t="s">
        <v>341</v>
      </c>
      <c r="K79" s="25" t="str">
        <f t="shared" si="11"/>
        <v>Derq</v>
      </c>
      <c r="L79" s="25" t="s">
        <v>459</v>
      </c>
      <c r="M79" s="25"/>
      <c r="N79" s="25"/>
      <c r="O79" s="26" t="s">
        <v>1379</v>
      </c>
      <c r="P79" s="25" t="s">
        <v>1248</v>
      </c>
      <c r="Q79" s="25" t="s">
        <v>10</v>
      </c>
      <c r="R79" s="27" t="s">
        <v>69</v>
      </c>
      <c r="S79" s="27" t="s">
        <v>1006</v>
      </c>
      <c r="T79" s="27" t="s">
        <v>949</v>
      </c>
      <c r="U79" s="27" t="s">
        <v>949</v>
      </c>
      <c r="V79" s="27" t="s">
        <v>949</v>
      </c>
      <c r="W79" s="27" t="str">
        <f t="shared" si="12"/>
        <v>2.1. Short term Alliance (no exclusivity / previous experience)</v>
      </c>
      <c r="X79" s="29"/>
      <c r="Y79" s="8" t="s">
        <v>1249</v>
      </c>
      <c r="Z79" s="26" t="s">
        <v>15</v>
      </c>
      <c r="AA79" s="8" t="s">
        <v>1631</v>
      </c>
      <c r="AB79" s="28" t="s">
        <v>38</v>
      </c>
      <c r="AC79" s="28" t="s">
        <v>1248</v>
      </c>
      <c r="AD79" s="26"/>
      <c r="AE79" s="26"/>
      <c r="AF79" s="40" t="s">
        <v>1805</v>
      </c>
      <c r="AG79" s="40" t="s">
        <v>1806</v>
      </c>
      <c r="AH79" s="6" t="str">
        <f t="shared" si="13"/>
        <v>Motional-Ridehailing</v>
      </c>
    </row>
    <row r="80" spans="1:34" ht="14.25" customHeight="1" x14ac:dyDescent="0.35">
      <c r="A80" s="25" t="s">
        <v>1501</v>
      </c>
      <c r="B80" s="25" t="s">
        <v>1093</v>
      </c>
      <c r="C80" s="65">
        <f t="shared" si="8"/>
        <v>44763</v>
      </c>
      <c r="D80" s="25" t="s">
        <v>123</v>
      </c>
      <c r="E80" s="25" t="s">
        <v>359</v>
      </c>
      <c r="F80" s="25" t="s">
        <v>286</v>
      </c>
      <c r="G80" s="25" t="str">
        <f t="shared" si="9"/>
        <v>Motional-SAV</v>
      </c>
      <c r="H80" s="25" t="str">
        <f t="shared" si="10"/>
        <v>SAV</v>
      </c>
      <c r="I80" s="25" t="s">
        <v>273</v>
      </c>
      <c r="J80" s="32" t="s">
        <v>341</v>
      </c>
      <c r="K80" s="25" t="str">
        <f t="shared" si="11"/>
        <v>Boston University</v>
      </c>
      <c r="L80" s="25" t="s">
        <v>924</v>
      </c>
      <c r="M80" s="25"/>
      <c r="N80" s="25"/>
      <c r="O80" s="26" t="s">
        <v>1720</v>
      </c>
      <c r="P80" s="26" t="s">
        <v>1374</v>
      </c>
      <c r="Q80" s="25" t="s">
        <v>10</v>
      </c>
      <c r="R80" s="27" t="s">
        <v>69</v>
      </c>
      <c r="S80" s="27" t="s">
        <v>981</v>
      </c>
      <c r="T80" s="27" t="s">
        <v>949</v>
      </c>
      <c r="U80" s="27" t="s">
        <v>949</v>
      </c>
      <c r="V80" s="27" t="s">
        <v>949</v>
      </c>
      <c r="W80" s="27" t="str">
        <f t="shared" si="12"/>
        <v>2.1. Short term Alliance (no exclusivity / previous experience)</v>
      </c>
      <c r="X80" s="8"/>
      <c r="Y80" s="8" t="s">
        <v>2131</v>
      </c>
      <c r="Z80" s="26" t="s">
        <v>38</v>
      </c>
      <c r="AA80" s="8" t="s">
        <v>1226</v>
      </c>
      <c r="AB80" s="26" t="s">
        <v>15</v>
      </c>
      <c r="AC80" s="26" t="s">
        <v>2132</v>
      </c>
      <c r="AD80" s="26"/>
      <c r="AE80" s="26"/>
      <c r="AF80" s="40" t="s">
        <v>1823</v>
      </c>
      <c r="AG80" s="40" t="s">
        <v>1824</v>
      </c>
      <c r="AH80" s="6" t="str">
        <f t="shared" si="13"/>
        <v>Motional-Ridehailing</v>
      </c>
    </row>
    <row r="81" spans="1:34" ht="14.25" customHeight="1" x14ac:dyDescent="0.35">
      <c r="A81" s="25" t="s">
        <v>1502</v>
      </c>
      <c r="B81" s="25" t="s">
        <v>1075</v>
      </c>
      <c r="C81" s="65">
        <f t="shared" si="8"/>
        <v>44215</v>
      </c>
      <c r="D81" s="25" t="s">
        <v>1420</v>
      </c>
      <c r="E81" s="25" t="s">
        <v>359</v>
      </c>
      <c r="F81" s="25" t="s">
        <v>286</v>
      </c>
      <c r="G81" s="25" t="str">
        <f t="shared" si="9"/>
        <v>Motional-SAV</v>
      </c>
      <c r="H81" s="25" t="str">
        <f t="shared" si="10"/>
        <v>SAV</v>
      </c>
      <c r="I81" s="25" t="s">
        <v>273</v>
      </c>
      <c r="J81" s="32" t="s">
        <v>341</v>
      </c>
      <c r="K81" s="25" t="str">
        <f t="shared" si="11"/>
        <v>tfnsw</v>
      </c>
      <c r="L81" s="25" t="s">
        <v>1966</v>
      </c>
      <c r="M81" s="25"/>
      <c r="N81" s="25"/>
      <c r="O81" s="26" t="s">
        <v>1377</v>
      </c>
      <c r="P81" s="32" t="s">
        <v>1352</v>
      </c>
      <c r="Q81" s="25" t="s">
        <v>10</v>
      </c>
      <c r="R81" s="27" t="s">
        <v>69</v>
      </c>
      <c r="S81" s="27" t="s">
        <v>981</v>
      </c>
      <c r="T81" s="27" t="s">
        <v>949</v>
      </c>
      <c r="U81" s="27" t="s">
        <v>949</v>
      </c>
      <c r="V81" s="27" t="s">
        <v>949</v>
      </c>
      <c r="W81" s="27" t="str">
        <f t="shared" si="12"/>
        <v>2.1. Short term Alliance (no exclusivity / previous experience)</v>
      </c>
      <c r="X81" s="8"/>
      <c r="Y81" s="8" t="s">
        <v>1367</v>
      </c>
      <c r="Z81" s="26" t="s">
        <v>38</v>
      </c>
      <c r="AA81" s="8" t="s">
        <v>1367</v>
      </c>
      <c r="AB81" s="26"/>
      <c r="AC81" s="26"/>
      <c r="AD81" s="26"/>
      <c r="AE81" s="26"/>
      <c r="AF81" s="40" t="s">
        <v>1841</v>
      </c>
      <c r="AG81" s="40" t="s">
        <v>1842</v>
      </c>
      <c r="AH81" s="6" t="str">
        <f t="shared" si="13"/>
        <v>Motional-Ridehailing</v>
      </c>
    </row>
    <row r="82" spans="1:34" ht="14.25" customHeight="1" x14ac:dyDescent="0.35">
      <c r="A82" s="25" t="s">
        <v>1499</v>
      </c>
      <c r="B82" s="25" t="s">
        <v>1091</v>
      </c>
      <c r="C82" s="65">
        <f t="shared" si="8"/>
        <v>44212</v>
      </c>
      <c r="D82" s="25" t="s">
        <v>121</v>
      </c>
      <c r="E82" s="25" t="s">
        <v>359</v>
      </c>
      <c r="F82" s="25" t="s">
        <v>286</v>
      </c>
      <c r="G82" s="25" t="str">
        <f t="shared" si="9"/>
        <v>Motional-ATV</v>
      </c>
      <c r="H82" s="25" t="str">
        <f t="shared" si="10"/>
        <v>ATV</v>
      </c>
      <c r="I82" s="25" t="s">
        <v>273</v>
      </c>
      <c r="J82" s="32" t="s">
        <v>273</v>
      </c>
      <c r="K82" s="25" t="str">
        <f t="shared" si="11"/>
        <v>Uber</v>
      </c>
      <c r="L82" s="280" t="s">
        <v>318</v>
      </c>
      <c r="M82" s="25"/>
      <c r="N82" s="25"/>
      <c r="O82" s="26" t="s">
        <v>1746</v>
      </c>
      <c r="P82" s="32" t="s">
        <v>2133</v>
      </c>
      <c r="Q82" s="25" t="s">
        <v>10</v>
      </c>
      <c r="R82" s="27" t="s">
        <v>69</v>
      </c>
      <c r="S82" s="27" t="s">
        <v>978</v>
      </c>
      <c r="T82" s="27" t="s">
        <v>949</v>
      </c>
      <c r="U82" s="27" t="s">
        <v>949</v>
      </c>
      <c r="V82" s="27" t="s">
        <v>949</v>
      </c>
      <c r="W82" s="27" t="str">
        <f t="shared" si="12"/>
        <v>2.1. Short term Alliance (no exclusivity / previous experience)</v>
      </c>
      <c r="X82" s="8"/>
      <c r="Y82" s="8" t="s">
        <v>1269</v>
      </c>
      <c r="Z82" s="26" t="s">
        <v>8</v>
      </c>
      <c r="AA82" s="8" t="s">
        <v>1269</v>
      </c>
      <c r="AB82" s="26"/>
      <c r="AC82" s="26"/>
      <c r="AD82" s="26"/>
      <c r="AE82" s="26"/>
      <c r="AF82" s="40" t="s">
        <v>121</v>
      </c>
      <c r="AH82" s="6" t="str">
        <f t="shared" si="13"/>
        <v>Motional-Last-Mile</v>
      </c>
    </row>
    <row r="83" spans="1:34" ht="14.25" customHeight="1" x14ac:dyDescent="0.35">
      <c r="A83" s="25" t="s">
        <v>1507</v>
      </c>
      <c r="B83" s="25" t="s">
        <v>1098</v>
      </c>
      <c r="C83" s="65">
        <f t="shared" si="8"/>
        <v>44364</v>
      </c>
      <c r="D83" s="25" t="s">
        <v>129</v>
      </c>
      <c r="E83" s="25" t="s">
        <v>1933</v>
      </c>
      <c r="F83" s="25" t="s">
        <v>309</v>
      </c>
      <c r="G83" s="25" t="str">
        <f t="shared" si="9"/>
        <v>Navya-SAV</v>
      </c>
      <c r="H83" s="25" t="str">
        <f t="shared" si="10"/>
        <v>SAV</v>
      </c>
      <c r="I83" s="25" t="s">
        <v>372</v>
      </c>
      <c r="J83" s="32" t="s">
        <v>372</v>
      </c>
      <c r="K83" s="25" t="str">
        <f t="shared" si="11"/>
        <v>Valeo</v>
      </c>
      <c r="L83" s="25" t="s">
        <v>868</v>
      </c>
      <c r="M83" s="25"/>
      <c r="N83" s="25"/>
      <c r="O83" s="26" t="s">
        <v>1642</v>
      </c>
      <c r="P83" s="32" t="s">
        <v>1397</v>
      </c>
      <c r="Q83" s="25" t="s">
        <v>10</v>
      </c>
      <c r="R83" s="27" t="s">
        <v>69</v>
      </c>
      <c r="S83" s="27" t="s">
        <v>1008</v>
      </c>
      <c r="T83" s="27" t="s">
        <v>1178</v>
      </c>
      <c r="U83" s="27" t="s">
        <v>53</v>
      </c>
      <c r="V83" s="27" t="s">
        <v>949</v>
      </c>
      <c r="W83" s="27" t="str">
        <f t="shared" si="12"/>
        <v>2.3. Long term Alliance</v>
      </c>
      <c r="X83" s="39"/>
      <c r="Y83" s="22" t="s">
        <v>130</v>
      </c>
      <c r="Z83" s="26" t="s">
        <v>12</v>
      </c>
      <c r="AA83" s="8" t="s">
        <v>1637</v>
      </c>
      <c r="AB83" s="35" t="s">
        <v>38</v>
      </c>
      <c r="AC83" s="14" t="s">
        <v>1602</v>
      </c>
      <c r="AD83" s="35" t="s">
        <v>1201</v>
      </c>
      <c r="AE83" s="14" t="s">
        <v>1603</v>
      </c>
      <c r="AF83" s="40" t="s">
        <v>1773</v>
      </c>
      <c r="AG83" s="40" t="s">
        <v>1774</v>
      </c>
      <c r="AH83" s="6" t="str">
        <f t="shared" si="13"/>
        <v>Navya-Ridepooling</v>
      </c>
    </row>
    <row r="84" spans="1:34" ht="14.25" customHeight="1" x14ac:dyDescent="0.35">
      <c r="A84" s="25" t="s">
        <v>1503</v>
      </c>
      <c r="B84" s="25" t="s">
        <v>1094</v>
      </c>
      <c r="C84" s="65">
        <f t="shared" si="8"/>
        <v>44006</v>
      </c>
      <c r="D84" s="25" t="s">
        <v>124</v>
      </c>
      <c r="E84" s="25" t="s">
        <v>1933</v>
      </c>
      <c r="F84" s="25" t="s">
        <v>309</v>
      </c>
      <c r="G84" s="25" t="str">
        <f t="shared" si="9"/>
        <v>Navya-SAV</v>
      </c>
      <c r="H84" s="25" t="str">
        <f t="shared" si="10"/>
        <v>SAV</v>
      </c>
      <c r="I84" s="25" t="s">
        <v>372</v>
      </c>
      <c r="J84" s="32" t="s">
        <v>372</v>
      </c>
      <c r="K84" s="25" t="str">
        <f t="shared" si="11"/>
        <v>Ion</v>
      </c>
      <c r="L84" s="25" t="s">
        <v>1967</v>
      </c>
      <c r="M84" s="25"/>
      <c r="N84" s="25"/>
      <c r="O84" s="26" t="s">
        <v>1645</v>
      </c>
      <c r="P84" s="26" t="s">
        <v>1007</v>
      </c>
      <c r="Q84" s="25" t="s">
        <v>10</v>
      </c>
      <c r="R84" s="27" t="s">
        <v>69</v>
      </c>
      <c r="S84" s="27" t="s">
        <v>978</v>
      </c>
      <c r="T84" s="27" t="s">
        <v>949</v>
      </c>
      <c r="U84" s="27" t="s">
        <v>53</v>
      </c>
      <c r="V84" s="27" t="s">
        <v>949</v>
      </c>
      <c r="W84" s="27" t="str">
        <f t="shared" si="12"/>
        <v xml:space="preserve">2.2. Renewed Alliance </v>
      </c>
      <c r="X84" s="29"/>
      <c r="Y84" s="8" t="s">
        <v>1322</v>
      </c>
      <c r="Z84" s="26" t="s">
        <v>8</v>
      </c>
      <c r="AA84" s="8" t="s">
        <v>1608</v>
      </c>
      <c r="AB84" s="28" t="s">
        <v>41</v>
      </c>
      <c r="AC84" s="28" t="s">
        <v>1609</v>
      </c>
      <c r="AD84" s="26"/>
      <c r="AE84" s="26"/>
      <c r="AF84" s="40" t="s">
        <v>1779</v>
      </c>
      <c r="AG84" s="40" t="s">
        <v>1780</v>
      </c>
      <c r="AH84" s="6" t="str">
        <f t="shared" si="13"/>
        <v>Navya-Ridepooling</v>
      </c>
    </row>
    <row r="85" spans="1:34" ht="14.25" customHeight="1" x14ac:dyDescent="0.35">
      <c r="A85" s="25" t="s">
        <v>1506</v>
      </c>
      <c r="B85" s="25" t="s">
        <v>1097</v>
      </c>
      <c r="C85" s="65">
        <f t="shared" si="8"/>
        <v>44588</v>
      </c>
      <c r="D85" s="25" t="s">
        <v>128</v>
      </c>
      <c r="E85" s="25" t="s">
        <v>1933</v>
      </c>
      <c r="F85" s="25" t="s">
        <v>309</v>
      </c>
      <c r="G85" s="25" t="str">
        <f t="shared" si="9"/>
        <v>Navya-SAV</v>
      </c>
      <c r="H85" s="25" t="str">
        <f t="shared" si="10"/>
        <v>SAV</v>
      </c>
      <c r="I85" s="25" t="s">
        <v>372</v>
      </c>
      <c r="J85" s="32" t="s">
        <v>372</v>
      </c>
      <c r="K85" s="25" t="str">
        <f t="shared" si="11"/>
        <v>Valeo</v>
      </c>
      <c r="L85" s="25" t="s">
        <v>868</v>
      </c>
      <c r="M85" s="25"/>
      <c r="N85" s="25"/>
      <c r="O85" s="26" t="s">
        <v>1704</v>
      </c>
      <c r="P85" s="32" t="s">
        <v>1705</v>
      </c>
      <c r="Q85" s="25" t="s">
        <v>10</v>
      </c>
      <c r="R85" s="27" t="s">
        <v>69</v>
      </c>
      <c r="S85" s="27" t="s">
        <v>980</v>
      </c>
      <c r="T85" s="27" t="s">
        <v>949</v>
      </c>
      <c r="U85" s="27" t="s">
        <v>53</v>
      </c>
      <c r="V85" s="27" t="s">
        <v>949</v>
      </c>
      <c r="W85" s="27" t="str">
        <f t="shared" si="12"/>
        <v xml:space="preserve">2.2. Renewed Alliance </v>
      </c>
      <c r="X85" s="29"/>
      <c r="Y85" s="8" t="s">
        <v>2112</v>
      </c>
      <c r="Z85" s="26" t="s">
        <v>15</v>
      </c>
      <c r="AA85" s="8" t="s">
        <v>1611</v>
      </c>
      <c r="AB85" s="28" t="s">
        <v>38</v>
      </c>
      <c r="AC85" s="28" t="s">
        <v>1221</v>
      </c>
      <c r="AD85" s="26"/>
      <c r="AE85" s="26"/>
      <c r="AF85" s="40" t="s">
        <v>1785</v>
      </c>
      <c r="AG85" s="40" t="s">
        <v>1786</v>
      </c>
      <c r="AH85" s="6" t="str">
        <f t="shared" si="13"/>
        <v>Navya-Ridepooling</v>
      </c>
    </row>
    <row r="86" spans="1:34" ht="14.25" customHeight="1" x14ac:dyDescent="0.35">
      <c r="A86" s="25" t="s">
        <v>1505</v>
      </c>
      <c r="B86" s="25" t="s">
        <v>1096</v>
      </c>
      <c r="C86" s="65">
        <f t="shared" si="8"/>
        <v>44826</v>
      </c>
      <c r="D86" s="25" t="s">
        <v>125</v>
      </c>
      <c r="E86" s="25" t="s">
        <v>1933</v>
      </c>
      <c r="F86" s="25" t="s">
        <v>309</v>
      </c>
      <c r="G86" s="25" t="str">
        <f t="shared" si="9"/>
        <v>Navya-SAV</v>
      </c>
      <c r="H86" s="25" t="str">
        <f t="shared" si="10"/>
        <v>SAV</v>
      </c>
      <c r="I86" s="25" t="s">
        <v>372</v>
      </c>
      <c r="J86" s="32" t="s">
        <v>372</v>
      </c>
      <c r="K86" s="25" t="str">
        <f t="shared" si="11"/>
        <v>Lohr</v>
      </c>
      <c r="L86" s="279" t="s">
        <v>1951</v>
      </c>
      <c r="M86" s="25"/>
      <c r="N86" s="25"/>
      <c r="O86" s="26" t="s">
        <v>1717</v>
      </c>
      <c r="P86" s="25" t="s">
        <v>126</v>
      </c>
      <c r="Q86" s="25" t="s">
        <v>10</v>
      </c>
      <c r="R86" s="27" t="s">
        <v>53</v>
      </c>
      <c r="S86" s="27" t="s">
        <v>980</v>
      </c>
      <c r="T86" s="27" t="s">
        <v>949</v>
      </c>
      <c r="U86" s="27" t="s">
        <v>949</v>
      </c>
      <c r="V86" s="27" t="s">
        <v>949</v>
      </c>
      <c r="W86" s="27" t="str">
        <f t="shared" si="12"/>
        <v>2.1. Short term Alliance (no exclusivity / previous experience)</v>
      </c>
      <c r="X86" s="8"/>
      <c r="Y86" s="8" t="s">
        <v>127</v>
      </c>
      <c r="Z86" s="26" t="s">
        <v>12</v>
      </c>
      <c r="AA86" s="8" t="s">
        <v>127</v>
      </c>
      <c r="AB86" s="26"/>
      <c r="AC86" s="26"/>
      <c r="AD86" s="26"/>
      <c r="AE86" s="26"/>
      <c r="AF86" s="40" t="s">
        <v>125</v>
      </c>
      <c r="AH86" s="6" t="str">
        <f t="shared" si="13"/>
        <v>Navya-Ridepooling</v>
      </c>
    </row>
    <row r="87" spans="1:34" ht="14.25" customHeight="1" x14ac:dyDescent="0.35">
      <c r="A87" s="25" t="s">
        <v>1504</v>
      </c>
      <c r="B87" s="25" t="s">
        <v>1095</v>
      </c>
      <c r="C87" s="65">
        <f t="shared" si="8"/>
        <v>44729</v>
      </c>
      <c r="D87" s="25" t="s">
        <v>1418</v>
      </c>
      <c r="E87" s="25" t="s">
        <v>1933</v>
      </c>
      <c r="F87" s="25" t="s">
        <v>309</v>
      </c>
      <c r="G87" s="25" t="str">
        <f t="shared" si="9"/>
        <v>Navya-SAV</v>
      </c>
      <c r="H87" s="25" t="str">
        <f t="shared" si="10"/>
        <v>SAV</v>
      </c>
      <c r="I87" s="25" t="s">
        <v>372</v>
      </c>
      <c r="J87" s="32" t="s">
        <v>372</v>
      </c>
      <c r="K87" s="25" t="str">
        <f t="shared" si="11"/>
        <v>Michelin;Beti</v>
      </c>
      <c r="L87" s="25" t="s">
        <v>510</v>
      </c>
      <c r="M87" s="25" t="s">
        <v>1206</v>
      </c>
      <c r="N87" s="25"/>
      <c r="O87" s="26" t="s">
        <v>1716</v>
      </c>
      <c r="P87" s="32" t="s">
        <v>2304</v>
      </c>
      <c r="Q87" s="25" t="s">
        <v>10</v>
      </c>
      <c r="R87" s="27" t="s">
        <v>53</v>
      </c>
      <c r="S87" s="27" t="s">
        <v>1021</v>
      </c>
      <c r="T87" s="27" t="s">
        <v>949</v>
      </c>
      <c r="U87" s="27" t="s">
        <v>53</v>
      </c>
      <c r="V87" s="27" t="s">
        <v>949</v>
      </c>
      <c r="W87" s="27" t="str">
        <f t="shared" si="12"/>
        <v xml:space="preserve">2.2. Renewed Alliance </v>
      </c>
      <c r="X87" s="8"/>
      <c r="Y87" s="8" t="s">
        <v>1349</v>
      </c>
      <c r="Z87" s="26" t="s">
        <v>38</v>
      </c>
      <c r="AA87" s="8" t="s">
        <v>1349</v>
      </c>
      <c r="AB87" s="26"/>
      <c r="AC87" s="26"/>
      <c r="AD87" s="26"/>
      <c r="AE87" s="26"/>
      <c r="AF87" s="40" t="s">
        <v>1418</v>
      </c>
      <c r="AH87" s="6" t="str">
        <f t="shared" si="13"/>
        <v>Navya-Ridepooling</v>
      </c>
    </row>
    <row r="88" spans="1:34" ht="14.25" customHeight="1" x14ac:dyDescent="0.35">
      <c r="A88" s="25" t="s">
        <v>1508</v>
      </c>
      <c r="B88" s="25" t="s">
        <v>1099</v>
      </c>
      <c r="C88" s="65">
        <f t="shared" si="8"/>
        <v>44812</v>
      </c>
      <c r="D88" s="25" t="s">
        <v>131</v>
      </c>
      <c r="E88" s="25" t="s">
        <v>300</v>
      </c>
      <c r="F88" s="25" t="s">
        <v>309</v>
      </c>
      <c r="G88" s="25" t="str">
        <f t="shared" si="9"/>
        <v>Nuro-ATV</v>
      </c>
      <c r="H88" s="25" t="str">
        <f t="shared" si="10"/>
        <v>ATV</v>
      </c>
      <c r="I88" s="25" t="s">
        <v>273</v>
      </c>
      <c r="J88" s="32" t="s">
        <v>273</v>
      </c>
      <c r="K88" s="25" t="str">
        <f t="shared" si="11"/>
        <v>Uber Eats</v>
      </c>
      <c r="L88" s="279" t="s">
        <v>580</v>
      </c>
      <c r="M88" s="25"/>
      <c r="N88" s="25"/>
      <c r="O88" s="26" t="s">
        <v>1751</v>
      </c>
      <c r="P88" s="26" t="s">
        <v>2134</v>
      </c>
      <c r="Q88" s="25" t="s">
        <v>10</v>
      </c>
      <c r="R88" s="27" t="s">
        <v>69</v>
      </c>
      <c r="S88" s="27" t="s">
        <v>991</v>
      </c>
      <c r="T88" s="27" t="s">
        <v>994</v>
      </c>
      <c r="U88" s="27" t="s">
        <v>949</v>
      </c>
      <c r="V88" s="27" t="s">
        <v>949</v>
      </c>
      <c r="W88" s="27" t="str">
        <f t="shared" si="12"/>
        <v>2.3. Long term Alliance</v>
      </c>
      <c r="X88" s="8"/>
      <c r="Y88" s="8" t="s">
        <v>132</v>
      </c>
      <c r="Z88" s="26" t="s">
        <v>8</v>
      </c>
      <c r="AA88" s="8" t="s">
        <v>132</v>
      </c>
      <c r="AB88" s="26"/>
      <c r="AC88" s="26"/>
      <c r="AD88" s="26"/>
      <c r="AE88" s="26"/>
      <c r="AF88" s="40" t="s">
        <v>131</v>
      </c>
      <c r="AH88" s="6" t="str">
        <f t="shared" si="13"/>
        <v>Nuro-Last-Mile</v>
      </c>
    </row>
    <row r="89" spans="1:34" ht="14.25" customHeight="1" x14ac:dyDescent="0.35">
      <c r="A89" s="25" t="s">
        <v>1511</v>
      </c>
      <c r="B89" s="25" t="s">
        <v>1102</v>
      </c>
      <c r="C89" s="65">
        <f t="shared" si="8"/>
        <v>44934</v>
      </c>
      <c r="D89" s="25" t="s">
        <v>135</v>
      </c>
      <c r="E89" s="25" t="s">
        <v>364</v>
      </c>
      <c r="F89" s="25" t="s">
        <v>286</v>
      </c>
      <c r="G89" s="25" t="str">
        <f t="shared" si="9"/>
        <v>Oxa-SAV</v>
      </c>
      <c r="H89" s="25" t="str">
        <f t="shared" si="10"/>
        <v>SAV</v>
      </c>
      <c r="I89" s="25" t="s">
        <v>372</v>
      </c>
      <c r="J89" s="32" t="s">
        <v>372</v>
      </c>
      <c r="K89" s="25" t="str">
        <f t="shared" si="11"/>
        <v>eVersum</v>
      </c>
      <c r="L89" s="25" t="s">
        <v>523</v>
      </c>
      <c r="M89" s="25"/>
      <c r="N89" s="25"/>
      <c r="O89" s="26" t="s">
        <v>1718</v>
      </c>
      <c r="P89" s="32" t="s">
        <v>1295</v>
      </c>
      <c r="Q89" s="25" t="s">
        <v>10</v>
      </c>
      <c r="R89" s="27" t="s">
        <v>69</v>
      </c>
      <c r="S89" s="27" t="s">
        <v>980</v>
      </c>
      <c r="T89" s="27" t="s">
        <v>1176</v>
      </c>
      <c r="U89" s="27" t="s">
        <v>949</v>
      </c>
      <c r="V89" s="27" t="s">
        <v>949</v>
      </c>
      <c r="W89" s="27" t="str">
        <f t="shared" si="12"/>
        <v>2.3. Long term Alliance</v>
      </c>
      <c r="X89" s="29"/>
      <c r="Y89" s="8" t="s">
        <v>1719</v>
      </c>
      <c r="Z89" s="26" t="s">
        <v>15</v>
      </c>
      <c r="AA89" s="8" t="s">
        <v>1600</v>
      </c>
      <c r="AB89" s="28" t="s">
        <v>12</v>
      </c>
      <c r="AC89" s="28" t="s">
        <v>1296</v>
      </c>
      <c r="AD89" s="26"/>
      <c r="AE89" s="26"/>
      <c r="AF89" s="40" t="s">
        <v>1769</v>
      </c>
      <c r="AG89" s="40" t="s">
        <v>1770</v>
      </c>
      <c r="AH89" s="6" t="str">
        <f t="shared" si="13"/>
        <v>Oxa-Ridepooling</v>
      </c>
    </row>
    <row r="90" spans="1:34" ht="14.25" customHeight="1" x14ac:dyDescent="0.35">
      <c r="A90" s="25" t="s">
        <v>1509</v>
      </c>
      <c r="B90" s="25" t="s">
        <v>1100</v>
      </c>
      <c r="C90" s="65">
        <f t="shared" si="8"/>
        <v>45007</v>
      </c>
      <c r="D90" s="25" t="s">
        <v>133</v>
      </c>
      <c r="E90" s="25" t="s">
        <v>364</v>
      </c>
      <c r="F90" s="25" t="s">
        <v>286</v>
      </c>
      <c r="G90" s="25" t="str">
        <f t="shared" si="9"/>
        <v>Oxa-ATV</v>
      </c>
      <c r="H90" s="25" t="str">
        <f t="shared" si="10"/>
        <v>ATV</v>
      </c>
      <c r="I90" s="25" t="s">
        <v>273</v>
      </c>
      <c r="J90" s="32" t="s">
        <v>273</v>
      </c>
      <c r="K90" s="25" t="str">
        <f t="shared" si="11"/>
        <v>Goggo Network</v>
      </c>
      <c r="L90" s="25" t="s">
        <v>519</v>
      </c>
      <c r="M90" s="25"/>
      <c r="N90" s="25"/>
      <c r="O90" s="26" t="s">
        <v>1715</v>
      </c>
      <c r="P90" s="25" t="s">
        <v>1257</v>
      </c>
      <c r="Q90" s="25" t="s">
        <v>10</v>
      </c>
      <c r="R90" s="27" t="s">
        <v>69</v>
      </c>
      <c r="S90" s="27" t="s">
        <v>978</v>
      </c>
      <c r="T90" s="27" t="s">
        <v>949</v>
      </c>
      <c r="U90" s="27" t="s">
        <v>949</v>
      </c>
      <c r="V90" s="27" t="s">
        <v>949</v>
      </c>
      <c r="W90" s="27" t="str">
        <f t="shared" si="12"/>
        <v>2.1. Short term Alliance (no exclusivity / previous experience)</v>
      </c>
      <c r="X90" s="8"/>
      <c r="Y90" s="8" t="s">
        <v>1257</v>
      </c>
      <c r="Z90" s="26" t="s">
        <v>8</v>
      </c>
      <c r="AA90" s="8" t="s">
        <v>1590</v>
      </c>
      <c r="AB90" s="26"/>
      <c r="AC90" s="26"/>
      <c r="AD90" s="26"/>
      <c r="AE90" s="26"/>
      <c r="AF90" s="40" t="s">
        <v>1894</v>
      </c>
      <c r="AG90" s="40" t="s">
        <v>1895</v>
      </c>
      <c r="AH90" s="6" t="str">
        <f t="shared" si="13"/>
        <v>Oxa-Last-Mile</v>
      </c>
    </row>
    <row r="91" spans="1:34" ht="14.25" customHeight="1" x14ac:dyDescent="0.35">
      <c r="A91" s="25" t="s">
        <v>1512</v>
      </c>
      <c r="B91" s="25" t="s">
        <v>1103</v>
      </c>
      <c r="C91" s="65">
        <f t="shared" si="8"/>
        <v>43653</v>
      </c>
      <c r="D91" s="25" t="s">
        <v>136</v>
      </c>
      <c r="E91" s="25" t="s">
        <v>364</v>
      </c>
      <c r="F91" s="25" t="s">
        <v>286</v>
      </c>
      <c r="G91" s="25" t="str">
        <f t="shared" si="9"/>
        <v>Oxa-Other</v>
      </c>
      <c r="H91" s="25" t="str">
        <f t="shared" si="10"/>
        <v>Other</v>
      </c>
      <c r="I91" s="25" t="s">
        <v>372</v>
      </c>
      <c r="J91" s="32" t="s">
        <v>1200</v>
      </c>
      <c r="K91" s="25" t="str">
        <f t="shared" si="11"/>
        <v>Navtech Radar</v>
      </c>
      <c r="L91" s="25" t="s">
        <v>866</v>
      </c>
      <c r="M91" s="25"/>
      <c r="N91" s="25"/>
      <c r="O91" s="26" t="s">
        <v>1723</v>
      </c>
      <c r="P91" s="26" t="s">
        <v>1283</v>
      </c>
      <c r="Q91" s="25" t="s">
        <v>10</v>
      </c>
      <c r="R91" s="27" t="s">
        <v>69</v>
      </c>
      <c r="S91" s="27" t="s">
        <v>980</v>
      </c>
      <c r="T91" s="27" t="s">
        <v>949</v>
      </c>
      <c r="U91" s="27" t="s">
        <v>949</v>
      </c>
      <c r="V91" s="27" t="s">
        <v>949</v>
      </c>
      <c r="W91" s="27" t="str">
        <f t="shared" si="12"/>
        <v>2.1. Short term Alliance (no exclusivity / previous experience)</v>
      </c>
      <c r="X91" s="8"/>
      <c r="Y91" s="8" t="s">
        <v>1284</v>
      </c>
      <c r="Z91" s="26" t="s">
        <v>15</v>
      </c>
      <c r="AA91" s="8" t="s">
        <v>1284</v>
      </c>
      <c r="AB91" s="26"/>
      <c r="AC91" s="26"/>
      <c r="AD91" s="26"/>
      <c r="AE91" s="26"/>
      <c r="AF91" s="40" t="s">
        <v>136</v>
      </c>
      <c r="AH91" s="6" t="str">
        <f t="shared" si="13"/>
        <v>Oxa-Other</v>
      </c>
    </row>
    <row r="92" spans="1:34" ht="14.25" customHeight="1" x14ac:dyDescent="0.35">
      <c r="A92" s="25" t="s">
        <v>1513</v>
      </c>
      <c r="B92" s="25" t="s">
        <v>1036</v>
      </c>
      <c r="C92" s="65">
        <f t="shared" si="8"/>
        <v>44692</v>
      </c>
      <c r="D92" s="25" t="s">
        <v>137</v>
      </c>
      <c r="E92" s="25" t="s">
        <v>364</v>
      </c>
      <c r="F92" s="25" t="s">
        <v>286</v>
      </c>
      <c r="G92" s="25" t="str">
        <f t="shared" si="9"/>
        <v>Oxa-SAV</v>
      </c>
      <c r="H92" s="25" t="str">
        <f t="shared" si="10"/>
        <v>SAV</v>
      </c>
      <c r="I92" s="25" t="s">
        <v>372</v>
      </c>
      <c r="J92" s="32" t="s">
        <v>372</v>
      </c>
      <c r="K92" s="25" t="str">
        <f t="shared" si="11"/>
        <v>NEVS</v>
      </c>
      <c r="L92" s="25" t="s">
        <v>1968</v>
      </c>
      <c r="M92" s="25"/>
      <c r="N92" s="25"/>
      <c r="O92" s="26" t="s">
        <v>1725</v>
      </c>
      <c r="P92" s="32" t="s">
        <v>1726</v>
      </c>
      <c r="Q92" s="25" t="s">
        <v>10</v>
      </c>
      <c r="R92" s="27" t="s">
        <v>53</v>
      </c>
      <c r="S92" s="27" t="s">
        <v>980</v>
      </c>
      <c r="T92" s="27" t="s">
        <v>1172</v>
      </c>
      <c r="U92" s="27" t="s">
        <v>949</v>
      </c>
      <c r="V92" s="27" t="s">
        <v>949</v>
      </c>
      <c r="W92" s="27" t="str">
        <f t="shared" si="12"/>
        <v>2.3. Long term Alliance</v>
      </c>
      <c r="X92" s="8"/>
      <c r="Y92" s="8" t="s">
        <v>1727</v>
      </c>
      <c r="Z92" s="26" t="s">
        <v>15</v>
      </c>
      <c r="AA92" s="8" t="s">
        <v>1727</v>
      </c>
      <c r="AB92" s="26"/>
      <c r="AC92" s="26"/>
      <c r="AD92" s="26"/>
      <c r="AE92" s="26"/>
      <c r="AF92" s="40" t="s">
        <v>137</v>
      </c>
      <c r="AH92" s="6" t="str">
        <f t="shared" si="13"/>
        <v>Oxa-Ridepooling</v>
      </c>
    </row>
    <row r="93" spans="1:34" ht="14.25" customHeight="1" x14ac:dyDescent="0.35">
      <c r="A93" s="25" t="s">
        <v>1510</v>
      </c>
      <c r="B93" s="25" t="s">
        <v>1101</v>
      </c>
      <c r="C93" s="65">
        <f t="shared" si="8"/>
        <v>44301</v>
      </c>
      <c r="D93" s="28" t="s">
        <v>134</v>
      </c>
      <c r="E93" s="28" t="s">
        <v>364</v>
      </c>
      <c r="F93" s="25" t="s">
        <v>286</v>
      </c>
      <c r="G93" s="25" t="str">
        <f t="shared" si="9"/>
        <v>Oxa-ATV</v>
      </c>
      <c r="H93" s="25" t="str">
        <f t="shared" si="10"/>
        <v>ATV</v>
      </c>
      <c r="I93" s="25" t="s">
        <v>273</v>
      </c>
      <c r="J93" s="32" t="s">
        <v>273</v>
      </c>
      <c r="K93" s="25" t="str">
        <f t="shared" si="11"/>
        <v>Ocado Group</v>
      </c>
      <c r="L93" s="25" t="s">
        <v>837</v>
      </c>
      <c r="M93" s="25"/>
      <c r="N93" s="25"/>
      <c r="O93" s="30" t="s">
        <v>1732</v>
      </c>
      <c r="P93" s="30" t="s">
        <v>2225</v>
      </c>
      <c r="Q93" s="38" t="s">
        <v>17</v>
      </c>
      <c r="R93" s="27" t="s">
        <v>69</v>
      </c>
      <c r="S93" s="27" t="s">
        <v>978</v>
      </c>
      <c r="T93" s="27" t="s">
        <v>994</v>
      </c>
      <c r="U93" s="27" t="s">
        <v>949</v>
      </c>
      <c r="V93" s="27" t="s">
        <v>949</v>
      </c>
      <c r="W93" s="27" t="str">
        <f t="shared" si="12"/>
        <v>3. Strategic Partnership</v>
      </c>
      <c r="X93" s="8"/>
      <c r="Y93" s="8" t="s">
        <v>1364</v>
      </c>
      <c r="Z93" s="26" t="s">
        <v>15</v>
      </c>
      <c r="AA93" s="8" t="s">
        <v>1364</v>
      </c>
      <c r="AB93" s="26"/>
      <c r="AC93" s="26"/>
      <c r="AD93" s="26"/>
      <c r="AE93" s="26"/>
      <c r="AF93" s="40" t="s">
        <v>134</v>
      </c>
      <c r="AH93" s="6" t="str">
        <f t="shared" si="13"/>
        <v>Oxa-Last-Mile</v>
      </c>
    </row>
    <row r="94" spans="1:34" ht="14.25" customHeight="1" x14ac:dyDescent="0.35">
      <c r="A94" s="25" t="s">
        <v>1519</v>
      </c>
      <c r="B94" s="25" t="s">
        <v>1109</v>
      </c>
      <c r="C94" s="65">
        <f t="shared" si="8"/>
        <v>45056</v>
      </c>
      <c r="D94" s="25" t="s">
        <v>149</v>
      </c>
      <c r="E94" s="25" t="s">
        <v>141</v>
      </c>
      <c r="F94" s="25" t="s">
        <v>286</v>
      </c>
      <c r="G94" s="25" t="str">
        <f t="shared" si="9"/>
        <v>Perrone Robotics-SAV</v>
      </c>
      <c r="H94" s="25" t="str">
        <f t="shared" si="10"/>
        <v>SAV</v>
      </c>
      <c r="I94" s="25" t="s">
        <v>372</v>
      </c>
      <c r="J94" s="32" t="s">
        <v>372</v>
      </c>
      <c r="K94" s="25" t="str">
        <f t="shared" si="11"/>
        <v>Global Finance Group</v>
      </c>
      <c r="L94" s="25" t="s">
        <v>587</v>
      </c>
      <c r="M94" s="25"/>
      <c r="N94" s="25"/>
      <c r="O94" s="26" t="s">
        <v>1650</v>
      </c>
      <c r="P94" s="25" t="s">
        <v>150</v>
      </c>
      <c r="Q94" s="25" t="s">
        <v>10</v>
      </c>
      <c r="R94" s="27" t="s">
        <v>69</v>
      </c>
      <c r="S94" s="27" t="s">
        <v>1192</v>
      </c>
      <c r="T94" s="27" t="s">
        <v>949</v>
      </c>
      <c r="U94" s="27" t="s">
        <v>949</v>
      </c>
      <c r="V94" s="27" t="s">
        <v>949</v>
      </c>
      <c r="W94" s="27" t="str">
        <f t="shared" si="12"/>
        <v>2.1. Short term Alliance (no exclusivity / previous experience)</v>
      </c>
      <c r="X94" s="29"/>
      <c r="Y94" s="8" t="s">
        <v>150</v>
      </c>
      <c r="Z94" s="28" t="s">
        <v>1200</v>
      </c>
      <c r="AA94" s="8" t="s">
        <v>1634</v>
      </c>
      <c r="AC94" s="28"/>
      <c r="AD94" s="26"/>
      <c r="AE94" s="26"/>
      <c r="AF94" s="40" t="s">
        <v>1809</v>
      </c>
      <c r="AG94" s="40" t="s">
        <v>1810</v>
      </c>
      <c r="AH94" s="6" t="str">
        <f t="shared" si="13"/>
        <v>Perrone Robotics-Ridepooling</v>
      </c>
    </row>
    <row r="95" spans="1:34" ht="14.25" customHeight="1" x14ac:dyDescent="0.35">
      <c r="A95" s="25" t="s">
        <v>1529</v>
      </c>
      <c r="B95" s="25" t="s">
        <v>1118</v>
      </c>
      <c r="C95" s="65">
        <f t="shared" si="8"/>
        <v>44566</v>
      </c>
      <c r="D95" s="25" t="s">
        <v>1588</v>
      </c>
      <c r="E95" s="25" t="s">
        <v>141</v>
      </c>
      <c r="F95" s="25" t="s">
        <v>286</v>
      </c>
      <c r="G95" s="25" t="str">
        <f t="shared" si="9"/>
        <v>Perrone Robotics-SAV</v>
      </c>
      <c r="H95" s="25" t="str">
        <f t="shared" si="10"/>
        <v>SAV</v>
      </c>
      <c r="I95" s="25" t="s">
        <v>372</v>
      </c>
      <c r="J95" s="32" t="s">
        <v>372</v>
      </c>
      <c r="K95" s="25" t="str">
        <f t="shared" si="11"/>
        <v>Western Reserve Transit Authority;GreenPower</v>
      </c>
      <c r="L95" s="25" t="s">
        <v>901</v>
      </c>
      <c r="M95" s="25" t="s">
        <v>786</v>
      </c>
      <c r="N95" s="25"/>
      <c r="O95" s="26" t="s">
        <v>1722</v>
      </c>
      <c r="P95" s="32" t="s">
        <v>1013</v>
      </c>
      <c r="Q95" s="25" t="s">
        <v>10</v>
      </c>
      <c r="R95" s="27" t="s">
        <v>69</v>
      </c>
      <c r="S95" s="27" t="s">
        <v>1014</v>
      </c>
      <c r="T95" s="27" t="s">
        <v>949</v>
      </c>
      <c r="U95" s="27" t="s">
        <v>949</v>
      </c>
      <c r="V95" s="27" t="s">
        <v>949</v>
      </c>
      <c r="W95" s="27" t="str">
        <f t="shared" si="12"/>
        <v>2.1. Short term Alliance (no exclusivity / previous experience)</v>
      </c>
      <c r="X95" s="8"/>
      <c r="Y95" s="8" t="s">
        <v>163</v>
      </c>
      <c r="Z95" s="26" t="s">
        <v>8</v>
      </c>
      <c r="AA95" s="8" t="s">
        <v>163</v>
      </c>
      <c r="AB95" s="26"/>
      <c r="AC95" s="26"/>
      <c r="AD95" s="26"/>
      <c r="AE95" s="26"/>
      <c r="AF95" s="40" t="s">
        <v>1852</v>
      </c>
      <c r="AG95" s="40" t="s">
        <v>1853</v>
      </c>
      <c r="AH95" s="6" t="str">
        <f t="shared" si="13"/>
        <v>Perrone Robotics-Ridepooling</v>
      </c>
    </row>
    <row r="96" spans="1:34" ht="14.25" customHeight="1" x14ac:dyDescent="0.35">
      <c r="A96" s="25" t="s">
        <v>1527</v>
      </c>
      <c r="B96" s="25" t="s">
        <v>1116</v>
      </c>
      <c r="C96" s="65">
        <f t="shared" si="8"/>
        <v>43221</v>
      </c>
      <c r="D96" s="25" t="s">
        <v>160</v>
      </c>
      <c r="E96" s="25" t="s">
        <v>141</v>
      </c>
      <c r="F96" s="25" t="s">
        <v>286</v>
      </c>
      <c r="G96" s="25" t="str">
        <f t="shared" si="9"/>
        <v>Perrone Robotics-SAV</v>
      </c>
      <c r="H96" s="25" t="str">
        <f t="shared" si="10"/>
        <v>SAV</v>
      </c>
      <c r="I96" s="25" t="s">
        <v>372</v>
      </c>
      <c r="J96" s="32" t="s">
        <v>372</v>
      </c>
      <c r="K96" s="25" t="str">
        <f t="shared" si="11"/>
        <v>SAE</v>
      </c>
      <c r="L96" s="25" t="s">
        <v>1984</v>
      </c>
      <c r="M96" s="25"/>
      <c r="N96" s="25"/>
      <c r="O96" s="25" t="s">
        <v>1252</v>
      </c>
      <c r="P96" s="32" t="s">
        <v>955</v>
      </c>
      <c r="Q96" s="25" t="s">
        <v>10</v>
      </c>
      <c r="R96" s="27" t="s">
        <v>69</v>
      </c>
      <c r="S96" s="27" t="s">
        <v>981</v>
      </c>
      <c r="T96" s="27" t="s">
        <v>1012</v>
      </c>
      <c r="U96" s="27" t="s">
        <v>949</v>
      </c>
      <c r="V96" s="33" t="s">
        <v>949</v>
      </c>
      <c r="W96" s="27" t="str">
        <f t="shared" si="12"/>
        <v>2.1. Short term Alliance (no exclusivity / previous experience)</v>
      </c>
      <c r="X96" s="8"/>
      <c r="Y96" s="8" t="s">
        <v>1253</v>
      </c>
      <c r="Z96" s="26" t="s">
        <v>38</v>
      </c>
      <c r="AA96" s="8" t="s">
        <v>1253</v>
      </c>
      <c r="AB96" s="26"/>
      <c r="AC96" s="26"/>
      <c r="AD96" s="26"/>
      <c r="AE96" s="26"/>
      <c r="AF96" s="40" t="s">
        <v>1878</v>
      </c>
      <c r="AG96" s="40" t="s">
        <v>1879</v>
      </c>
      <c r="AH96" s="6" t="str">
        <f t="shared" si="13"/>
        <v>Perrone Robotics-Ridepooling</v>
      </c>
    </row>
    <row r="97" spans="1:34" ht="14.25" customHeight="1" x14ac:dyDescent="0.35">
      <c r="A97" s="25" t="s">
        <v>1520</v>
      </c>
      <c r="B97" s="25" t="s">
        <v>1110</v>
      </c>
      <c r="C97" s="65">
        <f t="shared" si="8"/>
        <v>44426</v>
      </c>
      <c r="D97" s="25" t="s">
        <v>151</v>
      </c>
      <c r="E97" s="25" t="s">
        <v>141</v>
      </c>
      <c r="F97" s="25" t="s">
        <v>286</v>
      </c>
      <c r="G97" s="25" t="str">
        <f t="shared" si="9"/>
        <v>Perrone Robotics-SAV</v>
      </c>
      <c r="H97" s="25" t="str">
        <f t="shared" si="10"/>
        <v>SAV</v>
      </c>
      <c r="I97" s="25" t="s">
        <v>372</v>
      </c>
      <c r="J97" s="32" t="s">
        <v>372</v>
      </c>
      <c r="K97" s="25" t="str">
        <f t="shared" si="11"/>
        <v>Tropos Technologies</v>
      </c>
      <c r="L97" s="25" t="s">
        <v>808</v>
      </c>
      <c r="M97" s="25"/>
      <c r="N97" s="25"/>
      <c r="O97" s="26" t="s">
        <v>1384</v>
      </c>
      <c r="P97" s="26" t="s">
        <v>152</v>
      </c>
      <c r="Q97" s="25" t="s">
        <v>10</v>
      </c>
      <c r="R97" s="27" t="s">
        <v>69</v>
      </c>
      <c r="S97" s="27" t="s">
        <v>980</v>
      </c>
      <c r="T97" s="27" t="s">
        <v>949</v>
      </c>
      <c r="U97" s="27" t="s">
        <v>949</v>
      </c>
      <c r="V97" s="27" t="s">
        <v>949</v>
      </c>
      <c r="W97" s="27" t="str">
        <f t="shared" si="12"/>
        <v>2.1. Short term Alliance (no exclusivity / previous experience)</v>
      </c>
      <c r="X97" s="8"/>
      <c r="Y97" s="8" t="s">
        <v>1758</v>
      </c>
      <c r="Z97" s="26" t="s">
        <v>15</v>
      </c>
      <c r="AA97" s="8" t="s">
        <v>1758</v>
      </c>
      <c r="AB97" s="26"/>
      <c r="AC97" s="26"/>
      <c r="AD97" s="26"/>
      <c r="AE97" s="26"/>
      <c r="AF97" s="40" t="s">
        <v>1896</v>
      </c>
      <c r="AG97" s="40" t="s">
        <v>1897</v>
      </c>
      <c r="AH97" s="6" t="str">
        <f t="shared" si="13"/>
        <v>Perrone Robotics-Ridepooling</v>
      </c>
    </row>
    <row r="98" spans="1:34" ht="14.25" customHeight="1" x14ac:dyDescent="0.35">
      <c r="A98" s="25" t="s">
        <v>1525</v>
      </c>
      <c r="B98" s="25" t="s">
        <v>1110</v>
      </c>
      <c r="C98" s="65">
        <f t="shared" ref="C98:C129" si="14">DATE(LEFT(B98,4),MID(B98,7,1),RIGHT(B98,LEN(B98)-SEARCH(",",B98,6)))</f>
        <v>44426</v>
      </c>
      <c r="D98" s="25" t="s">
        <v>158</v>
      </c>
      <c r="E98" s="25" t="s">
        <v>141</v>
      </c>
      <c r="F98" s="25" t="s">
        <v>286</v>
      </c>
      <c r="G98" s="25" t="str">
        <f t="shared" ref="G98:G129" si="15">E98&amp;"-"&amp;H98</f>
        <v>Perrone Robotics-SAV</v>
      </c>
      <c r="H98" s="25" t="str">
        <f t="shared" si="10"/>
        <v>SAV</v>
      </c>
      <c r="I98" s="25" t="s">
        <v>372</v>
      </c>
      <c r="J98" s="32" t="s">
        <v>372</v>
      </c>
      <c r="K98" s="25" t="str">
        <f t="shared" si="11"/>
        <v>Tropos Technologies</v>
      </c>
      <c r="L98" s="25" t="s">
        <v>808</v>
      </c>
      <c r="M98" s="25"/>
      <c r="N98" s="25"/>
      <c r="O98" s="26" t="s">
        <v>1664</v>
      </c>
      <c r="P98" s="32" t="s">
        <v>953</v>
      </c>
      <c r="Q98" s="25" t="s">
        <v>10</v>
      </c>
      <c r="R98" s="27" t="s">
        <v>69</v>
      </c>
      <c r="S98" s="27" t="s">
        <v>1004</v>
      </c>
      <c r="T98" s="27" t="s">
        <v>949</v>
      </c>
      <c r="U98" s="27" t="s">
        <v>949</v>
      </c>
      <c r="V98" s="33" t="s">
        <v>949</v>
      </c>
      <c r="W98" s="27" t="str">
        <f t="shared" si="12"/>
        <v>2.1. Short term Alliance (no exclusivity / previous experience)</v>
      </c>
      <c r="X98" s="8"/>
      <c r="Y98" s="8" t="s">
        <v>1400</v>
      </c>
      <c r="Z98" s="26" t="s">
        <v>15</v>
      </c>
      <c r="AA98" s="8" t="s">
        <v>1400</v>
      </c>
      <c r="AB98" s="26"/>
      <c r="AC98" s="26"/>
      <c r="AD98" s="26"/>
      <c r="AE98" s="26"/>
      <c r="AF98" s="40" t="s">
        <v>158</v>
      </c>
      <c r="AH98" s="6" t="str">
        <f t="shared" si="13"/>
        <v>Perrone Robotics-Ridepooling</v>
      </c>
    </row>
    <row r="99" spans="1:34" ht="14.25" customHeight="1" x14ac:dyDescent="0.35">
      <c r="A99" s="25" t="s">
        <v>1515</v>
      </c>
      <c r="B99" s="25" t="s">
        <v>1105</v>
      </c>
      <c r="C99" s="65">
        <f t="shared" si="14"/>
        <v>43892</v>
      </c>
      <c r="D99" s="25" t="s">
        <v>140</v>
      </c>
      <c r="E99" s="25" t="s">
        <v>141</v>
      </c>
      <c r="F99" s="25" t="s">
        <v>286</v>
      </c>
      <c r="G99" s="25" t="str">
        <f t="shared" si="15"/>
        <v>Perrone Robotics-SAV</v>
      </c>
      <c r="H99" s="25" t="str">
        <f t="shared" si="10"/>
        <v>SAV</v>
      </c>
      <c r="I99" s="25" t="s">
        <v>372</v>
      </c>
      <c r="J99" s="32" t="s">
        <v>372</v>
      </c>
      <c r="K99" s="25" t="str">
        <f t="shared" si="11"/>
        <v>Greenpower</v>
      </c>
      <c r="L99" s="25" t="s">
        <v>1989</v>
      </c>
      <c r="M99" s="25"/>
      <c r="N99" s="25"/>
      <c r="O99" s="26" t="s">
        <v>142</v>
      </c>
      <c r="P99" s="25" t="s">
        <v>143</v>
      </c>
      <c r="Q99" s="25" t="s">
        <v>10</v>
      </c>
      <c r="R99" s="27" t="s">
        <v>69</v>
      </c>
      <c r="S99" s="27" t="s">
        <v>980</v>
      </c>
      <c r="T99" s="27" t="s">
        <v>949</v>
      </c>
      <c r="U99" s="27" t="s">
        <v>949</v>
      </c>
      <c r="V99" s="27" t="s">
        <v>949</v>
      </c>
      <c r="W99" s="27" t="str">
        <f t="shared" si="12"/>
        <v>2.1. Short term Alliance (no exclusivity / previous experience)</v>
      </c>
      <c r="X99" s="8"/>
      <c r="Y99" s="8" t="s">
        <v>143</v>
      </c>
      <c r="Z99" s="26" t="s">
        <v>15</v>
      </c>
      <c r="AA99" s="8" t="s">
        <v>143</v>
      </c>
      <c r="AB99" s="26"/>
      <c r="AC99" s="26"/>
      <c r="AD99" s="26"/>
      <c r="AE99" s="26"/>
      <c r="AF99" s="40" t="s">
        <v>140</v>
      </c>
      <c r="AH99" s="6" t="str">
        <f t="shared" si="13"/>
        <v>Perrone Robotics-Ridepooling</v>
      </c>
    </row>
    <row r="100" spans="1:34" ht="14.25" customHeight="1" x14ac:dyDescent="0.35">
      <c r="A100" s="25" t="s">
        <v>1526</v>
      </c>
      <c r="B100" s="25" t="s">
        <v>1115</v>
      </c>
      <c r="C100" s="65">
        <f t="shared" si="14"/>
        <v>44670</v>
      </c>
      <c r="D100" s="25" t="s">
        <v>159</v>
      </c>
      <c r="E100" s="25" t="s">
        <v>141</v>
      </c>
      <c r="F100" s="25" t="s">
        <v>286</v>
      </c>
      <c r="G100" s="25" t="str">
        <f t="shared" si="15"/>
        <v>Perrone Robotics-SAV</v>
      </c>
      <c r="H100" s="25" t="str">
        <f t="shared" si="10"/>
        <v>SAV</v>
      </c>
      <c r="I100" s="25" t="s">
        <v>372</v>
      </c>
      <c r="J100" s="32" t="s">
        <v>372</v>
      </c>
      <c r="K100" s="25" t="str">
        <f t="shared" si="11"/>
        <v>Guident</v>
      </c>
      <c r="L100" s="25" t="s">
        <v>454</v>
      </c>
      <c r="M100" s="25"/>
      <c r="N100" s="25"/>
      <c r="O100" s="26" t="s">
        <v>1665</v>
      </c>
      <c r="P100" s="25" t="s">
        <v>954</v>
      </c>
      <c r="Q100" s="25" t="s">
        <v>10</v>
      </c>
      <c r="R100" s="27" t="s">
        <v>53</v>
      </c>
      <c r="S100" s="27" t="s">
        <v>980</v>
      </c>
      <c r="T100" s="27" t="s">
        <v>949</v>
      </c>
      <c r="U100" s="27" t="s">
        <v>949</v>
      </c>
      <c r="V100" s="27" t="s">
        <v>949</v>
      </c>
      <c r="W100" s="27" t="str">
        <f t="shared" si="12"/>
        <v>2.1. Short term Alliance (no exclusivity / previous experience)</v>
      </c>
      <c r="X100" s="8"/>
      <c r="Y100" s="8" t="s">
        <v>1355</v>
      </c>
      <c r="Z100" s="26" t="s">
        <v>15</v>
      </c>
      <c r="AA100" s="8" t="s">
        <v>1355</v>
      </c>
      <c r="AB100" s="26"/>
      <c r="AC100" s="26"/>
      <c r="AD100" s="26"/>
      <c r="AE100" s="26"/>
      <c r="AF100" s="40" t="s">
        <v>159</v>
      </c>
      <c r="AH100" s="6" t="str">
        <f t="shared" si="13"/>
        <v>Perrone Robotics-Ridepooling</v>
      </c>
    </row>
    <row r="101" spans="1:34" ht="14.25" customHeight="1" x14ac:dyDescent="0.35">
      <c r="A101" s="25" t="s">
        <v>1517</v>
      </c>
      <c r="B101" s="25" t="s">
        <v>1107</v>
      </c>
      <c r="C101" s="65">
        <f t="shared" si="14"/>
        <v>44690</v>
      </c>
      <c r="D101" s="25" t="s">
        <v>146</v>
      </c>
      <c r="E101" s="25" t="s">
        <v>141</v>
      </c>
      <c r="F101" s="25" t="s">
        <v>286</v>
      </c>
      <c r="G101" s="25" t="str">
        <f t="shared" si="15"/>
        <v>Perrone Robotics-SAV</v>
      </c>
      <c r="H101" s="25" t="str">
        <f t="shared" si="10"/>
        <v>SAV</v>
      </c>
      <c r="I101" s="25" t="s">
        <v>372</v>
      </c>
      <c r="J101" s="32" t="s">
        <v>372</v>
      </c>
      <c r="K101" s="25" t="str">
        <f t="shared" si="11"/>
        <v>Lightning eMotors</v>
      </c>
      <c r="L101" s="25" t="s">
        <v>582</v>
      </c>
      <c r="M101" s="25"/>
      <c r="N101" s="25"/>
      <c r="O101" s="26" t="s">
        <v>1906</v>
      </c>
      <c r="P101" s="25" t="s">
        <v>951</v>
      </c>
      <c r="Q101" s="25" t="s">
        <v>10</v>
      </c>
      <c r="R101" s="27" t="s">
        <v>69</v>
      </c>
      <c r="S101" s="27" t="s">
        <v>980</v>
      </c>
      <c r="T101" s="27" t="s">
        <v>949</v>
      </c>
      <c r="U101" s="27" t="s">
        <v>949</v>
      </c>
      <c r="V101" s="27" t="s">
        <v>949</v>
      </c>
      <c r="W101" s="27" t="str">
        <f t="shared" si="12"/>
        <v>2.1. Short term Alliance (no exclusivity / previous experience)</v>
      </c>
      <c r="X101" s="8"/>
      <c r="Y101" s="8" t="s">
        <v>1394</v>
      </c>
      <c r="Z101" s="26" t="s">
        <v>15</v>
      </c>
      <c r="AA101" s="8" t="s">
        <v>1394</v>
      </c>
      <c r="AB101" s="26"/>
      <c r="AC101" s="26"/>
      <c r="AD101" s="26"/>
      <c r="AE101" s="26"/>
      <c r="AF101" s="40" t="s">
        <v>146</v>
      </c>
      <c r="AH101" s="6" t="str">
        <f t="shared" si="13"/>
        <v>Perrone Robotics-Ridepooling</v>
      </c>
    </row>
    <row r="102" spans="1:34" ht="14.25" customHeight="1" x14ac:dyDescent="0.35">
      <c r="A102" s="25" t="s">
        <v>1522</v>
      </c>
      <c r="B102" s="25" t="s">
        <v>1112</v>
      </c>
      <c r="C102" s="65">
        <f t="shared" si="14"/>
        <v>44235</v>
      </c>
      <c r="D102" s="25" t="s">
        <v>154</v>
      </c>
      <c r="E102" s="25" t="s">
        <v>141</v>
      </c>
      <c r="F102" s="25" t="s">
        <v>286</v>
      </c>
      <c r="G102" s="25" t="str">
        <f t="shared" si="15"/>
        <v>Perrone Robotics-SAV</v>
      </c>
      <c r="H102" s="25" t="str">
        <f t="shared" si="10"/>
        <v>SAV</v>
      </c>
      <c r="I102" s="25" t="s">
        <v>372</v>
      </c>
      <c r="J102" s="32" t="s">
        <v>372</v>
      </c>
      <c r="K102" s="25" t="str">
        <f t="shared" si="11"/>
        <v>University of California</v>
      </c>
      <c r="L102" s="25" t="s">
        <v>1969</v>
      </c>
      <c r="M102" s="25"/>
      <c r="N102" s="25"/>
      <c r="O102" s="25" t="s">
        <v>1271</v>
      </c>
      <c r="P102" s="25" t="s">
        <v>1272</v>
      </c>
      <c r="Q102" s="25" t="s">
        <v>10</v>
      </c>
      <c r="R102" s="27" t="s">
        <v>53</v>
      </c>
      <c r="S102" s="27" t="s">
        <v>1008</v>
      </c>
      <c r="T102" s="27" t="s">
        <v>949</v>
      </c>
      <c r="U102" s="27" t="s">
        <v>949</v>
      </c>
      <c r="V102" s="27" t="s">
        <v>949</v>
      </c>
      <c r="W102" s="27" t="str">
        <f t="shared" si="12"/>
        <v>2.1. Short term Alliance (no exclusivity / previous experience)</v>
      </c>
      <c r="X102" s="8"/>
      <c r="Y102" s="8" t="s">
        <v>1272</v>
      </c>
      <c r="Z102" s="26" t="s">
        <v>38</v>
      </c>
      <c r="AA102" s="8" t="s">
        <v>1272</v>
      </c>
      <c r="AB102" s="26"/>
      <c r="AC102" s="26"/>
      <c r="AD102" s="26"/>
      <c r="AE102" s="26"/>
      <c r="AF102" s="40" t="s">
        <v>154</v>
      </c>
      <c r="AH102" s="6" t="str">
        <f t="shared" si="13"/>
        <v>Perrone Robotics-Ridepooling</v>
      </c>
    </row>
    <row r="103" spans="1:34" ht="14.25" customHeight="1" x14ac:dyDescent="0.35">
      <c r="A103" s="25" t="s">
        <v>1524</v>
      </c>
      <c r="B103" s="25" t="s">
        <v>1114</v>
      </c>
      <c r="C103" s="65">
        <f t="shared" si="14"/>
        <v>44974</v>
      </c>
      <c r="D103" s="25" t="s">
        <v>156</v>
      </c>
      <c r="E103" s="25" t="s">
        <v>141</v>
      </c>
      <c r="F103" s="25" t="s">
        <v>286</v>
      </c>
      <c r="G103" s="25" t="str">
        <f t="shared" si="15"/>
        <v>Perrone Robotics-SAV</v>
      </c>
      <c r="H103" s="25" t="str">
        <f t="shared" si="10"/>
        <v>SAV</v>
      </c>
      <c r="I103" s="25" t="s">
        <v>372</v>
      </c>
      <c r="J103" s="32" t="s">
        <v>372</v>
      </c>
      <c r="K103" s="25" t="str">
        <f t="shared" si="11"/>
        <v>Sustainability Partners</v>
      </c>
      <c r="L103" s="25" t="s">
        <v>599</v>
      </c>
      <c r="M103" s="25"/>
      <c r="N103" s="25"/>
      <c r="O103" s="26" t="s">
        <v>1667</v>
      </c>
      <c r="P103" s="32" t="s">
        <v>1011</v>
      </c>
      <c r="Q103" s="25" t="s">
        <v>10</v>
      </c>
      <c r="R103" s="27" t="s">
        <v>69</v>
      </c>
      <c r="S103" s="27" t="s">
        <v>1192</v>
      </c>
      <c r="T103" s="27" t="s">
        <v>949</v>
      </c>
      <c r="U103" s="27" t="s">
        <v>949</v>
      </c>
      <c r="V103" s="27" t="s">
        <v>949</v>
      </c>
      <c r="W103" s="27" t="str">
        <f t="shared" si="12"/>
        <v>2.1. Short term Alliance (no exclusivity / previous experience)</v>
      </c>
      <c r="X103" s="8"/>
      <c r="Y103" s="8" t="s">
        <v>157</v>
      </c>
      <c r="Z103" s="26" t="s">
        <v>1200</v>
      </c>
      <c r="AA103" s="8" t="s">
        <v>157</v>
      </c>
      <c r="AB103" s="26"/>
      <c r="AC103" s="26"/>
      <c r="AD103" s="26"/>
      <c r="AE103" s="26"/>
      <c r="AF103" s="40" t="s">
        <v>156</v>
      </c>
      <c r="AH103" s="6" t="str">
        <f t="shared" si="13"/>
        <v>Perrone Robotics-Ridepooling</v>
      </c>
    </row>
    <row r="104" spans="1:34" ht="14.25" customHeight="1" x14ac:dyDescent="0.35">
      <c r="A104" s="25" t="s">
        <v>1514</v>
      </c>
      <c r="B104" s="25" t="s">
        <v>1104</v>
      </c>
      <c r="C104" s="65">
        <f t="shared" si="14"/>
        <v>44571</v>
      </c>
      <c r="D104" s="25" t="s">
        <v>138</v>
      </c>
      <c r="E104" s="25" t="s">
        <v>141</v>
      </c>
      <c r="F104" s="25" t="s">
        <v>286</v>
      </c>
      <c r="G104" s="25" t="str">
        <f t="shared" si="15"/>
        <v>Perrone Robotics-SAV</v>
      </c>
      <c r="H104" s="25" t="str">
        <f t="shared" si="10"/>
        <v>SAV</v>
      </c>
      <c r="I104" s="25" t="s">
        <v>372</v>
      </c>
      <c r="J104" s="32" t="s">
        <v>372</v>
      </c>
      <c r="K104" s="25" t="str">
        <f t="shared" si="11"/>
        <v>Rampini</v>
      </c>
      <c r="L104" s="25" t="s">
        <v>549</v>
      </c>
      <c r="M104" s="25"/>
      <c r="N104" s="25"/>
      <c r="O104" s="26" t="s">
        <v>1671</v>
      </c>
      <c r="P104" s="26" t="s">
        <v>950</v>
      </c>
      <c r="Q104" s="25" t="s">
        <v>10</v>
      </c>
      <c r="R104" s="27" t="s">
        <v>69</v>
      </c>
      <c r="S104" s="27" t="s">
        <v>980</v>
      </c>
      <c r="T104" s="27" t="s">
        <v>949</v>
      </c>
      <c r="U104" s="27" t="s">
        <v>949</v>
      </c>
      <c r="V104" s="27" t="s">
        <v>949</v>
      </c>
      <c r="W104" s="27" t="str">
        <f t="shared" si="12"/>
        <v>2.1. Short term Alliance (no exclusivity / previous experience)</v>
      </c>
      <c r="X104" s="8"/>
      <c r="Y104" s="8" t="s">
        <v>139</v>
      </c>
      <c r="Z104" s="26" t="s">
        <v>15</v>
      </c>
      <c r="AA104" s="8" t="s">
        <v>139</v>
      </c>
      <c r="AB104" s="26"/>
      <c r="AC104" s="26"/>
      <c r="AD104" s="26"/>
      <c r="AE104" s="26"/>
      <c r="AF104" s="40" t="s">
        <v>138</v>
      </c>
      <c r="AH104" s="6" t="str">
        <f t="shared" si="13"/>
        <v>Perrone Robotics-Ridepooling</v>
      </c>
    </row>
    <row r="105" spans="1:34" ht="14.25" customHeight="1" x14ac:dyDescent="0.35">
      <c r="A105" s="25" t="s">
        <v>1521</v>
      </c>
      <c r="B105" s="25" t="s">
        <v>1111</v>
      </c>
      <c r="C105" s="65">
        <f t="shared" si="14"/>
        <v>44425</v>
      </c>
      <c r="D105" s="25" t="s">
        <v>153</v>
      </c>
      <c r="E105" s="25" t="s">
        <v>141</v>
      </c>
      <c r="F105" s="25" t="s">
        <v>286</v>
      </c>
      <c r="G105" s="25" t="str">
        <f t="shared" si="15"/>
        <v>Perrone Robotics-SAV</v>
      </c>
      <c r="H105" s="25" t="str">
        <f t="shared" si="10"/>
        <v>SAV</v>
      </c>
      <c r="I105" s="25" t="s">
        <v>372</v>
      </c>
      <c r="J105" s="32" t="s">
        <v>372</v>
      </c>
      <c r="K105" s="25" t="str">
        <f t="shared" si="11"/>
        <v>Tropos Technologies</v>
      </c>
      <c r="L105" s="25" t="s">
        <v>808</v>
      </c>
      <c r="M105" s="25"/>
      <c r="N105" s="25"/>
      <c r="O105" s="26" t="s">
        <v>2113</v>
      </c>
      <c r="P105" s="32" t="s">
        <v>952</v>
      </c>
      <c r="Q105" s="25" t="s">
        <v>10</v>
      </c>
      <c r="R105" s="27" t="s">
        <v>69</v>
      </c>
      <c r="S105" s="27" t="s">
        <v>980</v>
      </c>
      <c r="T105" s="27" t="s">
        <v>949</v>
      </c>
      <c r="U105" s="27" t="s">
        <v>949</v>
      </c>
      <c r="V105" s="27" t="s">
        <v>949</v>
      </c>
      <c r="W105" s="27" t="str">
        <f t="shared" si="12"/>
        <v>2.1. Short term Alliance (no exclusivity / previous experience)</v>
      </c>
      <c r="X105" s="8"/>
      <c r="Y105" s="8" t="s">
        <v>1404</v>
      </c>
      <c r="Z105" s="26" t="s">
        <v>15</v>
      </c>
      <c r="AA105" s="8" t="s">
        <v>1220</v>
      </c>
      <c r="AB105" s="26" t="s">
        <v>49</v>
      </c>
      <c r="AC105" s="26" t="s">
        <v>2114</v>
      </c>
      <c r="AD105" s="26"/>
      <c r="AE105" s="26"/>
      <c r="AF105" s="40" t="s">
        <v>153</v>
      </c>
      <c r="AH105" s="6" t="str">
        <f t="shared" si="13"/>
        <v>Perrone Robotics-Ridepooling</v>
      </c>
    </row>
    <row r="106" spans="1:34" ht="14.25" customHeight="1" x14ac:dyDescent="0.35">
      <c r="A106" s="25" t="s">
        <v>1516</v>
      </c>
      <c r="B106" s="25" t="s">
        <v>1106</v>
      </c>
      <c r="C106" s="65">
        <f t="shared" si="14"/>
        <v>44205</v>
      </c>
      <c r="D106" s="25" t="s">
        <v>144</v>
      </c>
      <c r="E106" s="25" t="s">
        <v>141</v>
      </c>
      <c r="F106" s="25" t="s">
        <v>286</v>
      </c>
      <c r="G106" s="25" t="str">
        <f t="shared" si="15"/>
        <v>Perrone Robotics-SAV</v>
      </c>
      <c r="H106" s="25" t="str">
        <f t="shared" si="10"/>
        <v>SAV</v>
      </c>
      <c r="I106" s="25" t="s">
        <v>372</v>
      </c>
      <c r="J106" s="32" t="s">
        <v>372</v>
      </c>
      <c r="K106" s="25" t="str">
        <f t="shared" si="11"/>
        <v>GreenPower;JTA</v>
      </c>
      <c r="L106" s="25" t="s">
        <v>786</v>
      </c>
      <c r="M106" s="25" t="s">
        <v>1983</v>
      </c>
      <c r="N106" s="25"/>
      <c r="O106" s="26" t="s">
        <v>1724</v>
      </c>
      <c r="P106" s="26" t="s">
        <v>1009</v>
      </c>
      <c r="Q106" s="25" t="s">
        <v>10</v>
      </c>
      <c r="R106" s="27" t="s">
        <v>69</v>
      </c>
      <c r="S106" s="27" t="s">
        <v>1192</v>
      </c>
      <c r="T106" s="36" t="s">
        <v>1187</v>
      </c>
      <c r="U106" s="27" t="s">
        <v>949</v>
      </c>
      <c r="V106" s="27" t="s">
        <v>949</v>
      </c>
      <c r="W106" s="27" t="str">
        <f t="shared" si="12"/>
        <v>2.1. Short term Alliance (no exclusivity / previous experience)</v>
      </c>
      <c r="X106" s="8"/>
      <c r="Y106" s="8" t="s">
        <v>145</v>
      </c>
      <c r="Z106" s="26" t="s">
        <v>15</v>
      </c>
      <c r="AA106" s="8" t="s">
        <v>145</v>
      </c>
      <c r="AB106" s="26"/>
      <c r="AC106" s="26"/>
      <c r="AD106" s="26"/>
      <c r="AE106" s="26"/>
      <c r="AF106" s="40" t="s">
        <v>144</v>
      </c>
      <c r="AH106" s="6" t="str">
        <f t="shared" si="13"/>
        <v>Perrone Robotics-Ridepooling</v>
      </c>
    </row>
    <row r="107" spans="1:34" ht="14.25" customHeight="1" x14ac:dyDescent="0.35">
      <c r="A107" s="25" t="s">
        <v>1523</v>
      </c>
      <c r="B107" s="25" t="s">
        <v>1113</v>
      </c>
      <c r="C107" s="65">
        <f t="shared" si="14"/>
        <v>44569</v>
      </c>
      <c r="D107" s="25" t="s">
        <v>155</v>
      </c>
      <c r="E107" s="25" t="s">
        <v>141</v>
      </c>
      <c r="F107" s="25" t="s">
        <v>286</v>
      </c>
      <c r="G107" s="25" t="str">
        <f t="shared" si="15"/>
        <v>Perrone Robotics-SAV</v>
      </c>
      <c r="H107" s="25" t="str">
        <f t="shared" si="10"/>
        <v>SAV</v>
      </c>
      <c r="I107" s="25" t="s">
        <v>372</v>
      </c>
      <c r="J107" s="32" t="s">
        <v>372</v>
      </c>
      <c r="K107" s="25" t="str">
        <f t="shared" si="11"/>
        <v>UVA Foundation</v>
      </c>
      <c r="L107" s="25" t="s">
        <v>602</v>
      </c>
      <c r="M107" s="25"/>
      <c r="N107" s="25"/>
      <c r="O107" s="26" t="s">
        <v>1709</v>
      </c>
      <c r="P107" s="32" t="s">
        <v>1387</v>
      </c>
      <c r="Q107" s="25" t="s">
        <v>10</v>
      </c>
      <c r="R107" s="27" t="s">
        <v>69</v>
      </c>
      <c r="S107" s="27" t="s">
        <v>1008</v>
      </c>
      <c r="T107" s="27" t="s">
        <v>1195</v>
      </c>
      <c r="U107" s="27" t="s">
        <v>949</v>
      </c>
      <c r="V107" s="27" t="s">
        <v>949</v>
      </c>
      <c r="W107" s="27" t="str">
        <f t="shared" si="12"/>
        <v>2.3. Long term Alliance</v>
      </c>
      <c r="X107" s="8"/>
      <c r="Y107" s="8" t="s">
        <v>1388</v>
      </c>
      <c r="Z107" s="26" t="s">
        <v>1200</v>
      </c>
      <c r="AA107" s="8" t="s">
        <v>1388</v>
      </c>
      <c r="AB107" s="26"/>
      <c r="AC107" s="26"/>
      <c r="AD107" s="26"/>
      <c r="AE107" s="26"/>
      <c r="AF107" s="40" t="s">
        <v>155</v>
      </c>
      <c r="AH107" s="6" t="str">
        <f t="shared" si="13"/>
        <v>Perrone Robotics-Ridepooling</v>
      </c>
    </row>
    <row r="108" spans="1:34" ht="14.25" customHeight="1" x14ac:dyDescent="0.35">
      <c r="A108" s="25" t="s">
        <v>1528</v>
      </c>
      <c r="B108" s="25" t="s">
        <v>1117</v>
      </c>
      <c r="C108" s="65">
        <f t="shared" si="14"/>
        <v>44927</v>
      </c>
      <c r="D108" s="25" t="s">
        <v>161</v>
      </c>
      <c r="E108" s="25" t="s">
        <v>141</v>
      </c>
      <c r="F108" s="25" t="s">
        <v>286</v>
      </c>
      <c r="G108" s="25" t="str">
        <f t="shared" si="15"/>
        <v>Perrone Robotics-SAV</v>
      </c>
      <c r="H108" s="25" t="str">
        <f t="shared" si="10"/>
        <v>SAV</v>
      </c>
      <c r="I108" s="25" t="s">
        <v>372</v>
      </c>
      <c r="J108" s="32" t="s">
        <v>372</v>
      </c>
      <c r="K108" s="25" t="str">
        <f t="shared" si="11"/>
        <v>E Charger Systems</v>
      </c>
      <c r="L108" s="25" t="s">
        <v>1970</v>
      </c>
      <c r="M108" s="25"/>
      <c r="N108" s="25"/>
      <c r="O108" s="26" t="s">
        <v>1324</v>
      </c>
      <c r="P108" s="32" t="s">
        <v>1325</v>
      </c>
      <c r="Q108" s="25" t="s">
        <v>10</v>
      </c>
      <c r="R108" s="27" t="s">
        <v>69</v>
      </c>
      <c r="S108" s="27" t="s">
        <v>980</v>
      </c>
      <c r="T108" s="33" t="s">
        <v>949</v>
      </c>
      <c r="U108" s="27" t="s">
        <v>53</v>
      </c>
      <c r="V108" s="33" t="s">
        <v>949</v>
      </c>
      <c r="W108" s="27" t="str">
        <f t="shared" si="12"/>
        <v xml:space="preserve">2.2. Renewed Alliance </v>
      </c>
      <c r="X108" s="8"/>
      <c r="Y108" s="8" t="s">
        <v>162</v>
      </c>
      <c r="Z108" s="26" t="s">
        <v>15</v>
      </c>
      <c r="AA108" s="8" t="s">
        <v>162</v>
      </c>
      <c r="AB108" s="26"/>
      <c r="AC108" s="26"/>
      <c r="AD108" s="26"/>
      <c r="AE108" s="26"/>
      <c r="AF108" s="40" t="s">
        <v>161</v>
      </c>
      <c r="AH108" s="6" t="str">
        <f t="shared" si="13"/>
        <v>Perrone Robotics-Ridepooling</v>
      </c>
    </row>
    <row r="109" spans="1:34" ht="14.25" customHeight="1" x14ac:dyDescent="0.35">
      <c r="A109" s="25" t="s">
        <v>1530</v>
      </c>
      <c r="B109" s="25" t="s">
        <v>1119</v>
      </c>
      <c r="C109" s="65">
        <f t="shared" si="14"/>
        <v>45047</v>
      </c>
      <c r="D109" s="26" t="s">
        <v>164</v>
      </c>
      <c r="E109" s="25" t="s">
        <v>411</v>
      </c>
      <c r="F109" s="25" t="s">
        <v>286</v>
      </c>
      <c r="G109" s="25" t="str">
        <f t="shared" si="15"/>
        <v>Plus.ai-ATV</v>
      </c>
      <c r="H109" s="25" t="str">
        <f t="shared" si="10"/>
        <v>ATV</v>
      </c>
      <c r="I109" s="25" t="s">
        <v>405</v>
      </c>
      <c r="J109" s="32" t="s">
        <v>405</v>
      </c>
      <c r="K109" s="25" t="str">
        <f t="shared" si="11"/>
        <v>Bosch</v>
      </c>
      <c r="L109" s="25" t="s">
        <v>497</v>
      </c>
      <c r="M109" s="25"/>
      <c r="N109" s="25"/>
      <c r="O109" s="26" t="s">
        <v>1675</v>
      </c>
      <c r="P109" s="32" t="s">
        <v>1356</v>
      </c>
      <c r="Q109" s="25" t="s">
        <v>10</v>
      </c>
      <c r="R109" s="27" t="s">
        <v>53</v>
      </c>
      <c r="S109" s="27" t="s">
        <v>980</v>
      </c>
      <c r="T109" s="33" t="s">
        <v>949</v>
      </c>
      <c r="U109" s="27" t="s">
        <v>949</v>
      </c>
      <c r="V109" s="27" t="s">
        <v>949</v>
      </c>
      <c r="W109" s="27" t="str">
        <f t="shared" si="12"/>
        <v>2.1. Short term Alliance (no exclusivity / previous experience)</v>
      </c>
      <c r="X109" s="8"/>
      <c r="Y109" s="8" t="s">
        <v>1280</v>
      </c>
      <c r="Z109" s="26" t="s">
        <v>15</v>
      </c>
      <c r="AA109" s="8" t="s">
        <v>1280</v>
      </c>
      <c r="AB109" s="26"/>
      <c r="AC109" s="26"/>
      <c r="AD109" s="26"/>
      <c r="AE109" s="26"/>
      <c r="AF109" s="40" t="s">
        <v>164</v>
      </c>
      <c r="AH109" s="6" t="str">
        <f t="shared" si="13"/>
        <v>Plus.ai-Trucking</v>
      </c>
    </row>
    <row r="110" spans="1:34" ht="14.25" customHeight="1" x14ac:dyDescent="0.35">
      <c r="A110" s="25" t="s">
        <v>1535</v>
      </c>
      <c r="B110" s="25" t="s">
        <v>1123</v>
      </c>
      <c r="C110" s="65">
        <f t="shared" si="14"/>
        <v>43473</v>
      </c>
      <c r="D110" s="25" t="s">
        <v>168</v>
      </c>
      <c r="E110" s="25" t="s">
        <v>411</v>
      </c>
      <c r="F110" s="25" t="s">
        <v>286</v>
      </c>
      <c r="G110" s="25" t="str">
        <f t="shared" si="15"/>
        <v>Plus.ai-ATV</v>
      </c>
      <c r="H110" s="25" t="str">
        <f t="shared" si="10"/>
        <v>ATV</v>
      </c>
      <c r="I110" s="25" t="s">
        <v>405</v>
      </c>
      <c r="J110" s="32" t="s">
        <v>405</v>
      </c>
      <c r="K110" s="25" t="str">
        <f t="shared" si="11"/>
        <v>Minnesota Department of Transportation</v>
      </c>
      <c r="L110" s="25" t="s">
        <v>1971</v>
      </c>
      <c r="M110" s="25"/>
      <c r="N110" s="25"/>
      <c r="O110" s="26" t="s">
        <v>1909</v>
      </c>
      <c r="P110" s="32" t="s">
        <v>1237</v>
      </c>
      <c r="Q110" s="25" t="s">
        <v>10</v>
      </c>
      <c r="R110" s="27" t="s">
        <v>69</v>
      </c>
      <c r="S110" s="27" t="s">
        <v>1014</v>
      </c>
      <c r="T110" s="33" t="s">
        <v>949</v>
      </c>
      <c r="U110" s="27" t="s">
        <v>949</v>
      </c>
      <c r="V110" s="33" t="s">
        <v>949</v>
      </c>
      <c r="W110" s="27" t="str">
        <f t="shared" si="12"/>
        <v>2.1. Short term Alliance (no exclusivity / previous experience)</v>
      </c>
      <c r="X110" s="8"/>
      <c r="Y110" s="8" t="s">
        <v>1368</v>
      </c>
      <c r="Z110" s="26" t="s">
        <v>38</v>
      </c>
      <c r="AA110" s="8" t="s">
        <v>1368</v>
      </c>
      <c r="AB110" s="26"/>
      <c r="AC110" s="26"/>
      <c r="AD110" s="26"/>
      <c r="AE110" s="26"/>
      <c r="AF110" s="40" t="s">
        <v>1856</v>
      </c>
      <c r="AG110" s="40" t="s">
        <v>1857</v>
      </c>
      <c r="AH110" s="6" t="str">
        <f t="shared" si="13"/>
        <v>Plus.ai-Trucking</v>
      </c>
    </row>
    <row r="111" spans="1:34" ht="14.25" customHeight="1" x14ac:dyDescent="0.35">
      <c r="A111" s="25" t="s">
        <v>1536</v>
      </c>
      <c r="B111" s="25" t="s">
        <v>1124</v>
      </c>
      <c r="C111" s="65">
        <f t="shared" si="14"/>
        <v>45160</v>
      </c>
      <c r="D111" s="34" t="s">
        <v>169</v>
      </c>
      <c r="E111" s="34" t="s">
        <v>411</v>
      </c>
      <c r="F111" s="25" t="s">
        <v>286</v>
      </c>
      <c r="G111" s="25" t="str">
        <f t="shared" si="15"/>
        <v>Plus.ai-ATV</v>
      </c>
      <c r="H111" s="25" t="str">
        <f t="shared" si="10"/>
        <v>ATV</v>
      </c>
      <c r="I111" s="25" t="s">
        <v>405</v>
      </c>
      <c r="J111" s="32" t="s">
        <v>405</v>
      </c>
      <c r="K111" s="25" t="str">
        <f t="shared" si="11"/>
        <v>Transurban</v>
      </c>
      <c r="L111" s="25" t="s">
        <v>1972</v>
      </c>
      <c r="M111" s="25"/>
      <c r="N111" s="25"/>
      <c r="O111" s="26" t="s">
        <v>1903</v>
      </c>
      <c r="P111" s="34" t="s">
        <v>1238</v>
      </c>
      <c r="Q111" s="25" t="s">
        <v>10</v>
      </c>
      <c r="R111" s="33" t="s">
        <v>69</v>
      </c>
      <c r="S111" s="33" t="s">
        <v>1014</v>
      </c>
      <c r="T111" s="27" t="s">
        <v>949</v>
      </c>
      <c r="U111" s="33" t="s">
        <v>949</v>
      </c>
      <c r="V111" s="27" t="s">
        <v>949</v>
      </c>
      <c r="W111" s="27" t="str">
        <f t="shared" si="12"/>
        <v>2.1. Short term Alliance (no exclusivity / previous experience)</v>
      </c>
      <c r="X111" s="8"/>
      <c r="Y111" s="8" t="s">
        <v>170</v>
      </c>
      <c r="Z111" s="26" t="s">
        <v>38</v>
      </c>
      <c r="AA111" s="8" t="s">
        <v>170</v>
      </c>
      <c r="AB111" s="26"/>
      <c r="AC111" s="26"/>
      <c r="AD111" s="26"/>
      <c r="AE111" s="26"/>
      <c r="AF111" s="40" t="s">
        <v>1858</v>
      </c>
      <c r="AG111" s="40" t="s">
        <v>1859</v>
      </c>
      <c r="AH111" s="6" t="str">
        <f t="shared" si="13"/>
        <v>Plus.ai-Trucking</v>
      </c>
    </row>
    <row r="112" spans="1:34" ht="14.25" customHeight="1" x14ac:dyDescent="0.35">
      <c r="A112" s="25" t="s">
        <v>1531</v>
      </c>
      <c r="B112" s="25" t="s">
        <v>1120</v>
      </c>
      <c r="C112" s="65">
        <f t="shared" si="14"/>
        <v>44431</v>
      </c>
      <c r="D112" s="25" t="s">
        <v>165</v>
      </c>
      <c r="E112" s="25" t="s">
        <v>411</v>
      </c>
      <c r="F112" s="25" t="s">
        <v>286</v>
      </c>
      <c r="G112" s="25" t="str">
        <f t="shared" si="15"/>
        <v>Plus.ai-ATV</v>
      </c>
      <c r="H112" s="25" t="str">
        <f t="shared" si="10"/>
        <v>ATV</v>
      </c>
      <c r="I112" s="25" t="s">
        <v>405</v>
      </c>
      <c r="J112" s="32" t="s">
        <v>405</v>
      </c>
      <c r="K112" s="25" t="str">
        <f t="shared" si="11"/>
        <v>Goodyear</v>
      </c>
      <c r="L112" s="25" t="s">
        <v>507</v>
      </c>
      <c r="M112" s="25"/>
      <c r="N112" s="25"/>
      <c r="O112" s="26" t="s">
        <v>1658</v>
      </c>
      <c r="P112" s="32" t="s">
        <v>1241</v>
      </c>
      <c r="Q112" s="25" t="s">
        <v>10</v>
      </c>
      <c r="R112" s="27" t="s">
        <v>69</v>
      </c>
      <c r="S112" s="27" t="s">
        <v>1014</v>
      </c>
      <c r="T112" s="27" t="s">
        <v>949</v>
      </c>
      <c r="U112" s="27" t="s">
        <v>949</v>
      </c>
      <c r="V112" s="33" t="s">
        <v>949</v>
      </c>
      <c r="W112" s="27" t="str">
        <f t="shared" si="12"/>
        <v>2.1. Short term Alliance (no exclusivity / previous experience)</v>
      </c>
      <c r="X112" s="8"/>
      <c r="Y112" s="8" t="s">
        <v>1243</v>
      </c>
      <c r="Z112" s="26" t="s">
        <v>38</v>
      </c>
      <c r="AA112" s="8" t="s">
        <v>1242</v>
      </c>
      <c r="AB112" s="26" t="s">
        <v>1201</v>
      </c>
      <c r="AC112" s="26" t="s">
        <v>2135</v>
      </c>
      <c r="AD112" s="26"/>
      <c r="AE112" s="26"/>
      <c r="AF112" s="40" t="s">
        <v>1864</v>
      </c>
      <c r="AG112" s="40" t="s">
        <v>1865</v>
      </c>
      <c r="AH112" s="6" t="str">
        <f t="shared" si="13"/>
        <v>Plus.ai-Trucking</v>
      </c>
    </row>
    <row r="113" spans="1:34" ht="14.25" customHeight="1" x14ac:dyDescent="0.35">
      <c r="A113" s="25" t="s">
        <v>1534</v>
      </c>
      <c r="B113" s="25" t="s">
        <v>1122</v>
      </c>
      <c r="C113" s="65">
        <f t="shared" si="14"/>
        <v>44298</v>
      </c>
      <c r="D113" s="25" t="s">
        <v>167</v>
      </c>
      <c r="E113" s="25" t="s">
        <v>411</v>
      </c>
      <c r="F113" s="25" t="s">
        <v>286</v>
      </c>
      <c r="G113" s="25" t="str">
        <f t="shared" si="15"/>
        <v>Plus.ai-ATV</v>
      </c>
      <c r="H113" s="25" t="str">
        <f t="shared" si="10"/>
        <v>ATV</v>
      </c>
      <c r="I113" s="25" t="s">
        <v>405</v>
      </c>
      <c r="J113" s="32" t="s">
        <v>405</v>
      </c>
      <c r="K113" s="25" t="str">
        <f t="shared" si="11"/>
        <v>IVECO</v>
      </c>
      <c r="L113" s="25" t="s">
        <v>1973</v>
      </c>
      <c r="M113" s="25"/>
      <c r="N113" s="25"/>
      <c r="O113" s="26" t="s">
        <v>1668</v>
      </c>
      <c r="P113" s="25" t="s">
        <v>958</v>
      </c>
      <c r="Q113" s="25" t="s">
        <v>10</v>
      </c>
      <c r="R113" s="27" t="s">
        <v>53</v>
      </c>
      <c r="S113" s="33" t="s">
        <v>980</v>
      </c>
      <c r="T113" s="33" t="s">
        <v>949</v>
      </c>
      <c r="U113" s="27" t="s">
        <v>949</v>
      </c>
      <c r="V113" s="33" t="s">
        <v>949</v>
      </c>
      <c r="W113" s="27" t="str">
        <f t="shared" si="12"/>
        <v>2.1. Short term Alliance (no exclusivity / previous experience)</v>
      </c>
      <c r="X113" s="8"/>
      <c r="Y113" s="8" t="s">
        <v>1273</v>
      </c>
      <c r="Z113" s="26" t="s">
        <v>15</v>
      </c>
      <c r="AA113" s="8" t="s">
        <v>1273</v>
      </c>
      <c r="AB113" s="26"/>
      <c r="AC113" s="26"/>
      <c r="AD113" s="26"/>
      <c r="AE113" s="26"/>
      <c r="AF113" s="40" t="s">
        <v>167</v>
      </c>
      <c r="AH113" s="6" t="str">
        <f t="shared" si="13"/>
        <v>Plus.ai-Trucking</v>
      </c>
    </row>
    <row r="114" spans="1:34" s="13" customFormat="1" ht="14.25" customHeight="1" x14ac:dyDescent="0.35">
      <c r="A114" s="25" t="s">
        <v>1533</v>
      </c>
      <c r="B114" s="25" t="s">
        <v>1121</v>
      </c>
      <c r="C114" s="65">
        <f t="shared" si="14"/>
        <v>44313</v>
      </c>
      <c r="D114" s="25" t="s">
        <v>1419</v>
      </c>
      <c r="E114" s="25" t="s">
        <v>411</v>
      </c>
      <c r="F114" s="25" t="s">
        <v>286</v>
      </c>
      <c r="G114" s="25" t="str">
        <f t="shared" si="15"/>
        <v>Plus.ai-ATV</v>
      </c>
      <c r="H114" s="25" t="str">
        <f t="shared" si="10"/>
        <v>ATV</v>
      </c>
      <c r="I114" s="25" t="s">
        <v>405</v>
      </c>
      <c r="J114" s="32" t="s">
        <v>405</v>
      </c>
      <c r="K114" s="25" t="str">
        <f t="shared" si="11"/>
        <v>Cummins</v>
      </c>
      <c r="L114" s="25" t="s">
        <v>480</v>
      </c>
      <c r="M114" s="25"/>
      <c r="N114" s="25"/>
      <c r="O114" s="26" t="s">
        <v>1674</v>
      </c>
      <c r="P114" s="32" t="s">
        <v>957</v>
      </c>
      <c r="Q114" s="25" t="s">
        <v>10</v>
      </c>
      <c r="R114" s="27" t="s">
        <v>69</v>
      </c>
      <c r="S114" s="33" t="s">
        <v>980</v>
      </c>
      <c r="T114" s="33" t="s">
        <v>949</v>
      </c>
      <c r="U114" s="27" t="s">
        <v>949</v>
      </c>
      <c r="V114" s="27" t="s">
        <v>949</v>
      </c>
      <c r="W114" s="27" t="str">
        <f t="shared" si="12"/>
        <v>2.1. Short term Alliance (no exclusivity / previous experience)</v>
      </c>
      <c r="X114" s="8"/>
      <c r="Y114" s="8" t="s">
        <v>1279</v>
      </c>
      <c r="Z114" s="26" t="s">
        <v>15</v>
      </c>
      <c r="AA114" s="8" t="s">
        <v>1278</v>
      </c>
      <c r="AB114" s="26"/>
      <c r="AC114" s="26"/>
      <c r="AD114" s="26"/>
      <c r="AE114" s="26"/>
      <c r="AF114" s="40" t="s">
        <v>1419</v>
      </c>
      <c r="AG114" s="40"/>
      <c r="AH114" s="6" t="str">
        <f t="shared" si="13"/>
        <v>Plus.ai-Trucking</v>
      </c>
    </row>
    <row r="115" spans="1:34" s="13" customFormat="1" ht="14.25" customHeight="1" x14ac:dyDescent="0.35">
      <c r="A115" s="25" t="s">
        <v>1532</v>
      </c>
      <c r="B115" s="25" t="s">
        <v>1047</v>
      </c>
      <c r="C115" s="65">
        <f t="shared" si="14"/>
        <v>45083</v>
      </c>
      <c r="D115" s="34" t="s">
        <v>166</v>
      </c>
      <c r="E115" s="34" t="s">
        <v>411</v>
      </c>
      <c r="F115" s="25" t="s">
        <v>286</v>
      </c>
      <c r="G115" s="25" t="str">
        <f t="shared" si="15"/>
        <v>Plus.ai-ATV</v>
      </c>
      <c r="H115" s="25" t="str">
        <f t="shared" si="10"/>
        <v>ATV</v>
      </c>
      <c r="I115" s="25" t="s">
        <v>405</v>
      </c>
      <c r="J115" s="32" t="s">
        <v>405</v>
      </c>
      <c r="K115" s="25" t="str">
        <f t="shared" si="11"/>
        <v>Luminar</v>
      </c>
      <c r="L115" s="25" t="s">
        <v>863</v>
      </c>
      <c r="M115" s="25"/>
      <c r="N115" s="25"/>
      <c r="O115" s="26" t="s">
        <v>1927</v>
      </c>
      <c r="P115" s="34" t="s">
        <v>1332</v>
      </c>
      <c r="Q115" s="25" t="s">
        <v>10</v>
      </c>
      <c r="R115" s="33" t="s">
        <v>53</v>
      </c>
      <c r="S115" s="33" t="s">
        <v>980</v>
      </c>
      <c r="T115" s="27" t="s">
        <v>949</v>
      </c>
      <c r="U115" s="33" t="s">
        <v>949</v>
      </c>
      <c r="V115" s="33" t="s">
        <v>53</v>
      </c>
      <c r="W115" s="27" t="str">
        <f t="shared" si="12"/>
        <v>2.4. Exclusive Alliance</v>
      </c>
      <c r="X115" s="8"/>
      <c r="Y115" s="8" t="s">
        <v>1333</v>
      </c>
      <c r="Z115" s="26" t="s">
        <v>1201</v>
      </c>
      <c r="AA115" s="8" t="s">
        <v>1333</v>
      </c>
      <c r="AB115" s="26"/>
      <c r="AC115" s="26"/>
      <c r="AD115" s="26"/>
      <c r="AE115" s="26"/>
      <c r="AF115" s="40" t="s">
        <v>166</v>
      </c>
      <c r="AG115" s="40"/>
      <c r="AH115" s="6" t="str">
        <f t="shared" si="13"/>
        <v>Plus.ai-Trucking</v>
      </c>
    </row>
    <row r="116" spans="1:34" s="13" customFormat="1" ht="14.25" customHeight="1" x14ac:dyDescent="0.35">
      <c r="A116" s="25" t="s">
        <v>1541</v>
      </c>
      <c r="B116" s="25" t="s">
        <v>1129</v>
      </c>
      <c r="C116" s="65">
        <f t="shared" si="14"/>
        <v>45142</v>
      </c>
      <c r="D116" s="28" t="s">
        <v>175</v>
      </c>
      <c r="E116" s="28" t="s">
        <v>414</v>
      </c>
      <c r="F116" s="25" t="s">
        <v>286</v>
      </c>
      <c r="G116" s="25" t="str">
        <f t="shared" si="15"/>
        <v>Pony.ai-SAV</v>
      </c>
      <c r="H116" s="25" t="str">
        <f t="shared" si="10"/>
        <v>SAV</v>
      </c>
      <c r="I116" s="25" t="s">
        <v>341</v>
      </c>
      <c r="J116" s="32" t="s">
        <v>341</v>
      </c>
      <c r="K116" s="25" t="str">
        <f t="shared" si="11"/>
        <v>Toyota</v>
      </c>
      <c r="L116" s="25" t="s">
        <v>774</v>
      </c>
      <c r="M116" s="25"/>
      <c r="N116" s="25"/>
      <c r="O116" s="30" t="s">
        <v>1648</v>
      </c>
      <c r="P116" s="38" t="s">
        <v>1016</v>
      </c>
      <c r="Q116" s="38" t="s">
        <v>7</v>
      </c>
      <c r="R116" s="27" t="s">
        <v>53</v>
      </c>
      <c r="S116" s="27" t="s">
        <v>980</v>
      </c>
      <c r="T116" s="27" t="s">
        <v>949</v>
      </c>
      <c r="U116" s="27" t="s">
        <v>53</v>
      </c>
      <c r="V116" s="27" t="s">
        <v>949</v>
      </c>
      <c r="W116" s="27" t="str">
        <f t="shared" si="12"/>
        <v>4. Joint Venture</v>
      </c>
      <c r="X116" s="29"/>
      <c r="Y116" s="8" t="s">
        <v>1625</v>
      </c>
      <c r="Z116" s="25" t="s">
        <v>15</v>
      </c>
      <c r="AA116" s="8" t="s">
        <v>1625</v>
      </c>
      <c r="AB116" s="28" t="s">
        <v>1201</v>
      </c>
      <c r="AC116" s="28" t="s">
        <v>1624</v>
      </c>
      <c r="AD116" s="25"/>
      <c r="AE116" s="25"/>
      <c r="AF116" s="40" t="s">
        <v>1799</v>
      </c>
      <c r="AG116" s="40" t="s">
        <v>1800</v>
      </c>
      <c r="AH116" s="6" t="str">
        <f t="shared" si="13"/>
        <v>Pony.ai-Ridehailing</v>
      </c>
    </row>
    <row r="117" spans="1:34" s="13" customFormat="1" ht="14.25" customHeight="1" x14ac:dyDescent="0.35">
      <c r="A117" s="25" t="s">
        <v>1538</v>
      </c>
      <c r="B117" s="25" t="s">
        <v>1126</v>
      </c>
      <c r="C117" s="65">
        <f t="shared" si="14"/>
        <v>43983</v>
      </c>
      <c r="D117" s="34" t="s">
        <v>172</v>
      </c>
      <c r="E117" s="34" t="s">
        <v>414</v>
      </c>
      <c r="F117" s="25" t="s">
        <v>286</v>
      </c>
      <c r="G117" s="25" t="str">
        <f t="shared" si="15"/>
        <v>Pony.ai-SAV</v>
      </c>
      <c r="H117" s="25" t="str">
        <f t="shared" si="10"/>
        <v>SAV</v>
      </c>
      <c r="I117" s="25" t="s">
        <v>341</v>
      </c>
      <c r="J117" s="32" t="s">
        <v>341</v>
      </c>
      <c r="K117" s="25" t="str">
        <f t="shared" si="11"/>
        <v>Onsemi</v>
      </c>
      <c r="L117" s="25" t="s">
        <v>859</v>
      </c>
      <c r="M117" s="25"/>
      <c r="N117" s="25"/>
      <c r="O117" s="26" t="s">
        <v>1649</v>
      </c>
      <c r="P117" s="34" t="s">
        <v>1918</v>
      </c>
      <c r="Q117" s="25" t="s">
        <v>10</v>
      </c>
      <c r="R117" s="33" t="s">
        <v>69</v>
      </c>
      <c r="S117" s="33" t="s">
        <v>980</v>
      </c>
      <c r="T117" s="27" t="s">
        <v>949</v>
      </c>
      <c r="U117" s="33" t="s">
        <v>949</v>
      </c>
      <c r="V117" s="27" t="s">
        <v>949</v>
      </c>
      <c r="W117" s="27" t="str">
        <f t="shared" si="12"/>
        <v>2.1. Short term Alliance (no exclusivity / previous experience)</v>
      </c>
      <c r="X117" s="29"/>
      <c r="Y117" s="8" t="s">
        <v>1270</v>
      </c>
      <c r="Z117" s="34" t="s">
        <v>1201</v>
      </c>
      <c r="AA117" s="8" t="s">
        <v>1632</v>
      </c>
      <c r="AB117" s="28" t="s">
        <v>15</v>
      </c>
      <c r="AC117" s="28" t="s">
        <v>1633</v>
      </c>
      <c r="AD117" s="34"/>
      <c r="AE117" s="34"/>
      <c r="AF117" s="40" t="s">
        <v>1807</v>
      </c>
      <c r="AG117" s="40" t="s">
        <v>1808</v>
      </c>
      <c r="AH117" s="6" t="str">
        <f t="shared" si="13"/>
        <v>Pony.ai-Ridehailing</v>
      </c>
    </row>
    <row r="118" spans="1:34" s="13" customFormat="1" ht="14.25" customHeight="1" x14ac:dyDescent="0.35">
      <c r="A118" s="25" t="s">
        <v>1539</v>
      </c>
      <c r="B118" s="25" t="s">
        <v>1127</v>
      </c>
      <c r="C118" s="65">
        <f t="shared" si="14"/>
        <v>44935</v>
      </c>
      <c r="D118" s="25" t="s">
        <v>173</v>
      </c>
      <c r="E118" s="25" t="s">
        <v>414</v>
      </c>
      <c r="F118" s="25" t="s">
        <v>286</v>
      </c>
      <c r="G118" s="25" t="str">
        <f t="shared" si="15"/>
        <v>Pony.ai-SAV</v>
      </c>
      <c r="H118" s="25" t="str">
        <f t="shared" si="10"/>
        <v>SAV</v>
      </c>
      <c r="I118" s="25" t="s">
        <v>341</v>
      </c>
      <c r="J118" s="32" t="s">
        <v>341</v>
      </c>
      <c r="K118" s="25" t="str">
        <f t="shared" si="11"/>
        <v>Horizon Robotics</v>
      </c>
      <c r="L118" s="25" t="s">
        <v>527</v>
      </c>
      <c r="M118" s="25"/>
      <c r="N118" s="25"/>
      <c r="O118" s="26" t="s">
        <v>1651</v>
      </c>
      <c r="P118" s="25" t="s">
        <v>1395</v>
      </c>
      <c r="Q118" s="25" t="s">
        <v>10</v>
      </c>
      <c r="R118" s="27" t="s">
        <v>69</v>
      </c>
      <c r="S118" s="27" t="s">
        <v>980</v>
      </c>
      <c r="T118" s="27" t="s">
        <v>949</v>
      </c>
      <c r="U118" s="27" t="s">
        <v>949</v>
      </c>
      <c r="V118" s="27" t="s">
        <v>949</v>
      </c>
      <c r="W118" s="27" t="str">
        <f t="shared" si="12"/>
        <v>2.1. Short term Alliance (no exclusivity / previous experience)</v>
      </c>
      <c r="X118" s="29"/>
      <c r="Y118" s="9" t="s">
        <v>1396</v>
      </c>
      <c r="Z118" s="25" t="s">
        <v>15</v>
      </c>
      <c r="AA118" s="9" t="s">
        <v>1395</v>
      </c>
      <c r="AB118" s="28" t="s">
        <v>1201</v>
      </c>
      <c r="AC118" s="28" t="s">
        <v>1635</v>
      </c>
      <c r="AD118" s="25"/>
      <c r="AE118" s="25"/>
      <c r="AF118" s="40" t="s">
        <v>1811</v>
      </c>
      <c r="AG118" s="40" t="s">
        <v>1812</v>
      </c>
      <c r="AH118" s="6" t="str">
        <f t="shared" si="13"/>
        <v>Pony.ai-Ridehailing</v>
      </c>
    </row>
    <row r="119" spans="1:34" s="13" customFormat="1" ht="14.25" customHeight="1" x14ac:dyDescent="0.35">
      <c r="A119" s="25" t="s">
        <v>1542</v>
      </c>
      <c r="B119" s="25" t="s">
        <v>1130</v>
      </c>
      <c r="C119" s="65">
        <f t="shared" si="14"/>
        <v>43703</v>
      </c>
      <c r="D119" s="25" t="s">
        <v>176</v>
      </c>
      <c r="E119" s="25" t="s">
        <v>414</v>
      </c>
      <c r="F119" s="25" t="s">
        <v>286</v>
      </c>
      <c r="G119" s="25" t="str">
        <f t="shared" si="15"/>
        <v>Pony.ai-SAV</v>
      </c>
      <c r="H119" s="25" t="str">
        <f t="shared" si="10"/>
        <v>SAV</v>
      </c>
      <c r="I119" s="25" t="s">
        <v>341</v>
      </c>
      <c r="J119" s="32" t="s">
        <v>341</v>
      </c>
      <c r="K119" s="25" t="str">
        <f t="shared" si="11"/>
        <v>Toyota</v>
      </c>
      <c r="L119" s="25" t="s">
        <v>774</v>
      </c>
      <c r="M119" s="25"/>
      <c r="N119" s="25"/>
      <c r="O119" s="26" t="s">
        <v>1908</v>
      </c>
      <c r="P119" s="25" t="s">
        <v>177</v>
      </c>
      <c r="Q119" s="25" t="s">
        <v>10</v>
      </c>
      <c r="R119" s="27" t="s">
        <v>69</v>
      </c>
      <c r="S119" s="27" t="s">
        <v>980</v>
      </c>
      <c r="T119" s="27" t="s">
        <v>949</v>
      </c>
      <c r="U119" s="27" t="s">
        <v>949</v>
      </c>
      <c r="V119" s="27" t="s">
        <v>949</v>
      </c>
      <c r="W119" s="27" t="str">
        <f t="shared" si="12"/>
        <v>2.1. Short term Alliance (no exclusivity / previous experience)</v>
      </c>
      <c r="X119" s="7"/>
      <c r="Y119" s="7" t="s">
        <v>177</v>
      </c>
      <c r="Z119" s="25" t="s">
        <v>38</v>
      </c>
      <c r="AA119" s="7" t="s">
        <v>1905</v>
      </c>
      <c r="AB119" s="25"/>
      <c r="AC119" s="25"/>
      <c r="AD119" s="25"/>
      <c r="AE119" s="25"/>
      <c r="AF119" s="40" t="s">
        <v>176</v>
      </c>
      <c r="AG119" s="40"/>
      <c r="AH119" s="6" t="str">
        <f t="shared" si="13"/>
        <v>Pony.ai-Ridehailing</v>
      </c>
    </row>
    <row r="120" spans="1:34" s="13" customFormat="1" ht="14.25" customHeight="1" x14ac:dyDescent="0.35">
      <c r="A120" s="25" t="s">
        <v>1543</v>
      </c>
      <c r="B120" s="25" t="s">
        <v>1131</v>
      </c>
      <c r="C120" s="65">
        <f t="shared" si="14"/>
        <v>44326</v>
      </c>
      <c r="D120" s="25" t="s">
        <v>178</v>
      </c>
      <c r="E120" s="25" t="s">
        <v>414</v>
      </c>
      <c r="F120" s="25" t="s">
        <v>286</v>
      </c>
      <c r="G120" s="25" t="str">
        <f t="shared" si="15"/>
        <v>Pony.ai-SAV</v>
      </c>
      <c r="H120" s="25" t="str">
        <f t="shared" si="10"/>
        <v>SAV</v>
      </c>
      <c r="I120" s="25" t="s">
        <v>341</v>
      </c>
      <c r="J120" s="32" t="s">
        <v>341</v>
      </c>
      <c r="K120" s="25" t="str">
        <f t="shared" si="11"/>
        <v>Luminar</v>
      </c>
      <c r="L120" s="25" t="s">
        <v>863</v>
      </c>
      <c r="M120" s="25"/>
      <c r="N120" s="25"/>
      <c r="O120" s="26" t="s">
        <v>179</v>
      </c>
      <c r="P120" s="32" t="s">
        <v>1017</v>
      </c>
      <c r="Q120" s="25" t="s">
        <v>10</v>
      </c>
      <c r="R120" s="27" t="s">
        <v>69</v>
      </c>
      <c r="S120" s="27" t="s">
        <v>993</v>
      </c>
      <c r="T120" s="27" t="s">
        <v>1181</v>
      </c>
      <c r="U120" s="27" t="s">
        <v>949</v>
      </c>
      <c r="V120" s="27" t="s">
        <v>949</v>
      </c>
      <c r="W120" s="27" t="str">
        <f t="shared" si="12"/>
        <v>2.3. Long term Alliance</v>
      </c>
      <c r="X120" s="7"/>
      <c r="Y120" s="7" t="s">
        <v>180</v>
      </c>
      <c r="Z120" s="25" t="s">
        <v>1201</v>
      </c>
      <c r="AA120" s="7" t="s">
        <v>180</v>
      </c>
      <c r="AB120" s="25"/>
      <c r="AC120" s="25"/>
      <c r="AD120" s="25"/>
      <c r="AE120" s="25"/>
      <c r="AF120" s="40" t="s">
        <v>178</v>
      </c>
      <c r="AG120" s="40"/>
      <c r="AH120" s="6" t="str">
        <f t="shared" si="13"/>
        <v>Pony.ai-Ridehailing</v>
      </c>
    </row>
    <row r="121" spans="1:34" s="13" customFormat="1" ht="14.25" customHeight="1" x14ac:dyDescent="0.35">
      <c r="A121" s="25" t="s">
        <v>1537</v>
      </c>
      <c r="B121" s="25" t="s">
        <v>1125</v>
      </c>
      <c r="C121" s="65">
        <f t="shared" si="14"/>
        <v>44565</v>
      </c>
      <c r="D121" s="28" t="s">
        <v>1421</v>
      </c>
      <c r="E121" s="28" t="s">
        <v>414</v>
      </c>
      <c r="F121" s="25" t="s">
        <v>286</v>
      </c>
      <c r="G121" s="25" t="str">
        <f t="shared" si="15"/>
        <v>Pony.ai-SAV</v>
      </c>
      <c r="H121" s="25" t="str">
        <f t="shared" si="10"/>
        <v>SAV</v>
      </c>
      <c r="I121" s="25" t="s">
        <v>341</v>
      </c>
      <c r="J121" s="32" t="s">
        <v>341</v>
      </c>
      <c r="K121" s="25" t="str">
        <f t="shared" si="11"/>
        <v>Sinotrans</v>
      </c>
      <c r="L121" s="25" t="s">
        <v>702</v>
      </c>
      <c r="M121" s="25"/>
      <c r="N121" s="25"/>
      <c r="O121" s="30" t="s">
        <v>1733</v>
      </c>
      <c r="P121" s="37" t="s">
        <v>1015</v>
      </c>
      <c r="Q121" s="38" t="s">
        <v>7</v>
      </c>
      <c r="R121" s="27" t="s">
        <v>69</v>
      </c>
      <c r="S121" s="27" t="s">
        <v>980</v>
      </c>
      <c r="T121" s="27" t="s">
        <v>949</v>
      </c>
      <c r="U121" s="27" t="s">
        <v>53</v>
      </c>
      <c r="V121" s="27" t="s">
        <v>949</v>
      </c>
      <c r="W121" s="27" t="str">
        <f t="shared" si="12"/>
        <v>4. Joint Venture</v>
      </c>
      <c r="X121" s="8"/>
      <c r="Y121" s="8" t="s">
        <v>171</v>
      </c>
      <c r="Z121" s="26" t="s">
        <v>15</v>
      </c>
      <c r="AA121" s="8" t="s">
        <v>171</v>
      </c>
      <c r="AB121" s="26"/>
      <c r="AC121" s="26"/>
      <c r="AD121" s="26"/>
      <c r="AE121" s="26"/>
      <c r="AF121" s="40" t="s">
        <v>1421</v>
      </c>
      <c r="AG121" s="40"/>
      <c r="AH121" s="6" t="str">
        <f t="shared" si="13"/>
        <v>Pony.ai-Ridehailing</v>
      </c>
    </row>
    <row r="122" spans="1:34" ht="14.25" customHeight="1" x14ac:dyDescent="0.35">
      <c r="A122" s="25" t="s">
        <v>1540</v>
      </c>
      <c r="B122" s="25" t="s">
        <v>1128</v>
      </c>
      <c r="C122" s="65">
        <f t="shared" si="14"/>
        <v>44769</v>
      </c>
      <c r="D122" s="25" t="s">
        <v>174</v>
      </c>
      <c r="E122" s="25" t="s">
        <v>414</v>
      </c>
      <c r="F122" s="25" t="s">
        <v>286</v>
      </c>
      <c r="G122" s="25" t="str">
        <f t="shared" si="15"/>
        <v>Pony.ai-ATV</v>
      </c>
      <c r="H122" s="25" t="str">
        <f t="shared" si="10"/>
        <v>ATV</v>
      </c>
      <c r="I122" s="25" t="s">
        <v>405</v>
      </c>
      <c r="J122" s="32" t="s">
        <v>405</v>
      </c>
      <c r="K122" s="25" t="str">
        <f t="shared" si="11"/>
        <v>SANY Heavy Truck</v>
      </c>
      <c r="L122" s="25" t="s">
        <v>1975</v>
      </c>
      <c r="M122" s="25"/>
      <c r="N122" s="25"/>
      <c r="O122" s="26" t="s">
        <v>1913</v>
      </c>
      <c r="P122" s="32" t="s">
        <v>1343</v>
      </c>
      <c r="Q122" s="25" t="s">
        <v>7</v>
      </c>
      <c r="R122" s="27" t="s">
        <v>69</v>
      </c>
      <c r="S122" s="27" t="s">
        <v>980</v>
      </c>
      <c r="T122" s="27" t="s">
        <v>1180</v>
      </c>
      <c r="U122" s="27" t="s">
        <v>949</v>
      </c>
      <c r="V122" s="27" t="s">
        <v>949</v>
      </c>
      <c r="W122" s="27" t="str">
        <f t="shared" si="12"/>
        <v>4. Joint Venture</v>
      </c>
      <c r="X122" s="9"/>
      <c r="Y122" s="9" t="s">
        <v>1734</v>
      </c>
      <c r="Z122" s="25" t="s">
        <v>15</v>
      </c>
      <c r="AA122" s="9" t="s">
        <v>1344</v>
      </c>
      <c r="AB122" s="25"/>
      <c r="AC122" s="25"/>
      <c r="AD122" s="25"/>
      <c r="AE122" s="25"/>
      <c r="AF122" s="40" t="s">
        <v>174</v>
      </c>
      <c r="AH122" s="6" t="str">
        <f t="shared" si="13"/>
        <v>Pony.ai-Trucking</v>
      </c>
    </row>
    <row r="123" spans="1:34" ht="14.25" customHeight="1" x14ac:dyDescent="0.35">
      <c r="A123" s="25" t="s">
        <v>1544</v>
      </c>
      <c r="B123" s="25" t="s">
        <v>1132</v>
      </c>
      <c r="C123" s="65">
        <f t="shared" si="14"/>
        <v>44567</v>
      </c>
      <c r="D123" s="25" t="s">
        <v>181</v>
      </c>
      <c r="E123" s="25" t="s">
        <v>1935</v>
      </c>
      <c r="F123" s="25" t="s">
        <v>309</v>
      </c>
      <c r="G123" s="25" t="str">
        <f t="shared" si="15"/>
        <v>ServeRobotics-ATV</v>
      </c>
      <c r="H123" s="25" t="str">
        <f t="shared" si="10"/>
        <v>ATV</v>
      </c>
      <c r="I123" s="25" t="s">
        <v>273</v>
      </c>
      <c r="J123" s="32" t="s">
        <v>273</v>
      </c>
      <c r="K123" s="25" t="str">
        <f t="shared" si="11"/>
        <v>Nickelytics;The Ad Council</v>
      </c>
      <c r="L123" s="25" t="s">
        <v>440</v>
      </c>
      <c r="M123" s="25" t="s">
        <v>1982</v>
      </c>
      <c r="N123" s="25"/>
      <c r="O123" s="26" t="s">
        <v>1653</v>
      </c>
      <c r="P123" s="25" t="s">
        <v>1229</v>
      </c>
      <c r="Q123" s="25" t="s">
        <v>40</v>
      </c>
      <c r="R123" s="27" t="s">
        <v>69</v>
      </c>
      <c r="S123" s="27" t="s">
        <v>1018</v>
      </c>
      <c r="T123" s="27" t="s">
        <v>949</v>
      </c>
      <c r="U123" s="27" t="s">
        <v>949</v>
      </c>
      <c r="V123" s="27" t="s">
        <v>949</v>
      </c>
      <c r="W123" s="27" t="str">
        <f t="shared" si="12"/>
        <v>1. Informal Agreement</v>
      </c>
      <c r="X123" s="7"/>
      <c r="Y123" s="7" t="s">
        <v>1229</v>
      </c>
      <c r="Z123" s="25" t="s">
        <v>41</v>
      </c>
      <c r="AA123" s="7" t="s">
        <v>1229</v>
      </c>
      <c r="AB123" s="25"/>
      <c r="AC123" s="25"/>
      <c r="AD123" s="25"/>
      <c r="AE123" s="25"/>
      <c r="AF123" s="40" t="s">
        <v>1827</v>
      </c>
      <c r="AG123" s="40" t="s">
        <v>1828</v>
      </c>
      <c r="AH123" s="6" t="str">
        <f t="shared" si="13"/>
        <v>ServeRobotics-Last-Mile</v>
      </c>
    </row>
    <row r="124" spans="1:34" ht="14.25" customHeight="1" x14ac:dyDescent="0.35">
      <c r="A124" s="25" t="s">
        <v>1546</v>
      </c>
      <c r="B124" s="25" t="s">
        <v>1134</v>
      </c>
      <c r="C124" s="65">
        <f t="shared" si="14"/>
        <v>44830</v>
      </c>
      <c r="D124" s="25" t="s">
        <v>184</v>
      </c>
      <c r="E124" s="25" t="s">
        <v>1935</v>
      </c>
      <c r="F124" s="25" t="s">
        <v>309</v>
      </c>
      <c r="G124" s="25" t="str">
        <f t="shared" si="15"/>
        <v>ServeRobotics-ATV</v>
      </c>
      <c r="H124" s="25" t="str">
        <f t="shared" si="10"/>
        <v>ATV</v>
      </c>
      <c r="I124" s="25" t="s">
        <v>273</v>
      </c>
      <c r="J124" s="32" t="s">
        <v>273</v>
      </c>
      <c r="K124" s="25" t="str">
        <f t="shared" si="11"/>
        <v>Pizza Hut</v>
      </c>
      <c r="L124" s="25" t="s">
        <v>627</v>
      </c>
      <c r="M124" s="25"/>
      <c r="N124" s="25"/>
      <c r="O124" s="26" t="s">
        <v>1902</v>
      </c>
      <c r="P124" s="25" t="s">
        <v>960</v>
      </c>
      <c r="Q124" s="25" t="s">
        <v>10</v>
      </c>
      <c r="R124" s="27" t="s">
        <v>69</v>
      </c>
      <c r="S124" s="27" t="s">
        <v>1014</v>
      </c>
      <c r="T124" s="27" t="s">
        <v>949</v>
      </c>
      <c r="U124" s="27" t="s">
        <v>949</v>
      </c>
      <c r="V124" s="27" t="s">
        <v>949</v>
      </c>
      <c r="W124" s="27" t="str">
        <f t="shared" si="12"/>
        <v>2.1. Short term Alliance (no exclusivity / previous experience)</v>
      </c>
      <c r="X124" s="7"/>
      <c r="Y124" s="7" t="s">
        <v>185</v>
      </c>
      <c r="Z124" s="25" t="s">
        <v>8</v>
      </c>
      <c r="AA124" s="7" t="s">
        <v>185</v>
      </c>
      <c r="AB124" s="25"/>
      <c r="AC124" s="25"/>
      <c r="AD124" s="25"/>
      <c r="AE124" s="25"/>
      <c r="AF124" s="40" t="s">
        <v>1854</v>
      </c>
      <c r="AG124" s="40" t="s">
        <v>1855</v>
      </c>
      <c r="AH124" s="6" t="str">
        <f t="shared" si="13"/>
        <v>ServeRobotics-Last-Mile</v>
      </c>
    </row>
    <row r="125" spans="1:34" ht="14.25" customHeight="1" x14ac:dyDescent="0.35">
      <c r="A125" s="25" t="s">
        <v>1547</v>
      </c>
      <c r="B125" s="25" t="s">
        <v>1135</v>
      </c>
      <c r="C125" s="65">
        <f t="shared" si="14"/>
        <v>44204</v>
      </c>
      <c r="D125" s="25" t="s">
        <v>186</v>
      </c>
      <c r="E125" s="25" t="s">
        <v>1935</v>
      </c>
      <c r="F125" s="25" t="s">
        <v>309</v>
      </c>
      <c r="G125" s="25" t="str">
        <f t="shared" si="15"/>
        <v>ServeRobotics-ATV</v>
      </c>
      <c r="H125" s="25" t="str">
        <f t="shared" si="10"/>
        <v>ATV</v>
      </c>
      <c r="I125" s="25" t="s">
        <v>273</v>
      </c>
      <c r="J125" s="32" t="s">
        <v>273</v>
      </c>
      <c r="K125" s="25" t="str">
        <f t="shared" si="11"/>
        <v>Uber Eats</v>
      </c>
      <c r="L125" s="279" t="s">
        <v>580</v>
      </c>
      <c r="M125" s="25"/>
      <c r="N125" s="25"/>
      <c r="O125" s="26" t="s">
        <v>1669</v>
      </c>
      <c r="P125" s="32" t="s">
        <v>1747</v>
      </c>
      <c r="Q125" s="25" t="s">
        <v>10</v>
      </c>
      <c r="R125" s="27" t="s">
        <v>69</v>
      </c>
      <c r="S125" s="27" t="s">
        <v>993</v>
      </c>
      <c r="T125" s="27" t="s">
        <v>949</v>
      </c>
      <c r="U125" s="27" t="s">
        <v>949</v>
      </c>
      <c r="V125" s="27" t="s">
        <v>949</v>
      </c>
      <c r="W125" s="27" t="str">
        <f t="shared" si="12"/>
        <v>2.1. Short term Alliance (no exclusivity / previous experience)</v>
      </c>
      <c r="X125" s="7"/>
      <c r="Y125" s="7" t="s">
        <v>2136</v>
      </c>
      <c r="Z125" s="25" t="s">
        <v>8</v>
      </c>
      <c r="AA125" s="7" t="s">
        <v>2136</v>
      </c>
      <c r="AB125" s="25"/>
      <c r="AC125" s="25"/>
      <c r="AD125" s="25"/>
      <c r="AE125" s="25"/>
      <c r="AF125" s="40" t="s">
        <v>186</v>
      </c>
      <c r="AH125" s="6" t="str">
        <f t="shared" si="13"/>
        <v>ServeRobotics-Last-Mile</v>
      </c>
    </row>
    <row r="126" spans="1:34" ht="14.25" customHeight="1" x14ac:dyDescent="0.35">
      <c r="A126" s="25" t="s">
        <v>1545</v>
      </c>
      <c r="B126" s="25" t="s">
        <v>1133</v>
      </c>
      <c r="C126" s="65">
        <f t="shared" si="14"/>
        <v>44748</v>
      </c>
      <c r="D126" s="25" t="s">
        <v>182</v>
      </c>
      <c r="E126" s="25" t="s">
        <v>1935</v>
      </c>
      <c r="F126" s="25" t="s">
        <v>309</v>
      </c>
      <c r="G126" s="25" t="str">
        <f t="shared" si="15"/>
        <v>ServeRobotics-ATV</v>
      </c>
      <c r="H126" s="25" t="str">
        <f t="shared" si="10"/>
        <v>ATV</v>
      </c>
      <c r="I126" s="25" t="s">
        <v>273</v>
      </c>
      <c r="J126" s="32" t="s">
        <v>273</v>
      </c>
      <c r="K126" s="25" t="str">
        <f t="shared" si="11"/>
        <v>Piestro</v>
      </c>
      <c r="L126" s="25" t="s">
        <v>622</v>
      </c>
      <c r="M126" s="25"/>
      <c r="N126" s="25"/>
      <c r="O126" s="26" t="s">
        <v>1677</v>
      </c>
      <c r="P126" s="25" t="s">
        <v>959</v>
      </c>
      <c r="Q126" s="25" t="s">
        <v>10</v>
      </c>
      <c r="R126" s="27" t="s">
        <v>69</v>
      </c>
      <c r="S126" s="27" t="s">
        <v>993</v>
      </c>
      <c r="T126" s="27" t="s">
        <v>949</v>
      </c>
      <c r="U126" s="27" t="s">
        <v>949</v>
      </c>
      <c r="V126" s="27" t="s">
        <v>949</v>
      </c>
      <c r="W126" s="27" t="str">
        <f t="shared" si="12"/>
        <v>2.1. Short term Alliance (no exclusivity / previous experience)</v>
      </c>
      <c r="X126" s="7"/>
      <c r="Y126" s="9" t="s">
        <v>1593</v>
      </c>
      <c r="Z126" s="25" t="s">
        <v>8</v>
      </c>
      <c r="AA126" s="7" t="s">
        <v>183</v>
      </c>
      <c r="AB126" s="25"/>
      <c r="AC126" s="25"/>
      <c r="AD126" s="25"/>
      <c r="AE126" s="25"/>
      <c r="AF126" s="40" t="s">
        <v>182</v>
      </c>
      <c r="AH126" s="6" t="str">
        <f t="shared" si="13"/>
        <v>ServeRobotics-Last-Mile</v>
      </c>
    </row>
    <row r="127" spans="1:34" ht="14.25" customHeight="1" x14ac:dyDescent="0.35">
      <c r="A127" s="25" t="s">
        <v>1550</v>
      </c>
      <c r="B127" s="25" t="s">
        <v>1137</v>
      </c>
      <c r="C127" s="65">
        <f t="shared" si="14"/>
        <v>44201</v>
      </c>
      <c r="D127" s="25" t="s">
        <v>191</v>
      </c>
      <c r="E127" s="25" t="s">
        <v>418</v>
      </c>
      <c r="F127" s="25" t="s">
        <v>286</v>
      </c>
      <c r="G127" s="25" t="str">
        <f t="shared" si="15"/>
        <v>Torc-ATV</v>
      </c>
      <c r="H127" s="25" t="str">
        <f t="shared" si="10"/>
        <v>ATV</v>
      </c>
      <c r="I127" s="25" t="s">
        <v>405</v>
      </c>
      <c r="J127" s="32" t="s">
        <v>405</v>
      </c>
      <c r="K127" s="25" t="str">
        <f t="shared" si="11"/>
        <v>Daimler Truck</v>
      </c>
      <c r="L127" s="25" t="s">
        <v>783</v>
      </c>
      <c r="M127" s="25"/>
      <c r="N127" s="25"/>
      <c r="O127" s="26" t="s">
        <v>192</v>
      </c>
      <c r="P127" s="25" t="s">
        <v>192</v>
      </c>
      <c r="Q127" s="25" t="s">
        <v>10</v>
      </c>
      <c r="R127" s="27" t="s">
        <v>69</v>
      </c>
      <c r="S127" s="27" t="s">
        <v>980</v>
      </c>
      <c r="T127" s="27" t="s">
        <v>949</v>
      </c>
      <c r="U127" s="27" t="s">
        <v>949</v>
      </c>
      <c r="V127" s="27" t="s">
        <v>949</v>
      </c>
      <c r="W127" s="27" t="str">
        <f t="shared" si="12"/>
        <v>2.1. Short term Alliance (no exclusivity / previous experience)</v>
      </c>
      <c r="X127" s="7"/>
      <c r="Y127" s="7" t="s">
        <v>193</v>
      </c>
      <c r="Z127" s="25" t="s">
        <v>15</v>
      </c>
      <c r="AA127" s="7" t="s">
        <v>193</v>
      </c>
      <c r="AB127" s="25"/>
      <c r="AC127" s="25"/>
      <c r="AD127" s="25"/>
      <c r="AE127" s="25"/>
      <c r="AF127" s="40" t="s">
        <v>191</v>
      </c>
      <c r="AH127" s="6" t="str">
        <f t="shared" si="13"/>
        <v>Torc-Trucking</v>
      </c>
    </row>
    <row r="128" spans="1:34" ht="14.25" customHeight="1" x14ac:dyDescent="0.35">
      <c r="A128" s="25" t="s">
        <v>1549</v>
      </c>
      <c r="B128" s="25" t="s">
        <v>1106</v>
      </c>
      <c r="C128" s="65">
        <f t="shared" si="14"/>
        <v>44205</v>
      </c>
      <c r="D128" s="25" t="s">
        <v>189</v>
      </c>
      <c r="E128" s="25" t="s">
        <v>418</v>
      </c>
      <c r="F128" s="25" t="s">
        <v>286</v>
      </c>
      <c r="G128" s="25" t="str">
        <f t="shared" si="15"/>
        <v>Torc-ATV</v>
      </c>
      <c r="H128" s="25" t="str">
        <f t="shared" si="10"/>
        <v>ATV</v>
      </c>
      <c r="I128" s="25" t="s">
        <v>405</v>
      </c>
      <c r="J128" s="32" t="s">
        <v>405</v>
      </c>
      <c r="K128" s="25" t="str">
        <f t="shared" si="11"/>
        <v>Applied Intuition</v>
      </c>
      <c r="L128" s="25" t="s">
        <v>939</v>
      </c>
      <c r="M128" s="25"/>
      <c r="N128" s="25"/>
      <c r="O128" s="26" t="s">
        <v>1686</v>
      </c>
      <c r="P128" s="32" t="s">
        <v>1019</v>
      </c>
      <c r="Q128" s="25" t="s">
        <v>10</v>
      </c>
      <c r="R128" s="27" t="s">
        <v>69</v>
      </c>
      <c r="S128" s="27" t="s">
        <v>1002</v>
      </c>
      <c r="T128" s="27" t="s">
        <v>1182</v>
      </c>
      <c r="U128" s="27" t="s">
        <v>53</v>
      </c>
      <c r="V128" s="27" t="s">
        <v>949</v>
      </c>
      <c r="W128" s="27" t="str">
        <f t="shared" si="12"/>
        <v>2.3. Long term Alliance</v>
      </c>
      <c r="X128" s="7"/>
      <c r="Y128" s="7" t="s">
        <v>190</v>
      </c>
      <c r="Z128" s="25" t="s">
        <v>15</v>
      </c>
      <c r="AA128" s="7" t="s">
        <v>190</v>
      </c>
      <c r="AB128" s="25"/>
      <c r="AC128" s="25"/>
      <c r="AD128" s="25"/>
      <c r="AE128" s="25"/>
      <c r="AF128" s="40" t="s">
        <v>189</v>
      </c>
      <c r="AH128" s="6" t="str">
        <f t="shared" si="13"/>
        <v>Torc-Trucking</v>
      </c>
    </row>
    <row r="129" spans="1:34" ht="14.25" customHeight="1" x14ac:dyDescent="0.35">
      <c r="A129" s="25" t="s">
        <v>1548</v>
      </c>
      <c r="B129" s="25" t="s">
        <v>1136</v>
      </c>
      <c r="C129" s="65">
        <f t="shared" si="14"/>
        <v>43860</v>
      </c>
      <c r="D129" s="28" t="s">
        <v>187</v>
      </c>
      <c r="E129" s="28" t="s">
        <v>418</v>
      </c>
      <c r="F129" s="25" t="s">
        <v>286</v>
      </c>
      <c r="G129" s="25" t="str">
        <f t="shared" si="15"/>
        <v>Torc-ATV</v>
      </c>
      <c r="H129" s="25" t="str">
        <f t="shared" si="10"/>
        <v>ATV</v>
      </c>
      <c r="I129" s="25" t="s">
        <v>405</v>
      </c>
      <c r="J129" s="32" t="s">
        <v>405</v>
      </c>
      <c r="K129" s="25" t="str">
        <f t="shared" si="11"/>
        <v>Daimler Truck;Luminar</v>
      </c>
      <c r="L129" s="25" t="s">
        <v>783</v>
      </c>
      <c r="M129" s="25" t="s">
        <v>863</v>
      </c>
      <c r="N129" s="25"/>
      <c r="O129" s="30" t="s">
        <v>1695</v>
      </c>
      <c r="P129" s="28" t="s">
        <v>1186</v>
      </c>
      <c r="Q129" s="38" t="s">
        <v>17</v>
      </c>
      <c r="R129" s="27" t="s">
        <v>69</v>
      </c>
      <c r="S129" s="27" t="s">
        <v>980</v>
      </c>
      <c r="T129" s="27" t="s">
        <v>949</v>
      </c>
      <c r="U129" s="27" t="s">
        <v>949</v>
      </c>
      <c r="V129" s="27" t="s">
        <v>949</v>
      </c>
      <c r="W129" s="27" t="str">
        <f t="shared" si="12"/>
        <v>3. Strategic Partnership</v>
      </c>
      <c r="X129" s="7"/>
      <c r="Y129" s="7" t="s">
        <v>188</v>
      </c>
      <c r="Z129" s="25" t="s">
        <v>15</v>
      </c>
      <c r="AA129" s="7" t="s">
        <v>188</v>
      </c>
      <c r="AB129" s="25"/>
      <c r="AC129" s="25"/>
      <c r="AD129" s="25"/>
      <c r="AE129" s="25"/>
      <c r="AF129" s="40" t="s">
        <v>187</v>
      </c>
      <c r="AH129" s="6" t="str">
        <f t="shared" si="13"/>
        <v>Torc-Trucking</v>
      </c>
    </row>
    <row r="130" spans="1:34" ht="14" customHeight="1" x14ac:dyDescent="0.35">
      <c r="A130" s="25" t="s">
        <v>1551</v>
      </c>
      <c r="B130" s="25" t="s">
        <v>1138</v>
      </c>
      <c r="C130" s="65">
        <f t="shared" ref="C130:C160" si="16">DATE(LEFT(B130,4),MID(B130,7,1),RIGHT(B130,LEN(B130)-SEARCH(",",B130,6)))</f>
        <v>43472</v>
      </c>
      <c r="D130" s="25" t="s">
        <v>194</v>
      </c>
      <c r="E130" s="25" t="s">
        <v>397</v>
      </c>
      <c r="F130" s="25" t="s">
        <v>331</v>
      </c>
      <c r="G130" s="25" t="str">
        <f t="shared" ref="G130:G160" si="17">E130&amp;"-"&amp;H130</f>
        <v>Transdev-SAV</v>
      </c>
      <c r="H130" s="25" t="str">
        <f t="shared" si="10"/>
        <v>SAV</v>
      </c>
      <c r="I130" s="25" t="s">
        <v>372</v>
      </c>
      <c r="J130" s="32" t="s">
        <v>372</v>
      </c>
      <c r="K130" s="25" t="str">
        <f t="shared" si="11"/>
        <v>Torc</v>
      </c>
      <c r="L130" s="279" t="s">
        <v>418</v>
      </c>
      <c r="M130" s="25"/>
      <c r="N130" s="25"/>
      <c r="O130" s="26" t="s">
        <v>1327</v>
      </c>
      <c r="P130" s="32" t="s">
        <v>1020</v>
      </c>
      <c r="Q130" s="25" t="s">
        <v>10</v>
      </c>
      <c r="R130" s="27" t="s">
        <v>69</v>
      </c>
      <c r="S130" s="27" t="s">
        <v>1002</v>
      </c>
      <c r="T130" s="27" t="s">
        <v>949</v>
      </c>
      <c r="U130" s="27" t="s">
        <v>53</v>
      </c>
      <c r="V130" s="27" t="s">
        <v>949</v>
      </c>
      <c r="W130" s="27" t="str">
        <f t="shared" si="12"/>
        <v xml:space="preserve">2.2. Renewed Alliance </v>
      </c>
      <c r="X130" s="29"/>
      <c r="Y130" s="8" t="s">
        <v>195</v>
      </c>
      <c r="Z130" s="25" t="s">
        <v>8</v>
      </c>
      <c r="AA130" s="8" t="s">
        <v>1610</v>
      </c>
      <c r="AB130" s="28" t="s">
        <v>38</v>
      </c>
      <c r="AC130" s="28" t="s">
        <v>196</v>
      </c>
      <c r="AD130" s="25"/>
      <c r="AE130" s="25"/>
      <c r="AF130" s="40" t="s">
        <v>1783</v>
      </c>
      <c r="AG130" s="40" t="s">
        <v>1784</v>
      </c>
      <c r="AH130" s="6" t="str">
        <f t="shared" si="13"/>
        <v>Transdev-Ridepooling</v>
      </c>
    </row>
    <row r="131" spans="1:34" ht="14.25" customHeight="1" x14ac:dyDescent="0.35">
      <c r="A131" s="133" t="s">
        <v>1553</v>
      </c>
      <c r="B131" s="25" t="s">
        <v>1140</v>
      </c>
      <c r="C131" s="65">
        <f t="shared" si="16"/>
        <v>44043</v>
      </c>
      <c r="D131" s="25" t="s">
        <v>198</v>
      </c>
      <c r="E131" s="25" t="s">
        <v>397</v>
      </c>
      <c r="F131" s="25" t="s">
        <v>331</v>
      </c>
      <c r="G131" s="25" t="str">
        <f t="shared" si="17"/>
        <v>Transdev-SAV</v>
      </c>
      <c r="H131" s="25" t="str">
        <f t="shared" ref="H131:H180" si="18">IF(OR(EXACT(J131,"Trucking"),EXACT(J131,"Last-Mile")),"ATV",IF(OR(EXACT(J131,"Ridepooling"),EXACT(J131,"Ridehailing")),"SAV","Other"))</f>
        <v>SAV</v>
      </c>
      <c r="I131" s="25" t="s">
        <v>372</v>
      </c>
      <c r="J131" s="32" t="s">
        <v>372</v>
      </c>
      <c r="K131" s="25" t="str">
        <f t="shared" ref="K131:K180" si="19">_xlfn.TEXTJOIN(";",TRUE,L131:N131)</f>
        <v>LAVTA</v>
      </c>
      <c r="L131" s="25" t="s">
        <v>1976</v>
      </c>
      <c r="M131" s="25"/>
      <c r="N131" s="25"/>
      <c r="O131" s="26" t="s">
        <v>1380</v>
      </c>
      <c r="P131" s="32" t="s">
        <v>1354</v>
      </c>
      <c r="Q131" s="25" t="s">
        <v>10</v>
      </c>
      <c r="R131" s="27" t="s">
        <v>69</v>
      </c>
      <c r="S131" s="27" t="s">
        <v>1014</v>
      </c>
      <c r="T131" s="27" t="s">
        <v>949</v>
      </c>
      <c r="U131" s="27" t="s">
        <v>949</v>
      </c>
      <c r="V131" s="27" t="s">
        <v>949</v>
      </c>
      <c r="W131" s="27" t="str">
        <f t="shared" ref="W131:W180" si="20">IF(Q131="Joint Venture","4. Joint Venture",IF(Q131="Strategic Partnership","3. Strategic Partnership",IF(Q131="Informal Agreement","1. Informal Agreement",
IF(AND(Q131="Strategic Alliance",LEFT(T131,9)="Long term"),"2.3. Long term Alliance",
IF(AND(Q131="Strategic Alliance",V131="Yes"),"2.4. Exclusive Alliance",
IF(AND(Q131="Strategic Alliance",U131="Yes"),"2.2. Renewed Alliance ",
IF(OR(AND(Q131="Strategic Alliance",LEFT(S131,8)="One time",U131="-",V131="-"),AND(Q131="Strategic Alliance",U131="-",V131="-"),AND(Q131="Strategic Alliance",LEFT(T131,10)="Short term")),"2.1. Short term Alliance (no exclusivity / previous experience)",
)))))))</f>
        <v>2.1. Short term Alliance (no exclusivity / previous experience)</v>
      </c>
      <c r="X131" s="8"/>
      <c r="Y131" s="8" t="s">
        <v>199</v>
      </c>
      <c r="Z131" s="25" t="s">
        <v>38</v>
      </c>
      <c r="AA131" s="8" t="s">
        <v>1589</v>
      </c>
      <c r="AB131" s="25"/>
      <c r="AC131" s="25"/>
      <c r="AD131" s="25"/>
      <c r="AE131" s="25"/>
      <c r="AF131" s="40" t="s">
        <v>1872</v>
      </c>
      <c r="AG131" s="40" t="s">
        <v>1873</v>
      </c>
      <c r="AH131" s="6" t="str">
        <f t="shared" ref="AH131:AH180" si="21">E131&amp;"-"&amp;J131</f>
        <v>Transdev-Ridepooling</v>
      </c>
    </row>
    <row r="132" spans="1:34" ht="14.25" customHeight="1" x14ac:dyDescent="0.35">
      <c r="A132" s="25" t="s">
        <v>1552</v>
      </c>
      <c r="B132" s="25" t="s">
        <v>1139</v>
      </c>
      <c r="C132" s="65">
        <f t="shared" si="16"/>
        <v>42893</v>
      </c>
      <c r="D132" s="25" t="s">
        <v>197</v>
      </c>
      <c r="E132" s="25" t="s">
        <v>397</v>
      </c>
      <c r="F132" s="25" t="s">
        <v>331</v>
      </c>
      <c r="G132" s="25" t="str">
        <f t="shared" si="17"/>
        <v>Transdev-SAV</v>
      </c>
      <c r="H132" s="25" t="str">
        <f t="shared" si="18"/>
        <v>SAV</v>
      </c>
      <c r="I132" s="25" t="s">
        <v>372</v>
      </c>
      <c r="J132" s="32" t="s">
        <v>372</v>
      </c>
      <c r="K132" s="25" t="str">
        <f t="shared" si="19"/>
        <v>Delphi</v>
      </c>
      <c r="L132" s="25" t="s">
        <v>486</v>
      </c>
      <c r="M132" s="25"/>
      <c r="N132" s="25"/>
      <c r="O132" s="26" t="s">
        <v>1383</v>
      </c>
      <c r="P132" s="32" t="s">
        <v>1743</v>
      </c>
      <c r="Q132" s="25" t="s">
        <v>10</v>
      </c>
      <c r="R132" s="27" t="s">
        <v>69</v>
      </c>
      <c r="S132" s="27" t="s">
        <v>980</v>
      </c>
      <c r="T132" s="27" t="s">
        <v>949</v>
      </c>
      <c r="U132" s="27" t="s">
        <v>949</v>
      </c>
      <c r="V132" s="27" t="s">
        <v>949</v>
      </c>
      <c r="W132" s="27" t="str">
        <f t="shared" si="20"/>
        <v>2.1. Short term Alliance (no exclusivity / previous experience)</v>
      </c>
      <c r="X132" s="7"/>
      <c r="Y132" s="7" t="s">
        <v>1347</v>
      </c>
      <c r="Z132" s="25" t="s">
        <v>8</v>
      </c>
      <c r="AA132" s="7" t="s">
        <v>1347</v>
      </c>
      <c r="AB132" s="25"/>
      <c r="AC132" s="25"/>
      <c r="AD132" s="25"/>
      <c r="AE132" s="25"/>
      <c r="AF132" s="40" t="s">
        <v>1892</v>
      </c>
      <c r="AG132" s="40" t="s">
        <v>1893</v>
      </c>
      <c r="AH132" s="6" t="str">
        <f t="shared" si="21"/>
        <v>Transdev-Ridepooling</v>
      </c>
    </row>
    <row r="133" spans="1:34" ht="14" customHeight="1" x14ac:dyDescent="0.35">
      <c r="A133" s="25" t="s">
        <v>1554</v>
      </c>
      <c r="B133" s="25" t="s">
        <v>1141</v>
      </c>
      <c r="C133" s="65">
        <f t="shared" si="16"/>
        <v>43473</v>
      </c>
      <c r="D133" s="25" t="s">
        <v>200</v>
      </c>
      <c r="E133" s="25" t="s">
        <v>397</v>
      </c>
      <c r="F133" s="25" t="s">
        <v>331</v>
      </c>
      <c r="G133" s="25" t="str">
        <f t="shared" si="17"/>
        <v>Transdev-SAV</v>
      </c>
      <c r="H133" s="25" t="str">
        <f t="shared" si="18"/>
        <v>SAV</v>
      </c>
      <c r="I133" s="25" t="s">
        <v>372</v>
      </c>
      <c r="J133" s="32" t="s">
        <v>372</v>
      </c>
      <c r="K133" s="25" t="str">
        <f t="shared" si="19"/>
        <v>ZF;e.GO</v>
      </c>
      <c r="L133" s="279" t="s">
        <v>1932</v>
      </c>
      <c r="M133" s="25" t="s">
        <v>489</v>
      </c>
      <c r="N133" s="25"/>
      <c r="O133" s="26" t="s">
        <v>1305</v>
      </c>
      <c r="P133" s="25" t="s">
        <v>961</v>
      </c>
      <c r="Q133" s="25" t="s">
        <v>10</v>
      </c>
      <c r="R133" s="27" t="s">
        <v>69</v>
      </c>
      <c r="S133" s="27" t="s">
        <v>980</v>
      </c>
      <c r="T133" s="27" t="s">
        <v>1185</v>
      </c>
      <c r="U133" s="27" t="s">
        <v>949</v>
      </c>
      <c r="V133" s="27" t="s">
        <v>949</v>
      </c>
      <c r="W133" s="27" t="str">
        <f t="shared" si="20"/>
        <v>2.3. Long term Alliance</v>
      </c>
      <c r="X133" s="7"/>
      <c r="Y133" s="7" t="s">
        <v>1306</v>
      </c>
      <c r="Z133" s="25" t="s">
        <v>15</v>
      </c>
      <c r="AA133" s="7" t="s">
        <v>1306</v>
      </c>
      <c r="AB133" s="25"/>
      <c r="AC133" s="25"/>
      <c r="AD133" s="25"/>
      <c r="AE133" s="25"/>
      <c r="AF133" s="40" t="s">
        <v>200</v>
      </c>
      <c r="AH133" s="6" t="str">
        <f t="shared" si="21"/>
        <v>Transdev-Ridepooling</v>
      </c>
    </row>
    <row r="134" spans="1:34" ht="14.25" customHeight="1" x14ac:dyDescent="0.35">
      <c r="A134" s="25" t="s">
        <v>1561</v>
      </c>
      <c r="B134" s="25" t="s">
        <v>1147</v>
      </c>
      <c r="C134" s="65">
        <f t="shared" si="16"/>
        <v>43916</v>
      </c>
      <c r="D134" s="25" t="s">
        <v>211</v>
      </c>
      <c r="E134" s="25" t="s">
        <v>420</v>
      </c>
      <c r="F134" s="25" t="s">
        <v>286</v>
      </c>
      <c r="G134" s="25" t="str">
        <f t="shared" si="17"/>
        <v>TuSimple-ATV</v>
      </c>
      <c r="H134" s="25" t="str">
        <f t="shared" si="18"/>
        <v>ATV</v>
      </c>
      <c r="I134" s="25" t="s">
        <v>405</v>
      </c>
      <c r="J134" s="32" t="s">
        <v>405</v>
      </c>
      <c r="K134" s="25" t="str">
        <f t="shared" si="19"/>
        <v>ZF</v>
      </c>
      <c r="L134" s="279" t="s">
        <v>1932</v>
      </c>
      <c r="M134" s="25"/>
      <c r="N134" s="25"/>
      <c r="O134" s="26" t="s">
        <v>1639</v>
      </c>
      <c r="P134" s="25" t="s">
        <v>966</v>
      </c>
      <c r="Q134" s="25" t="s">
        <v>10</v>
      </c>
      <c r="R134" s="27" t="s">
        <v>69</v>
      </c>
      <c r="S134" s="27" t="s">
        <v>980</v>
      </c>
      <c r="T134" s="27" t="s">
        <v>949</v>
      </c>
      <c r="U134" s="27" t="s">
        <v>949</v>
      </c>
      <c r="V134" s="27" t="s">
        <v>949</v>
      </c>
      <c r="W134" s="27" t="str">
        <f t="shared" si="20"/>
        <v>2.1. Short term Alliance (no exclusivity / previous experience)</v>
      </c>
      <c r="X134" s="29"/>
      <c r="Y134" s="12" t="s">
        <v>1596</v>
      </c>
      <c r="Z134" s="28" t="s">
        <v>15</v>
      </c>
      <c r="AA134" s="12" t="s">
        <v>1596</v>
      </c>
      <c r="AB134" s="28" t="s">
        <v>1201</v>
      </c>
      <c r="AC134" s="28" t="s">
        <v>1597</v>
      </c>
      <c r="AD134" s="28"/>
      <c r="AE134" s="28"/>
      <c r="AF134" s="40" t="s">
        <v>1763</v>
      </c>
      <c r="AG134" s="40" t="s">
        <v>1764</v>
      </c>
      <c r="AH134" s="6" t="str">
        <f t="shared" si="21"/>
        <v>TuSimple-Trucking</v>
      </c>
    </row>
    <row r="135" spans="1:34" ht="14.25" customHeight="1" x14ac:dyDescent="0.35">
      <c r="A135" s="25" t="s">
        <v>1557</v>
      </c>
      <c r="B135" s="25" t="s">
        <v>1143</v>
      </c>
      <c r="C135" s="65">
        <f t="shared" si="16"/>
        <v>44027</v>
      </c>
      <c r="D135" s="28" t="s">
        <v>205</v>
      </c>
      <c r="E135" s="28" t="s">
        <v>420</v>
      </c>
      <c r="F135" s="25" t="s">
        <v>286</v>
      </c>
      <c r="G135" s="25" t="str">
        <f t="shared" si="17"/>
        <v>TuSimple-ATV</v>
      </c>
      <c r="H135" s="25" t="str">
        <f t="shared" si="18"/>
        <v>ATV</v>
      </c>
      <c r="I135" s="25" t="s">
        <v>405</v>
      </c>
      <c r="J135" s="32" t="s">
        <v>405</v>
      </c>
      <c r="K135" s="25" t="str">
        <f t="shared" si="19"/>
        <v>Navistar</v>
      </c>
      <c r="L135" s="25" t="s">
        <v>795</v>
      </c>
      <c r="M135" s="25"/>
      <c r="N135" s="25"/>
      <c r="O135" s="30" t="s">
        <v>1647</v>
      </c>
      <c r="P135" s="37" t="s">
        <v>1398</v>
      </c>
      <c r="Q135" s="38" t="s">
        <v>17</v>
      </c>
      <c r="R135" s="27" t="s">
        <v>69</v>
      </c>
      <c r="S135" s="27" t="s">
        <v>980</v>
      </c>
      <c r="T135" s="27" t="s">
        <v>1183</v>
      </c>
      <c r="U135" s="27" t="s">
        <v>53</v>
      </c>
      <c r="V135" s="27" t="s">
        <v>949</v>
      </c>
      <c r="W135" s="27" t="str">
        <f t="shared" si="20"/>
        <v>3. Strategic Partnership</v>
      </c>
      <c r="X135" s="29"/>
      <c r="Y135" s="8" t="s">
        <v>206</v>
      </c>
      <c r="Z135" s="25" t="s">
        <v>15</v>
      </c>
      <c r="AA135" s="8" t="s">
        <v>1620</v>
      </c>
      <c r="AB135" s="28" t="s">
        <v>12</v>
      </c>
      <c r="AC135" s="28" t="s">
        <v>1621</v>
      </c>
      <c r="AD135" s="25"/>
      <c r="AE135" s="25"/>
      <c r="AF135" s="40" t="s">
        <v>1795</v>
      </c>
      <c r="AG135" s="40" t="s">
        <v>1796</v>
      </c>
      <c r="AH135" s="6" t="str">
        <f t="shared" si="21"/>
        <v>TuSimple-Trucking</v>
      </c>
    </row>
    <row r="136" spans="1:34" ht="14.25" customHeight="1" x14ac:dyDescent="0.35">
      <c r="A136" s="25" t="s">
        <v>1558</v>
      </c>
      <c r="B136" s="25" t="s">
        <v>1144</v>
      </c>
      <c r="C136" s="65">
        <f t="shared" si="16"/>
        <v>44097</v>
      </c>
      <c r="D136" s="28" t="s">
        <v>207</v>
      </c>
      <c r="E136" s="28" t="s">
        <v>420</v>
      </c>
      <c r="F136" s="25" t="s">
        <v>286</v>
      </c>
      <c r="G136" s="25" t="str">
        <f t="shared" si="17"/>
        <v>TuSimple-ATV</v>
      </c>
      <c r="H136" s="25" t="str">
        <f t="shared" si="18"/>
        <v>ATV</v>
      </c>
      <c r="I136" s="25" t="s">
        <v>405</v>
      </c>
      <c r="J136" s="32" t="s">
        <v>405</v>
      </c>
      <c r="K136" s="25" t="str">
        <f t="shared" si="19"/>
        <v>Traton</v>
      </c>
      <c r="L136" s="25" t="s">
        <v>806</v>
      </c>
      <c r="M136" s="25"/>
      <c r="N136" s="25"/>
      <c r="O136" s="30" t="s">
        <v>1706</v>
      </c>
      <c r="P136" s="38" t="s">
        <v>1707</v>
      </c>
      <c r="Q136" s="38" t="s">
        <v>17</v>
      </c>
      <c r="R136" s="27" t="s">
        <v>69</v>
      </c>
      <c r="S136" s="27" t="s">
        <v>980</v>
      </c>
      <c r="T136" s="27" t="s">
        <v>949</v>
      </c>
      <c r="U136" s="27" t="s">
        <v>949</v>
      </c>
      <c r="V136" s="27" t="s">
        <v>949</v>
      </c>
      <c r="W136" s="27" t="str">
        <f t="shared" si="20"/>
        <v>3. Strategic Partnership</v>
      </c>
      <c r="X136" s="29"/>
      <c r="Y136" s="8" t="s">
        <v>208</v>
      </c>
      <c r="Z136" s="25" t="s">
        <v>15</v>
      </c>
      <c r="AA136" s="8" t="s">
        <v>1622</v>
      </c>
      <c r="AB136" s="28" t="s">
        <v>38</v>
      </c>
      <c r="AC136" s="28" t="s">
        <v>1623</v>
      </c>
      <c r="AD136" s="25"/>
      <c r="AE136" s="25"/>
      <c r="AF136" s="40" t="s">
        <v>1797</v>
      </c>
      <c r="AG136" s="40" t="s">
        <v>1798</v>
      </c>
      <c r="AH136" s="6" t="str">
        <f t="shared" si="21"/>
        <v>TuSimple-Trucking</v>
      </c>
    </row>
    <row r="137" spans="1:34" ht="14.25" customHeight="1" x14ac:dyDescent="0.35">
      <c r="A137" s="25" t="s">
        <v>1556</v>
      </c>
      <c r="B137" s="25" t="s">
        <v>1142</v>
      </c>
      <c r="C137" s="65">
        <f t="shared" si="16"/>
        <v>43847</v>
      </c>
      <c r="D137" s="25" t="s">
        <v>203</v>
      </c>
      <c r="E137" s="25" t="s">
        <v>420</v>
      </c>
      <c r="F137" s="25" t="s">
        <v>286</v>
      </c>
      <c r="G137" s="25" t="str">
        <f t="shared" si="17"/>
        <v>TuSimple-ATV</v>
      </c>
      <c r="H137" s="25" t="str">
        <f t="shared" si="18"/>
        <v>ATV</v>
      </c>
      <c r="I137" s="25" t="s">
        <v>405</v>
      </c>
      <c r="J137" s="32" t="s">
        <v>405</v>
      </c>
      <c r="K137" s="25" t="str">
        <f t="shared" si="19"/>
        <v>Goodyear</v>
      </c>
      <c r="L137" s="25" t="s">
        <v>507</v>
      </c>
      <c r="M137" s="25"/>
      <c r="N137" s="25"/>
      <c r="O137" s="26" t="s">
        <v>1916</v>
      </c>
      <c r="P137" s="32" t="s">
        <v>1917</v>
      </c>
      <c r="Q137" s="25" t="s">
        <v>10</v>
      </c>
      <c r="R137" s="27" t="s">
        <v>69</v>
      </c>
      <c r="S137" s="27" t="s">
        <v>1014</v>
      </c>
      <c r="T137" s="27" t="s">
        <v>949</v>
      </c>
      <c r="U137" s="27" t="s">
        <v>949</v>
      </c>
      <c r="V137" s="27" t="s">
        <v>949</v>
      </c>
      <c r="W137" s="27" t="str">
        <f t="shared" si="20"/>
        <v>2.1. Short term Alliance (no exclusivity / previous experience)</v>
      </c>
      <c r="X137" s="29"/>
      <c r="Y137" s="7" t="s">
        <v>204</v>
      </c>
      <c r="Z137" s="25" t="s">
        <v>38</v>
      </c>
      <c r="AA137" s="7" t="s">
        <v>1628</v>
      </c>
      <c r="AB137" s="28" t="s">
        <v>1201</v>
      </c>
      <c r="AC137" s="28" t="s">
        <v>1629</v>
      </c>
      <c r="AD137" s="25"/>
      <c r="AE137" s="25"/>
      <c r="AF137" s="40" t="s">
        <v>1803</v>
      </c>
      <c r="AG137" s="40" t="s">
        <v>1804</v>
      </c>
      <c r="AH137" s="6" t="str">
        <f t="shared" si="21"/>
        <v>TuSimple-Trucking</v>
      </c>
    </row>
    <row r="138" spans="1:34" ht="14.25" customHeight="1" x14ac:dyDescent="0.35">
      <c r="A138" s="25" t="s">
        <v>1559</v>
      </c>
      <c r="B138" s="25" t="s">
        <v>1145</v>
      </c>
      <c r="C138" s="65">
        <f t="shared" si="16"/>
        <v>44321</v>
      </c>
      <c r="D138" s="25" t="s">
        <v>209</v>
      </c>
      <c r="E138" s="25" t="s">
        <v>420</v>
      </c>
      <c r="F138" s="25" t="s">
        <v>286</v>
      </c>
      <c r="G138" s="25" t="str">
        <f t="shared" si="17"/>
        <v>TuSimple-ATV</v>
      </c>
      <c r="H138" s="25" t="str">
        <f t="shared" si="18"/>
        <v>ATV</v>
      </c>
      <c r="I138" s="25" t="s">
        <v>405</v>
      </c>
      <c r="J138" s="32" t="s">
        <v>405</v>
      </c>
      <c r="K138" s="25" t="str">
        <f t="shared" si="19"/>
        <v>Liberty Mutual Insurance</v>
      </c>
      <c r="L138" s="25" t="s">
        <v>663</v>
      </c>
      <c r="M138" s="25"/>
      <c r="N138" s="25"/>
      <c r="O138" s="26" t="s">
        <v>1656</v>
      </c>
      <c r="P138" s="25" t="s">
        <v>963</v>
      </c>
      <c r="Q138" s="25" t="s">
        <v>40</v>
      </c>
      <c r="R138" s="27" t="s">
        <v>69</v>
      </c>
      <c r="S138" s="27" t="s">
        <v>1014</v>
      </c>
      <c r="T138" s="27" t="s">
        <v>949</v>
      </c>
      <c r="U138" s="27" t="s">
        <v>949</v>
      </c>
      <c r="V138" s="27" t="s">
        <v>949</v>
      </c>
      <c r="W138" s="27" t="str">
        <f t="shared" si="20"/>
        <v>1. Informal Agreement</v>
      </c>
      <c r="X138" s="8"/>
      <c r="Y138" s="8" t="s">
        <v>1919</v>
      </c>
      <c r="Z138" s="25" t="s">
        <v>38</v>
      </c>
      <c r="AA138" s="8" t="s">
        <v>1919</v>
      </c>
      <c r="AB138" s="25"/>
      <c r="AC138" s="25"/>
      <c r="AD138" s="25"/>
      <c r="AE138" s="25"/>
      <c r="AF138" s="40" t="s">
        <v>1831</v>
      </c>
      <c r="AG138" s="40" t="s">
        <v>1832</v>
      </c>
      <c r="AH138" s="6" t="str">
        <f t="shared" si="21"/>
        <v>TuSimple-Trucking</v>
      </c>
    </row>
    <row r="139" spans="1:34" ht="14.25" customHeight="1" x14ac:dyDescent="0.35">
      <c r="A139" s="25" t="s">
        <v>1560</v>
      </c>
      <c r="B139" s="25" t="s">
        <v>1146</v>
      </c>
      <c r="C139" s="65">
        <f t="shared" si="16"/>
        <v>44406</v>
      </c>
      <c r="D139" s="25" t="s">
        <v>210</v>
      </c>
      <c r="E139" s="25" t="s">
        <v>420</v>
      </c>
      <c r="F139" s="25" t="s">
        <v>286</v>
      </c>
      <c r="G139" s="25" t="str">
        <f t="shared" si="17"/>
        <v>TuSimple-ATV</v>
      </c>
      <c r="H139" s="25" t="str">
        <f t="shared" si="18"/>
        <v>ATV</v>
      </c>
      <c r="I139" s="25" t="s">
        <v>405</v>
      </c>
      <c r="J139" s="32" t="s">
        <v>405</v>
      </c>
      <c r="K139" s="25" t="str">
        <f t="shared" si="19"/>
        <v>Ryder</v>
      </c>
      <c r="L139" s="25" t="s">
        <v>700</v>
      </c>
      <c r="M139" s="25"/>
      <c r="N139" s="25"/>
      <c r="O139" s="26" t="s">
        <v>1920</v>
      </c>
      <c r="P139" s="25" t="s">
        <v>965</v>
      </c>
      <c r="Q139" s="25" t="s">
        <v>10</v>
      </c>
      <c r="R139" s="27" t="s">
        <v>69</v>
      </c>
      <c r="S139" s="27" t="s">
        <v>993</v>
      </c>
      <c r="T139" s="27" t="s">
        <v>949</v>
      </c>
      <c r="U139" s="27" t="s">
        <v>949</v>
      </c>
      <c r="V139" s="27" t="s">
        <v>949</v>
      </c>
      <c r="W139" s="27" t="str">
        <f t="shared" si="20"/>
        <v>2.1. Short term Alliance (no exclusivity / previous experience)</v>
      </c>
      <c r="X139" s="8"/>
      <c r="Y139" s="8" t="s">
        <v>964</v>
      </c>
      <c r="Z139" s="25" t="s">
        <v>8</v>
      </c>
      <c r="AA139" s="8" t="s">
        <v>1218</v>
      </c>
      <c r="AB139" s="25"/>
      <c r="AC139" s="25"/>
      <c r="AD139" s="25"/>
      <c r="AE139" s="25"/>
      <c r="AF139" s="40" t="s">
        <v>210</v>
      </c>
      <c r="AH139" s="6" t="str">
        <f t="shared" si="21"/>
        <v>TuSimple-Trucking</v>
      </c>
    </row>
    <row r="140" spans="1:34" ht="15" customHeight="1" x14ac:dyDescent="0.35">
      <c r="A140" s="25" t="s">
        <v>1563</v>
      </c>
      <c r="B140" s="25" t="s">
        <v>1149</v>
      </c>
      <c r="C140" s="65">
        <f t="shared" si="16"/>
        <v>44649</v>
      </c>
      <c r="D140" s="25" t="s">
        <v>214</v>
      </c>
      <c r="E140" s="25" t="s">
        <v>420</v>
      </c>
      <c r="F140" s="25" t="s">
        <v>286</v>
      </c>
      <c r="G140" s="25" t="str">
        <f t="shared" si="17"/>
        <v>TuSimple-ATV</v>
      </c>
      <c r="H140" s="25" t="str">
        <f t="shared" si="18"/>
        <v>ATV</v>
      </c>
      <c r="I140" s="25" t="s">
        <v>405</v>
      </c>
      <c r="J140" s="32" t="s">
        <v>405</v>
      </c>
      <c r="K140" s="25" t="str">
        <f t="shared" si="19"/>
        <v>Loadsmith</v>
      </c>
      <c r="L140" s="25" t="s">
        <v>697</v>
      </c>
      <c r="M140" s="25"/>
      <c r="N140" s="25"/>
      <c r="O140" s="26" t="s">
        <v>1921</v>
      </c>
      <c r="P140" s="25" t="s">
        <v>215</v>
      </c>
      <c r="Q140" s="25" t="s">
        <v>10</v>
      </c>
      <c r="R140" s="27" t="s">
        <v>69</v>
      </c>
      <c r="S140" s="27" t="s">
        <v>993</v>
      </c>
      <c r="T140" s="27" t="s">
        <v>949</v>
      </c>
      <c r="U140" s="27" t="s">
        <v>949</v>
      </c>
      <c r="V140" s="27" t="s">
        <v>949</v>
      </c>
      <c r="W140" s="27" t="str">
        <f t="shared" si="20"/>
        <v>2.1. Short term Alliance (no exclusivity / previous experience)</v>
      </c>
      <c r="X140" s="12"/>
      <c r="Y140" s="12" t="s">
        <v>215</v>
      </c>
      <c r="Z140" s="28" t="s">
        <v>24</v>
      </c>
      <c r="AA140" s="12" t="s">
        <v>215</v>
      </c>
      <c r="AB140" s="28"/>
      <c r="AC140" s="28"/>
      <c r="AD140" s="28"/>
      <c r="AE140" s="28"/>
      <c r="AF140" s="40" t="s">
        <v>214</v>
      </c>
      <c r="AH140" s="6" t="str">
        <f t="shared" si="21"/>
        <v>TuSimple-Trucking</v>
      </c>
    </row>
    <row r="141" spans="1:34" ht="15" customHeight="1" x14ac:dyDescent="0.35">
      <c r="A141" s="25" t="s">
        <v>1562</v>
      </c>
      <c r="B141" s="25" t="s">
        <v>1148</v>
      </c>
      <c r="C141" s="65">
        <f t="shared" si="16"/>
        <v>44761</v>
      </c>
      <c r="D141" s="25" t="s">
        <v>212</v>
      </c>
      <c r="E141" s="25" t="s">
        <v>420</v>
      </c>
      <c r="F141" s="25" t="s">
        <v>286</v>
      </c>
      <c r="G141" s="25" t="str">
        <f t="shared" si="17"/>
        <v>TuSimple-ATV</v>
      </c>
      <c r="H141" s="25" t="str">
        <f t="shared" si="18"/>
        <v>ATV</v>
      </c>
      <c r="I141" s="25" t="s">
        <v>405</v>
      </c>
      <c r="J141" s="32" t="s">
        <v>405</v>
      </c>
      <c r="K141" s="25" t="str">
        <f t="shared" si="19"/>
        <v>Hegelmann Group</v>
      </c>
      <c r="L141" s="25" t="s">
        <v>692</v>
      </c>
      <c r="M141" s="25"/>
      <c r="N141" s="25"/>
      <c r="O141" s="26" t="s">
        <v>1922</v>
      </c>
      <c r="P141" s="25" t="s">
        <v>1923</v>
      </c>
      <c r="Q141" s="25" t="s">
        <v>10</v>
      </c>
      <c r="R141" s="27" t="s">
        <v>69</v>
      </c>
      <c r="S141" s="27" t="s">
        <v>993</v>
      </c>
      <c r="T141" s="27" t="s">
        <v>949</v>
      </c>
      <c r="U141" s="27" t="s">
        <v>949</v>
      </c>
      <c r="V141" s="27" t="s">
        <v>949</v>
      </c>
      <c r="W141" s="27" t="str">
        <f t="shared" si="20"/>
        <v>2.1. Short term Alliance (no exclusivity / previous experience)</v>
      </c>
      <c r="X141" s="12"/>
      <c r="Y141" s="12" t="s">
        <v>213</v>
      </c>
      <c r="Z141" s="28" t="s">
        <v>24</v>
      </c>
      <c r="AA141" s="12" t="s">
        <v>213</v>
      </c>
      <c r="AB141" s="28"/>
      <c r="AC141" s="28"/>
      <c r="AD141" s="28"/>
      <c r="AE141" s="28"/>
      <c r="AF141" s="40" t="s">
        <v>212</v>
      </c>
      <c r="AH141" s="6" t="str">
        <f t="shared" si="21"/>
        <v>TuSimple-Trucking</v>
      </c>
    </row>
    <row r="142" spans="1:34" ht="15" customHeight="1" x14ac:dyDescent="0.35">
      <c r="A142" s="25" t="s">
        <v>1555</v>
      </c>
      <c r="B142" s="25" t="s">
        <v>1091</v>
      </c>
      <c r="C142" s="65">
        <f t="shared" si="16"/>
        <v>44212</v>
      </c>
      <c r="D142" s="25" t="s">
        <v>201</v>
      </c>
      <c r="E142" s="25" t="s">
        <v>420</v>
      </c>
      <c r="F142" s="25" t="s">
        <v>286</v>
      </c>
      <c r="G142" s="25" t="str">
        <f t="shared" si="17"/>
        <v>TuSimple-ATV</v>
      </c>
      <c r="H142" s="25" t="str">
        <f t="shared" si="18"/>
        <v>ATV</v>
      </c>
      <c r="I142" s="25" t="s">
        <v>405</v>
      </c>
      <c r="J142" s="32" t="s">
        <v>405</v>
      </c>
      <c r="K142" s="25" t="str">
        <f t="shared" si="19"/>
        <v>DHL</v>
      </c>
      <c r="L142" s="25" t="s">
        <v>686</v>
      </c>
      <c r="M142" s="25"/>
      <c r="N142" s="25"/>
      <c r="O142" s="26" t="s">
        <v>1924</v>
      </c>
      <c r="P142" s="25" t="s">
        <v>962</v>
      </c>
      <c r="Q142" s="25" t="s">
        <v>10</v>
      </c>
      <c r="R142" s="27" t="s">
        <v>69</v>
      </c>
      <c r="S142" s="27" t="s">
        <v>993</v>
      </c>
      <c r="T142" s="27" t="s">
        <v>949</v>
      </c>
      <c r="U142" s="27" t="s">
        <v>53</v>
      </c>
      <c r="V142" s="27" t="s">
        <v>949</v>
      </c>
      <c r="W142" s="27" t="str">
        <f t="shared" si="20"/>
        <v xml:space="preserve">2.2. Renewed Alliance </v>
      </c>
      <c r="X142" s="8"/>
      <c r="Y142" s="8" t="s">
        <v>202</v>
      </c>
      <c r="Z142" s="25" t="s">
        <v>24</v>
      </c>
      <c r="AA142" s="8" t="s">
        <v>202</v>
      </c>
      <c r="AB142" s="25"/>
      <c r="AC142" s="25"/>
      <c r="AD142" s="25"/>
      <c r="AE142" s="25"/>
      <c r="AF142" s="40" t="s">
        <v>201</v>
      </c>
      <c r="AH142" s="6" t="str">
        <f t="shared" si="21"/>
        <v>TuSimple-Trucking</v>
      </c>
    </row>
    <row r="143" spans="1:34" ht="15" customHeight="1" x14ac:dyDescent="0.35">
      <c r="A143" s="25" t="s">
        <v>1564</v>
      </c>
      <c r="B143" s="25" t="s">
        <v>1150</v>
      </c>
      <c r="C143" s="65">
        <f t="shared" si="16"/>
        <v>43339</v>
      </c>
      <c r="D143" s="25" t="s">
        <v>216</v>
      </c>
      <c r="E143" s="25" t="s">
        <v>318</v>
      </c>
      <c r="F143" s="25" t="s">
        <v>320</v>
      </c>
      <c r="G143" s="25" t="str">
        <f t="shared" si="17"/>
        <v>Uber-SAV</v>
      </c>
      <c r="H143" s="25" t="str">
        <f t="shared" si="18"/>
        <v>SAV</v>
      </c>
      <c r="I143" s="25" t="s">
        <v>341</v>
      </c>
      <c r="J143" s="32" t="s">
        <v>341</v>
      </c>
      <c r="K143" s="25" t="str">
        <f t="shared" si="19"/>
        <v>Toyota</v>
      </c>
      <c r="L143" s="25" t="s">
        <v>774</v>
      </c>
      <c r="M143" s="25"/>
      <c r="N143" s="25"/>
      <c r="O143" s="26" t="s">
        <v>1756</v>
      </c>
      <c r="P143" s="25" t="s">
        <v>967</v>
      </c>
      <c r="Q143" s="25" t="s">
        <v>10</v>
      </c>
      <c r="R143" s="27" t="s">
        <v>69</v>
      </c>
      <c r="S143" s="27" t="s">
        <v>980</v>
      </c>
      <c r="T143" s="27" t="s">
        <v>949</v>
      </c>
      <c r="U143" s="27" t="s">
        <v>53</v>
      </c>
      <c r="V143" s="27" t="s">
        <v>949</v>
      </c>
      <c r="W143" s="27" t="str">
        <f t="shared" si="20"/>
        <v xml:space="preserve">2.2. Renewed Alliance </v>
      </c>
      <c r="X143" s="12"/>
      <c r="Y143" s="12" t="s">
        <v>1323</v>
      </c>
      <c r="Z143" s="28" t="s">
        <v>1201</v>
      </c>
      <c r="AA143" s="12" t="s">
        <v>1323</v>
      </c>
      <c r="AB143" s="28"/>
      <c r="AC143" s="28"/>
      <c r="AD143" s="28"/>
      <c r="AE143" s="28"/>
      <c r="AF143" s="40" t="s">
        <v>216</v>
      </c>
      <c r="AH143" s="6" t="str">
        <f t="shared" si="21"/>
        <v>Uber-Ridehailing</v>
      </c>
    </row>
    <row r="144" spans="1:34" ht="15" customHeight="1" x14ac:dyDescent="0.35">
      <c r="A144" s="25" t="s">
        <v>1566</v>
      </c>
      <c r="B144" s="25" t="s">
        <v>1152</v>
      </c>
      <c r="C144" s="65">
        <f t="shared" si="16"/>
        <v>44575</v>
      </c>
      <c r="D144" s="25" t="s">
        <v>218</v>
      </c>
      <c r="E144" s="25" t="s">
        <v>424</v>
      </c>
      <c r="F144" s="25" t="s">
        <v>320</v>
      </c>
      <c r="G144" s="25" t="str">
        <f t="shared" si="17"/>
        <v>Uber Freight-ATV</v>
      </c>
      <c r="H144" s="25" t="str">
        <f t="shared" si="18"/>
        <v>ATV</v>
      </c>
      <c r="I144" s="25" t="s">
        <v>405</v>
      </c>
      <c r="J144" s="32" t="s">
        <v>405</v>
      </c>
      <c r="K144" s="25" t="str">
        <f t="shared" si="19"/>
        <v>Volvo Autonomous Solutions</v>
      </c>
      <c r="L144" s="25" t="s">
        <v>1977</v>
      </c>
      <c r="M144" s="25"/>
      <c r="N144" s="25"/>
      <c r="O144" s="26" t="s">
        <v>1748</v>
      </c>
      <c r="P144" s="25" t="s">
        <v>1282</v>
      </c>
      <c r="Q144" s="25" t="s">
        <v>10</v>
      </c>
      <c r="R144" s="27" t="s">
        <v>69</v>
      </c>
      <c r="S144" s="27" t="s">
        <v>1002</v>
      </c>
      <c r="T144" s="27" t="s">
        <v>949</v>
      </c>
      <c r="U144" s="27" t="s">
        <v>949</v>
      </c>
      <c r="V144" s="27" t="s">
        <v>949</v>
      </c>
      <c r="W144" s="27" t="str">
        <f t="shared" si="20"/>
        <v>2.1. Short term Alliance (no exclusivity / previous experience)</v>
      </c>
      <c r="X144" s="12"/>
      <c r="Y144" s="12" t="s">
        <v>1749</v>
      </c>
      <c r="Z144" s="28" t="s">
        <v>24</v>
      </c>
      <c r="AA144" s="12" t="s">
        <v>1749</v>
      </c>
      <c r="AB144" s="28"/>
      <c r="AC144" s="28"/>
      <c r="AD144" s="28"/>
      <c r="AE144" s="28"/>
      <c r="AF144" s="40" t="s">
        <v>218</v>
      </c>
      <c r="AH144" s="6" t="str">
        <f t="shared" si="21"/>
        <v>Uber Freight-Trucking</v>
      </c>
    </row>
    <row r="145" spans="1:34" ht="15" customHeight="1" x14ac:dyDescent="0.35">
      <c r="A145" s="25" t="s">
        <v>1565</v>
      </c>
      <c r="B145" s="25" t="s">
        <v>1151</v>
      </c>
      <c r="C145" s="65">
        <f t="shared" si="16"/>
        <v>44719</v>
      </c>
      <c r="D145" s="25" t="s">
        <v>217</v>
      </c>
      <c r="E145" s="25" t="s">
        <v>424</v>
      </c>
      <c r="F145" s="25" t="s">
        <v>320</v>
      </c>
      <c r="G145" s="25" t="str">
        <f t="shared" si="17"/>
        <v>Uber Freight-ATV</v>
      </c>
      <c r="H145" s="25" t="str">
        <f t="shared" si="18"/>
        <v>ATV</v>
      </c>
      <c r="I145" s="25" t="s">
        <v>405</v>
      </c>
      <c r="J145" s="32" t="s">
        <v>405</v>
      </c>
      <c r="K145" s="25" t="str">
        <f t="shared" si="19"/>
        <v>Waymo</v>
      </c>
      <c r="L145" s="279" t="s">
        <v>367</v>
      </c>
      <c r="M145" s="25"/>
      <c r="N145" s="25"/>
      <c r="O145" s="26" t="s">
        <v>1752</v>
      </c>
      <c r="P145" s="32" t="s">
        <v>968</v>
      </c>
      <c r="Q145" s="25" t="s">
        <v>10</v>
      </c>
      <c r="R145" s="27" t="s">
        <v>69</v>
      </c>
      <c r="S145" s="27" t="s">
        <v>1002</v>
      </c>
      <c r="T145" s="27" t="s">
        <v>1184</v>
      </c>
      <c r="U145" s="27" t="s">
        <v>949</v>
      </c>
      <c r="V145" s="27" t="s">
        <v>949</v>
      </c>
      <c r="W145" s="27" t="str">
        <f t="shared" si="20"/>
        <v>2.3. Long term Alliance</v>
      </c>
      <c r="X145" s="12"/>
      <c r="Y145" s="12" t="s">
        <v>1310</v>
      </c>
      <c r="Z145" s="140" t="s">
        <v>8</v>
      </c>
      <c r="AA145" s="12" t="s">
        <v>2137</v>
      </c>
      <c r="AB145" s="28"/>
      <c r="AC145" s="28"/>
      <c r="AD145" s="28"/>
      <c r="AE145" s="28"/>
      <c r="AF145" s="40" t="s">
        <v>217</v>
      </c>
      <c r="AH145" s="6" t="str">
        <f t="shared" si="21"/>
        <v>Uber Freight-Trucking</v>
      </c>
    </row>
    <row r="146" spans="1:34" ht="15" customHeight="1" x14ac:dyDescent="0.35">
      <c r="A146" s="25" t="s">
        <v>1567</v>
      </c>
      <c r="B146" s="25" t="s">
        <v>1141</v>
      </c>
      <c r="C146" s="65">
        <f t="shared" si="16"/>
        <v>43473</v>
      </c>
      <c r="D146" s="25" t="s">
        <v>219</v>
      </c>
      <c r="E146" s="25" t="s">
        <v>1936</v>
      </c>
      <c r="F146" s="25" t="s">
        <v>309</v>
      </c>
      <c r="G146" s="25" t="str">
        <f t="shared" si="17"/>
        <v>Udelv-ATV</v>
      </c>
      <c r="H146" s="25" t="str">
        <f t="shared" si="18"/>
        <v>ATV</v>
      </c>
      <c r="I146" s="25" t="s">
        <v>273</v>
      </c>
      <c r="J146" s="32" t="s">
        <v>273</v>
      </c>
      <c r="K146" s="25" t="str">
        <f t="shared" si="19"/>
        <v>Walmart</v>
      </c>
      <c r="L146" s="25" t="s">
        <v>840</v>
      </c>
      <c r="M146" s="25"/>
      <c r="N146" s="25"/>
      <c r="O146" s="26" t="s">
        <v>1654</v>
      </c>
      <c r="P146" s="25" t="s">
        <v>969</v>
      </c>
      <c r="Q146" s="25" t="s">
        <v>10</v>
      </c>
      <c r="R146" s="27" t="s">
        <v>69</v>
      </c>
      <c r="S146" s="27" t="s">
        <v>1022</v>
      </c>
      <c r="T146" s="27" t="s">
        <v>949</v>
      </c>
      <c r="U146" s="27" t="s">
        <v>949</v>
      </c>
      <c r="V146" s="27" t="s">
        <v>949</v>
      </c>
      <c r="W146" s="27" t="str">
        <f t="shared" si="20"/>
        <v>2.1. Short term Alliance (no exclusivity / previous experience)</v>
      </c>
      <c r="X146" s="12"/>
      <c r="Y146" s="12" t="s">
        <v>1233</v>
      </c>
      <c r="Z146" s="29" t="s">
        <v>8</v>
      </c>
      <c r="AA146" s="12" t="s">
        <v>1233</v>
      </c>
      <c r="AB146" s="29"/>
      <c r="AC146" s="29"/>
      <c r="AD146" s="29"/>
      <c r="AE146" s="29"/>
      <c r="AF146" s="40" t="s">
        <v>1844</v>
      </c>
      <c r="AG146" s="40" t="s">
        <v>1845</v>
      </c>
      <c r="AH146" s="6" t="str">
        <f t="shared" si="21"/>
        <v>Udelv-Last-Mile</v>
      </c>
    </row>
    <row r="147" spans="1:34" ht="15" customHeight="1" x14ac:dyDescent="0.35">
      <c r="A147" s="25" t="s">
        <v>1568</v>
      </c>
      <c r="B147" s="25" t="s">
        <v>1153</v>
      </c>
      <c r="C147" s="65">
        <f t="shared" si="16"/>
        <v>43129</v>
      </c>
      <c r="D147" s="25" t="s">
        <v>220</v>
      </c>
      <c r="E147" s="25" t="s">
        <v>1936</v>
      </c>
      <c r="F147" s="25" t="s">
        <v>309</v>
      </c>
      <c r="G147" s="25" t="str">
        <f t="shared" si="17"/>
        <v>Udelv-ATV</v>
      </c>
      <c r="H147" s="25" t="str">
        <f t="shared" si="18"/>
        <v>ATV</v>
      </c>
      <c r="I147" s="25" t="s">
        <v>273</v>
      </c>
      <c r="J147" s="32" t="s">
        <v>273</v>
      </c>
      <c r="K147" s="25" t="str">
        <f t="shared" si="19"/>
        <v>Farmstead</v>
      </c>
      <c r="L147" s="25" t="s">
        <v>448</v>
      </c>
      <c r="M147" s="25"/>
      <c r="N147" s="25"/>
      <c r="O147" s="26" t="s">
        <v>1739</v>
      </c>
      <c r="P147" s="25" t="s">
        <v>1236</v>
      </c>
      <c r="Q147" s="25" t="s">
        <v>10</v>
      </c>
      <c r="R147" s="27" t="s">
        <v>69</v>
      </c>
      <c r="S147" s="27" t="s">
        <v>1022</v>
      </c>
      <c r="T147" s="27" t="s">
        <v>949</v>
      </c>
      <c r="U147" s="27" t="s">
        <v>949</v>
      </c>
      <c r="V147" s="27" t="s">
        <v>949</v>
      </c>
      <c r="W147" s="27" t="str">
        <f t="shared" si="20"/>
        <v>2.1. Short term Alliance (no exclusivity / previous experience)</v>
      </c>
      <c r="X147" s="12"/>
      <c r="Y147" s="12" t="s">
        <v>1236</v>
      </c>
      <c r="Z147" s="28" t="s">
        <v>8</v>
      </c>
      <c r="AA147" s="12" t="s">
        <v>1236</v>
      </c>
      <c r="AB147" s="28"/>
      <c r="AC147" s="28"/>
      <c r="AD147" s="28"/>
      <c r="AE147" s="28"/>
      <c r="AF147" s="40" t="s">
        <v>1850</v>
      </c>
      <c r="AG147" s="40" t="s">
        <v>1851</v>
      </c>
      <c r="AH147" s="6" t="str">
        <f t="shared" si="21"/>
        <v>Udelv-Last-Mile</v>
      </c>
    </row>
    <row r="148" spans="1:34" ht="15" customHeight="1" x14ac:dyDescent="0.35">
      <c r="A148" s="25" t="s">
        <v>1569</v>
      </c>
      <c r="B148" s="25" t="s">
        <v>1154</v>
      </c>
      <c r="C148" s="65">
        <f t="shared" si="16"/>
        <v>43656</v>
      </c>
      <c r="D148" s="25" t="s">
        <v>221</v>
      </c>
      <c r="E148" s="25" t="s">
        <v>1936</v>
      </c>
      <c r="F148" s="25" t="s">
        <v>309</v>
      </c>
      <c r="G148" s="25" t="str">
        <f t="shared" si="17"/>
        <v>Udelv-ATV</v>
      </c>
      <c r="H148" s="25" t="str">
        <f t="shared" si="18"/>
        <v>ATV</v>
      </c>
      <c r="I148" s="25" t="s">
        <v>273</v>
      </c>
      <c r="J148" s="32" t="s">
        <v>273</v>
      </c>
      <c r="K148" s="25" t="str">
        <f t="shared" si="19"/>
        <v>H-E-B</v>
      </c>
      <c r="L148" s="25" t="s">
        <v>825</v>
      </c>
      <c r="M148" s="25"/>
      <c r="N148" s="25"/>
      <c r="O148" s="26" t="s">
        <v>1660</v>
      </c>
      <c r="P148" s="32" t="s">
        <v>1247</v>
      </c>
      <c r="Q148" s="25" t="s">
        <v>10</v>
      </c>
      <c r="R148" s="27" t="s">
        <v>69</v>
      </c>
      <c r="S148" s="27" t="s">
        <v>1022</v>
      </c>
      <c r="T148" s="27" t="s">
        <v>949</v>
      </c>
      <c r="U148" s="27" t="s">
        <v>949</v>
      </c>
      <c r="V148" s="27" t="s">
        <v>949</v>
      </c>
      <c r="W148" s="27" t="str">
        <f t="shared" si="20"/>
        <v>2.1. Short term Alliance (no exclusivity / previous experience)</v>
      </c>
      <c r="X148" s="8"/>
      <c r="Y148" s="8" t="s">
        <v>1246</v>
      </c>
      <c r="Z148" s="25" t="s">
        <v>8</v>
      </c>
      <c r="AA148" s="8" t="s">
        <v>1246</v>
      </c>
      <c r="AB148" s="25"/>
      <c r="AC148" s="25"/>
      <c r="AD148" s="25"/>
      <c r="AE148" s="25"/>
      <c r="AF148" s="40" t="s">
        <v>1870</v>
      </c>
      <c r="AG148" s="40" t="s">
        <v>1871</v>
      </c>
      <c r="AH148" s="6" t="str">
        <f t="shared" si="21"/>
        <v>Udelv-Last-Mile</v>
      </c>
    </row>
    <row r="149" spans="1:34" ht="15" customHeight="1" x14ac:dyDescent="0.35">
      <c r="A149" s="25" t="s">
        <v>1570</v>
      </c>
      <c r="B149" s="25" t="s">
        <v>1122</v>
      </c>
      <c r="C149" s="65">
        <f t="shared" si="16"/>
        <v>44298</v>
      </c>
      <c r="D149" s="25" t="s">
        <v>1345</v>
      </c>
      <c r="E149" s="25" t="s">
        <v>1936</v>
      </c>
      <c r="F149" s="25" t="s">
        <v>309</v>
      </c>
      <c r="G149" s="25" t="str">
        <f t="shared" si="17"/>
        <v>Udelv-ATV</v>
      </c>
      <c r="H149" s="25" t="str">
        <f t="shared" si="18"/>
        <v>ATV</v>
      </c>
      <c r="I149" s="25" t="s">
        <v>273</v>
      </c>
      <c r="J149" s="32" t="s">
        <v>273</v>
      </c>
      <c r="K149" s="25" t="str">
        <f t="shared" si="19"/>
        <v>Mobileye</v>
      </c>
      <c r="L149" s="25" t="s">
        <v>354</v>
      </c>
      <c r="M149" s="25"/>
      <c r="N149" s="25"/>
      <c r="O149" s="26" t="s">
        <v>1390</v>
      </c>
      <c r="P149" s="25" t="s">
        <v>970</v>
      </c>
      <c r="Q149" s="25" t="s">
        <v>10</v>
      </c>
      <c r="R149" s="27" t="s">
        <v>69</v>
      </c>
      <c r="S149" s="27" t="s">
        <v>980</v>
      </c>
      <c r="T149" s="27" t="s">
        <v>1173</v>
      </c>
      <c r="U149" s="27" t="s">
        <v>949</v>
      </c>
      <c r="V149" s="27" t="s">
        <v>949</v>
      </c>
      <c r="W149" s="27" t="str">
        <f t="shared" si="20"/>
        <v>2.3. Long term Alliance</v>
      </c>
      <c r="X149" s="8"/>
      <c r="Y149" s="8" t="s">
        <v>1391</v>
      </c>
      <c r="Z149" s="25" t="s">
        <v>15</v>
      </c>
      <c r="AA149" s="8" t="s">
        <v>1391</v>
      </c>
      <c r="AB149" s="25"/>
      <c r="AC149" s="25"/>
      <c r="AD149" s="25"/>
      <c r="AE149" s="25"/>
      <c r="AF149" s="40" t="s">
        <v>1345</v>
      </c>
      <c r="AH149" s="6" t="str">
        <f t="shared" si="21"/>
        <v>Udelv-Last-Mile</v>
      </c>
    </row>
    <row r="150" spans="1:34" ht="15" customHeight="1" x14ac:dyDescent="0.35">
      <c r="A150" s="25" t="s">
        <v>1572</v>
      </c>
      <c r="B150" s="25" t="s">
        <v>1156</v>
      </c>
      <c r="C150" s="65">
        <f t="shared" si="16"/>
        <v>44928</v>
      </c>
      <c r="D150" s="25" t="s">
        <v>223</v>
      </c>
      <c r="E150" s="25" t="s">
        <v>428</v>
      </c>
      <c r="F150" s="25" t="s">
        <v>286</v>
      </c>
      <c r="G150" s="25" t="str">
        <f t="shared" si="17"/>
        <v>Waabi-ATV</v>
      </c>
      <c r="H150" s="25" t="str">
        <f t="shared" si="18"/>
        <v>ATV</v>
      </c>
      <c r="I150" s="25" t="s">
        <v>405</v>
      </c>
      <c r="J150" s="32" t="s">
        <v>405</v>
      </c>
      <c r="K150" s="25" t="str">
        <f t="shared" si="19"/>
        <v>MIT Center for Transportation &amp; Logistics</v>
      </c>
      <c r="L150" s="25" t="s">
        <v>467</v>
      </c>
      <c r="M150" s="25"/>
      <c r="N150" s="25"/>
      <c r="O150" s="26" t="s">
        <v>2126</v>
      </c>
      <c r="P150" s="25" t="s">
        <v>1264</v>
      </c>
      <c r="Q150" s="25" t="s">
        <v>10</v>
      </c>
      <c r="R150" s="27" t="s">
        <v>69</v>
      </c>
      <c r="S150" s="27" t="s">
        <v>977</v>
      </c>
      <c r="T150" s="27" t="s">
        <v>949</v>
      </c>
      <c r="U150" s="27" t="s">
        <v>949</v>
      </c>
      <c r="V150" s="27" t="s">
        <v>949</v>
      </c>
      <c r="W150" s="27" t="str">
        <f t="shared" si="20"/>
        <v>2.1. Short term Alliance (no exclusivity / previous experience)</v>
      </c>
      <c r="X150" s="8"/>
      <c r="Y150" s="8" t="s">
        <v>1265</v>
      </c>
      <c r="Z150" s="25" t="s">
        <v>38</v>
      </c>
      <c r="AA150" s="8" t="s">
        <v>1265</v>
      </c>
      <c r="AB150" s="25"/>
      <c r="AC150" s="25"/>
      <c r="AD150" s="25"/>
      <c r="AE150" s="25"/>
      <c r="AF150" s="40" t="s">
        <v>223</v>
      </c>
      <c r="AH150" s="6" t="str">
        <f t="shared" si="21"/>
        <v>Waabi-Trucking</v>
      </c>
    </row>
    <row r="151" spans="1:34" ht="15" customHeight="1" x14ac:dyDescent="0.35">
      <c r="A151" s="25" t="s">
        <v>1571</v>
      </c>
      <c r="B151" s="25" t="s">
        <v>1155</v>
      </c>
      <c r="C151" s="65">
        <f t="shared" si="16"/>
        <v>45190</v>
      </c>
      <c r="D151" s="25" t="s">
        <v>222</v>
      </c>
      <c r="E151" s="25" t="s">
        <v>428</v>
      </c>
      <c r="F151" s="25" t="s">
        <v>286</v>
      </c>
      <c r="G151" s="25" t="str">
        <f t="shared" si="17"/>
        <v>Waabi-ATV</v>
      </c>
      <c r="H151" s="25" t="str">
        <f t="shared" si="18"/>
        <v>ATV</v>
      </c>
      <c r="I151" s="25" t="s">
        <v>405</v>
      </c>
      <c r="J151" s="32" t="s">
        <v>405</v>
      </c>
      <c r="K151" s="25" t="str">
        <f t="shared" si="19"/>
        <v>Uber Freight</v>
      </c>
      <c r="L151" s="279" t="s">
        <v>424</v>
      </c>
      <c r="M151" s="25"/>
      <c r="N151" s="25"/>
      <c r="O151" s="26" t="s">
        <v>1753</v>
      </c>
      <c r="P151" s="32" t="s">
        <v>2138</v>
      </c>
      <c r="Q151" s="25" t="s">
        <v>10</v>
      </c>
      <c r="R151" s="27" t="s">
        <v>69</v>
      </c>
      <c r="S151" s="27" t="s">
        <v>993</v>
      </c>
      <c r="T151" s="27" t="s">
        <v>1174</v>
      </c>
      <c r="U151" s="27" t="s">
        <v>53</v>
      </c>
      <c r="V151" s="27" t="s">
        <v>949</v>
      </c>
      <c r="W151" s="27" t="str">
        <f t="shared" si="20"/>
        <v>2.3. Long term Alliance</v>
      </c>
      <c r="X151" s="8"/>
      <c r="Y151" s="8" t="s">
        <v>1755</v>
      </c>
      <c r="Z151" s="25" t="s">
        <v>8</v>
      </c>
      <c r="AA151" s="8" t="s">
        <v>1755</v>
      </c>
      <c r="AB151" s="25"/>
      <c r="AC151" s="25"/>
      <c r="AD151" s="25"/>
      <c r="AE151" s="25"/>
      <c r="AF151" s="40" t="s">
        <v>222</v>
      </c>
      <c r="AH151" s="6" t="str">
        <f t="shared" si="21"/>
        <v>Waabi-Trucking</v>
      </c>
    </row>
    <row r="152" spans="1:34" ht="15" customHeight="1" x14ac:dyDescent="0.35">
      <c r="A152" s="25" t="s">
        <v>1579</v>
      </c>
      <c r="B152" s="25" t="s">
        <v>1163</v>
      </c>
      <c r="C152" s="65">
        <f t="shared" si="16"/>
        <v>44034</v>
      </c>
      <c r="D152" s="25" t="s">
        <v>232</v>
      </c>
      <c r="E152" s="25" t="s">
        <v>367</v>
      </c>
      <c r="F152" s="25" t="s">
        <v>286</v>
      </c>
      <c r="G152" s="25" t="str">
        <f t="shared" si="17"/>
        <v>Waymo-SAV</v>
      </c>
      <c r="H152" s="25" t="str">
        <f t="shared" si="18"/>
        <v>SAV</v>
      </c>
      <c r="I152" s="25" t="s">
        <v>341</v>
      </c>
      <c r="J152" s="32" t="s">
        <v>341</v>
      </c>
      <c r="K152" s="25" t="str">
        <f t="shared" si="19"/>
        <v>Fiat Chrysler Automobiles</v>
      </c>
      <c r="L152" s="25" t="s">
        <v>745</v>
      </c>
      <c r="M152" s="25"/>
      <c r="N152" s="25"/>
      <c r="O152" s="26" t="s">
        <v>1646</v>
      </c>
      <c r="P152" s="32" t="s">
        <v>1330</v>
      </c>
      <c r="Q152" s="25" t="s">
        <v>10</v>
      </c>
      <c r="R152" s="27" t="s">
        <v>69</v>
      </c>
      <c r="S152" s="27" t="s">
        <v>980</v>
      </c>
      <c r="T152" s="27" t="s">
        <v>949</v>
      </c>
      <c r="U152" s="27" t="s">
        <v>53</v>
      </c>
      <c r="V152" s="27" t="s">
        <v>53</v>
      </c>
      <c r="W152" s="27" t="str">
        <f t="shared" si="20"/>
        <v>2.4. Exclusive Alliance</v>
      </c>
      <c r="X152" s="29"/>
      <c r="Y152" s="8" t="s">
        <v>1331</v>
      </c>
      <c r="Z152" s="25" t="s">
        <v>15</v>
      </c>
      <c r="AA152" s="8" t="s">
        <v>1613</v>
      </c>
      <c r="AB152" s="28" t="s">
        <v>38</v>
      </c>
      <c r="AC152" s="28" t="s">
        <v>1612</v>
      </c>
      <c r="AD152" s="25"/>
      <c r="AE152" s="25"/>
      <c r="AF152" s="40" t="s">
        <v>1787</v>
      </c>
      <c r="AG152" s="40" t="s">
        <v>1788</v>
      </c>
      <c r="AH152" s="6" t="str">
        <f t="shared" si="21"/>
        <v>Waymo-Ridehailing</v>
      </c>
    </row>
    <row r="153" spans="1:34" ht="15" customHeight="1" x14ac:dyDescent="0.35">
      <c r="A153" s="25" t="s">
        <v>1573</v>
      </c>
      <c r="B153" s="25" t="s">
        <v>1157</v>
      </c>
      <c r="C153" s="65">
        <f t="shared" si="16"/>
        <v>44078</v>
      </c>
      <c r="D153" s="25" t="s">
        <v>224</v>
      </c>
      <c r="E153" s="25" t="s">
        <v>367</v>
      </c>
      <c r="F153" s="25" t="s">
        <v>286</v>
      </c>
      <c r="G153" s="25" t="str">
        <f t="shared" si="17"/>
        <v>Waymo-Other</v>
      </c>
      <c r="H153" s="25" t="str">
        <f t="shared" si="18"/>
        <v>Other</v>
      </c>
      <c r="I153" s="25" t="s">
        <v>341</v>
      </c>
      <c r="J153" s="32" t="s">
        <v>1200</v>
      </c>
      <c r="K153" s="25" t="str">
        <f t="shared" si="19"/>
        <v>Verily</v>
      </c>
      <c r="L153" s="25" t="s">
        <v>638</v>
      </c>
      <c r="M153" s="25"/>
      <c r="N153" s="25"/>
      <c r="O153" s="26" t="s">
        <v>1375</v>
      </c>
      <c r="P153" s="25" t="s">
        <v>1227</v>
      </c>
      <c r="Q153" s="25" t="s">
        <v>40</v>
      </c>
      <c r="R153" s="27" t="s">
        <v>69</v>
      </c>
      <c r="S153" s="27" t="s">
        <v>1021</v>
      </c>
      <c r="T153" s="27" t="s">
        <v>949</v>
      </c>
      <c r="U153" s="27" t="s">
        <v>949</v>
      </c>
      <c r="V153" s="27" t="s">
        <v>949</v>
      </c>
      <c r="W153" s="27" t="str">
        <f t="shared" si="20"/>
        <v>1. Informal Agreement</v>
      </c>
      <c r="X153" s="8"/>
      <c r="Y153" s="8" t="s">
        <v>1228</v>
      </c>
      <c r="Z153" s="25" t="s">
        <v>41</v>
      </c>
      <c r="AA153" s="8" t="s">
        <v>1228</v>
      </c>
      <c r="AB153" s="25"/>
      <c r="AC153" s="25"/>
      <c r="AD153" s="25"/>
      <c r="AE153" s="25"/>
      <c r="AF153" s="40" t="s">
        <v>1825</v>
      </c>
      <c r="AG153" s="40" t="s">
        <v>1826</v>
      </c>
      <c r="AH153" s="6" t="str">
        <f t="shared" si="21"/>
        <v>Waymo-Other</v>
      </c>
    </row>
    <row r="154" spans="1:34" ht="15" customHeight="1" x14ac:dyDescent="0.35">
      <c r="A154" s="25" t="s">
        <v>1580</v>
      </c>
      <c r="B154" s="25" t="s">
        <v>1134</v>
      </c>
      <c r="C154" s="65">
        <f t="shared" si="16"/>
        <v>44830</v>
      </c>
      <c r="D154" s="25" t="s">
        <v>1414</v>
      </c>
      <c r="E154" s="25" t="s">
        <v>367</v>
      </c>
      <c r="F154" s="25" t="s">
        <v>286</v>
      </c>
      <c r="G154" s="25" t="str">
        <f t="shared" si="17"/>
        <v>Waymo-Other</v>
      </c>
      <c r="H154" s="25" t="str">
        <f t="shared" si="18"/>
        <v>Other</v>
      </c>
      <c r="I154" s="25" t="s">
        <v>341</v>
      </c>
      <c r="J154" s="32" t="s">
        <v>1200</v>
      </c>
      <c r="K154" s="25" t="str">
        <f t="shared" si="19"/>
        <v>Swiss Re</v>
      </c>
      <c r="L154" s="25" t="s">
        <v>668</v>
      </c>
      <c r="M154" s="25"/>
      <c r="N154" s="25"/>
      <c r="O154" s="26" t="s">
        <v>1376</v>
      </c>
      <c r="P154" s="25" t="s">
        <v>1231</v>
      </c>
      <c r="Q154" s="25" t="s">
        <v>10</v>
      </c>
      <c r="R154" s="27" t="s">
        <v>69</v>
      </c>
      <c r="S154" s="27" t="s">
        <v>1025</v>
      </c>
      <c r="T154" s="27" t="s">
        <v>949</v>
      </c>
      <c r="U154" s="27" t="s">
        <v>949</v>
      </c>
      <c r="V154" s="27" t="s">
        <v>949</v>
      </c>
      <c r="W154" s="27" t="str">
        <f t="shared" si="20"/>
        <v>2.1. Short term Alliance (no exclusivity / previous experience)</v>
      </c>
      <c r="X154" s="7"/>
      <c r="Y154" s="7" t="s">
        <v>233</v>
      </c>
      <c r="Z154" s="25" t="s">
        <v>38</v>
      </c>
      <c r="AA154" s="7" t="s">
        <v>233</v>
      </c>
      <c r="AB154" s="25"/>
      <c r="AC154" s="25"/>
      <c r="AD154" s="25"/>
      <c r="AE154" s="25"/>
      <c r="AF154" s="40" t="s">
        <v>1833</v>
      </c>
      <c r="AG154" s="40" t="s">
        <v>1834</v>
      </c>
      <c r="AH154" s="6" t="str">
        <f t="shared" si="21"/>
        <v>Waymo-Other</v>
      </c>
    </row>
    <row r="155" spans="1:34" ht="15" customHeight="1" x14ac:dyDescent="0.35">
      <c r="A155" s="25" t="s">
        <v>1578</v>
      </c>
      <c r="B155" s="25" t="s">
        <v>1162</v>
      </c>
      <c r="C155" s="65">
        <f t="shared" si="16"/>
        <v>43537</v>
      </c>
      <c r="D155" s="25" t="s">
        <v>230</v>
      </c>
      <c r="E155" s="25" t="s">
        <v>367</v>
      </c>
      <c r="F155" s="25" t="s">
        <v>286</v>
      </c>
      <c r="G155" s="25" t="str">
        <f t="shared" si="17"/>
        <v>Waymo-Other</v>
      </c>
      <c r="H155" s="25" t="str">
        <f t="shared" si="18"/>
        <v>Other</v>
      </c>
      <c r="I155" s="25" t="s">
        <v>341</v>
      </c>
      <c r="J155" s="32" t="s">
        <v>1200</v>
      </c>
      <c r="K155" s="25" t="str">
        <f t="shared" si="19"/>
        <v>AAA Northern California, Nevada &amp; Utah</v>
      </c>
      <c r="L155" s="25" t="s">
        <v>1988</v>
      </c>
      <c r="M155" s="25"/>
      <c r="N155" s="25"/>
      <c r="O155" s="26" t="s">
        <v>1281</v>
      </c>
      <c r="P155" s="25" t="s">
        <v>1024</v>
      </c>
      <c r="Q155" s="25" t="s">
        <v>10</v>
      </c>
      <c r="R155" s="27" t="s">
        <v>69</v>
      </c>
      <c r="S155" s="27" t="s">
        <v>977</v>
      </c>
      <c r="T155" s="27" t="s">
        <v>949</v>
      </c>
      <c r="U155" s="27" t="s">
        <v>949</v>
      </c>
      <c r="V155" s="27" t="s">
        <v>949</v>
      </c>
      <c r="W155" s="27" t="str">
        <f t="shared" si="20"/>
        <v>2.1. Short term Alliance (no exclusivity / previous experience)</v>
      </c>
      <c r="X155" s="8"/>
      <c r="Y155" s="8" t="s">
        <v>231</v>
      </c>
      <c r="Z155" s="25" t="s">
        <v>1200</v>
      </c>
      <c r="AA155" s="8" t="s">
        <v>231</v>
      </c>
      <c r="AB155" s="25"/>
      <c r="AC155" s="25"/>
      <c r="AD155" s="25"/>
      <c r="AE155" s="25"/>
      <c r="AF155" s="40" t="s">
        <v>1839</v>
      </c>
      <c r="AG155" s="40" t="s">
        <v>1840</v>
      </c>
      <c r="AH155" s="6" t="str">
        <f t="shared" si="21"/>
        <v>Waymo-Other</v>
      </c>
    </row>
    <row r="156" spans="1:34" ht="15" customHeight="1" x14ac:dyDescent="0.35">
      <c r="A156" s="25" t="s">
        <v>1581</v>
      </c>
      <c r="B156" s="25" t="s">
        <v>1164</v>
      </c>
      <c r="C156" s="65">
        <f t="shared" si="16"/>
        <v>42913</v>
      </c>
      <c r="D156" s="25" t="s">
        <v>234</v>
      </c>
      <c r="E156" s="25" t="s">
        <v>367</v>
      </c>
      <c r="F156" s="25" t="s">
        <v>286</v>
      </c>
      <c r="G156" s="25" t="str">
        <f t="shared" si="17"/>
        <v>Waymo-SAV</v>
      </c>
      <c r="H156" s="25" t="str">
        <f t="shared" si="18"/>
        <v>SAV</v>
      </c>
      <c r="I156" s="25" t="s">
        <v>341</v>
      </c>
      <c r="J156" s="32" t="s">
        <v>341</v>
      </c>
      <c r="K156" s="25" t="str">
        <f t="shared" si="19"/>
        <v>Avis</v>
      </c>
      <c r="L156" s="25" t="s">
        <v>819</v>
      </c>
      <c r="M156" s="25"/>
      <c r="N156" s="25"/>
      <c r="O156" s="26" t="s">
        <v>1744</v>
      </c>
      <c r="P156" s="25" t="s">
        <v>1261</v>
      </c>
      <c r="Q156" s="32" t="s">
        <v>10</v>
      </c>
      <c r="R156" s="27" t="s">
        <v>69</v>
      </c>
      <c r="S156" s="27" t="s">
        <v>1004</v>
      </c>
      <c r="T156" s="27" t="s">
        <v>949</v>
      </c>
      <c r="U156" s="27" t="s">
        <v>949</v>
      </c>
      <c r="V156" s="27" t="s">
        <v>949</v>
      </c>
      <c r="W156" s="27" t="str">
        <f t="shared" si="20"/>
        <v>2.1. Short term Alliance (no exclusivity / previous experience)</v>
      </c>
      <c r="X156" s="8"/>
      <c r="Y156" s="8" t="s">
        <v>1261</v>
      </c>
      <c r="Z156" s="25" t="s">
        <v>8</v>
      </c>
      <c r="AA156" s="8" t="s">
        <v>1261</v>
      </c>
      <c r="AB156" s="25"/>
      <c r="AC156" s="25"/>
      <c r="AD156" s="25"/>
      <c r="AE156" s="25"/>
      <c r="AF156" s="40" t="s">
        <v>234</v>
      </c>
      <c r="AH156" s="6" t="str">
        <f t="shared" si="21"/>
        <v>Waymo-Ridehailing</v>
      </c>
    </row>
    <row r="157" spans="1:34" ht="15" customHeight="1" x14ac:dyDescent="0.35">
      <c r="A157" s="25" t="s">
        <v>1576</v>
      </c>
      <c r="B157" s="25" t="s">
        <v>1160</v>
      </c>
      <c r="C157" s="65">
        <f t="shared" si="16"/>
        <v>43312</v>
      </c>
      <c r="D157" s="25" t="s">
        <v>227</v>
      </c>
      <c r="E157" s="25" t="s">
        <v>367</v>
      </c>
      <c r="F157" s="25" t="s">
        <v>286</v>
      </c>
      <c r="G157" s="25" t="str">
        <f t="shared" si="17"/>
        <v>Waymo-SAV</v>
      </c>
      <c r="H157" s="25" t="str">
        <f t="shared" si="18"/>
        <v>SAV</v>
      </c>
      <c r="I157" s="25" t="s">
        <v>341</v>
      </c>
      <c r="J157" s="32" t="s">
        <v>341</v>
      </c>
      <c r="K157" s="25" t="str">
        <f t="shared" si="19"/>
        <v>Valley Metro</v>
      </c>
      <c r="L157" s="25" t="s">
        <v>898</v>
      </c>
      <c r="M157" s="25"/>
      <c r="N157" s="25"/>
      <c r="O157" s="26" t="s">
        <v>1750</v>
      </c>
      <c r="P157" s="32" t="s">
        <v>1023</v>
      </c>
      <c r="Q157" s="25" t="s">
        <v>10</v>
      </c>
      <c r="R157" s="27" t="s">
        <v>69</v>
      </c>
      <c r="S157" s="27" t="s">
        <v>1008</v>
      </c>
      <c r="T157" s="27" t="s">
        <v>949</v>
      </c>
      <c r="U157" s="27" t="s">
        <v>949</v>
      </c>
      <c r="V157" s="27" t="s">
        <v>949</v>
      </c>
      <c r="W157" s="27" t="str">
        <f t="shared" si="20"/>
        <v>2.1. Short term Alliance (no exclusivity / previous experience)</v>
      </c>
      <c r="X157" s="8"/>
      <c r="Y157" s="8" t="s">
        <v>1287</v>
      </c>
      <c r="Z157" s="25" t="s">
        <v>38</v>
      </c>
      <c r="AA157" s="8" t="s">
        <v>1286</v>
      </c>
      <c r="AB157" s="25"/>
      <c r="AC157" s="25"/>
      <c r="AD157" s="25"/>
      <c r="AE157" s="25"/>
      <c r="AF157" s="40" t="s">
        <v>227</v>
      </c>
      <c r="AH157" s="6" t="str">
        <f t="shared" si="21"/>
        <v>Waymo-Ridehailing</v>
      </c>
    </row>
    <row r="158" spans="1:34" ht="15" customHeight="1" x14ac:dyDescent="0.35">
      <c r="A158" s="25" t="s">
        <v>1574</v>
      </c>
      <c r="B158" s="25" t="s">
        <v>1158</v>
      </c>
      <c r="C158" s="65">
        <f t="shared" si="16"/>
        <v>43592</v>
      </c>
      <c r="D158" s="25" t="s">
        <v>225</v>
      </c>
      <c r="E158" s="25" t="s">
        <v>367</v>
      </c>
      <c r="F158" s="25" t="s">
        <v>286</v>
      </c>
      <c r="G158" s="25" t="str">
        <f t="shared" si="17"/>
        <v>Waymo-SAV</v>
      </c>
      <c r="H158" s="25" t="str">
        <f t="shared" si="18"/>
        <v>SAV</v>
      </c>
      <c r="I158" s="25" t="s">
        <v>341</v>
      </c>
      <c r="J158" s="32" t="s">
        <v>341</v>
      </c>
      <c r="K158" s="25" t="str">
        <f t="shared" si="19"/>
        <v>Lyft</v>
      </c>
      <c r="L158" s="279" t="s">
        <v>736</v>
      </c>
      <c r="M158" s="25"/>
      <c r="N158" s="25"/>
      <c r="O158" s="26" t="s">
        <v>1407</v>
      </c>
      <c r="P158" s="32" t="s">
        <v>1289</v>
      </c>
      <c r="Q158" s="25" t="s">
        <v>10</v>
      </c>
      <c r="R158" s="27" t="s">
        <v>69</v>
      </c>
      <c r="S158" s="27" t="s">
        <v>1002</v>
      </c>
      <c r="T158" s="31" t="s">
        <v>1198</v>
      </c>
      <c r="U158" s="27" t="s">
        <v>949</v>
      </c>
      <c r="V158" s="27" t="s">
        <v>949</v>
      </c>
      <c r="W158" s="27" t="str">
        <f t="shared" si="20"/>
        <v>2.1. Short term Alliance (no exclusivity / previous experience)</v>
      </c>
      <c r="X158" s="8"/>
      <c r="Y158" s="8" t="s">
        <v>1290</v>
      </c>
      <c r="Z158" s="25" t="s">
        <v>24</v>
      </c>
      <c r="AA158" s="8" t="s">
        <v>1290</v>
      </c>
      <c r="AB158" s="25"/>
      <c r="AC158" s="25"/>
      <c r="AD158" s="25"/>
      <c r="AE158" s="25"/>
      <c r="AF158" s="40" t="s">
        <v>225</v>
      </c>
      <c r="AH158" s="6" t="str">
        <f t="shared" si="21"/>
        <v>Waymo-Ridehailing</v>
      </c>
    </row>
    <row r="159" spans="1:34" ht="15" customHeight="1" x14ac:dyDescent="0.35">
      <c r="A159" s="25" t="s">
        <v>1575</v>
      </c>
      <c r="B159" s="25" t="s">
        <v>1159</v>
      </c>
      <c r="C159" s="65">
        <f t="shared" si="16"/>
        <v>43635</v>
      </c>
      <c r="D159" s="25" t="s">
        <v>226</v>
      </c>
      <c r="E159" s="25" t="s">
        <v>367</v>
      </c>
      <c r="F159" s="25" t="s">
        <v>286</v>
      </c>
      <c r="G159" s="25" t="str">
        <f t="shared" si="17"/>
        <v>Waymo-SAV</v>
      </c>
      <c r="H159" s="25" t="str">
        <f t="shared" si="18"/>
        <v>SAV</v>
      </c>
      <c r="I159" s="25" t="s">
        <v>1945</v>
      </c>
      <c r="J159" s="32" t="s">
        <v>341</v>
      </c>
      <c r="K159" s="25" t="str">
        <f t="shared" si="19"/>
        <v>Alliance Ventures (Renault, Nissan, Mitsubishi)</v>
      </c>
      <c r="L159" s="25" t="s">
        <v>472</v>
      </c>
      <c r="M159" s="25"/>
      <c r="N159" s="25"/>
      <c r="O159" s="26" t="s">
        <v>1693</v>
      </c>
      <c r="P159" s="25" t="s">
        <v>1334</v>
      </c>
      <c r="Q159" s="25" t="s">
        <v>10</v>
      </c>
      <c r="R159" s="27" t="s">
        <v>69</v>
      </c>
      <c r="S159" s="27" t="s">
        <v>1008</v>
      </c>
      <c r="T159" s="27" t="s">
        <v>949</v>
      </c>
      <c r="U159" s="27" t="s">
        <v>949</v>
      </c>
      <c r="V159" s="27" t="s">
        <v>53</v>
      </c>
      <c r="W159" s="27" t="str">
        <f t="shared" si="20"/>
        <v>2.4. Exclusive Alliance</v>
      </c>
      <c r="X159" s="8"/>
      <c r="Y159" s="8" t="s">
        <v>2139</v>
      </c>
      <c r="Z159" s="25" t="s">
        <v>38</v>
      </c>
      <c r="AA159" s="8" t="s">
        <v>1335</v>
      </c>
      <c r="AB159" s="25"/>
      <c r="AC159" s="25"/>
      <c r="AD159" s="25"/>
      <c r="AE159" s="25"/>
      <c r="AF159" s="40" t="s">
        <v>226</v>
      </c>
      <c r="AH159" s="6" t="str">
        <f t="shared" si="21"/>
        <v>Waymo-Ridehailing</v>
      </c>
    </row>
    <row r="160" spans="1:34" ht="15" customHeight="1" x14ac:dyDescent="0.35">
      <c r="A160" s="25" t="s">
        <v>1577</v>
      </c>
      <c r="B160" s="25" t="s">
        <v>1161</v>
      </c>
      <c r="C160" s="65">
        <f t="shared" si="16"/>
        <v>44007</v>
      </c>
      <c r="D160" s="25" t="s">
        <v>228</v>
      </c>
      <c r="E160" s="25" t="s">
        <v>367</v>
      </c>
      <c r="F160" s="25" t="s">
        <v>286</v>
      </c>
      <c r="G160" s="25" t="str">
        <f t="shared" si="17"/>
        <v>Waymo-SAV</v>
      </c>
      <c r="H160" s="25" t="str">
        <f t="shared" si="18"/>
        <v>SAV</v>
      </c>
      <c r="I160" s="25" t="s">
        <v>341</v>
      </c>
      <c r="J160" s="32" t="s">
        <v>341</v>
      </c>
      <c r="K160" s="25" t="str">
        <f t="shared" si="19"/>
        <v>Volvo Car Group</v>
      </c>
      <c r="L160" s="25" t="s">
        <v>1978</v>
      </c>
      <c r="M160" s="25"/>
      <c r="N160" s="25"/>
      <c r="O160" s="26" t="s">
        <v>1362</v>
      </c>
      <c r="P160" s="32" t="s">
        <v>1351</v>
      </c>
      <c r="Q160" s="25" t="s">
        <v>10</v>
      </c>
      <c r="R160" s="27" t="s">
        <v>69</v>
      </c>
      <c r="S160" s="27" t="s">
        <v>980</v>
      </c>
      <c r="T160" s="27" t="s">
        <v>949</v>
      </c>
      <c r="U160" s="27" t="s">
        <v>949</v>
      </c>
      <c r="V160" s="27" t="s">
        <v>53</v>
      </c>
      <c r="W160" s="27" t="str">
        <f t="shared" si="20"/>
        <v>2.4. Exclusive Alliance</v>
      </c>
      <c r="X160" s="8"/>
      <c r="Y160" s="8" t="s">
        <v>229</v>
      </c>
      <c r="Z160" s="25" t="s">
        <v>15</v>
      </c>
      <c r="AA160" s="8" t="s">
        <v>229</v>
      </c>
      <c r="AB160" s="25"/>
      <c r="AC160" s="25"/>
      <c r="AD160" s="25"/>
      <c r="AE160" s="25"/>
      <c r="AF160" s="40" t="s">
        <v>228</v>
      </c>
      <c r="AH160" s="6" t="str">
        <f t="shared" si="21"/>
        <v>Waymo-Ridehailing</v>
      </c>
    </row>
    <row r="161" spans="1:34" ht="15" customHeight="1" x14ac:dyDescent="0.35">
      <c r="A161" s="25" t="s">
        <v>1583</v>
      </c>
      <c r="B161" s="25" t="s">
        <v>1166</v>
      </c>
      <c r="C161" s="65">
        <f t="shared" ref="C161:C175" si="22">DATE(LEFT(B161,4),MID(B161,7,1),RIGHT(B161,LEN(B161)-SEARCH(",",B161,6)))</f>
        <v>44460</v>
      </c>
      <c r="D161" s="25" t="s">
        <v>237</v>
      </c>
      <c r="E161" s="25" t="s">
        <v>312</v>
      </c>
      <c r="F161" s="25" t="s">
        <v>286</v>
      </c>
      <c r="G161" s="25" t="str">
        <f t="shared" ref="G161:G179" si="23">E161&amp;"-"&amp;H161</f>
        <v>Wayve-ATV</v>
      </c>
      <c r="H161" s="25" t="str">
        <f t="shared" si="18"/>
        <v>ATV</v>
      </c>
      <c r="I161" s="25" t="s">
        <v>273</v>
      </c>
      <c r="J161" s="32" t="s">
        <v>273</v>
      </c>
      <c r="K161" s="25" t="str">
        <f t="shared" si="19"/>
        <v>Asda</v>
      </c>
      <c r="L161" s="25" t="s">
        <v>823</v>
      </c>
      <c r="M161" s="25"/>
      <c r="N161" s="25"/>
      <c r="O161" s="26" t="s">
        <v>1640</v>
      </c>
      <c r="P161" s="25" t="s">
        <v>238</v>
      </c>
      <c r="Q161" s="25" t="s">
        <v>10</v>
      </c>
      <c r="R161" s="27" t="s">
        <v>69</v>
      </c>
      <c r="S161" s="27" t="s">
        <v>1008</v>
      </c>
      <c r="T161" s="27" t="s">
        <v>1202</v>
      </c>
      <c r="U161" s="27" t="s">
        <v>949</v>
      </c>
      <c r="V161" s="27" t="s">
        <v>949</v>
      </c>
      <c r="W161" s="27" t="str">
        <f t="shared" si="20"/>
        <v>2.3. Long term Alliance</v>
      </c>
      <c r="X161" s="29"/>
      <c r="Y161" s="8" t="s">
        <v>238</v>
      </c>
      <c r="Z161" s="25" t="s">
        <v>38</v>
      </c>
      <c r="AA161" s="8" t="s">
        <v>238</v>
      </c>
      <c r="AB161" s="28" t="s">
        <v>8</v>
      </c>
      <c r="AC161" s="28" t="s">
        <v>238</v>
      </c>
      <c r="AD161" s="25"/>
      <c r="AE161" s="25"/>
      <c r="AF161" s="40" t="s">
        <v>1767</v>
      </c>
      <c r="AG161" s="40" t="s">
        <v>1768</v>
      </c>
      <c r="AH161" s="6" t="str">
        <f t="shared" si="21"/>
        <v>Wayve-Last-Mile</v>
      </c>
    </row>
    <row r="162" spans="1:34" ht="15" customHeight="1" x14ac:dyDescent="0.35">
      <c r="A162" s="25" t="s">
        <v>1582</v>
      </c>
      <c r="B162" s="25" t="s">
        <v>1165</v>
      </c>
      <c r="C162" s="65">
        <f t="shared" si="22"/>
        <v>44202</v>
      </c>
      <c r="D162" s="25" t="s">
        <v>235</v>
      </c>
      <c r="E162" s="25" t="s">
        <v>312</v>
      </c>
      <c r="F162" s="25" t="s">
        <v>286</v>
      </c>
      <c r="G162" s="25" t="str">
        <f t="shared" si="23"/>
        <v>Wayve-ATV</v>
      </c>
      <c r="H162" s="25" t="str">
        <f t="shared" si="18"/>
        <v>ATV</v>
      </c>
      <c r="I162" s="25" t="s">
        <v>273</v>
      </c>
      <c r="J162" s="32" t="s">
        <v>273</v>
      </c>
      <c r="K162" s="25" t="str">
        <f t="shared" si="19"/>
        <v>Ocado Group</v>
      </c>
      <c r="L162" s="25" t="s">
        <v>837</v>
      </c>
      <c r="M162" s="25"/>
      <c r="N162" s="25"/>
      <c r="O162" s="26" t="s">
        <v>2127</v>
      </c>
      <c r="P162" s="25" t="s">
        <v>971</v>
      </c>
      <c r="Q162" s="25" t="s">
        <v>10</v>
      </c>
      <c r="R162" s="27" t="s">
        <v>69</v>
      </c>
      <c r="S162" s="27" t="s">
        <v>1025</v>
      </c>
      <c r="T162" s="27" t="s">
        <v>949</v>
      </c>
      <c r="U162" s="27" t="s">
        <v>949</v>
      </c>
      <c r="V162" s="27" t="s">
        <v>949</v>
      </c>
      <c r="W162" s="27" t="str">
        <f t="shared" si="20"/>
        <v>2.1. Short term Alliance (no exclusivity / previous experience)</v>
      </c>
      <c r="X162" s="29"/>
      <c r="Y162" s="8" t="s">
        <v>236</v>
      </c>
      <c r="Z162" s="25" t="s">
        <v>8</v>
      </c>
      <c r="AA162" s="8" t="s">
        <v>1627</v>
      </c>
      <c r="AB162" s="28" t="s">
        <v>38</v>
      </c>
      <c r="AC162" s="28" t="s">
        <v>1626</v>
      </c>
      <c r="AD162" s="25"/>
      <c r="AE162" s="25"/>
      <c r="AF162" s="40" t="s">
        <v>1801</v>
      </c>
      <c r="AG162" s="40" t="s">
        <v>1802</v>
      </c>
      <c r="AH162" s="6" t="str">
        <f t="shared" si="21"/>
        <v>Wayve-Last-Mile</v>
      </c>
    </row>
    <row r="163" spans="1:34" ht="15" customHeight="1" x14ac:dyDescent="0.35">
      <c r="A163" s="25" t="s">
        <v>1584</v>
      </c>
      <c r="B163" s="25" t="s">
        <v>1167</v>
      </c>
      <c r="C163" s="65">
        <f t="shared" si="22"/>
        <v>44575</v>
      </c>
      <c r="D163" s="25" t="s">
        <v>239</v>
      </c>
      <c r="E163" s="25" t="s">
        <v>1932</v>
      </c>
      <c r="F163" s="25" t="s">
        <v>309</v>
      </c>
      <c r="G163" s="25" t="str">
        <f t="shared" si="23"/>
        <v>ZF-Other</v>
      </c>
      <c r="H163" s="25" t="str">
        <f t="shared" si="18"/>
        <v>Other</v>
      </c>
      <c r="I163" s="25" t="s">
        <v>372</v>
      </c>
      <c r="J163" s="32" t="s">
        <v>1200</v>
      </c>
      <c r="K163" s="25" t="str">
        <f t="shared" si="19"/>
        <v>NIO</v>
      </c>
      <c r="L163" s="25" t="s">
        <v>758</v>
      </c>
      <c r="M163" s="25"/>
      <c r="N163" s="25"/>
      <c r="O163" s="26" t="s">
        <v>1386</v>
      </c>
      <c r="P163" s="32" t="s">
        <v>972</v>
      </c>
      <c r="Q163" s="25" t="s">
        <v>10</v>
      </c>
      <c r="R163" s="27" t="s">
        <v>53</v>
      </c>
      <c r="S163" s="27" t="s">
        <v>980</v>
      </c>
      <c r="T163" s="27" t="s">
        <v>949</v>
      </c>
      <c r="U163" s="27" t="s">
        <v>949</v>
      </c>
      <c r="V163" s="27" t="s">
        <v>949</v>
      </c>
      <c r="W163" s="27" t="str">
        <f t="shared" si="20"/>
        <v>2.1. Short term Alliance (no exclusivity / previous experience)</v>
      </c>
      <c r="X163" s="29"/>
      <c r="Y163" s="8" t="s">
        <v>1598</v>
      </c>
      <c r="Z163" s="25" t="s">
        <v>41</v>
      </c>
      <c r="AA163" s="8" t="s">
        <v>1598</v>
      </c>
      <c r="AB163" s="28" t="s">
        <v>1201</v>
      </c>
      <c r="AC163" s="28" t="s">
        <v>1599</v>
      </c>
      <c r="AD163" s="25"/>
      <c r="AE163" s="25"/>
      <c r="AF163" s="40" t="s">
        <v>1765</v>
      </c>
      <c r="AG163" s="40" t="s">
        <v>1766</v>
      </c>
      <c r="AH163" s="6" t="str">
        <f t="shared" si="21"/>
        <v>ZF-Other</v>
      </c>
    </row>
    <row r="164" spans="1:34" ht="15" customHeight="1" x14ac:dyDescent="0.35">
      <c r="A164" s="25" t="s">
        <v>1585</v>
      </c>
      <c r="B164" s="25" t="s">
        <v>1168</v>
      </c>
      <c r="C164" s="65">
        <f t="shared" si="22"/>
        <v>43880</v>
      </c>
      <c r="D164" s="25" t="s">
        <v>240</v>
      </c>
      <c r="E164" s="25" t="s">
        <v>1932</v>
      </c>
      <c r="F164" s="25" t="s">
        <v>309</v>
      </c>
      <c r="G164" s="25" t="str">
        <f t="shared" si="23"/>
        <v>ZF-SAV</v>
      </c>
      <c r="H164" s="25" t="str">
        <f t="shared" si="18"/>
        <v>SAV</v>
      </c>
      <c r="I164" s="25" t="s">
        <v>372</v>
      </c>
      <c r="J164" s="32" t="s">
        <v>372</v>
      </c>
      <c r="K164" s="25" t="str">
        <f t="shared" si="19"/>
        <v>Anheuser - Busch InBev;Bosch;Microsoft</v>
      </c>
      <c r="L164" s="25" t="s">
        <v>1979</v>
      </c>
      <c r="M164" s="25" t="s">
        <v>497</v>
      </c>
      <c r="N164" s="25" t="s">
        <v>872</v>
      </c>
      <c r="O164" s="26" t="s">
        <v>2140</v>
      </c>
      <c r="P164" s="25" t="s">
        <v>1382</v>
      </c>
      <c r="Q164" s="25" t="s">
        <v>10</v>
      </c>
      <c r="R164" s="27" t="s">
        <v>69</v>
      </c>
      <c r="S164" s="27" t="s">
        <v>977</v>
      </c>
      <c r="T164" s="27" t="s">
        <v>949</v>
      </c>
      <c r="U164" s="27" t="s">
        <v>949</v>
      </c>
      <c r="V164" s="27" t="s">
        <v>949</v>
      </c>
      <c r="W164" s="27" t="str">
        <f t="shared" si="20"/>
        <v>2.1. Short term Alliance (no exclusivity / previous experience)</v>
      </c>
      <c r="X164" s="8"/>
      <c r="Y164" s="8" t="s">
        <v>1382</v>
      </c>
      <c r="Z164" s="25" t="s">
        <v>38</v>
      </c>
      <c r="AA164" s="8" t="s">
        <v>1382</v>
      </c>
      <c r="AB164" s="25"/>
      <c r="AC164" s="25"/>
      <c r="AD164" s="25"/>
      <c r="AE164" s="25"/>
      <c r="AF164" s="40" t="s">
        <v>1888</v>
      </c>
      <c r="AG164" s="40" t="s">
        <v>1889</v>
      </c>
      <c r="AH164" s="6" t="str">
        <f t="shared" si="21"/>
        <v>ZF-Ridepooling</v>
      </c>
    </row>
    <row r="165" spans="1:34" ht="15" customHeight="1" x14ac:dyDescent="0.35">
      <c r="A165" s="25" t="s">
        <v>1586</v>
      </c>
      <c r="B165" s="25" t="s">
        <v>1169</v>
      </c>
      <c r="C165" s="65">
        <f t="shared" si="22"/>
        <v>44203</v>
      </c>
      <c r="D165" s="25" t="s">
        <v>241</v>
      </c>
      <c r="E165" s="25" t="s">
        <v>1932</v>
      </c>
      <c r="F165" s="25" t="s">
        <v>309</v>
      </c>
      <c r="G165" s="25" t="str">
        <f t="shared" si="23"/>
        <v>ZF-SAV</v>
      </c>
      <c r="H165" s="25" t="str">
        <f t="shared" si="18"/>
        <v>SAV</v>
      </c>
      <c r="I165" s="25" t="s">
        <v>372</v>
      </c>
      <c r="J165" s="32" t="s">
        <v>372</v>
      </c>
      <c r="K165" s="25" t="str">
        <f t="shared" si="19"/>
        <v>DB Regio</v>
      </c>
      <c r="L165" s="25" t="s">
        <v>907</v>
      </c>
      <c r="M165" s="25"/>
      <c r="N165" s="25"/>
      <c r="O165" s="26" t="s">
        <v>1714</v>
      </c>
      <c r="P165" s="25" t="s">
        <v>973</v>
      </c>
      <c r="Q165" s="25" t="s">
        <v>10</v>
      </c>
      <c r="R165" s="27" t="s">
        <v>53</v>
      </c>
      <c r="S165" s="27" t="s">
        <v>1004</v>
      </c>
      <c r="T165" s="27" t="s">
        <v>949</v>
      </c>
      <c r="U165" s="27" t="s">
        <v>949</v>
      </c>
      <c r="V165" s="27" t="s">
        <v>949</v>
      </c>
      <c r="W165" s="27" t="str">
        <f t="shared" si="20"/>
        <v>2.1. Short term Alliance (no exclusivity / previous experience)</v>
      </c>
      <c r="X165" s="8"/>
      <c r="Y165" s="8" t="s">
        <v>242</v>
      </c>
      <c r="Z165" s="25" t="s">
        <v>8</v>
      </c>
      <c r="AA165" s="8" t="s">
        <v>242</v>
      </c>
      <c r="AB165" s="25"/>
      <c r="AC165" s="25"/>
      <c r="AD165" s="25"/>
      <c r="AE165" s="25"/>
      <c r="AF165" s="40" t="s">
        <v>241</v>
      </c>
      <c r="AH165" s="6" t="str">
        <f t="shared" si="21"/>
        <v>ZF-Ridepooling</v>
      </c>
    </row>
    <row r="166" spans="1:34" ht="14.25" customHeight="1" x14ac:dyDescent="0.35">
      <c r="A166" s="27" t="s">
        <v>1437</v>
      </c>
      <c r="B166" s="27" t="s">
        <v>1041</v>
      </c>
      <c r="C166" s="65">
        <f t="shared" si="22"/>
        <v>44930</v>
      </c>
      <c r="D166" s="27" t="s">
        <v>33</v>
      </c>
      <c r="E166" s="46" t="s">
        <v>1932</v>
      </c>
      <c r="F166" s="27" t="s">
        <v>309</v>
      </c>
      <c r="G166" s="25" t="str">
        <f t="shared" si="23"/>
        <v>ZF-SAV</v>
      </c>
      <c r="H166" s="25" t="str">
        <f t="shared" si="18"/>
        <v>SAV</v>
      </c>
      <c r="I166" s="27" t="s">
        <v>372</v>
      </c>
      <c r="J166" s="47" t="s">
        <v>372</v>
      </c>
      <c r="K166" s="25" t="str">
        <f t="shared" si="19"/>
        <v>Beep</v>
      </c>
      <c r="L166" s="280" t="s">
        <v>379</v>
      </c>
      <c r="M166" s="25"/>
      <c r="N166" s="25"/>
      <c r="O166" s="26" t="s">
        <v>1389</v>
      </c>
      <c r="P166" s="32" t="s">
        <v>1294</v>
      </c>
      <c r="Q166" s="25" t="s">
        <v>10</v>
      </c>
      <c r="R166" s="27" t="s">
        <v>53</v>
      </c>
      <c r="S166" s="27" t="s">
        <v>978</v>
      </c>
      <c r="T166" s="27" t="s">
        <v>986</v>
      </c>
      <c r="U166" s="27" t="s">
        <v>949</v>
      </c>
      <c r="V166" s="27" t="s">
        <v>949</v>
      </c>
      <c r="W166" s="27" t="str">
        <f t="shared" si="20"/>
        <v>2.3. Long term Alliance</v>
      </c>
      <c r="X166" s="8"/>
      <c r="Y166" s="8" t="s">
        <v>1357</v>
      </c>
      <c r="Z166" s="26" t="s">
        <v>8</v>
      </c>
      <c r="AA166" s="8" t="s">
        <v>1357</v>
      </c>
      <c r="AB166" s="26"/>
      <c r="AC166" s="26"/>
      <c r="AD166" s="26"/>
      <c r="AE166" s="26"/>
      <c r="AF166" s="40" t="s">
        <v>33</v>
      </c>
      <c r="AH166" s="6" t="str">
        <f t="shared" si="21"/>
        <v>ZF-Ridepooling</v>
      </c>
    </row>
    <row r="167" spans="1:34" ht="14.25" customHeight="1" x14ac:dyDescent="0.35">
      <c r="A167" s="27" t="s">
        <v>1434</v>
      </c>
      <c r="B167" s="27" t="s">
        <v>1038</v>
      </c>
      <c r="C167" s="65">
        <f t="shared" si="22"/>
        <v>45162</v>
      </c>
      <c r="D167" s="27" t="s">
        <v>29</v>
      </c>
      <c r="E167" s="46" t="s">
        <v>364</v>
      </c>
      <c r="F167" s="27" t="s">
        <v>286</v>
      </c>
      <c r="G167" s="25" t="str">
        <f t="shared" si="23"/>
        <v>Oxa-SAV</v>
      </c>
      <c r="H167" s="25" t="str">
        <f t="shared" si="18"/>
        <v>SAV</v>
      </c>
      <c r="I167" s="27" t="s">
        <v>372</v>
      </c>
      <c r="J167" s="47" t="s">
        <v>372</v>
      </c>
      <c r="K167" s="25" t="str">
        <f t="shared" si="19"/>
        <v>Beep</v>
      </c>
      <c r="L167" s="280" t="s">
        <v>379</v>
      </c>
      <c r="M167" s="25"/>
      <c r="N167" s="25"/>
      <c r="O167" s="26" t="s">
        <v>1689</v>
      </c>
      <c r="P167" s="32" t="s">
        <v>1369</v>
      </c>
      <c r="Q167" s="25" t="s">
        <v>10</v>
      </c>
      <c r="R167" s="27" t="s">
        <v>69</v>
      </c>
      <c r="S167" s="27" t="s">
        <v>978</v>
      </c>
      <c r="T167" s="27" t="s">
        <v>985</v>
      </c>
      <c r="U167" s="27" t="s">
        <v>53</v>
      </c>
      <c r="V167" s="27" t="s">
        <v>949</v>
      </c>
      <c r="W167" s="27" t="str">
        <f t="shared" si="20"/>
        <v>2.3. Long term Alliance</v>
      </c>
      <c r="X167" s="7"/>
      <c r="Y167" s="7" t="s">
        <v>1315</v>
      </c>
      <c r="Z167" s="26" t="s">
        <v>8</v>
      </c>
      <c r="AA167" s="7" t="s">
        <v>1315</v>
      </c>
      <c r="AB167" s="26"/>
      <c r="AC167" s="26"/>
      <c r="AD167" s="26"/>
      <c r="AE167" s="26"/>
      <c r="AF167" s="40" t="s">
        <v>29</v>
      </c>
      <c r="AH167" s="6" t="str">
        <f t="shared" si="21"/>
        <v>Oxa-Ridepooling</v>
      </c>
    </row>
    <row r="168" spans="1:34" ht="14.25" customHeight="1" x14ac:dyDescent="0.35">
      <c r="A168" s="27" t="s">
        <v>1438</v>
      </c>
      <c r="B168" s="27" t="s">
        <v>1042</v>
      </c>
      <c r="C168" s="65">
        <f t="shared" si="22"/>
        <v>45098</v>
      </c>
      <c r="D168" s="27" t="s">
        <v>34</v>
      </c>
      <c r="E168" s="46" t="s">
        <v>674</v>
      </c>
      <c r="F168" s="27" t="s">
        <v>309</v>
      </c>
      <c r="G168" s="25" t="str">
        <f t="shared" si="23"/>
        <v>Starship Technologies-ATV</v>
      </c>
      <c r="H168" s="25" t="str">
        <f t="shared" si="18"/>
        <v>ATV</v>
      </c>
      <c r="I168" s="27" t="s">
        <v>273</v>
      </c>
      <c r="J168" s="47" t="s">
        <v>273</v>
      </c>
      <c r="K168" s="25" t="str">
        <f t="shared" si="19"/>
        <v>Bolt</v>
      </c>
      <c r="L168" s="280" t="s">
        <v>340</v>
      </c>
      <c r="M168" s="25"/>
      <c r="N168" s="25"/>
      <c r="O168" s="26" t="s">
        <v>1741</v>
      </c>
      <c r="P168" s="32" t="s">
        <v>1742</v>
      </c>
      <c r="Q168" s="25" t="s">
        <v>10</v>
      </c>
      <c r="R168" s="27" t="s">
        <v>69</v>
      </c>
      <c r="S168" s="27" t="s">
        <v>978</v>
      </c>
      <c r="T168" s="27" t="s">
        <v>949</v>
      </c>
      <c r="U168" s="27" t="s">
        <v>949</v>
      </c>
      <c r="V168" s="27" t="s">
        <v>949</v>
      </c>
      <c r="W168" s="27" t="str">
        <f t="shared" si="20"/>
        <v>2.1. Short term Alliance (no exclusivity / previous experience)</v>
      </c>
      <c r="X168" s="7"/>
      <c r="Y168" s="7" t="s">
        <v>1255</v>
      </c>
      <c r="Z168" s="26" t="s">
        <v>8</v>
      </c>
      <c r="AA168" s="7" t="s">
        <v>1255</v>
      </c>
      <c r="AB168" s="26"/>
      <c r="AC168" s="26"/>
      <c r="AD168" s="26"/>
      <c r="AE168" s="26"/>
      <c r="AF168" s="40" t="s">
        <v>1882</v>
      </c>
      <c r="AG168" s="40" t="s">
        <v>1883</v>
      </c>
      <c r="AH168" s="6" t="str">
        <f t="shared" si="21"/>
        <v>Starship Technologies-Last-Mile</v>
      </c>
    </row>
    <row r="169" spans="1:34" ht="14" customHeight="1" x14ac:dyDescent="0.35">
      <c r="A169" s="47" t="s">
        <v>372</v>
      </c>
      <c r="B169" s="27" t="s">
        <v>1087</v>
      </c>
      <c r="C169" s="65">
        <f t="shared" si="22"/>
        <v>43848</v>
      </c>
      <c r="D169" s="27" t="s">
        <v>98</v>
      </c>
      <c r="E169" s="46" t="s">
        <v>724</v>
      </c>
      <c r="F169" s="27" t="s">
        <v>331</v>
      </c>
      <c r="G169" s="25" t="str">
        <f t="shared" si="23"/>
        <v>Via-SAV</v>
      </c>
      <c r="H169" s="25" t="str">
        <f t="shared" si="18"/>
        <v>SAV</v>
      </c>
      <c r="I169" s="47" t="s">
        <v>372</v>
      </c>
      <c r="J169" s="47" t="s">
        <v>372</v>
      </c>
      <c r="K169" s="25" t="str">
        <f t="shared" si="19"/>
        <v>May Mobility</v>
      </c>
      <c r="L169" s="280" t="s">
        <v>386</v>
      </c>
      <c r="M169" s="25"/>
      <c r="N169" s="25"/>
      <c r="O169" s="26" t="s">
        <v>1682</v>
      </c>
      <c r="P169" s="26" t="s">
        <v>1302</v>
      </c>
      <c r="Q169" s="25" t="s">
        <v>10</v>
      </c>
      <c r="R169" s="27" t="s">
        <v>69</v>
      </c>
      <c r="S169" s="27" t="s">
        <v>978</v>
      </c>
      <c r="T169" s="27" t="s">
        <v>1196</v>
      </c>
      <c r="U169" s="27" t="s">
        <v>949</v>
      </c>
      <c r="V169" s="27" t="s">
        <v>949</v>
      </c>
      <c r="W169" s="27" t="str">
        <f t="shared" si="20"/>
        <v>2.3. Long term Alliance</v>
      </c>
      <c r="X169" s="8"/>
      <c r="Y169" s="8" t="s">
        <v>1304</v>
      </c>
      <c r="Z169" s="26" t="s">
        <v>8</v>
      </c>
      <c r="AA169" s="8" t="s">
        <v>1303</v>
      </c>
      <c r="AB169" s="26"/>
      <c r="AC169" s="26"/>
      <c r="AD169" s="26"/>
      <c r="AE169" s="26"/>
      <c r="AF169" s="40" t="s">
        <v>98</v>
      </c>
      <c r="AH169" s="6" t="str">
        <f t="shared" si="21"/>
        <v>Via-Ridepooling</v>
      </c>
    </row>
    <row r="170" spans="1:34" ht="14.25" customHeight="1" x14ac:dyDescent="0.35">
      <c r="A170" s="27" t="s">
        <v>1505</v>
      </c>
      <c r="B170" s="27" t="s">
        <v>1096</v>
      </c>
      <c r="C170" s="65">
        <f t="shared" si="22"/>
        <v>44826</v>
      </c>
      <c r="D170" s="27" t="s">
        <v>125</v>
      </c>
      <c r="E170" s="46" t="s">
        <v>1951</v>
      </c>
      <c r="F170" s="27" t="s">
        <v>309</v>
      </c>
      <c r="G170" s="25" t="str">
        <f t="shared" si="23"/>
        <v>Lohr-SAV</v>
      </c>
      <c r="H170" s="25" t="str">
        <f t="shared" si="18"/>
        <v>SAV</v>
      </c>
      <c r="I170" s="27" t="s">
        <v>372</v>
      </c>
      <c r="J170" s="47" t="s">
        <v>372</v>
      </c>
      <c r="K170" s="25" t="str">
        <f t="shared" si="19"/>
        <v>Navya</v>
      </c>
      <c r="L170" s="280" t="s">
        <v>1933</v>
      </c>
      <c r="M170" s="25"/>
      <c r="N170" s="25"/>
      <c r="O170" s="26" t="s">
        <v>1717</v>
      </c>
      <c r="P170" s="25" t="s">
        <v>126</v>
      </c>
      <c r="Q170" s="25" t="s">
        <v>10</v>
      </c>
      <c r="R170" s="27" t="s">
        <v>53</v>
      </c>
      <c r="S170" s="27" t="s">
        <v>980</v>
      </c>
      <c r="T170" s="27" t="s">
        <v>949</v>
      </c>
      <c r="U170" s="27" t="s">
        <v>949</v>
      </c>
      <c r="V170" s="27" t="s">
        <v>949</v>
      </c>
      <c r="W170" s="27" t="str">
        <f t="shared" si="20"/>
        <v>2.1. Short term Alliance (no exclusivity / previous experience)</v>
      </c>
      <c r="X170" s="8"/>
      <c r="Y170" s="8" t="s">
        <v>127</v>
      </c>
      <c r="Z170" s="26" t="s">
        <v>12</v>
      </c>
      <c r="AA170" s="8" t="s">
        <v>127</v>
      </c>
      <c r="AB170" s="26"/>
      <c r="AC170" s="26"/>
      <c r="AD170" s="26"/>
      <c r="AE170" s="26"/>
      <c r="AF170" s="40" t="s">
        <v>125</v>
      </c>
      <c r="AH170" s="6" t="str">
        <f t="shared" si="21"/>
        <v>Lohr-Ridepooling</v>
      </c>
    </row>
    <row r="171" spans="1:34" ht="14.25" customHeight="1" x14ac:dyDescent="0.35">
      <c r="A171" s="27" t="s">
        <v>1508</v>
      </c>
      <c r="B171" s="27" t="s">
        <v>1099</v>
      </c>
      <c r="C171" s="65">
        <f t="shared" si="22"/>
        <v>44812</v>
      </c>
      <c r="D171" s="27" t="s">
        <v>131</v>
      </c>
      <c r="E171" s="46" t="s">
        <v>580</v>
      </c>
      <c r="F171" s="27" t="s">
        <v>320</v>
      </c>
      <c r="G171" s="25" t="str">
        <f t="shared" si="23"/>
        <v>Uber Eats-ATV</v>
      </c>
      <c r="H171" s="25" t="str">
        <f t="shared" si="18"/>
        <v>ATV</v>
      </c>
      <c r="I171" s="27" t="s">
        <v>273</v>
      </c>
      <c r="J171" s="47" t="s">
        <v>273</v>
      </c>
      <c r="K171" s="25" t="str">
        <f t="shared" si="19"/>
        <v>Nuro</v>
      </c>
      <c r="L171" s="280" t="s">
        <v>300</v>
      </c>
      <c r="M171" s="25"/>
      <c r="N171" s="25"/>
      <c r="O171" s="26" t="s">
        <v>1751</v>
      </c>
      <c r="P171" s="26" t="s">
        <v>974</v>
      </c>
      <c r="Q171" s="25" t="s">
        <v>10</v>
      </c>
      <c r="R171" s="27" t="s">
        <v>69</v>
      </c>
      <c r="S171" s="27" t="s">
        <v>991</v>
      </c>
      <c r="T171" s="27" t="s">
        <v>994</v>
      </c>
      <c r="U171" s="27" t="s">
        <v>949</v>
      </c>
      <c r="V171" s="27" t="s">
        <v>949</v>
      </c>
      <c r="W171" s="27" t="str">
        <f t="shared" si="20"/>
        <v>2.3. Long term Alliance</v>
      </c>
      <c r="X171" s="8"/>
      <c r="Y171" s="8" t="s">
        <v>132</v>
      </c>
      <c r="Z171" s="26" t="s">
        <v>8</v>
      </c>
      <c r="AA171" s="8" t="s">
        <v>132</v>
      </c>
      <c r="AB171" s="26"/>
      <c r="AC171" s="26"/>
      <c r="AD171" s="26"/>
      <c r="AE171" s="26"/>
      <c r="AF171" s="40" t="s">
        <v>131</v>
      </c>
      <c r="AH171" s="6" t="str">
        <f t="shared" si="21"/>
        <v>Uber Eats-Last-Mile</v>
      </c>
    </row>
    <row r="172" spans="1:34" ht="14.25" customHeight="1" x14ac:dyDescent="0.35">
      <c r="A172" s="27" t="s">
        <v>1547</v>
      </c>
      <c r="B172" s="27" t="s">
        <v>1135</v>
      </c>
      <c r="C172" s="65">
        <f t="shared" si="22"/>
        <v>44204</v>
      </c>
      <c r="D172" s="27" t="s">
        <v>186</v>
      </c>
      <c r="E172" s="46" t="s">
        <v>580</v>
      </c>
      <c r="F172" s="27" t="s">
        <v>320</v>
      </c>
      <c r="G172" s="25" t="str">
        <f t="shared" si="23"/>
        <v>Uber Eats-ATV</v>
      </c>
      <c r="H172" s="25" t="str">
        <f t="shared" si="18"/>
        <v>ATV</v>
      </c>
      <c r="I172" s="27" t="s">
        <v>273</v>
      </c>
      <c r="J172" s="47" t="s">
        <v>273</v>
      </c>
      <c r="K172" s="25" t="str">
        <f t="shared" si="19"/>
        <v>ServeRobotics</v>
      </c>
      <c r="L172" s="280" t="s">
        <v>1935</v>
      </c>
      <c r="M172" s="25"/>
      <c r="N172" s="25"/>
      <c r="O172" s="26" t="s">
        <v>1669</v>
      </c>
      <c r="P172" s="32" t="s">
        <v>1747</v>
      </c>
      <c r="Q172" s="25" t="s">
        <v>10</v>
      </c>
      <c r="R172" s="27" t="s">
        <v>69</v>
      </c>
      <c r="S172" s="27" t="s">
        <v>993</v>
      </c>
      <c r="T172" s="27" t="s">
        <v>949</v>
      </c>
      <c r="U172" s="27" t="s">
        <v>949</v>
      </c>
      <c r="V172" s="27" t="s">
        <v>949</v>
      </c>
      <c r="W172" s="27" t="str">
        <f t="shared" si="20"/>
        <v>2.1. Short term Alliance (no exclusivity / previous experience)</v>
      </c>
      <c r="X172" s="7"/>
      <c r="Y172" s="7" t="s">
        <v>2136</v>
      </c>
      <c r="Z172" s="25" t="s">
        <v>8</v>
      </c>
      <c r="AA172" s="7" t="s">
        <v>2136</v>
      </c>
      <c r="AB172" s="25"/>
      <c r="AC172" s="25"/>
      <c r="AD172" s="25"/>
      <c r="AE172" s="25"/>
      <c r="AF172" s="40" t="s">
        <v>186</v>
      </c>
      <c r="AH172" s="6" t="str">
        <f t="shared" si="21"/>
        <v>Uber Eats-Last-Mile</v>
      </c>
    </row>
    <row r="173" spans="1:34" ht="14" customHeight="1" x14ac:dyDescent="0.35">
      <c r="A173" s="27" t="s">
        <v>1551</v>
      </c>
      <c r="B173" s="27" t="s">
        <v>1138</v>
      </c>
      <c r="C173" s="65">
        <f t="shared" si="22"/>
        <v>43472</v>
      </c>
      <c r="D173" s="27" t="s">
        <v>194</v>
      </c>
      <c r="E173" s="46" t="s">
        <v>418</v>
      </c>
      <c r="F173" s="27" t="s">
        <v>286</v>
      </c>
      <c r="G173" s="25" t="str">
        <f t="shared" si="23"/>
        <v>Torc-SAV</v>
      </c>
      <c r="H173" s="25" t="str">
        <f t="shared" si="18"/>
        <v>SAV</v>
      </c>
      <c r="I173" s="27" t="s">
        <v>372</v>
      </c>
      <c r="J173" s="47" t="s">
        <v>372</v>
      </c>
      <c r="K173" s="25" t="str">
        <f t="shared" si="19"/>
        <v>Transdev</v>
      </c>
      <c r="L173" s="280" t="s">
        <v>397</v>
      </c>
      <c r="M173" s="25"/>
      <c r="N173" s="25"/>
      <c r="O173" s="26" t="s">
        <v>1327</v>
      </c>
      <c r="P173" s="32" t="s">
        <v>1020</v>
      </c>
      <c r="Q173" s="25" t="s">
        <v>10</v>
      </c>
      <c r="R173" s="27" t="s">
        <v>69</v>
      </c>
      <c r="S173" s="27" t="s">
        <v>1002</v>
      </c>
      <c r="T173" s="27" t="s">
        <v>949</v>
      </c>
      <c r="U173" s="27" t="s">
        <v>53</v>
      </c>
      <c r="V173" s="27" t="s">
        <v>949</v>
      </c>
      <c r="W173" s="27" t="str">
        <f t="shared" si="20"/>
        <v xml:space="preserve">2.2. Renewed Alliance </v>
      </c>
      <c r="X173" s="29"/>
      <c r="Y173" s="8" t="s">
        <v>195</v>
      </c>
      <c r="Z173" s="25" t="s">
        <v>8</v>
      </c>
      <c r="AA173" s="8" t="s">
        <v>1610</v>
      </c>
      <c r="AB173" s="28" t="s">
        <v>38</v>
      </c>
      <c r="AC173" s="28" t="s">
        <v>196</v>
      </c>
      <c r="AD173" s="25"/>
      <c r="AE173" s="25"/>
      <c r="AF173" s="40" t="s">
        <v>1783</v>
      </c>
      <c r="AG173" s="40" t="s">
        <v>1784</v>
      </c>
      <c r="AH173" s="6" t="str">
        <f t="shared" si="21"/>
        <v>Torc-Ridepooling</v>
      </c>
    </row>
    <row r="174" spans="1:34" ht="14" customHeight="1" x14ac:dyDescent="0.35">
      <c r="A174" s="27" t="s">
        <v>1554</v>
      </c>
      <c r="B174" s="27" t="s">
        <v>1141</v>
      </c>
      <c r="C174" s="65">
        <f t="shared" si="22"/>
        <v>43473</v>
      </c>
      <c r="D174" s="27" t="s">
        <v>200</v>
      </c>
      <c r="E174" s="46" t="s">
        <v>1932</v>
      </c>
      <c r="F174" s="27" t="s">
        <v>309</v>
      </c>
      <c r="G174" s="25" t="str">
        <f t="shared" si="23"/>
        <v>ZF-SAV</v>
      </c>
      <c r="H174" s="25" t="str">
        <f t="shared" si="18"/>
        <v>SAV</v>
      </c>
      <c r="I174" s="27" t="s">
        <v>372</v>
      </c>
      <c r="J174" s="47" t="s">
        <v>372</v>
      </c>
      <c r="K174" s="25" t="str">
        <f t="shared" si="19"/>
        <v>Transdev;e.GO</v>
      </c>
      <c r="L174" s="280" t="s">
        <v>397</v>
      </c>
      <c r="M174" s="25" t="s">
        <v>489</v>
      </c>
      <c r="N174" s="25"/>
      <c r="O174" s="26" t="s">
        <v>1305</v>
      </c>
      <c r="P174" s="25" t="s">
        <v>961</v>
      </c>
      <c r="Q174" s="25" t="s">
        <v>10</v>
      </c>
      <c r="R174" s="27" t="s">
        <v>69</v>
      </c>
      <c r="S174" s="27" t="s">
        <v>980</v>
      </c>
      <c r="T174" s="27" t="s">
        <v>1185</v>
      </c>
      <c r="U174" s="27" t="s">
        <v>949</v>
      </c>
      <c r="V174" s="27" t="s">
        <v>949</v>
      </c>
      <c r="W174" s="27" t="str">
        <f t="shared" si="20"/>
        <v>2.3. Long term Alliance</v>
      </c>
      <c r="X174" s="7"/>
      <c r="Y174" s="7" t="s">
        <v>1306</v>
      </c>
      <c r="Z174" s="25" t="s">
        <v>15</v>
      </c>
      <c r="AA174" s="7" t="s">
        <v>1306</v>
      </c>
      <c r="AB174" s="25"/>
      <c r="AC174" s="25"/>
      <c r="AD174" s="25"/>
      <c r="AE174" s="25"/>
      <c r="AF174" s="40" t="s">
        <v>200</v>
      </c>
      <c r="AH174" s="6" t="str">
        <f t="shared" si="21"/>
        <v>ZF-Ridepooling</v>
      </c>
    </row>
    <row r="175" spans="1:34" ht="14.25" customHeight="1" x14ac:dyDescent="0.35">
      <c r="A175" s="27" t="s">
        <v>1561</v>
      </c>
      <c r="B175" s="27" t="s">
        <v>1147</v>
      </c>
      <c r="C175" s="65">
        <f t="shared" si="22"/>
        <v>43916</v>
      </c>
      <c r="D175" s="27" t="s">
        <v>211</v>
      </c>
      <c r="E175" s="46" t="s">
        <v>1932</v>
      </c>
      <c r="F175" s="27" t="s">
        <v>309</v>
      </c>
      <c r="G175" s="25" t="str">
        <f t="shared" si="23"/>
        <v>ZF-ATV</v>
      </c>
      <c r="H175" s="25" t="str">
        <f t="shared" si="18"/>
        <v>ATV</v>
      </c>
      <c r="I175" s="27" t="s">
        <v>405</v>
      </c>
      <c r="J175" s="47" t="s">
        <v>405</v>
      </c>
      <c r="K175" s="25" t="str">
        <f t="shared" si="19"/>
        <v>TuSimple</v>
      </c>
      <c r="L175" s="280" t="s">
        <v>420</v>
      </c>
      <c r="M175" s="25"/>
      <c r="N175" s="25"/>
      <c r="O175" s="26" t="s">
        <v>1639</v>
      </c>
      <c r="P175" s="25" t="s">
        <v>966</v>
      </c>
      <c r="Q175" s="25" t="s">
        <v>10</v>
      </c>
      <c r="R175" s="27" t="s">
        <v>69</v>
      </c>
      <c r="S175" s="27" t="s">
        <v>980</v>
      </c>
      <c r="T175" s="27" t="s">
        <v>949</v>
      </c>
      <c r="U175" s="27" t="s">
        <v>949</v>
      </c>
      <c r="V175" s="27" t="s">
        <v>949</v>
      </c>
      <c r="W175" s="27" t="str">
        <f t="shared" si="20"/>
        <v>2.1. Short term Alliance (no exclusivity / previous experience)</v>
      </c>
      <c r="X175" s="29"/>
      <c r="Y175" s="12" t="s">
        <v>1596</v>
      </c>
      <c r="Z175" s="28" t="s">
        <v>15</v>
      </c>
      <c r="AA175" s="12" t="s">
        <v>1596</v>
      </c>
      <c r="AB175" s="28" t="s">
        <v>1201</v>
      </c>
      <c r="AC175" s="28" t="s">
        <v>1597</v>
      </c>
      <c r="AD175" s="28"/>
      <c r="AE175" s="28"/>
      <c r="AF175" s="40" t="s">
        <v>1763</v>
      </c>
      <c r="AG175" s="40" t="s">
        <v>1764</v>
      </c>
      <c r="AH175" s="6" t="str">
        <f t="shared" si="21"/>
        <v>ZF-Trucking</v>
      </c>
    </row>
    <row r="176" spans="1:34" ht="15" customHeight="1" x14ac:dyDescent="0.35">
      <c r="A176" s="27" t="s">
        <v>1565</v>
      </c>
      <c r="B176" s="27" t="s">
        <v>1151</v>
      </c>
      <c r="C176" s="65">
        <f>DATE(LEFT(B176,4),MID(B176,7,1),RIGHT(B176,LEN(B176)-SEARCH(",",B176,6)))</f>
        <v>44719</v>
      </c>
      <c r="D176" s="27" t="s">
        <v>217</v>
      </c>
      <c r="E176" s="46" t="s">
        <v>367</v>
      </c>
      <c r="F176" s="27" t="s">
        <v>286</v>
      </c>
      <c r="G176" s="25" t="str">
        <f t="shared" si="23"/>
        <v>Waymo-ATV</v>
      </c>
      <c r="H176" s="25" t="str">
        <f t="shared" si="18"/>
        <v>ATV</v>
      </c>
      <c r="I176" s="27" t="s">
        <v>405</v>
      </c>
      <c r="J176" s="47" t="s">
        <v>405</v>
      </c>
      <c r="K176" s="25" t="str">
        <f t="shared" si="19"/>
        <v>Uber Freight</v>
      </c>
      <c r="L176" s="280" t="s">
        <v>424</v>
      </c>
      <c r="M176" s="25"/>
      <c r="N176" s="25"/>
      <c r="O176" s="26" t="s">
        <v>1752</v>
      </c>
      <c r="P176" s="32" t="s">
        <v>968</v>
      </c>
      <c r="Q176" s="25" t="s">
        <v>10</v>
      </c>
      <c r="R176" s="27" t="s">
        <v>69</v>
      </c>
      <c r="S176" s="27" t="s">
        <v>1002</v>
      </c>
      <c r="T176" s="27" t="s">
        <v>1184</v>
      </c>
      <c r="U176" s="27" t="s">
        <v>949</v>
      </c>
      <c r="V176" s="27" t="s">
        <v>949</v>
      </c>
      <c r="W176" s="27" t="str">
        <f t="shared" si="20"/>
        <v>2.3. Long term Alliance</v>
      </c>
      <c r="X176" s="12"/>
      <c r="Y176" s="12" t="s">
        <v>1310</v>
      </c>
      <c r="Z176" s="25" t="s">
        <v>8</v>
      </c>
      <c r="AA176" s="12" t="s">
        <v>1310</v>
      </c>
      <c r="AB176" s="28"/>
      <c r="AC176" s="28"/>
      <c r="AD176" s="28"/>
      <c r="AE176" s="28"/>
      <c r="AF176" s="40" t="s">
        <v>217</v>
      </c>
      <c r="AG176" s="6"/>
      <c r="AH176" s="6" t="str">
        <f t="shared" si="21"/>
        <v>Waymo-Trucking</v>
      </c>
    </row>
    <row r="177" spans="1:34" ht="15" customHeight="1" x14ac:dyDescent="0.35">
      <c r="A177" s="27" t="s">
        <v>1571</v>
      </c>
      <c r="B177" s="27" t="s">
        <v>1155</v>
      </c>
      <c r="C177" s="65">
        <f>DATE(LEFT(B177,4),MID(B177,7,1),RIGHT(B177,LEN(B177)-SEARCH(",",B177,6)))</f>
        <v>45190</v>
      </c>
      <c r="D177" s="27" t="s">
        <v>222</v>
      </c>
      <c r="E177" s="46" t="s">
        <v>424</v>
      </c>
      <c r="F177" s="27" t="s">
        <v>320</v>
      </c>
      <c r="G177" s="25" t="str">
        <f t="shared" si="23"/>
        <v>Uber Freight-ATV</v>
      </c>
      <c r="H177" s="25" t="str">
        <f t="shared" si="18"/>
        <v>ATV</v>
      </c>
      <c r="I177" s="27" t="s">
        <v>405</v>
      </c>
      <c r="J177" s="47" t="s">
        <v>405</v>
      </c>
      <c r="K177" s="25" t="str">
        <f t="shared" si="19"/>
        <v>Waabi</v>
      </c>
      <c r="L177" s="280" t="s">
        <v>428</v>
      </c>
      <c r="M177" s="25"/>
      <c r="N177" s="25"/>
      <c r="O177" s="26" t="s">
        <v>1753</v>
      </c>
      <c r="P177" s="32" t="s">
        <v>1754</v>
      </c>
      <c r="Q177" s="25" t="s">
        <v>10</v>
      </c>
      <c r="R177" s="27" t="s">
        <v>69</v>
      </c>
      <c r="S177" s="27" t="s">
        <v>993</v>
      </c>
      <c r="T177" s="27" t="s">
        <v>1174</v>
      </c>
      <c r="U177" s="27" t="s">
        <v>53</v>
      </c>
      <c r="V177" s="27" t="s">
        <v>949</v>
      </c>
      <c r="W177" s="27" t="str">
        <f t="shared" si="20"/>
        <v>2.3. Long term Alliance</v>
      </c>
      <c r="X177" s="8"/>
      <c r="Y177" s="8" t="s">
        <v>1755</v>
      </c>
      <c r="Z177" s="25" t="s">
        <v>8</v>
      </c>
      <c r="AA177" s="8" t="s">
        <v>1755</v>
      </c>
      <c r="AB177" s="25"/>
      <c r="AC177" s="25"/>
      <c r="AD177" s="25"/>
      <c r="AE177" s="25"/>
      <c r="AF177" s="40" t="s">
        <v>222</v>
      </c>
      <c r="AG177" s="6"/>
      <c r="AH177" s="6" t="str">
        <f t="shared" si="21"/>
        <v>Uber Freight-Trucking</v>
      </c>
    </row>
    <row r="178" spans="1:34" ht="15" customHeight="1" x14ac:dyDescent="0.35">
      <c r="A178" s="27" t="s">
        <v>1574</v>
      </c>
      <c r="B178" s="27" t="s">
        <v>1158</v>
      </c>
      <c r="C178" s="65">
        <f>DATE(LEFT(B178,4),MID(B178,7,1),RIGHT(B178,LEN(B178)-SEARCH(",",B178,6)))</f>
        <v>43592</v>
      </c>
      <c r="D178" s="27" t="s">
        <v>225</v>
      </c>
      <c r="E178" s="46" t="s">
        <v>736</v>
      </c>
      <c r="F178" s="27" t="s">
        <v>320</v>
      </c>
      <c r="G178" s="25" t="str">
        <f t="shared" si="23"/>
        <v>Lyft-SAV</v>
      </c>
      <c r="H178" s="25" t="str">
        <f t="shared" si="18"/>
        <v>SAV</v>
      </c>
      <c r="I178" s="27" t="s">
        <v>341</v>
      </c>
      <c r="J178" s="47" t="s">
        <v>341</v>
      </c>
      <c r="K178" s="25" t="str">
        <f t="shared" si="19"/>
        <v>Waymo</v>
      </c>
      <c r="L178" s="280" t="s">
        <v>367</v>
      </c>
      <c r="M178" s="25"/>
      <c r="N178" s="25"/>
      <c r="O178" s="26" t="s">
        <v>1407</v>
      </c>
      <c r="P178" s="32" t="s">
        <v>1289</v>
      </c>
      <c r="Q178" s="25" t="s">
        <v>10</v>
      </c>
      <c r="R178" s="27" t="s">
        <v>69</v>
      </c>
      <c r="S178" s="27" t="s">
        <v>1002</v>
      </c>
      <c r="T178" s="31" t="s">
        <v>1198</v>
      </c>
      <c r="U178" s="27" t="s">
        <v>949</v>
      </c>
      <c r="V178" s="27" t="s">
        <v>949</v>
      </c>
      <c r="W178" s="27" t="str">
        <f t="shared" si="20"/>
        <v>2.1. Short term Alliance (no exclusivity / previous experience)</v>
      </c>
      <c r="X178" s="8"/>
      <c r="Y178" s="8" t="s">
        <v>1290</v>
      </c>
      <c r="Z178" s="25" t="s">
        <v>24</v>
      </c>
      <c r="AA178" s="8" t="s">
        <v>1290</v>
      </c>
      <c r="AB178" s="25"/>
      <c r="AC178" s="25"/>
      <c r="AD178" s="25"/>
      <c r="AE178" s="25"/>
      <c r="AF178" s="40" t="s">
        <v>225</v>
      </c>
      <c r="AG178" s="6"/>
      <c r="AH178" s="6" t="str">
        <f t="shared" si="21"/>
        <v>Lyft-Ridehailing</v>
      </c>
    </row>
    <row r="179" spans="1:34" s="15" customFormat="1" ht="15" customHeight="1" x14ac:dyDescent="0.35">
      <c r="A179" s="27" t="s">
        <v>1575</v>
      </c>
      <c r="B179" s="27" t="s">
        <v>1159</v>
      </c>
      <c r="C179" s="137">
        <f>DATE(LEFT(B179,4),MID(B179,7,1),RIGHT(B179,LEN(B179)-SEARCH(",",B179,6)))</f>
        <v>43635</v>
      </c>
      <c r="D179" s="27" t="s">
        <v>226</v>
      </c>
      <c r="E179" s="27" t="s">
        <v>367</v>
      </c>
      <c r="F179" s="27" t="s">
        <v>286</v>
      </c>
      <c r="G179" s="27" t="str">
        <f t="shared" si="23"/>
        <v>Waymo-ATV</v>
      </c>
      <c r="H179" s="25" t="str">
        <f t="shared" si="18"/>
        <v>ATV</v>
      </c>
      <c r="I179" s="27" t="s">
        <v>1945</v>
      </c>
      <c r="J179" s="47" t="s">
        <v>273</v>
      </c>
      <c r="K179" s="25" t="str">
        <f t="shared" si="19"/>
        <v>Alliance Ventures (Renault, Nissan, Mitsubishi)</v>
      </c>
      <c r="L179" s="281" t="s">
        <v>472</v>
      </c>
      <c r="M179" s="27"/>
      <c r="N179" s="27"/>
      <c r="O179" s="138" t="s">
        <v>1693</v>
      </c>
      <c r="P179" s="27" t="s">
        <v>1334</v>
      </c>
      <c r="Q179" s="27" t="s">
        <v>10</v>
      </c>
      <c r="R179" s="27" t="s">
        <v>69</v>
      </c>
      <c r="S179" s="27" t="s">
        <v>1008</v>
      </c>
      <c r="T179" s="27" t="s">
        <v>949</v>
      </c>
      <c r="U179" s="27" t="s">
        <v>949</v>
      </c>
      <c r="V179" s="27" t="s">
        <v>53</v>
      </c>
      <c r="W179" s="27" t="str">
        <f t="shared" si="20"/>
        <v>2.4. Exclusive Alliance</v>
      </c>
      <c r="X179" s="139"/>
      <c r="Y179" s="139" t="s">
        <v>1335</v>
      </c>
      <c r="Z179" s="27" t="s">
        <v>38</v>
      </c>
      <c r="AA179" s="139" t="s">
        <v>1335</v>
      </c>
      <c r="AB179" s="27"/>
      <c r="AC179" s="27"/>
      <c r="AD179" s="27"/>
      <c r="AE179" s="27"/>
      <c r="AF179" s="14" t="s">
        <v>226</v>
      </c>
      <c r="AG179" s="14"/>
      <c r="AH179" s="6" t="str">
        <f t="shared" si="21"/>
        <v>Waymo-Last-Mile</v>
      </c>
    </row>
    <row r="180" spans="1:34" s="15" customFormat="1" ht="15" customHeight="1" x14ac:dyDescent="0.35">
      <c r="A180" s="27" t="s">
        <v>1494</v>
      </c>
      <c r="B180" s="27" t="s">
        <v>1213</v>
      </c>
      <c r="C180" s="137">
        <f>DATE(LEFT(B180,4),MID(B180,7,1),RIGHT(B180,LEN(B180)-SEARCH(",",B180,6)))</f>
        <v>44019</v>
      </c>
      <c r="D180" s="27" t="s">
        <v>113</v>
      </c>
      <c r="E180" s="27" t="s">
        <v>354</v>
      </c>
      <c r="F180" s="27" t="s">
        <v>286</v>
      </c>
      <c r="G180" s="27" t="s">
        <v>2053</v>
      </c>
      <c r="H180" s="25" t="str">
        <f t="shared" si="18"/>
        <v>SAV</v>
      </c>
      <c r="I180" s="27" t="s">
        <v>372</v>
      </c>
      <c r="J180" s="47" t="s">
        <v>372</v>
      </c>
      <c r="K180" s="25" t="str">
        <f t="shared" si="19"/>
        <v>WILLER</v>
      </c>
      <c r="L180" s="281" t="s">
        <v>1963</v>
      </c>
      <c r="M180" s="27"/>
      <c r="N180" s="27"/>
      <c r="O180" s="138" t="s">
        <v>2130</v>
      </c>
      <c r="P180" s="47" t="s">
        <v>948</v>
      </c>
      <c r="Q180" s="27" t="s">
        <v>10</v>
      </c>
      <c r="R180" s="27" t="s">
        <v>69</v>
      </c>
      <c r="S180" s="27" t="s">
        <v>1002</v>
      </c>
      <c r="T180" s="27" t="s">
        <v>1175</v>
      </c>
      <c r="U180" s="27" t="s">
        <v>949</v>
      </c>
      <c r="V180" s="27" t="s">
        <v>949</v>
      </c>
      <c r="W180" s="27" t="str">
        <f t="shared" si="20"/>
        <v>2.3. Long term Alliance</v>
      </c>
      <c r="X180" s="139"/>
      <c r="Y180" s="139" t="s">
        <v>1309</v>
      </c>
      <c r="Z180" s="138" t="s">
        <v>24</v>
      </c>
      <c r="AA180" s="139" t="s">
        <v>1309</v>
      </c>
      <c r="AB180" s="138"/>
      <c r="AC180" s="26"/>
      <c r="AE180" s="6"/>
      <c r="AF180" s="6"/>
      <c r="AG180" s="6"/>
      <c r="AH180" s="6" t="str">
        <f t="shared" si="21"/>
        <v>Mobileye-Ridepooling</v>
      </c>
    </row>
    <row r="184" spans="1:34" ht="15" customHeight="1" x14ac:dyDescent="0.35">
      <c r="G184" s="6" t="str" cm="1">
        <f t="array" ref="G184:G188">_xlfn.UNIQUE(J2:J180)</f>
        <v>Ridepooling</v>
      </c>
      <c r="H184" s="6">
        <f>COUNTIF($J$2:$J$180,G184)</f>
        <v>59</v>
      </c>
      <c r="Z184" s="6">
        <f>COUNTA(Z2:Z180)+COUNTA(AB2:AB180)+COUNTA(AD2:AD180)</f>
        <v>209</v>
      </c>
    </row>
    <row r="185" spans="1:34" ht="15" customHeight="1" x14ac:dyDescent="0.35">
      <c r="G185" s="6" t="str">
        <v>Trucking</v>
      </c>
      <c r="H185" s="6">
        <f>COUNTIF($J$2:$J$180,G185)</f>
        <v>54</v>
      </c>
    </row>
    <row r="186" spans="1:34" ht="15" customHeight="1" x14ac:dyDescent="0.35">
      <c r="G186" s="6" t="str">
        <v>Last-Mile</v>
      </c>
      <c r="H186" s="6">
        <f>COUNTIF($J$2:$J$180,G186)</f>
        <v>27</v>
      </c>
    </row>
    <row r="187" spans="1:34" ht="15" customHeight="1" x14ac:dyDescent="0.35">
      <c r="G187" s="6" t="str">
        <v>Other</v>
      </c>
      <c r="H187" s="6">
        <f>COUNTIF($J$2:$J$180,G187)</f>
        <v>15</v>
      </c>
    </row>
    <row r="188" spans="1:34" ht="15" customHeight="1" x14ac:dyDescent="0.35">
      <c r="G188" s="6" t="str">
        <v>Ridehailing</v>
      </c>
      <c r="H188" s="6">
        <f>COUNTIF($J$2:$J$180,G188)</f>
        <v>24</v>
      </c>
    </row>
    <row r="192" spans="1:34" ht="15" customHeight="1" x14ac:dyDescent="0.35">
      <c r="G192" s="6" t="str" cm="1">
        <f t="array" ref="G192:G244">_xlfn.UNIQUE(G2:G180)</f>
        <v>2getthere-SAV</v>
      </c>
    </row>
    <row r="193" spans="7:7" ht="15" customHeight="1" x14ac:dyDescent="0.35">
      <c r="G193" s="6" t="str">
        <v>ADASTEC-SAV</v>
      </c>
    </row>
    <row r="194" spans="7:7" ht="15" customHeight="1" x14ac:dyDescent="0.35">
      <c r="G194" s="6" t="str">
        <v>Aurora-ATV</v>
      </c>
    </row>
    <row r="195" spans="7:7" ht="15" customHeight="1" x14ac:dyDescent="0.35">
      <c r="G195" s="6" t="str">
        <v>Beep-SAV</v>
      </c>
    </row>
    <row r="196" spans="7:7" ht="15" customHeight="1" x14ac:dyDescent="0.35">
      <c r="G196" s="6" t="str">
        <v>Bolt-ATV</v>
      </c>
    </row>
    <row r="197" spans="7:7" ht="15" customHeight="1" x14ac:dyDescent="0.35">
      <c r="G197" s="6" t="str">
        <v>Cartken-ATV</v>
      </c>
    </row>
    <row r="198" spans="7:7" ht="15" customHeight="1" x14ac:dyDescent="0.35">
      <c r="G198" s="6" t="str">
        <v>Cruise-Other</v>
      </c>
    </row>
    <row r="199" spans="7:7" ht="15" customHeight="1" x14ac:dyDescent="0.35">
      <c r="G199" s="6" t="str">
        <v>Cruise-ATV</v>
      </c>
    </row>
    <row r="200" spans="7:7" ht="15" customHeight="1" x14ac:dyDescent="0.35">
      <c r="G200" s="6" t="str">
        <v>Cruise-SAV</v>
      </c>
    </row>
    <row r="201" spans="7:7" ht="15" customHeight="1" x14ac:dyDescent="0.35">
      <c r="G201" s="6" t="str">
        <v>EasyMile-Other</v>
      </c>
    </row>
    <row r="202" spans="7:7" ht="15" customHeight="1" x14ac:dyDescent="0.35">
      <c r="G202" s="6" t="str">
        <v>EasyMile-SAV</v>
      </c>
    </row>
    <row r="203" spans="7:7" ht="15" customHeight="1" x14ac:dyDescent="0.35">
      <c r="G203" s="6" t="str">
        <v>Einride-ATV</v>
      </c>
    </row>
    <row r="204" spans="7:7" ht="15" customHeight="1" x14ac:dyDescent="0.35">
      <c r="G204" s="6" t="str">
        <v>Gatik-ATV</v>
      </c>
    </row>
    <row r="205" spans="7:7" ht="15" customHeight="1" x14ac:dyDescent="0.35">
      <c r="G205" s="6" t="str">
        <v>Ioki-SAV</v>
      </c>
    </row>
    <row r="206" spans="7:7" ht="15" customHeight="1" x14ac:dyDescent="0.35">
      <c r="G206" s="6" t="str">
        <v>Kiwibot-ATV</v>
      </c>
    </row>
    <row r="207" spans="7:7" ht="15" customHeight="1" x14ac:dyDescent="0.35">
      <c r="G207" s="6" t="str">
        <v>Kodiak-ATV</v>
      </c>
    </row>
    <row r="208" spans="7:7" ht="15" customHeight="1" x14ac:dyDescent="0.35">
      <c r="G208" s="6" t="str">
        <v>May Mobility-SAV</v>
      </c>
    </row>
    <row r="209" spans="7:7" ht="15" customHeight="1" x14ac:dyDescent="0.35">
      <c r="G209" s="6" t="str">
        <v>Perrone Robotics-SAV</v>
      </c>
    </row>
    <row r="210" spans="7:7" ht="15" customHeight="1" x14ac:dyDescent="0.35">
      <c r="G210" s="6" t="str">
        <v>Mobileye-ATV</v>
      </c>
    </row>
    <row r="211" spans="7:7" ht="15" customHeight="1" x14ac:dyDescent="0.35">
      <c r="G211" s="6" t="str">
        <v>Mobileye-SAV</v>
      </c>
    </row>
    <row r="212" spans="7:7" ht="15" customHeight="1" x14ac:dyDescent="0.35">
      <c r="G212" s="6" t="str">
        <v>Mobileye-Other</v>
      </c>
    </row>
    <row r="213" spans="7:7" ht="15" customHeight="1" x14ac:dyDescent="0.35">
      <c r="G213" s="6" t="str">
        <v>MOIA-SAV</v>
      </c>
    </row>
    <row r="214" spans="7:7" ht="15" customHeight="1" x14ac:dyDescent="0.35">
      <c r="G214" s="6" t="str">
        <v>Motional-SAV</v>
      </c>
    </row>
    <row r="215" spans="7:7" ht="15" customHeight="1" x14ac:dyDescent="0.35">
      <c r="G215" s="6" t="str">
        <v>Motional-ATV</v>
      </c>
    </row>
    <row r="216" spans="7:7" ht="15" customHeight="1" x14ac:dyDescent="0.35">
      <c r="G216" s="6" t="str">
        <v>Navya-SAV</v>
      </c>
    </row>
    <row r="217" spans="7:7" ht="15" customHeight="1" x14ac:dyDescent="0.35">
      <c r="G217" s="6" t="str">
        <v>Nuro-ATV</v>
      </c>
    </row>
    <row r="218" spans="7:7" ht="15" customHeight="1" x14ac:dyDescent="0.35">
      <c r="G218" s="6" t="str">
        <v>Oxa-SAV</v>
      </c>
    </row>
    <row r="219" spans="7:7" ht="15" customHeight="1" x14ac:dyDescent="0.35">
      <c r="G219" s="6" t="str">
        <v>Oxa-ATV</v>
      </c>
    </row>
    <row r="220" spans="7:7" ht="15" customHeight="1" x14ac:dyDescent="0.35">
      <c r="G220" s="6" t="str">
        <v>Oxa-Other</v>
      </c>
    </row>
    <row r="221" spans="7:7" ht="15" customHeight="1" x14ac:dyDescent="0.35">
      <c r="G221" s="6" t="str">
        <v>Plus.ai-ATV</v>
      </c>
    </row>
    <row r="222" spans="7:7" ht="15" customHeight="1" x14ac:dyDescent="0.35">
      <c r="G222" s="6" t="str">
        <v>Pony.ai-SAV</v>
      </c>
    </row>
    <row r="223" spans="7:7" ht="15" customHeight="1" x14ac:dyDescent="0.35">
      <c r="G223" s="6" t="str">
        <v>Pony.ai-ATV</v>
      </c>
    </row>
    <row r="224" spans="7:7" ht="15" customHeight="1" x14ac:dyDescent="0.35">
      <c r="G224" s="6" t="str">
        <v>ServeRobotics-ATV</v>
      </c>
    </row>
    <row r="225" spans="7:7" ht="15" customHeight="1" x14ac:dyDescent="0.35">
      <c r="G225" s="6" t="str">
        <v>Torc-ATV</v>
      </c>
    </row>
    <row r="226" spans="7:7" ht="15" customHeight="1" x14ac:dyDescent="0.35">
      <c r="G226" s="6" t="str">
        <v>Transdev-SAV</v>
      </c>
    </row>
    <row r="227" spans="7:7" ht="15" customHeight="1" x14ac:dyDescent="0.35">
      <c r="G227" s="6" t="str">
        <v>TuSimple-ATV</v>
      </c>
    </row>
    <row r="228" spans="7:7" ht="15" customHeight="1" x14ac:dyDescent="0.35">
      <c r="G228" s="6" t="str">
        <v>Uber-SAV</v>
      </c>
    </row>
    <row r="229" spans="7:7" ht="15" customHeight="1" x14ac:dyDescent="0.35">
      <c r="G229" s="6" t="str">
        <v>Uber Freight-ATV</v>
      </c>
    </row>
    <row r="230" spans="7:7" ht="15" customHeight="1" x14ac:dyDescent="0.35">
      <c r="G230" s="6" t="str">
        <v>Udelv-ATV</v>
      </c>
    </row>
    <row r="231" spans="7:7" ht="15" customHeight="1" x14ac:dyDescent="0.35">
      <c r="G231" s="6" t="str">
        <v>Waabi-ATV</v>
      </c>
    </row>
    <row r="232" spans="7:7" ht="15" customHeight="1" x14ac:dyDescent="0.35">
      <c r="G232" s="6" t="str">
        <v>Waymo-SAV</v>
      </c>
    </row>
    <row r="233" spans="7:7" ht="15" customHeight="1" x14ac:dyDescent="0.35">
      <c r="G233" s="6" t="str">
        <v>Waymo-Other</v>
      </c>
    </row>
    <row r="234" spans="7:7" ht="15" customHeight="1" x14ac:dyDescent="0.35">
      <c r="G234" s="6" t="str">
        <v>Wayve-ATV</v>
      </c>
    </row>
    <row r="235" spans="7:7" ht="15" customHeight="1" x14ac:dyDescent="0.35">
      <c r="G235" s="6" t="str">
        <v>ZF-Other</v>
      </c>
    </row>
    <row r="236" spans="7:7" ht="15" customHeight="1" x14ac:dyDescent="0.35">
      <c r="G236" s="6" t="str">
        <v>ZF-SAV</v>
      </c>
    </row>
    <row r="237" spans="7:7" ht="15" customHeight="1" x14ac:dyDescent="0.35">
      <c r="G237" s="6" t="str">
        <v>Starship Technologies-ATV</v>
      </c>
    </row>
    <row r="238" spans="7:7" ht="15" customHeight="1" x14ac:dyDescent="0.35">
      <c r="G238" s="6" t="str">
        <v>Via-SAV</v>
      </c>
    </row>
    <row r="239" spans="7:7" ht="15" customHeight="1" x14ac:dyDescent="0.35">
      <c r="G239" s="6" t="str">
        <v>Lohr-SAV</v>
      </c>
    </row>
    <row r="240" spans="7:7" ht="15" customHeight="1" x14ac:dyDescent="0.35">
      <c r="G240" s="6" t="str">
        <v>Uber Eats-ATV</v>
      </c>
    </row>
    <row r="241" spans="7:7" ht="15" customHeight="1" x14ac:dyDescent="0.35">
      <c r="G241" s="6" t="str">
        <v>Torc-SAV</v>
      </c>
    </row>
    <row r="242" spans="7:7" ht="15" customHeight="1" x14ac:dyDescent="0.35">
      <c r="G242" s="6" t="str">
        <v>ZF-ATV</v>
      </c>
    </row>
    <row r="243" spans="7:7" ht="15" customHeight="1" x14ac:dyDescent="0.35">
      <c r="G243" s="6" t="str">
        <v>Waymo-ATV</v>
      </c>
    </row>
    <row r="244" spans="7:7" ht="15" customHeight="1" x14ac:dyDescent="0.35">
      <c r="G244" s="6" t="str">
        <v>Lyft-SAV</v>
      </c>
    </row>
  </sheetData>
  <autoFilter ref="A1:AG180" xr:uid="{00000000-0001-0000-0000-000000000000}">
    <sortState xmlns:xlrd2="http://schemas.microsoft.com/office/spreadsheetml/2017/richdata2" ref="A2:AG165">
      <sortCondition ref="E1:E165"/>
    </sortState>
  </autoFilter>
  <conditionalFormatting sqref="Z2:Z184">
    <cfRule type="expression" dxfId="75" priority="1">
      <formula>"NOT(ISBLANK(Z2))"</formula>
    </cfRule>
  </conditionalFormatting>
  <conditionalFormatting sqref="AB2:AB184">
    <cfRule type="expression" dxfId="74" priority="2">
      <formula>"NOT(ISBLANK(AB2))"</formula>
    </cfRule>
  </conditionalFormatting>
  <conditionalFormatting sqref="AD2:AD184">
    <cfRule type="expression" dxfId="73" priority="3">
      <formula>"NOT(ISBLANK(AD2))"</formula>
    </cfRule>
  </conditionalFormatting>
  <hyperlinks>
    <hyperlink ref="A131" r:id="rId1" xr:uid="{125383A2-0F48-4AAB-905D-A3A5081989F4}"/>
    <hyperlink ref="A4" r:id="rId2" xr:uid="{5228621D-8AC9-4975-903A-AFD9069576C8}"/>
    <hyperlink ref="A14" r:id="rId3" xr:uid="{DAB0BD40-D447-4570-8CEB-BAB3506431BA}"/>
  </hyperlinks>
  <pageMargins left="0.7" right="0.7" top="0.75" bottom="0.75" header="0" footer="0"/>
  <pageSetup paperSize="9" orientation="portrait"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BA6B7-9C70-4548-8344-626FFFBF9ECB}">
  <sheetPr filterMode="1"/>
  <dimension ref="A1:BT428"/>
  <sheetViews>
    <sheetView tabSelected="1" topLeftCell="A61" zoomScale="43" zoomScaleNormal="70" workbookViewId="0">
      <selection activeCell="F34" sqref="F1:F1048576"/>
    </sheetView>
  </sheetViews>
  <sheetFormatPr defaultRowHeight="14.5" x14ac:dyDescent="0.35"/>
  <cols>
    <col min="1" max="1" width="31" style="21" customWidth="1"/>
    <col min="2" max="2" width="21.90625" style="21" customWidth="1"/>
    <col min="3" max="3" width="13.26953125" style="287" customWidth="1"/>
    <col min="4" max="4" width="15.81640625" style="21" customWidth="1"/>
    <col min="5" max="5" width="61.7265625" style="21" customWidth="1"/>
    <col min="6" max="6" width="25.54296875" style="21" customWidth="1"/>
    <col min="7" max="7" width="27.26953125" style="21" customWidth="1"/>
    <col min="8" max="8" width="11.453125" style="21" customWidth="1"/>
    <col min="9" max="9" width="30.6328125" style="21" customWidth="1"/>
    <col min="10" max="10" width="15.08984375" style="21" customWidth="1"/>
    <col min="11" max="11" width="29.90625" style="21" customWidth="1"/>
    <col min="12" max="12" width="15.26953125" style="21" customWidth="1"/>
    <col min="13" max="13" width="17.6328125" style="21" customWidth="1"/>
    <col min="14" max="14" width="6.36328125" style="21" customWidth="1"/>
    <col min="15" max="15" width="15.26953125" style="21" customWidth="1"/>
    <col min="16" max="16" width="22.54296875" style="21" customWidth="1"/>
    <col min="17" max="17" width="19.1796875" style="21" customWidth="1"/>
    <col min="18" max="18" width="8.6328125" style="21" customWidth="1"/>
    <col min="19" max="19" width="10.1796875" style="21" customWidth="1"/>
    <col min="20" max="20" width="6.26953125" style="21" customWidth="1"/>
    <col min="21" max="21" width="18.08984375" style="21" customWidth="1"/>
    <col min="22" max="25" width="19.54296875" style="21" customWidth="1"/>
    <col min="26" max="26" width="23.54296875" style="21" customWidth="1"/>
    <col min="27" max="27" width="19.7265625" style="21" bestFit="1" customWidth="1"/>
    <col min="28" max="28" width="19.6328125" style="21" customWidth="1"/>
    <col min="29" max="29" width="18.26953125" style="21" bestFit="1" customWidth="1"/>
    <col min="30" max="30" width="14.453125" style="21" customWidth="1"/>
    <col min="31" max="31" width="9.453125" style="21" customWidth="1"/>
    <col min="32" max="32" width="11.81640625" style="21" customWidth="1"/>
    <col min="33" max="33" width="11.7265625" style="21" bestFit="1" customWidth="1"/>
    <col min="34" max="34" width="25.26953125" style="21" bestFit="1" customWidth="1"/>
    <col min="35" max="35" width="14.453125" style="21" bestFit="1" customWidth="1"/>
    <col min="36" max="36" width="12.1796875" style="21" bestFit="1" customWidth="1"/>
    <col min="37" max="37" width="23.7265625" style="21" customWidth="1"/>
    <col min="38" max="38" width="12.1796875" style="21" bestFit="1" customWidth="1"/>
    <col min="39" max="39" width="11.7265625" style="21" bestFit="1" customWidth="1"/>
    <col min="40" max="41" width="12.1796875" style="21" bestFit="1" customWidth="1"/>
    <col min="42" max="42" width="21.7265625" style="21" bestFit="1" customWidth="1"/>
    <col min="43" max="43" width="22.36328125" style="21" bestFit="1" customWidth="1"/>
    <col min="44" max="44" width="12.1796875" style="21" bestFit="1" customWidth="1"/>
    <col min="45" max="45" width="10.81640625" style="21" bestFit="1" customWidth="1"/>
    <col min="46" max="46" width="12.1796875" style="21" bestFit="1" customWidth="1"/>
    <col min="47" max="47" width="11.7265625" style="21" bestFit="1" customWidth="1"/>
    <col min="48" max="48" width="12.1796875" style="21" bestFit="1" customWidth="1"/>
    <col min="49" max="49" width="10.81640625" style="21" bestFit="1" customWidth="1"/>
    <col min="50" max="50" width="11.26953125" style="21" bestFit="1" customWidth="1"/>
    <col min="51" max="52" width="10.81640625" style="21" bestFit="1" customWidth="1"/>
    <col min="53" max="56" width="8.7265625" style="21"/>
    <col min="57" max="57" width="12" style="21" customWidth="1"/>
    <col min="58" max="16384" width="8.7265625" style="21"/>
  </cols>
  <sheetData>
    <row r="1" spans="1:69" x14ac:dyDescent="0.35">
      <c r="A1" s="297" t="s">
        <v>2051</v>
      </c>
      <c r="E1" s="290" t="s">
        <v>2261</v>
      </c>
      <c r="F1" s="297" t="s">
        <v>286</v>
      </c>
      <c r="G1" s="313" t="s">
        <v>309</v>
      </c>
      <c r="H1" s="297" t="s">
        <v>331</v>
      </c>
      <c r="I1" s="297" t="s">
        <v>320</v>
      </c>
      <c r="Z1" s="287"/>
    </row>
    <row r="2" spans="1:69" x14ac:dyDescent="0.35">
      <c r="E2" s="21" t="s">
        <v>1931</v>
      </c>
      <c r="F2" s="58">
        <f>(T54+T64)/(T58+T68)</f>
        <v>0.5662650602409639</v>
      </c>
      <c r="G2" s="58">
        <f>(T55+T65)/(T58+T68)</f>
        <v>0.25301204819277107</v>
      </c>
      <c r="Z2" s="287"/>
    </row>
    <row r="3" spans="1:69" x14ac:dyDescent="0.35">
      <c r="A3" s="297" t="s">
        <v>2002</v>
      </c>
      <c r="B3" s="349">
        <f>MIN(ANNOUNCEMENTS!C2:C165)</f>
        <v>41793</v>
      </c>
      <c r="E3" s="21" t="s">
        <v>1950</v>
      </c>
      <c r="F3" s="58">
        <f>(T74+T84)/(T78+T88)</f>
        <v>0.55555555555555558</v>
      </c>
      <c r="G3" s="240">
        <f>(T75+T85)/(T78+T88)</f>
        <v>0.37037037037037035</v>
      </c>
      <c r="Z3" s="287"/>
    </row>
    <row r="4" spans="1:69" x14ac:dyDescent="0.35">
      <c r="A4" s="297" t="s">
        <v>2003</v>
      </c>
      <c r="B4" s="349">
        <f>MAX(ANNOUNCEMENTS!C2:C165)</f>
        <v>45195</v>
      </c>
      <c r="G4" s="287"/>
      <c r="Z4" s="287"/>
      <c r="AJ4" s="348"/>
      <c r="AK4" s="348"/>
      <c r="AL4" s="348"/>
      <c r="AM4" s="348"/>
    </row>
    <row r="5" spans="1:69" x14ac:dyDescent="0.35">
      <c r="A5" s="297"/>
      <c r="B5" s="349"/>
      <c r="E5" s="297" t="s">
        <v>372</v>
      </c>
      <c r="F5" s="241">
        <f>T54/T58</f>
        <v>0.42372881355932202</v>
      </c>
      <c r="G5" s="242">
        <f>T55/T58</f>
        <v>0.3559322033898305</v>
      </c>
      <c r="H5" s="241">
        <f>T56/T58</f>
        <v>0.1864406779661017</v>
      </c>
      <c r="I5" s="241">
        <f>T57/T58</f>
        <v>3.3898305084745763E-2</v>
      </c>
      <c r="Z5" s="287"/>
      <c r="AJ5" s="348"/>
      <c r="AK5" s="348"/>
      <c r="AL5" s="348"/>
      <c r="AM5" s="348"/>
    </row>
    <row r="6" spans="1:69" x14ac:dyDescent="0.35">
      <c r="A6" s="297"/>
      <c r="B6" s="349"/>
      <c r="E6" s="297" t="s">
        <v>341</v>
      </c>
      <c r="F6" s="241">
        <f>T64/T68</f>
        <v>0.91666666666666663</v>
      </c>
      <c r="G6" s="242">
        <f>T65/T68</f>
        <v>0</v>
      </c>
      <c r="H6" s="241">
        <f>T66/T68</f>
        <v>0</v>
      </c>
      <c r="I6" s="241">
        <f>T67/T68</f>
        <v>8.3333333333333329E-2</v>
      </c>
      <c r="Z6" s="287"/>
      <c r="AJ6" s="348"/>
      <c r="AK6" s="348"/>
      <c r="AL6" s="348"/>
      <c r="AM6" s="348"/>
    </row>
    <row r="7" spans="1:69" x14ac:dyDescent="0.35">
      <c r="A7" s="297"/>
      <c r="B7" s="349"/>
      <c r="E7" s="297" t="s">
        <v>405</v>
      </c>
      <c r="F7" s="241">
        <f>T74/T78</f>
        <v>0.66666666666666663</v>
      </c>
      <c r="G7" s="242">
        <f>T75/T78</f>
        <v>0.27777777777777779</v>
      </c>
      <c r="H7" s="241">
        <f>T76/T78</f>
        <v>0</v>
      </c>
      <c r="I7" s="241">
        <f>T77/T78</f>
        <v>5.5555555555555552E-2</v>
      </c>
      <c r="Z7" s="287"/>
      <c r="AJ7" s="348"/>
      <c r="AK7" s="348"/>
      <c r="AL7" s="348"/>
      <c r="AM7" s="348"/>
    </row>
    <row r="8" spans="1:69" x14ac:dyDescent="0.35">
      <c r="A8" s="297"/>
      <c r="B8" s="349"/>
      <c r="E8" s="297" t="s">
        <v>273</v>
      </c>
      <c r="F8" s="241">
        <f>T84/T88</f>
        <v>0.33333333333333331</v>
      </c>
      <c r="G8" s="242">
        <f>T85/T88</f>
        <v>0.55555555555555558</v>
      </c>
      <c r="H8" s="241">
        <f>T86/T88</f>
        <v>0</v>
      </c>
      <c r="I8" s="241">
        <f>T87/T88</f>
        <v>0.1111111111111111</v>
      </c>
      <c r="Z8" s="287"/>
      <c r="AJ8" s="348"/>
      <c r="AK8" s="348"/>
      <c r="AL8" s="348"/>
      <c r="AM8" s="348"/>
    </row>
    <row r="9" spans="1:69" x14ac:dyDescent="0.35">
      <c r="A9" s="297"/>
      <c r="B9" s="349"/>
      <c r="Z9" s="287"/>
      <c r="AJ9" s="348"/>
      <c r="AK9" s="348"/>
      <c r="AL9" s="348"/>
      <c r="AM9" s="348"/>
    </row>
    <row r="10" spans="1:69" x14ac:dyDescent="0.35">
      <c r="A10" s="297"/>
      <c r="B10" s="349"/>
      <c r="Z10" s="287"/>
      <c r="AJ10" s="348"/>
      <c r="AK10" s="348"/>
      <c r="AL10" s="348"/>
      <c r="AM10" s="348"/>
    </row>
    <row r="11" spans="1:69" x14ac:dyDescent="0.35">
      <c r="A11" s="297" t="s">
        <v>2051</v>
      </c>
      <c r="Z11" s="287"/>
    </row>
    <row r="12" spans="1:69" x14ac:dyDescent="0.35">
      <c r="Z12" s="287"/>
    </row>
    <row r="13" spans="1:69" x14ac:dyDescent="0.35">
      <c r="E13" s="322" t="s">
        <v>1931</v>
      </c>
      <c r="F13" s="141" t="s">
        <v>2141</v>
      </c>
      <c r="G13" s="142">
        <f>B29+B28</f>
        <v>83</v>
      </c>
      <c r="H13" s="336" t="str" cm="1">
        <f t="array" ref="H13:P13">TRANSPOSE(_xlfn.UNIQUE(ANNOUNCEMENTS!Z2:Z180))</f>
        <v>Joint D&amp;D</v>
      </c>
      <c r="I13" s="336" t="str">
        <v>Joint Production</v>
      </c>
      <c r="J13" s="336" t="str">
        <v>Joint Service Agreement</v>
      </c>
      <c r="K13" s="336" t="str">
        <v>Other</v>
      </c>
      <c r="L13" s="336" t="str">
        <v>Supply Partnership (extended)</v>
      </c>
      <c r="M13" s="335" t="str">
        <v>Research &amp; Collaboration</v>
      </c>
      <c r="N13" s="335" t="str">
        <v>Licensing</v>
      </c>
      <c r="O13" s="335" t="str">
        <v>Marketing Agreement</v>
      </c>
      <c r="P13" s="335" t="str">
        <v>Supply Partnership (traditional)</v>
      </c>
      <c r="Q13" s="298"/>
      <c r="R13" s="337"/>
      <c r="Z13" s="287"/>
    </row>
    <row r="14" spans="1:69" x14ac:dyDescent="0.35">
      <c r="C14" s="313"/>
      <c r="D14" s="297"/>
      <c r="E14" s="334" t="str" cm="1">
        <f t="array" ref="E14:E20">_xlfn._xlws.SORT(_xlfn.ANCHORARRAY(BP16),1)</f>
        <v>1. Informal Agreement</v>
      </c>
      <c r="F14" s="347"/>
      <c r="G14" s="347"/>
      <c r="H14" s="333">
        <f>COUNTIFS(ANNOUNCEMENTS!$W$2:$W$180,$E14,ANNOUNCEMENTS!$Z$2:$Z$180,H$13,ANNOUNCEMENTS!$J$2:$J$180,$A$29)+
COUNTIFS(ANNOUNCEMENTS!$W$2:$W$180,$E14,ANNOUNCEMENTS!$AB$2:$AB$180,H$13,ANNOUNCEMENTS!$J$2:$J$180,$A$29)+
COUNTIFS(ANNOUNCEMENTS!$W$2:$W$180,$E14,ANNOUNCEMENTS!$AD$2:$AD$180,H$13,ANNOUNCEMENTS!$J$2:$J$180,$A$29)+
COUNTIFS(ANNOUNCEMENTS!$W$2:$W$180,$E14,ANNOUNCEMENTS!$Z$2:$Z$180,H$13,ANNOUNCEMENTS!$J$2:$J$180,$A$28)+
COUNTIFS(ANNOUNCEMENTS!$W$2:$W$180,$E14,ANNOUNCEMENTS!$AB$2:$AB$180,H$13,ANNOUNCEMENTS!$J$2:$J$180,$A$28)+
COUNTIFS(ANNOUNCEMENTS!$W$2:$W$180,$E14,ANNOUNCEMENTS!$AD$2:$AD$180,H$13,ANNOUNCEMENTS!$J$2:$J$180,$A$28)</f>
        <v>0</v>
      </c>
      <c r="I14" s="333">
        <f>COUNTIFS(ANNOUNCEMENTS!$W$2:$W$180,$E14,ANNOUNCEMENTS!$Z$2:$Z$180,I$13,ANNOUNCEMENTS!$J$2:$J$180,$A$29)+
COUNTIFS(ANNOUNCEMENTS!$W$2:$W$180,$E14,ANNOUNCEMENTS!$AB$2:$AB$180,I$13,ANNOUNCEMENTS!$J$2:$J$180,$A$29)+
COUNTIFS(ANNOUNCEMENTS!$W$2:$W$180,$E14,ANNOUNCEMENTS!$AD$2:$AD$180,I$13,ANNOUNCEMENTS!$J$2:$J$180,$A$29)+
COUNTIFS(ANNOUNCEMENTS!$W$2:$W$180,$E14,ANNOUNCEMENTS!$Z$2:$Z$180,I$13,ANNOUNCEMENTS!$J$2:$J$180,$A$28)+
COUNTIFS(ANNOUNCEMENTS!$W$2:$W$180,$E14,ANNOUNCEMENTS!$AB$2:$AB$180,I$13,ANNOUNCEMENTS!$J$2:$J$180,$A$28)+
COUNTIFS(ANNOUNCEMENTS!$W$2:$W$180,$E14,ANNOUNCEMENTS!$AD$2:$AD$180,I$13,ANNOUNCEMENTS!$J$2:$J$180,$A$28)</f>
        <v>0</v>
      </c>
      <c r="J14" s="333">
        <f>COUNTIFS(ANNOUNCEMENTS!$W$2:$W$180,$E14,ANNOUNCEMENTS!$Z$2:$Z$180,J$13,ANNOUNCEMENTS!$J$2:$J$180,$A$29)+
COUNTIFS(ANNOUNCEMENTS!$W$2:$W$180,$E14,ANNOUNCEMENTS!$AB$2:$AB$180,J$13,ANNOUNCEMENTS!$J$2:$J$180,$A$29)+
COUNTIFS(ANNOUNCEMENTS!$W$2:$W$180,$E14,ANNOUNCEMENTS!$AD$2:$AD$180,J$13,ANNOUNCEMENTS!$J$2:$J$180,$A$29)+
COUNTIFS(ANNOUNCEMENTS!$W$2:$W$180,$E14,ANNOUNCEMENTS!$Z$2:$Z$180,J$13,ANNOUNCEMENTS!$J$2:$J$180,$A$28)+
COUNTIFS(ANNOUNCEMENTS!$W$2:$W$180,$E14,ANNOUNCEMENTS!$AB$2:$AB$180,J$13,ANNOUNCEMENTS!$J$2:$J$180,$A$28)+
COUNTIFS(ANNOUNCEMENTS!$W$2:$W$180,$E14,ANNOUNCEMENTS!$AD$2:$AD$180,J$13,ANNOUNCEMENTS!$J$2:$J$180,$A$28)</f>
        <v>0</v>
      </c>
      <c r="K14" s="333">
        <f>COUNTIFS(ANNOUNCEMENTS!$W$2:$W$180,$E14,ANNOUNCEMENTS!$Z$2:$Z$180,K$13,ANNOUNCEMENTS!$J$2:$J$180,$A$29)+
COUNTIFS(ANNOUNCEMENTS!$W$2:$W$180,$E14,ANNOUNCEMENTS!$AB$2:$AB$180,K$13,ANNOUNCEMENTS!$J$2:$J$180,$A$29)+
COUNTIFS(ANNOUNCEMENTS!$W$2:$W$180,$E14,ANNOUNCEMENTS!$AD$2:$AD$180,K$13,ANNOUNCEMENTS!$J$2:$J$180,$A$29)+
COUNTIFS(ANNOUNCEMENTS!$W$2:$W$180,$E14,ANNOUNCEMENTS!$Z$2:$Z$180,K$13,ANNOUNCEMENTS!$J$2:$J$180,$A$28)+
COUNTIFS(ANNOUNCEMENTS!$W$2:$W$180,$E14,ANNOUNCEMENTS!$AB$2:$AB$180,K$13,ANNOUNCEMENTS!$J$2:$J$180,$A$28)+
COUNTIFS(ANNOUNCEMENTS!$W$2:$W$180,$E14,ANNOUNCEMENTS!$AD$2:$AD$180,K$13,ANNOUNCEMENTS!$J$2:$J$180,$A$28)</f>
        <v>0</v>
      </c>
      <c r="L14" s="333">
        <f>COUNTIFS(ANNOUNCEMENTS!$W$2:$W$180,$E14,ANNOUNCEMENTS!$Z$2:$Z$180,L$13,ANNOUNCEMENTS!$J$2:$J$180,$A$29)+
COUNTIFS(ANNOUNCEMENTS!$W$2:$W$180,$E14,ANNOUNCEMENTS!$AB$2:$AB$180,L$13,ANNOUNCEMENTS!$J$2:$J$180,$A$29)+
COUNTIFS(ANNOUNCEMENTS!$W$2:$W$180,$E14,ANNOUNCEMENTS!$AD$2:$AD$180,L$13,ANNOUNCEMENTS!$J$2:$J$180,$A$29)+
COUNTIFS(ANNOUNCEMENTS!$W$2:$W$180,$E14,ANNOUNCEMENTS!$Z$2:$Z$180,L$13,ANNOUNCEMENTS!$J$2:$J$180,$A$28)+
COUNTIFS(ANNOUNCEMENTS!$W$2:$W$180,$E14,ANNOUNCEMENTS!$AB$2:$AB$180,L$13,ANNOUNCEMENTS!$J$2:$J$180,$A$28)+
COUNTIFS(ANNOUNCEMENTS!$W$2:$W$180,$E14,ANNOUNCEMENTS!$AD$2:$AD$180,L$13,ANNOUNCEMENTS!$J$2:$J$180,$A$28)</f>
        <v>0</v>
      </c>
      <c r="M14" s="333">
        <f>COUNTIFS(ANNOUNCEMENTS!$W$2:$W$180,$E14,ANNOUNCEMENTS!$Z$2:$Z$180,M$13,ANNOUNCEMENTS!$J$2:$J$180,$A$29)+
COUNTIFS(ANNOUNCEMENTS!$W$2:$W$180,$E14,ANNOUNCEMENTS!$AB$2:$AB$180,M$13,ANNOUNCEMENTS!$J$2:$J$180,$A$29)+
COUNTIFS(ANNOUNCEMENTS!$W$2:$W$180,$E14,ANNOUNCEMENTS!$AD$2:$AD$180,M$13,ANNOUNCEMENTS!$J$2:$J$180,$A$29)+
COUNTIFS(ANNOUNCEMENTS!$W$2:$W$180,$E14,ANNOUNCEMENTS!$Z$2:$Z$180,M$13,ANNOUNCEMENTS!$J$2:$J$180,$A$28)+
COUNTIFS(ANNOUNCEMENTS!$W$2:$W$180,$E14,ANNOUNCEMENTS!$AB$2:$AB$180,M$13,ANNOUNCEMENTS!$J$2:$J$180,$A$28)+
COUNTIFS(ANNOUNCEMENTS!$W$2:$W$180,$E14,ANNOUNCEMENTS!$AD$2:$AD$180,M$13,ANNOUNCEMENTS!$J$2:$J$180,$A$28)</f>
        <v>0</v>
      </c>
      <c r="N14" s="333">
        <f>COUNTIFS(ANNOUNCEMENTS!$W$2:$W$180,$E14,ANNOUNCEMENTS!$Z$2:$Z$180,N$13,ANNOUNCEMENTS!$J$2:$J$180,$A$29)+
COUNTIFS(ANNOUNCEMENTS!$W$2:$W$180,$E14,ANNOUNCEMENTS!$AB$2:$AB$180,N$13,ANNOUNCEMENTS!$J$2:$J$180,$A$29)+
COUNTIFS(ANNOUNCEMENTS!$W$2:$W$180,$E14,ANNOUNCEMENTS!$AD$2:$AD$180,N$13,ANNOUNCEMENTS!$J$2:$J$180,$A$29)+
COUNTIFS(ANNOUNCEMENTS!$W$2:$W$180,$E14,ANNOUNCEMENTS!$Z$2:$Z$180,N$13,ANNOUNCEMENTS!$J$2:$J$180,$A$28)+
COUNTIFS(ANNOUNCEMENTS!$W$2:$W$180,$E14,ANNOUNCEMENTS!$AB$2:$AB$180,N$13,ANNOUNCEMENTS!$J$2:$J$180,$A$28)+
COUNTIFS(ANNOUNCEMENTS!$W$2:$W$180,$E14,ANNOUNCEMENTS!$AD$2:$AD$180,N$13,ANNOUNCEMENTS!$J$2:$J$180,$A$28)</f>
        <v>1</v>
      </c>
      <c r="O14" s="333">
        <f>COUNTIFS(ANNOUNCEMENTS!$W$2:$W$180,$E14,ANNOUNCEMENTS!$Z$2:$Z$180,O$13,ANNOUNCEMENTS!$J$2:$J$180,$A$29)+
COUNTIFS(ANNOUNCEMENTS!$W$2:$W$180,$E14,ANNOUNCEMENTS!$AB$2:$AB$180,O$13,ANNOUNCEMENTS!$J$2:$J$180,$A$29)+
COUNTIFS(ANNOUNCEMENTS!$W$2:$W$180,$E14,ANNOUNCEMENTS!$AD$2:$AD$180,O$13,ANNOUNCEMENTS!$J$2:$J$180,$A$29)+
COUNTIFS(ANNOUNCEMENTS!$W$2:$W$180,$E14,ANNOUNCEMENTS!$Z$2:$Z$180,O$13,ANNOUNCEMENTS!$J$2:$J$180,$A$28)+
COUNTIFS(ANNOUNCEMENTS!$W$2:$W$180,$E14,ANNOUNCEMENTS!$AB$2:$AB$180,O$13,ANNOUNCEMENTS!$J$2:$J$180,$A$28)+
COUNTIFS(ANNOUNCEMENTS!$W$2:$W$180,$E14,ANNOUNCEMENTS!$AD$2:$AD$180,O$13,ANNOUNCEMENTS!$J$2:$J$180,$A$28)</f>
        <v>1</v>
      </c>
      <c r="P14" s="333">
        <f>COUNTIFS(ANNOUNCEMENTS!$W$2:$W$180,$E14,ANNOUNCEMENTS!$Z$2:$Z$180,P$13,ANNOUNCEMENTS!$J$2:$J$180,$A$29)+
COUNTIFS(ANNOUNCEMENTS!$W$2:$W$180,$E14,ANNOUNCEMENTS!$AB$2:$AB$180,P$13,ANNOUNCEMENTS!$J$2:$J$180,$A$29)+
COUNTIFS(ANNOUNCEMENTS!$W$2:$W$180,$E14,ANNOUNCEMENTS!$AD$2:$AD$180,P$13,ANNOUNCEMENTS!$J$2:$J$180,$A$29)+
COUNTIFS(ANNOUNCEMENTS!$W$2:$W$180,$E14,ANNOUNCEMENTS!$Z$2:$Z$180,P$13,ANNOUNCEMENTS!$J$2:$J$180,$A$28)+
COUNTIFS(ANNOUNCEMENTS!$W$2:$W$180,$E14,ANNOUNCEMENTS!$AB$2:$AB$180,P$13,ANNOUNCEMENTS!$J$2:$J$180,$A$28)+
COUNTIFS(ANNOUNCEMENTS!$W$2:$W$180,$E14,ANNOUNCEMENTS!$AD$2:$AD$180,P$13,ANNOUNCEMENTS!$J$2:$J$180,$A$28)</f>
        <v>0</v>
      </c>
      <c r="Q14" s="346">
        <f>COUNTIFS(ANNOUNCEMENTS!$W$2:$W$180,$E14,ANNOUNCEMENTS!$J$2:$J$180,$A$29)+
COUNTIFS(ANNOUNCEMENTS!$W$2:$W$180,$E14,ANNOUNCEMENTS!$J$2:$J$180,$A$28)</f>
        <v>2</v>
      </c>
      <c r="R14" s="143">
        <f>Q14/SUM($Q$14:$Q$20)</f>
        <v>2.4096385542168676E-2</v>
      </c>
      <c r="Z14" s="287"/>
    </row>
    <row r="15" spans="1:69" x14ac:dyDescent="0.35">
      <c r="A15" s="297" t="s">
        <v>2085</v>
      </c>
      <c r="B15" s="21">
        <f>COUNTA(_xlfn.UNIQUE(ANNOUNCEMENTS!E2:E180))</f>
        <v>39</v>
      </c>
      <c r="C15" s="297"/>
      <c r="E15" s="334" t="str">
        <v>2.1. Short term Alliance (no exclusivity / previous experience)</v>
      </c>
      <c r="F15" s="347"/>
      <c r="G15" s="347"/>
      <c r="H15" s="333">
        <f>COUNTIFS(ANNOUNCEMENTS!$W$2:$W$180,$E15,ANNOUNCEMENTS!$Z$2:$Z$180,H$13,ANNOUNCEMENTS!$J$2:$J$180,$A$29)+
COUNTIFS(ANNOUNCEMENTS!$W$2:$W$180,$E15,ANNOUNCEMENTS!$AB$2:$AB$180,H$13,ANNOUNCEMENTS!$J$2:$J$180,$A$29)+
COUNTIFS(ANNOUNCEMENTS!$W$2:$W$180,$E15,ANNOUNCEMENTS!$AD$2:$AD$180,H$13,ANNOUNCEMENTS!$J$2:$J$180,$A$29)+
COUNTIFS(ANNOUNCEMENTS!$W$2:$W$180,$E15,ANNOUNCEMENTS!$Z$2:$Z$180,H$13,ANNOUNCEMENTS!$J$2:$J$180,$A$28)+
COUNTIFS(ANNOUNCEMENTS!$W$2:$W$180,$E15,ANNOUNCEMENTS!$AB$2:$AB$180,H$13,ANNOUNCEMENTS!$J$2:$J$180,$A$28)+
COUNTIFS(ANNOUNCEMENTS!$W$2:$W$180,$E15,ANNOUNCEMENTS!$AD$2:$AD$180,H$13,ANNOUNCEMENTS!$J$2:$J$180,$A$28)</f>
        <v>18</v>
      </c>
      <c r="I15" s="333">
        <f>COUNTIFS(ANNOUNCEMENTS!$W$2:$W$180,$E15,ANNOUNCEMENTS!$Z$2:$Z$180,I$13,ANNOUNCEMENTS!$J$2:$J$180,$A$29)+
COUNTIFS(ANNOUNCEMENTS!$W$2:$W$180,$E15,ANNOUNCEMENTS!$AB$2:$AB$180,I$13,ANNOUNCEMENTS!$J$2:$J$180,$A$29)+
COUNTIFS(ANNOUNCEMENTS!$W$2:$W$180,$E15,ANNOUNCEMENTS!$AD$2:$AD$180,I$13,ANNOUNCEMENTS!$J$2:$J$180,$A$29)+
COUNTIFS(ANNOUNCEMENTS!$W$2:$W$180,$E15,ANNOUNCEMENTS!$Z$2:$Z$180,I$13,ANNOUNCEMENTS!$J$2:$J$180,$A$28)+
COUNTIFS(ANNOUNCEMENTS!$W$2:$W$180,$E15,ANNOUNCEMENTS!$AB$2:$AB$180,I$13,ANNOUNCEMENTS!$J$2:$J$180,$A$28)+
COUNTIFS(ANNOUNCEMENTS!$W$2:$W$180,$E15,ANNOUNCEMENTS!$AD$2:$AD$180,I$13,ANNOUNCEMENTS!$J$2:$J$180,$A$28)</f>
        <v>2</v>
      </c>
      <c r="J15" s="333">
        <f>COUNTIFS(ANNOUNCEMENTS!$W$2:$W$180,$E15,ANNOUNCEMENTS!$Z$2:$Z$180,J$13,ANNOUNCEMENTS!$J$2:$J$180,$A$29)+
COUNTIFS(ANNOUNCEMENTS!$W$2:$W$180,$E15,ANNOUNCEMENTS!$AB$2:$AB$180,J$13,ANNOUNCEMENTS!$J$2:$J$180,$A$29)+
COUNTIFS(ANNOUNCEMENTS!$W$2:$W$180,$E15,ANNOUNCEMENTS!$AD$2:$AD$180,J$13,ANNOUNCEMENTS!$J$2:$J$180,$A$29)+
COUNTIFS(ANNOUNCEMENTS!$W$2:$W$180,$E15,ANNOUNCEMENTS!$Z$2:$Z$180,J$13,ANNOUNCEMENTS!$J$2:$J$180,$A$28)+
COUNTIFS(ANNOUNCEMENTS!$W$2:$W$180,$E15,ANNOUNCEMENTS!$AB$2:$AB$180,J$13,ANNOUNCEMENTS!$J$2:$J$180,$A$28)+
COUNTIFS(ANNOUNCEMENTS!$W$2:$W$180,$E15,ANNOUNCEMENTS!$AD$2:$AD$180,J$13,ANNOUNCEMENTS!$J$2:$J$180,$A$28)</f>
        <v>10</v>
      </c>
      <c r="K15" s="333">
        <f>COUNTIFS(ANNOUNCEMENTS!$W$2:$W$180,$E15,ANNOUNCEMENTS!$Z$2:$Z$180,K$13,ANNOUNCEMENTS!$J$2:$J$180,$A$29)+
COUNTIFS(ANNOUNCEMENTS!$W$2:$W$180,$E15,ANNOUNCEMENTS!$AB$2:$AB$180,K$13,ANNOUNCEMENTS!$J$2:$J$180,$A$29)+
COUNTIFS(ANNOUNCEMENTS!$W$2:$W$180,$E15,ANNOUNCEMENTS!$AD$2:$AD$180,K$13,ANNOUNCEMENTS!$J$2:$J$180,$A$29)+
COUNTIFS(ANNOUNCEMENTS!$W$2:$W$180,$E15,ANNOUNCEMENTS!$Z$2:$Z$180,K$13,ANNOUNCEMENTS!$J$2:$J$180,$A$28)+
COUNTIFS(ANNOUNCEMENTS!$W$2:$W$180,$E15,ANNOUNCEMENTS!$AB$2:$AB$180,K$13,ANNOUNCEMENTS!$J$2:$J$180,$A$28)+
COUNTIFS(ANNOUNCEMENTS!$W$2:$W$180,$E15,ANNOUNCEMENTS!$AD$2:$AD$180,K$13,ANNOUNCEMENTS!$J$2:$J$180,$A$28)</f>
        <v>2</v>
      </c>
      <c r="L15" s="333">
        <f>COUNTIFS(ANNOUNCEMENTS!$W$2:$W$180,$E15,ANNOUNCEMENTS!$Z$2:$Z$180,L$13,ANNOUNCEMENTS!$J$2:$J$180,$A$29)+
COUNTIFS(ANNOUNCEMENTS!$W$2:$W$180,$E15,ANNOUNCEMENTS!$AB$2:$AB$180,L$13,ANNOUNCEMENTS!$J$2:$J$180,$A$29)+
COUNTIFS(ANNOUNCEMENTS!$W$2:$W$180,$E15,ANNOUNCEMENTS!$AD$2:$AD$180,L$13,ANNOUNCEMENTS!$J$2:$J$180,$A$29)+
COUNTIFS(ANNOUNCEMENTS!$W$2:$W$180,$E15,ANNOUNCEMENTS!$Z$2:$Z$180,L$13,ANNOUNCEMENTS!$J$2:$J$180,$A$28)+
COUNTIFS(ANNOUNCEMENTS!$W$2:$W$180,$E15,ANNOUNCEMENTS!$AB$2:$AB$180,L$13,ANNOUNCEMENTS!$J$2:$J$180,$A$28)+
COUNTIFS(ANNOUNCEMENTS!$W$2:$W$180,$E15,ANNOUNCEMENTS!$AD$2:$AD$180,L$13,ANNOUNCEMENTS!$J$2:$J$180,$A$28)</f>
        <v>2</v>
      </c>
      <c r="M15" s="333">
        <f>COUNTIFS(ANNOUNCEMENTS!$W$2:$W$180,$E15,ANNOUNCEMENTS!$Z$2:$Z$180,M$13,ANNOUNCEMENTS!$J$2:$J$180,$A$29)+
COUNTIFS(ANNOUNCEMENTS!$W$2:$W$180,$E15,ANNOUNCEMENTS!$AB$2:$AB$180,M$13,ANNOUNCEMENTS!$J$2:$J$180,$A$29)+
COUNTIFS(ANNOUNCEMENTS!$W$2:$W$180,$E15,ANNOUNCEMENTS!$AD$2:$AD$180,M$13,ANNOUNCEMENTS!$J$2:$J$180,$A$29)+
COUNTIFS(ANNOUNCEMENTS!$W$2:$W$180,$E15,ANNOUNCEMENTS!$Z$2:$Z$180,M$13,ANNOUNCEMENTS!$J$2:$J$180,$A$28)+
COUNTIFS(ANNOUNCEMENTS!$W$2:$W$180,$E15,ANNOUNCEMENTS!$AB$2:$AB$180,M$13,ANNOUNCEMENTS!$J$2:$J$180,$A$28)+
COUNTIFS(ANNOUNCEMENTS!$W$2:$W$180,$E15,ANNOUNCEMENTS!$AD$2:$AD$180,M$13,ANNOUNCEMENTS!$J$2:$J$180,$A$28)</f>
        <v>11</v>
      </c>
      <c r="N15" s="333">
        <f>COUNTIFS(ANNOUNCEMENTS!$W$2:$W$180,$E15,ANNOUNCEMENTS!$Z$2:$Z$180,N$13,ANNOUNCEMENTS!$J$2:$J$180,$A$29)+
COUNTIFS(ANNOUNCEMENTS!$W$2:$W$180,$E15,ANNOUNCEMENTS!$AB$2:$AB$180,N$13,ANNOUNCEMENTS!$J$2:$J$180,$A$29)+
COUNTIFS(ANNOUNCEMENTS!$W$2:$W$180,$E15,ANNOUNCEMENTS!$AD$2:$AD$180,N$13,ANNOUNCEMENTS!$J$2:$J$180,$A$29)+
COUNTIFS(ANNOUNCEMENTS!$W$2:$W$180,$E15,ANNOUNCEMENTS!$Z$2:$Z$180,N$13,ANNOUNCEMENTS!$J$2:$J$180,$A$28)+
COUNTIFS(ANNOUNCEMENTS!$W$2:$W$180,$E15,ANNOUNCEMENTS!$AB$2:$AB$180,N$13,ANNOUNCEMENTS!$J$2:$J$180,$A$28)+
COUNTIFS(ANNOUNCEMENTS!$W$2:$W$180,$E15,ANNOUNCEMENTS!$AD$2:$AD$180,N$13,ANNOUNCEMENTS!$J$2:$J$180,$A$28)</f>
        <v>2</v>
      </c>
      <c r="O15" s="333">
        <f>COUNTIFS(ANNOUNCEMENTS!$W$2:$W$180,$E15,ANNOUNCEMENTS!$Z$2:$Z$180,O$13,ANNOUNCEMENTS!$J$2:$J$180,$A$29)+
COUNTIFS(ANNOUNCEMENTS!$W$2:$W$180,$E15,ANNOUNCEMENTS!$AB$2:$AB$180,O$13,ANNOUNCEMENTS!$J$2:$J$180,$A$29)+
COUNTIFS(ANNOUNCEMENTS!$W$2:$W$180,$E15,ANNOUNCEMENTS!$AD$2:$AD$180,O$13,ANNOUNCEMENTS!$J$2:$J$180,$A$29)+
COUNTIFS(ANNOUNCEMENTS!$W$2:$W$180,$E15,ANNOUNCEMENTS!$Z$2:$Z$180,O$13,ANNOUNCEMENTS!$J$2:$J$180,$A$28)+
COUNTIFS(ANNOUNCEMENTS!$W$2:$W$180,$E15,ANNOUNCEMENTS!$AB$2:$AB$180,O$13,ANNOUNCEMENTS!$J$2:$J$180,$A$28)+
COUNTIFS(ANNOUNCEMENTS!$W$2:$W$180,$E15,ANNOUNCEMENTS!$AD$2:$AD$180,O$13,ANNOUNCEMENTS!$J$2:$J$180,$A$28)</f>
        <v>0</v>
      </c>
      <c r="P15" s="333">
        <f>COUNTIFS(ANNOUNCEMENTS!$W$2:$W$180,$E15,ANNOUNCEMENTS!$Z$2:$Z$180,P$13,ANNOUNCEMENTS!$J$2:$J$180,$A$29)+
COUNTIFS(ANNOUNCEMENTS!$W$2:$W$180,$E15,ANNOUNCEMENTS!$AB$2:$AB$180,P$13,ANNOUNCEMENTS!$J$2:$J$180,$A$29)+
COUNTIFS(ANNOUNCEMENTS!$W$2:$W$180,$E15,ANNOUNCEMENTS!$AD$2:$AD$180,P$13,ANNOUNCEMENTS!$J$2:$J$180,$A$29)+
COUNTIFS(ANNOUNCEMENTS!$W$2:$W$180,$E15,ANNOUNCEMENTS!$Z$2:$Z$180,P$13,ANNOUNCEMENTS!$J$2:$J$180,$A$28)+
COUNTIFS(ANNOUNCEMENTS!$W$2:$W$180,$E15,ANNOUNCEMENTS!$AB$2:$AB$180,P$13,ANNOUNCEMENTS!$J$2:$J$180,$A$28)+
COUNTIFS(ANNOUNCEMENTS!$W$2:$W$180,$E15,ANNOUNCEMENTS!$AD$2:$AD$180,P$13,ANNOUNCEMENTS!$J$2:$J$180,$A$28)</f>
        <v>2</v>
      </c>
      <c r="Q15" s="346">
        <f>COUNTIFS(ANNOUNCEMENTS!$W$2:$W$180,$E15,ANNOUNCEMENTS!$J$2:$J$180,$A$29)+
COUNTIFS(ANNOUNCEMENTS!$W$2:$W$180,$E15,ANNOUNCEMENTS!$J$2:$J$180,$A$28)</f>
        <v>44</v>
      </c>
      <c r="R15" s="143">
        <f>Q15/SUM($Q$14:$Q$20)</f>
        <v>0.53012048192771088</v>
      </c>
      <c r="Z15" s="287"/>
    </row>
    <row r="16" spans="1:69" x14ac:dyDescent="0.35">
      <c r="A16" s="297" t="s">
        <v>2144</v>
      </c>
      <c r="B16" s="297">
        <f>COUNTA(_xlfn.UNIQUE(ANNOUNCEMENTS!G2:G180))</f>
        <v>53</v>
      </c>
      <c r="C16" s="297"/>
      <c r="E16" s="334" t="str">
        <v xml:space="preserve">2.2. Renewed Alliance </v>
      </c>
      <c r="F16" s="347"/>
      <c r="G16" s="347"/>
      <c r="H16" s="333">
        <f>COUNTIFS(ANNOUNCEMENTS!$W$2:$W$180,$E16,ANNOUNCEMENTS!$Z$2:$Z$180,H$13,ANNOUNCEMENTS!$J$2:$J$180,$A$29)+
COUNTIFS(ANNOUNCEMENTS!$W$2:$W$180,$E16,ANNOUNCEMENTS!$AB$2:$AB$180,H$13,ANNOUNCEMENTS!$J$2:$J$180,$A$29)+
COUNTIFS(ANNOUNCEMENTS!$W$2:$W$180,$E16,ANNOUNCEMENTS!$AD$2:$AD$180,H$13,ANNOUNCEMENTS!$J$2:$J$180,$A$29)+
COUNTIFS(ANNOUNCEMENTS!$W$2:$W$180,$E16,ANNOUNCEMENTS!$Z$2:$Z$180,H$13,ANNOUNCEMENTS!$J$2:$J$180,$A$28)+
COUNTIFS(ANNOUNCEMENTS!$W$2:$W$180,$E16,ANNOUNCEMENTS!$AB$2:$AB$180,H$13,ANNOUNCEMENTS!$J$2:$J$180,$A$28)+
COUNTIFS(ANNOUNCEMENTS!$W$2:$W$180,$E16,ANNOUNCEMENTS!$AD$2:$AD$180,H$13,ANNOUNCEMENTS!$J$2:$J$180,$A$28)</f>
        <v>4</v>
      </c>
      <c r="I16" s="333">
        <f>COUNTIFS(ANNOUNCEMENTS!$W$2:$W$180,$E16,ANNOUNCEMENTS!$Z$2:$Z$180,I$13,ANNOUNCEMENTS!$J$2:$J$180,$A$29)+
COUNTIFS(ANNOUNCEMENTS!$W$2:$W$180,$E16,ANNOUNCEMENTS!$AB$2:$AB$180,I$13,ANNOUNCEMENTS!$J$2:$J$180,$A$29)+
COUNTIFS(ANNOUNCEMENTS!$W$2:$W$180,$E16,ANNOUNCEMENTS!$AD$2:$AD$180,I$13,ANNOUNCEMENTS!$J$2:$J$180,$A$29)+
COUNTIFS(ANNOUNCEMENTS!$W$2:$W$180,$E16,ANNOUNCEMENTS!$Z$2:$Z$180,I$13,ANNOUNCEMENTS!$J$2:$J$180,$A$28)+
COUNTIFS(ANNOUNCEMENTS!$W$2:$W$180,$E16,ANNOUNCEMENTS!$AB$2:$AB$180,I$13,ANNOUNCEMENTS!$J$2:$J$180,$A$28)+
COUNTIFS(ANNOUNCEMENTS!$W$2:$W$180,$E16,ANNOUNCEMENTS!$AD$2:$AD$180,I$13,ANNOUNCEMENTS!$J$2:$J$180,$A$28)</f>
        <v>1</v>
      </c>
      <c r="J16" s="333">
        <f>COUNTIFS(ANNOUNCEMENTS!$W$2:$W$180,$E16,ANNOUNCEMENTS!$Z$2:$Z$180,J$13,ANNOUNCEMENTS!$J$2:$J$180,$A$29)+
COUNTIFS(ANNOUNCEMENTS!$W$2:$W$180,$E16,ANNOUNCEMENTS!$AB$2:$AB$180,J$13,ANNOUNCEMENTS!$J$2:$J$180,$A$29)+
COUNTIFS(ANNOUNCEMENTS!$W$2:$W$180,$E16,ANNOUNCEMENTS!$AD$2:$AD$180,J$13,ANNOUNCEMENTS!$J$2:$J$180,$A$29)+
COUNTIFS(ANNOUNCEMENTS!$W$2:$W$180,$E16,ANNOUNCEMENTS!$Z$2:$Z$180,J$13,ANNOUNCEMENTS!$J$2:$J$180,$A$28)+
COUNTIFS(ANNOUNCEMENTS!$W$2:$W$180,$E16,ANNOUNCEMENTS!$AB$2:$AB$180,J$13,ANNOUNCEMENTS!$J$2:$J$180,$A$28)+
COUNTIFS(ANNOUNCEMENTS!$W$2:$W$180,$E16,ANNOUNCEMENTS!$AD$2:$AD$180,J$13,ANNOUNCEMENTS!$J$2:$J$180,$A$28)</f>
        <v>3</v>
      </c>
      <c r="K16" s="333">
        <f>COUNTIFS(ANNOUNCEMENTS!$W$2:$W$180,$E16,ANNOUNCEMENTS!$Z$2:$Z$180,K$13,ANNOUNCEMENTS!$J$2:$J$180,$A$29)+
COUNTIFS(ANNOUNCEMENTS!$W$2:$W$180,$E16,ANNOUNCEMENTS!$AB$2:$AB$180,K$13,ANNOUNCEMENTS!$J$2:$J$180,$A$29)+
COUNTIFS(ANNOUNCEMENTS!$W$2:$W$180,$E16,ANNOUNCEMENTS!$AD$2:$AD$180,K$13,ANNOUNCEMENTS!$J$2:$J$180,$A$29)+
COUNTIFS(ANNOUNCEMENTS!$W$2:$W$180,$E16,ANNOUNCEMENTS!$Z$2:$Z$180,K$13,ANNOUNCEMENTS!$J$2:$J$180,$A$28)+
COUNTIFS(ANNOUNCEMENTS!$W$2:$W$180,$E16,ANNOUNCEMENTS!$AB$2:$AB$180,K$13,ANNOUNCEMENTS!$J$2:$J$180,$A$28)+
COUNTIFS(ANNOUNCEMENTS!$W$2:$W$180,$E16,ANNOUNCEMENTS!$AD$2:$AD$180,K$13,ANNOUNCEMENTS!$J$2:$J$180,$A$28)</f>
        <v>0</v>
      </c>
      <c r="L16" s="333">
        <f>COUNTIFS(ANNOUNCEMENTS!$W$2:$W$180,$E16,ANNOUNCEMENTS!$Z$2:$Z$180,L$13,ANNOUNCEMENTS!$J$2:$J$180,$A$29)+
COUNTIFS(ANNOUNCEMENTS!$W$2:$W$180,$E16,ANNOUNCEMENTS!$AB$2:$AB$180,L$13,ANNOUNCEMENTS!$J$2:$J$180,$A$29)+
COUNTIFS(ANNOUNCEMENTS!$W$2:$W$180,$E16,ANNOUNCEMENTS!$AD$2:$AD$180,L$13,ANNOUNCEMENTS!$J$2:$J$180,$A$29)+
COUNTIFS(ANNOUNCEMENTS!$W$2:$W$180,$E16,ANNOUNCEMENTS!$Z$2:$Z$180,L$13,ANNOUNCEMENTS!$J$2:$J$180,$A$28)+
COUNTIFS(ANNOUNCEMENTS!$W$2:$W$180,$E16,ANNOUNCEMENTS!$AB$2:$AB$180,L$13,ANNOUNCEMENTS!$J$2:$J$180,$A$28)+
COUNTIFS(ANNOUNCEMENTS!$W$2:$W$180,$E16,ANNOUNCEMENTS!$AD$2:$AD$180,L$13,ANNOUNCEMENTS!$J$2:$J$180,$A$28)</f>
        <v>0</v>
      </c>
      <c r="M16" s="333">
        <f>COUNTIFS(ANNOUNCEMENTS!$W$2:$W$180,$E16,ANNOUNCEMENTS!$Z$2:$Z$180,M$13,ANNOUNCEMENTS!$J$2:$J$180,$A$29)+
COUNTIFS(ANNOUNCEMENTS!$W$2:$W$180,$E16,ANNOUNCEMENTS!$AB$2:$AB$180,M$13,ANNOUNCEMENTS!$J$2:$J$180,$A$29)+
COUNTIFS(ANNOUNCEMENTS!$W$2:$W$180,$E16,ANNOUNCEMENTS!$AD$2:$AD$180,M$13,ANNOUNCEMENTS!$J$2:$J$180,$A$29)+
COUNTIFS(ANNOUNCEMENTS!$W$2:$W$180,$E16,ANNOUNCEMENTS!$Z$2:$Z$180,M$13,ANNOUNCEMENTS!$J$2:$J$180,$A$28)+
COUNTIFS(ANNOUNCEMENTS!$W$2:$W$180,$E16,ANNOUNCEMENTS!$AB$2:$AB$180,M$13,ANNOUNCEMENTS!$J$2:$J$180,$A$28)+
COUNTIFS(ANNOUNCEMENTS!$W$2:$W$180,$E16,ANNOUNCEMENTS!$AD$2:$AD$180,M$13,ANNOUNCEMENTS!$J$2:$J$180,$A$28)</f>
        <v>4</v>
      </c>
      <c r="N16" s="333">
        <f>COUNTIFS(ANNOUNCEMENTS!$W$2:$W$180,$E16,ANNOUNCEMENTS!$Z$2:$Z$180,N$13,ANNOUNCEMENTS!$J$2:$J$180,$A$29)+
COUNTIFS(ANNOUNCEMENTS!$W$2:$W$180,$E16,ANNOUNCEMENTS!$AB$2:$AB$180,N$13,ANNOUNCEMENTS!$J$2:$J$180,$A$29)+
COUNTIFS(ANNOUNCEMENTS!$W$2:$W$180,$E16,ANNOUNCEMENTS!$AD$2:$AD$180,N$13,ANNOUNCEMENTS!$J$2:$J$180,$A$29)+
COUNTIFS(ANNOUNCEMENTS!$W$2:$W$180,$E16,ANNOUNCEMENTS!$Z$2:$Z$180,N$13,ANNOUNCEMENTS!$J$2:$J$180,$A$28)+
COUNTIFS(ANNOUNCEMENTS!$W$2:$W$180,$E16,ANNOUNCEMENTS!$AB$2:$AB$180,N$13,ANNOUNCEMENTS!$J$2:$J$180,$A$28)+
COUNTIFS(ANNOUNCEMENTS!$W$2:$W$180,$E16,ANNOUNCEMENTS!$AD$2:$AD$180,N$13,ANNOUNCEMENTS!$J$2:$J$180,$A$28)</f>
        <v>0</v>
      </c>
      <c r="O16" s="333">
        <f>COUNTIFS(ANNOUNCEMENTS!$W$2:$W$180,$E16,ANNOUNCEMENTS!$Z$2:$Z$180,O$13,ANNOUNCEMENTS!$J$2:$J$180,$A$29)+
COUNTIFS(ANNOUNCEMENTS!$W$2:$W$180,$E16,ANNOUNCEMENTS!$AB$2:$AB$180,O$13,ANNOUNCEMENTS!$J$2:$J$180,$A$29)+
COUNTIFS(ANNOUNCEMENTS!$W$2:$W$180,$E16,ANNOUNCEMENTS!$AD$2:$AD$180,O$13,ANNOUNCEMENTS!$J$2:$J$180,$A$29)+
COUNTIFS(ANNOUNCEMENTS!$W$2:$W$180,$E16,ANNOUNCEMENTS!$Z$2:$Z$180,O$13,ANNOUNCEMENTS!$J$2:$J$180,$A$28)+
COUNTIFS(ANNOUNCEMENTS!$W$2:$W$180,$E16,ANNOUNCEMENTS!$AB$2:$AB$180,O$13,ANNOUNCEMENTS!$J$2:$J$180,$A$28)+
COUNTIFS(ANNOUNCEMENTS!$W$2:$W$180,$E16,ANNOUNCEMENTS!$AD$2:$AD$180,O$13,ANNOUNCEMENTS!$J$2:$J$180,$A$28)</f>
        <v>1</v>
      </c>
      <c r="P16" s="333">
        <f>COUNTIFS(ANNOUNCEMENTS!$W$2:$W$180,$E16,ANNOUNCEMENTS!$Z$2:$Z$180,P$13,ANNOUNCEMENTS!$J$2:$J$180,$A$29)+
COUNTIFS(ANNOUNCEMENTS!$W$2:$W$180,$E16,ANNOUNCEMENTS!$AB$2:$AB$180,P$13,ANNOUNCEMENTS!$J$2:$J$180,$A$29)+
COUNTIFS(ANNOUNCEMENTS!$W$2:$W$180,$E16,ANNOUNCEMENTS!$AD$2:$AD$180,P$13,ANNOUNCEMENTS!$J$2:$J$180,$A$29)+
COUNTIFS(ANNOUNCEMENTS!$W$2:$W$180,$E16,ANNOUNCEMENTS!$Z$2:$Z$180,P$13,ANNOUNCEMENTS!$J$2:$J$180,$A$28)+
COUNTIFS(ANNOUNCEMENTS!$W$2:$W$180,$E16,ANNOUNCEMENTS!$AB$2:$AB$180,P$13,ANNOUNCEMENTS!$J$2:$J$180,$A$28)+
COUNTIFS(ANNOUNCEMENTS!$W$2:$W$180,$E16,ANNOUNCEMENTS!$AD$2:$AD$180,P$13,ANNOUNCEMENTS!$J$2:$J$180,$A$28)</f>
        <v>2</v>
      </c>
      <c r="Q16" s="346">
        <f>COUNTIFS(ANNOUNCEMENTS!$W$2:$W$180,$E16,ANNOUNCEMENTS!$J$2:$J$180,$A$29)+
COUNTIFS(ANNOUNCEMENTS!$W$2:$W$180,$E16,ANNOUNCEMENTS!$J$2:$J$180,$A$28)</f>
        <v>11</v>
      </c>
      <c r="R16" s="143">
        <f>Q16/SUM($Q$14:$Q$20)</f>
        <v>0.13253012048192772</v>
      </c>
      <c r="Z16" s="287"/>
      <c r="BP16" s="21" t="str" cm="1">
        <f t="array" ref="BP16:BP22">_xlfn.UNIQUE(ANNOUNCEMENTS!W2:W180)</f>
        <v xml:space="preserve">2.2. Renewed Alliance </v>
      </c>
      <c r="BQ16" s="287"/>
    </row>
    <row r="17" spans="1:68" x14ac:dyDescent="0.35">
      <c r="A17" s="297" t="s">
        <v>2151</v>
      </c>
      <c r="B17" s="21">
        <f>B16-B15</f>
        <v>14</v>
      </c>
      <c r="E17" s="334" t="str">
        <v>2.3. Long term Alliance</v>
      </c>
      <c r="F17" s="347"/>
      <c r="G17" s="347"/>
      <c r="H17" s="333">
        <f>COUNTIFS(ANNOUNCEMENTS!$W$2:$W$180,$E17,ANNOUNCEMENTS!$Z$2:$Z$180,H$13,ANNOUNCEMENTS!$J$2:$J$180,$A$29)+
COUNTIFS(ANNOUNCEMENTS!$W$2:$W$180,$E17,ANNOUNCEMENTS!$AB$2:$AB$180,H$13,ANNOUNCEMENTS!$J$2:$J$180,$A$29)+
COUNTIFS(ANNOUNCEMENTS!$W$2:$W$180,$E17,ANNOUNCEMENTS!$AD$2:$AD$180,H$13,ANNOUNCEMENTS!$J$2:$J$180,$A$29)+
COUNTIFS(ANNOUNCEMENTS!$W$2:$W$180,$E17,ANNOUNCEMENTS!$Z$2:$Z$180,H$13,ANNOUNCEMENTS!$J$2:$J$180,$A$28)+
COUNTIFS(ANNOUNCEMENTS!$W$2:$W$180,$E17,ANNOUNCEMENTS!$AB$2:$AB$180,H$13,ANNOUNCEMENTS!$J$2:$J$180,$A$28)+
COUNTIFS(ANNOUNCEMENTS!$W$2:$W$180,$E17,ANNOUNCEMENTS!$AD$2:$AD$180,H$13,ANNOUNCEMENTS!$J$2:$J$180,$A$28)</f>
        <v>4</v>
      </c>
      <c r="I17" s="333">
        <f>COUNTIFS(ANNOUNCEMENTS!$W$2:$W$180,$E17,ANNOUNCEMENTS!$Z$2:$Z$180,I$13,ANNOUNCEMENTS!$J$2:$J$180,$A$29)+
COUNTIFS(ANNOUNCEMENTS!$W$2:$W$180,$E17,ANNOUNCEMENTS!$AB$2:$AB$180,I$13,ANNOUNCEMENTS!$J$2:$J$180,$A$29)+
COUNTIFS(ANNOUNCEMENTS!$W$2:$W$180,$E17,ANNOUNCEMENTS!$AD$2:$AD$180,I$13,ANNOUNCEMENTS!$J$2:$J$180,$A$29)+
COUNTIFS(ANNOUNCEMENTS!$W$2:$W$180,$E17,ANNOUNCEMENTS!$Z$2:$Z$180,I$13,ANNOUNCEMENTS!$J$2:$J$180,$A$28)+
COUNTIFS(ANNOUNCEMENTS!$W$2:$W$180,$E17,ANNOUNCEMENTS!$AB$2:$AB$180,I$13,ANNOUNCEMENTS!$J$2:$J$180,$A$28)+
COUNTIFS(ANNOUNCEMENTS!$W$2:$W$180,$E17,ANNOUNCEMENTS!$AD$2:$AD$180,I$13,ANNOUNCEMENTS!$J$2:$J$180,$A$28)</f>
        <v>2</v>
      </c>
      <c r="J17" s="333">
        <f>COUNTIFS(ANNOUNCEMENTS!$W$2:$W$180,$E17,ANNOUNCEMENTS!$Z$2:$Z$180,J$13,ANNOUNCEMENTS!$J$2:$J$180,$A$29)+
COUNTIFS(ANNOUNCEMENTS!$W$2:$W$180,$E17,ANNOUNCEMENTS!$AB$2:$AB$180,J$13,ANNOUNCEMENTS!$J$2:$J$180,$A$29)+
COUNTIFS(ANNOUNCEMENTS!$W$2:$W$180,$E17,ANNOUNCEMENTS!$AD$2:$AD$180,J$13,ANNOUNCEMENTS!$J$2:$J$180,$A$29)+
COUNTIFS(ANNOUNCEMENTS!$W$2:$W$180,$E17,ANNOUNCEMENTS!$Z$2:$Z$180,J$13,ANNOUNCEMENTS!$J$2:$J$180,$A$28)+
COUNTIFS(ANNOUNCEMENTS!$W$2:$W$180,$E17,ANNOUNCEMENTS!$AB$2:$AB$180,J$13,ANNOUNCEMENTS!$J$2:$J$180,$A$28)+
COUNTIFS(ANNOUNCEMENTS!$W$2:$W$180,$E17,ANNOUNCEMENTS!$AD$2:$AD$180,J$13,ANNOUNCEMENTS!$J$2:$J$180,$A$28)</f>
        <v>7</v>
      </c>
      <c r="K17" s="333">
        <f>COUNTIFS(ANNOUNCEMENTS!$W$2:$W$180,$E17,ANNOUNCEMENTS!$Z$2:$Z$180,K$13,ANNOUNCEMENTS!$J$2:$J$180,$A$29)+
COUNTIFS(ANNOUNCEMENTS!$W$2:$W$180,$E17,ANNOUNCEMENTS!$AB$2:$AB$180,K$13,ANNOUNCEMENTS!$J$2:$J$180,$A$29)+
COUNTIFS(ANNOUNCEMENTS!$W$2:$W$180,$E17,ANNOUNCEMENTS!$AD$2:$AD$180,K$13,ANNOUNCEMENTS!$J$2:$J$180,$A$29)+
COUNTIFS(ANNOUNCEMENTS!$W$2:$W$180,$E17,ANNOUNCEMENTS!$Z$2:$Z$180,K$13,ANNOUNCEMENTS!$J$2:$J$180,$A$28)+
COUNTIFS(ANNOUNCEMENTS!$W$2:$W$180,$E17,ANNOUNCEMENTS!$AB$2:$AB$180,K$13,ANNOUNCEMENTS!$J$2:$J$180,$A$28)+
COUNTIFS(ANNOUNCEMENTS!$W$2:$W$180,$E17,ANNOUNCEMENTS!$AD$2:$AD$180,K$13,ANNOUNCEMENTS!$J$2:$J$180,$A$28)</f>
        <v>1</v>
      </c>
      <c r="L17" s="333">
        <f>COUNTIFS(ANNOUNCEMENTS!$W$2:$W$180,$E17,ANNOUNCEMENTS!$Z$2:$Z$180,L$13,ANNOUNCEMENTS!$J$2:$J$180,$A$29)+
COUNTIFS(ANNOUNCEMENTS!$W$2:$W$180,$E17,ANNOUNCEMENTS!$AB$2:$AB$180,L$13,ANNOUNCEMENTS!$J$2:$J$180,$A$29)+
COUNTIFS(ANNOUNCEMENTS!$W$2:$W$180,$E17,ANNOUNCEMENTS!$AD$2:$AD$180,L$13,ANNOUNCEMENTS!$J$2:$J$180,$A$29)+
COUNTIFS(ANNOUNCEMENTS!$W$2:$W$180,$E17,ANNOUNCEMENTS!$Z$2:$Z$180,L$13,ANNOUNCEMENTS!$J$2:$J$180,$A$28)+
COUNTIFS(ANNOUNCEMENTS!$W$2:$W$180,$E17,ANNOUNCEMENTS!$AB$2:$AB$180,L$13,ANNOUNCEMENTS!$J$2:$J$180,$A$28)+
COUNTIFS(ANNOUNCEMENTS!$W$2:$W$180,$E17,ANNOUNCEMENTS!$AD$2:$AD$180,L$13,ANNOUNCEMENTS!$J$2:$J$180,$A$28)</f>
        <v>2</v>
      </c>
      <c r="M17" s="333">
        <f>COUNTIFS(ANNOUNCEMENTS!$W$2:$W$180,$E17,ANNOUNCEMENTS!$Z$2:$Z$180,M$13,ANNOUNCEMENTS!$J$2:$J$180,$A$29)+
COUNTIFS(ANNOUNCEMENTS!$W$2:$W$180,$E17,ANNOUNCEMENTS!$AB$2:$AB$180,M$13,ANNOUNCEMENTS!$J$2:$J$180,$A$29)+
COUNTIFS(ANNOUNCEMENTS!$W$2:$W$180,$E17,ANNOUNCEMENTS!$AD$2:$AD$180,M$13,ANNOUNCEMENTS!$J$2:$J$180,$A$29)+
COUNTIFS(ANNOUNCEMENTS!$W$2:$W$180,$E17,ANNOUNCEMENTS!$Z$2:$Z$180,M$13,ANNOUNCEMENTS!$J$2:$J$180,$A$28)+
COUNTIFS(ANNOUNCEMENTS!$W$2:$W$180,$E17,ANNOUNCEMENTS!$AB$2:$AB$180,M$13,ANNOUNCEMENTS!$J$2:$J$180,$A$28)+
COUNTIFS(ANNOUNCEMENTS!$W$2:$W$180,$E17,ANNOUNCEMENTS!$AD$2:$AD$180,M$13,ANNOUNCEMENTS!$J$2:$J$180,$A$28)</f>
        <v>2</v>
      </c>
      <c r="N17" s="333">
        <f>COUNTIFS(ANNOUNCEMENTS!$W$2:$W$180,$E17,ANNOUNCEMENTS!$Z$2:$Z$180,N$13,ANNOUNCEMENTS!$J$2:$J$180,$A$29)+
COUNTIFS(ANNOUNCEMENTS!$W$2:$W$180,$E17,ANNOUNCEMENTS!$AB$2:$AB$180,N$13,ANNOUNCEMENTS!$J$2:$J$180,$A$29)+
COUNTIFS(ANNOUNCEMENTS!$W$2:$W$180,$E17,ANNOUNCEMENTS!$AD$2:$AD$180,N$13,ANNOUNCEMENTS!$J$2:$J$180,$A$29)+
COUNTIFS(ANNOUNCEMENTS!$W$2:$W$180,$E17,ANNOUNCEMENTS!$Z$2:$Z$180,N$13,ANNOUNCEMENTS!$J$2:$J$180,$A$28)+
COUNTIFS(ANNOUNCEMENTS!$W$2:$W$180,$E17,ANNOUNCEMENTS!$AB$2:$AB$180,N$13,ANNOUNCEMENTS!$J$2:$J$180,$A$28)+
COUNTIFS(ANNOUNCEMENTS!$W$2:$W$180,$E17,ANNOUNCEMENTS!$AD$2:$AD$180,N$13,ANNOUNCEMENTS!$J$2:$J$180,$A$28)</f>
        <v>0</v>
      </c>
      <c r="O17" s="333">
        <f>COUNTIFS(ANNOUNCEMENTS!$W$2:$W$180,$E17,ANNOUNCEMENTS!$Z$2:$Z$180,O$13,ANNOUNCEMENTS!$J$2:$J$180,$A$29)+
COUNTIFS(ANNOUNCEMENTS!$W$2:$W$180,$E17,ANNOUNCEMENTS!$AB$2:$AB$180,O$13,ANNOUNCEMENTS!$J$2:$J$180,$A$29)+
COUNTIFS(ANNOUNCEMENTS!$W$2:$W$180,$E17,ANNOUNCEMENTS!$AD$2:$AD$180,O$13,ANNOUNCEMENTS!$J$2:$J$180,$A$29)+
COUNTIFS(ANNOUNCEMENTS!$W$2:$W$180,$E17,ANNOUNCEMENTS!$Z$2:$Z$180,O$13,ANNOUNCEMENTS!$J$2:$J$180,$A$28)+
COUNTIFS(ANNOUNCEMENTS!$W$2:$W$180,$E17,ANNOUNCEMENTS!$AB$2:$AB$180,O$13,ANNOUNCEMENTS!$J$2:$J$180,$A$28)+
COUNTIFS(ANNOUNCEMENTS!$W$2:$W$180,$E17,ANNOUNCEMENTS!$AD$2:$AD$180,O$13,ANNOUNCEMENTS!$J$2:$J$180,$A$28)</f>
        <v>0</v>
      </c>
      <c r="P17" s="333">
        <f>COUNTIFS(ANNOUNCEMENTS!$W$2:$W$180,$E17,ANNOUNCEMENTS!$Z$2:$Z$180,P$13,ANNOUNCEMENTS!$J$2:$J$180,$A$29)+
COUNTIFS(ANNOUNCEMENTS!$W$2:$W$180,$E17,ANNOUNCEMENTS!$AB$2:$AB$180,P$13,ANNOUNCEMENTS!$J$2:$J$180,$A$29)+
COUNTIFS(ANNOUNCEMENTS!$W$2:$W$180,$E17,ANNOUNCEMENTS!$AD$2:$AD$180,P$13,ANNOUNCEMENTS!$J$2:$J$180,$A$29)+
COUNTIFS(ANNOUNCEMENTS!$W$2:$W$180,$E17,ANNOUNCEMENTS!$Z$2:$Z$180,P$13,ANNOUNCEMENTS!$J$2:$J$180,$A$28)+
COUNTIFS(ANNOUNCEMENTS!$W$2:$W$180,$E17,ANNOUNCEMENTS!$AB$2:$AB$180,P$13,ANNOUNCEMENTS!$J$2:$J$180,$A$28)+
COUNTIFS(ANNOUNCEMENTS!$W$2:$W$180,$E17,ANNOUNCEMENTS!$AD$2:$AD$180,P$13,ANNOUNCEMENTS!$J$2:$J$180,$A$28)</f>
        <v>2</v>
      </c>
      <c r="Q17" s="346">
        <f>COUNTIFS(ANNOUNCEMENTS!$W$2:$W$180,$E17,ANNOUNCEMENTS!$J$2:$J$180,$A$29)+
COUNTIFS(ANNOUNCEMENTS!$W$2:$W$180,$E17,ANNOUNCEMENTS!$J$2:$J$180,$A$28)</f>
        <v>16</v>
      </c>
      <c r="R17" s="143">
        <f>Q17/SUM($Q$14:$Q$20)</f>
        <v>0.19277108433734941</v>
      </c>
      <c r="Z17" s="287"/>
      <c r="BP17" s="21" t="str">
        <v>2.4. Exclusive Alliance</v>
      </c>
    </row>
    <row r="18" spans="1:68" x14ac:dyDescent="0.35">
      <c r="A18" s="297" t="s">
        <v>2149</v>
      </c>
      <c r="B18" s="21">
        <f>COUNTA(CBIMPORT!C2:C171)-COUNTA(CBIMPORT!C2:C40)</f>
        <v>131</v>
      </c>
      <c r="E18" s="334" t="str">
        <v>2.4. Exclusive Alliance</v>
      </c>
      <c r="F18" s="347"/>
      <c r="G18" s="347"/>
      <c r="H18" s="333">
        <f>COUNTIFS(ANNOUNCEMENTS!$W$2:$W$180,$E18,ANNOUNCEMENTS!$Z$2:$Z$180,H$13,ANNOUNCEMENTS!$J$2:$J$180,$A$29)+
COUNTIFS(ANNOUNCEMENTS!$W$2:$W$180,$E18,ANNOUNCEMENTS!$AB$2:$AB$180,H$13,ANNOUNCEMENTS!$J$2:$J$180,$A$29)+
COUNTIFS(ANNOUNCEMENTS!$W$2:$W$180,$E18,ANNOUNCEMENTS!$AD$2:$AD$180,H$13,ANNOUNCEMENTS!$J$2:$J$180,$A$29)+
COUNTIFS(ANNOUNCEMENTS!$W$2:$W$180,$E18,ANNOUNCEMENTS!$Z$2:$Z$180,H$13,ANNOUNCEMENTS!$J$2:$J$180,$A$28)+
COUNTIFS(ANNOUNCEMENTS!$W$2:$W$180,$E18,ANNOUNCEMENTS!$AB$2:$AB$180,H$13,ANNOUNCEMENTS!$J$2:$J$180,$A$28)+
COUNTIFS(ANNOUNCEMENTS!$W$2:$W$180,$E18,ANNOUNCEMENTS!$AD$2:$AD$180,H$13,ANNOUNCEMENTS!$J$2:$J$180,$A$28)</f>
        <v>2</v>
      </c>
      <c r="I18" s="333">
        <f>COUNTIFS(ANNOUNCEMENTS!$W$2:$W$180,$E18,ANNOUNCEMENTS!$Z$2:$Z$180,I$13,ANNOUNCEMENTS!$J$2:$J$180,$A$29)+
COUNTIFS(ANNOUNCEMENTS!$W$2:$W$180,$E18,ANNOUNCEMENTS!$AB$2:$AB$180,I$13,ANNOUNCEMENTS!$J$2:$J$180,$A$29)+
COUNTIFS(ANNOUNCEMENTS!$W$2:$W$180,$E18,ANNOUNCEMENTS!$AD$2:$AD$180,I$13,ANNOUNCEMENTS!$J$2:$J$180,$A$29)+
COUNTIFS(ANNOUNCEMENTS!$W$2:$W$180,$E18,ANNOUNCEMENTS!$Z$2:$Z$180,I$13,ANNOUNCEMENTS!$J$2:$J$180,$A$28)+
COUNTIFS(ANNOUNCEMENTS!$W$2:$W$180,$E18,ANNOUNCEMENTS!$AB$2:$AB$180,I$13,ANNOUNCEMENTS!$J$2:$J$180,$A$28)+
COUNTIFS(ANNOUNCEMENTS!$W$2:$W$180,$E18,ANNOUNCEMENTS!$AD$2:$AD$180,I$13,ANNOUNCEMENTS!$J$2:$J$180,$A$28)</f>
        <v>0</v>
      </c>
      <c r="J18" s="333">
        <f>COUNTIFS(ANNOUNCEMENTS!$W$2:$W$180,$E18,ANNOUNCEMENTS!$Z$2:$Z$180,J$13,ANNOUNCEMENTS!$J$2:$J$180,$A$29)+
COUNTIFS(ANNOUNCEMENTS!$W$2:$W$180,$E18,ANNOUNCEMENTS!$AB$2:$AB$180,J$13,ANNOUNCEMENTS!$J$2:$J$180,$A$29)+
COUNTIFS(ANNOUNCEMENTS!$W$2:$W$180,$E18,ANNOUNCEMENTS!$AD$2:$AD$180,J$13,ANNOUNCEMENTS!$J$2:$J$180,$A$29)+
COUNTIFS(ANNOUNCEMENTS!$W$2:$W$180,$E18,ANNOUNCEMENTS!$Z$2:$Z$180,J$13,ANNOUNCEMENTS!$J$2:$J$180,$A$28)+
COUNTIFS(ANNOUNCEMENTS!$W$2:$W$180,$E18,ANNOUNCEMENTS!$AB$2:$AB$180,J$13,ANNOUNCEMENTS!$J$2:$J$180,$A$28)+
COUNTIFS(ANNOUNCEMENTS!$W$2:$W$180,$E18,ANNOUNCEMENTS!$AD$2:$AD$180,J$13,ANNOUNCEMENTS!$J$2:$J$180,$A$28)</f>
        <v>1</v>
      </c>
      <c r="K18" s="333">
        <f>COUNTIFS(ANNOUNCEMENTS!$W$2:$W$180,$E18,ANNOUNCEMENTS!$Z$2:$Z$180,K$13,ANNOUNCEMENTS!$J$2:$J$180,$A$29)+
COUNTIFS(ANNOUNCEMENTS!$W$2:$W$180,$E18,ANNOUNCEMENTS!$AB$2:$AB$180,K$13,ANNOUNCEMENTS!$J$2:$J$180,$A$29)+
COUNTIFS(ANNOUNCEMENTS!$W$2:$W$180,$E18,ANNOUNCEMENTS!$AD$2:$AD$180,K$13,ANNOUNCEMENTS!$J$2:$J$180,$A$29)+
COUNTIFS(ANNOUNCEMENTS!$W$2:$W$180,$E18,ANNOUNCEMENTS!$Z$2:$Z$180,K$13,ANNOUNCEMENTS!$J$2:$J$180,$A$28)+
COUNTIFS(ANNOUNCEMENTS!$W$2:$W$180,$E18,ANNOUNCEMENTS!$AB$2:$AB$180,K$13,ANNOUNCEMENTS!$J$2:$J$180,$A$28)+
COUNTIFS(ANNOUNCEMENTS!$W$2:$W$180,$E18,ANNOUNCEMENTS!$AD$2:$AD$180,K$13,ANNOUNCEMENTS!$J$2:$J$180,$A$28)</f>
        <v>0</v>
      </c>
      <c r="L18" s="333">
        <f>COUNTIFS(ANNOUNCEMENTS!$W$2:$W$180,$E18,ANNOUNCEMENTS!$Z$2:$Z$180,L$13,ANNOUNCEMENTS!$J$2:$J$180,$A$29)+
COUNTIFS(ANNOUNCEMENTS!$W$2:$W$180,$E18,ANNOUNCEMENTS!$AB$2:$AB$180,L$13,ANNOUNCEMENTS!$J$2:$J$180,$A$29)+
COUNTIFS(ANNOUNCEMENTS!$W$2:$W$180,$E18,ANNOUNCEMENTS!$AD$2:$AD$180,L$13,ANNOUNCEMENTS!$J$2:$J$180,$A$29)+
COUNTIFS(ANNOUNCEMENTS!$W$2:$W$180,$E18,ANNOUNCEMENTS!$Z$2:$Z$180,L$13,ANNOUNCEMENTS!$J$2:$J$180,$A$28)+
COUNTIFS(ANNOUNCEMENTS!$W$2:$W$180,$E18,ANNOUNCEMENTS!$AB$2:$AB$180,L$13,ANNOUNCEMENTS!$J$2:$J$180,$A$28)+
COUNTIFS(ANNOUNCEMENTS!$W$2:$W$180,$E18,ANNOUNCEMENTS!$AD$2:$AD$180,L$13,ANNOUNCEMENTS!$J$2:$J$180,$A$28)</f>
        <v>0</v>
      </c>
      <c r="M18" s="333">
        <f>COUNTIFS(ANNOUNCEMENTS!$W$2:$W$180,$E18,ANNOUNCEMENTS!$Z$2:$Z$180,M$13,ANNOUNCEMENTS!$J$2:$J$180,$A$29)+
COUNTIFS(ANNOUNCEMENTS!$W$2:$W$180,$E18,ANNOUNCEMENTS!$AB$2:$AB$180,M$13,ANNOUNCEMENTS!$J$2:$J$180,$A$29)+
COUNTIFS(ANNOUNCEMENTS!$W$2:$W$180,$E18,ANNOUNCEMENTS!$AD$2:$AD$180,M$13,ANNOUNCEMENTS!$J$2:$J$180,$A$29)+
COUNTIFS(ANNOUNCEMENTS!$W$2:$W$180,$E18,ANNOUNCEMENTS!$Z$2:$Z$180,M$13,ANNOUNCEMENTS!$J$2:$J$180,$A$28)+
COUNTIFS(ANNOUNCEMENTS!$W$2:$W$180,$E18,ANNOUNCEMENTS!$AB$2:$AB$180,M$13,ANNOUNCEMENTS!$J$2:$J$180,$A$28)+
COUNTIFS(ANNOUNCEMENTS!$W$2:$W$180,$E18,ANNOUNCEMENTS!$AD$2:$AD$180,M$13,ANNOUNCEMENTS!$J$2:$J$180,$A$28)</f>
        <v>2</v>
      </c>
      <c r="N18" s="333">
        <f>COUNTIFS(ANNOUNCEMENTS!$W$2:$W$180,$E18,ANNOUNCEMENTS!$Z$2:$Z$180,N$13,ANNOUNCEMENTS!$J$2:$J$180,$A$29)+
COUNTIFS(ANNOUNCEMENTS!$W$2:$W$180,$E18,ANNOUNCEMENTS!$AB$2:$AB$180,N$13,ANNOUNCEMENTS!$J$2:$J$180,$A$29)+
COUNTIFS(ANNOUNCEMENTS!$W$2:$W$180,$E18,ANNOUNCEMENTS!$AD$2:$AD$180,N$13,ANNOUNCEMENTS!$J$2:$J$180,$A$29)+
COUNTIFS(ANNOUNCEMENTS!$W$2:$W$180,$E18,ANNOUNCEMENTS!$Z$2:$Z$180,N$13,ANNOUNCEMENTS!$J$2:$J$180,$A$28)+
COUNTIFS(ANNOUNCEMENTS!$W$2:$W$180,$E18,ANNOUNCEMENTS!$AB$2:$AB$180,N$13,ANNOUNCEMENTS!$J$2:$J$180,$A$28)+
COUNTIFS(ANNOUNCEMENTS!$W$2:$W$180,$E18,ANNOUNCEMENTS!$AD$2:$AD$180,N$13,ANNOUNCEMENTS!$J$2:$J$180,$A$28)</f>
        <v>0</v>
      </c>
      <c r="O18" s="333">
        <f>COUNTIFS(ANNOUNCEMENTS!$W$2:$W$180,$E18,ANNOUNCEMENTS!$Z$2:$Z$180,O$13,ANNOUNCEMENTS!$J$2:$J$180,$A$29)+
COUNTIFS(ANNOUNCEMENTS!$W$2:$W$180,$E18,ANNOUNCEMENTS!$AB$2:$AB$180,O$13,ANNOUNCEMENTS!$J$2:$J$180,$A$29)+
COUNTIFS(ANNOUNCEMENTS!$W$2:$W$180,$E18,ANNOUNCEMENTS!$AD$2:$AD$180,O$13,ANNOUNCEMENTS!$J$2:$J$180,$A$29)+
COUNTIFS(ANNOUNCEMENTS!$W$2:$W$180,$E18,ANNOUNCEMENTS!$Z$2:$Z$180,O$13,ANNOUNCEMENTS!$J$2:$J$180,$A$28)+
COUNTIFS(ANNOUNCEMENTS!$W$2:$W$180,$E18,ANNOUNCEMENTS!$AB$2:$AB$180,O$13,ANNOUNCEMENTS!$J$2:$J$180,$A$28)+
COUNTIFS(ANNOUNCEMENTS!$W$2:$W$180,$E18,ANNOUNCEMENTS!$AD$2:$AD$180,O$13,ANNOUNCEMENTS!$J$2:$J$180,$A$28)</f>
        <v>0</v>
      </c>
      <c r="P18" s="333">
        <f>COUNTIFS(ANNOUNCEMENTS!$W$2:$W$180,$E18,ANNOUNCEMENTS!$Z$2:$Z$180,P$13,ANNOUNCEMENTS!$J$2:$J$180,$A$29)+
COUNTIFS(ANNOUNCEMENTS!$W$2:$W$180,$E18,ANNOUNCEMENTS!$AB$2:$AB$180,P$13,ANNOUNCEMENTS!$J$2:$J$180,$A$29)+
COUNTIFS(ANNOUNCEMENTS!$W$2:$W$180,$E18,ANNOUNCEMENTS!$AD$2:$AD$180,P$13,ANNOUNCEMENTS!$J$2:$J$180,$A$29)+
COUNTIFS(ANNOUNCEMENTS!$W$2:$W$180,$E18,ANNOUNCEMENTS!$Z$2:$Z$180,P$13,ANNOUNCEMENTS!$J$2:$J$180,$A$28)+
COUNTIFS(ANNOUNCEMENTS!$W$2:$W$180,$E18,ANNOUNCEMENTS!$AB$2:$AB$180,P$13,ANNOUNCEMENTS!$J$2:$J$180,$A$28)+
COUNTIFS(ANNOUNCEMENTS!$W$2:$W$180,$E18,ANNOUNCEMENTS!$AD$2:$AD$180,P$13,ANNOUNCEMENTS!$J$2:$J$180,$A$28)</f>
        <v>0</v>
      </c>
      <c r="Q18" s="346">
        <f>COUNTIFS(ANNOUNCEMENTS!$W$2:$W$180,$E18,ANNOUNCEMENTS!$J$2:$J$180,$A$29)+
COUNTIFS(ANNOUNCEMENTS!$W$2:$W$180,$E18,ANNOUNCEMENTS!$J$2:$J$180,$A$28)</f>
        <v>4</v>
      </c>
      <c r="R18" s="143">
        <f>Q18/SUM($Q$14:$Q$20)</f>
        <v>4.8192771084337352E-2</v>
      </c>
      <c r="Z18" s="287"/>
      <c r="BP18" s="21" t="str">
        <v>3. Strategic Partnership</v>
      </c>
    </row>
    <row r="19" spans="1:68" x14ac:dyDescent="0.35">
      <c r="A19" s="297" t="s">
        <v>2150</v>
      </c>
      <c r="B19" s="21">
        <f>COUNTA(_xlfn.UNIQUE(CBIMPORT!B41:B171))</f>
        <v>36</v>
      </c>
      <c r="E19" s="334" t="str">
        <v>3. Strategic Partnership</v>
      </c>
      <c r="F19" s="347"/>
      <c r="G19" s="347"/>
      <c r="H19" s="333">
        <f>COUNTIFS(ANNOUNCEMENTS!$W$2:$W$180,$E19,ANNOUNCEMENTS!$Z$2:$Z$180,H$13,ANNOUNCEMENTS!$J$2:$J$180,$A$29)+
COUNTIFS(ANNOUNCEMENTS!$W$2:$W$180,$E19,ANNOUNCEMENTS!$AB$2:$AB$180,H$13,ANNOUNCEMENTS!$J$2:$J$180,$A$29)+
COUNTIFS(ANNOUNCEMENTS!$W$2:$W$180,$E19,ANNOUNCEMENTS!$AD$2:$AD$180,H$13,ANNOUNCEMENTS!$J$2:$J$180,$A$29)+
COUNTIFS(ANNOUNCEMENTS!$W$2:$W$180,$E19,ANNOUNCEMENTS!$Z$2:$Z$180,H$13,ANNOUNCEMENTS!$J$2:$J$180,$A$28)+
COUNTIFS(ANNOUNCEMENTS!$W$2:$W$180,$E19,ANNOUNCEMENTS!$AB$2:$AB$180,H$13,ANNOUNCEMENTS!$J$2:$J$180,$A$28)+
COUNTIFS(ANNOUNCEMENTS!$W$2:$W$180,$E19,ANNOUNCEMENTS!$AD$2:$AD$180,H$13,ANNOUNCEMENTS!$J$2:$J$180,$A$28)</f>
        <v>2</v>
      </c>
      <c r="I19" s="333">
        <f>COUNTIFS(ANNOUNCEMENTS!$W$2:$W$180,$E19,ANNOUNCEMENTS!$Z$2:$Z$180,I$13,ANNOUNCEMENTS!$J$2:$J$180,$A$29)+
COUNTIFS(ANNOUNCEMENTS!$W$2:$W$180,$E19,ANNOUNCEMENTS!$AB$2:$AB$180,I$13,ANNOUNCEMENTS!$J$2:$J$180,$A$29)+
COUNTIFS(ANNOUNCEMENTS!$W$2:$W$180,$E19,ANNOUNCEMENTS!$AD$2:$AD$180,I$13,ANNOUNCEMENTS!$J$2:$J$180,$A$29)+
COUNTIFS(ANNOUNCEMENTS!$W$2:$W$180,$E19,ANNOUNCEMENTS!$Z$2:$Z$180,I$13,ANNOUNCEMENTS!$J$2:$J$180,$A$28)+
COUNTIFS(ANNOUNCEMENTS!$W$2:$W$180,$E19,ANNOUNCEMENTS!$AB$2:$AB$180,I$13,ANNOUNCEMENTS!$J$2:$J$180,$A$28)+
COUNTIFS(ANNOUNCEMENTS!$W$2:$W$180,$E19,ANNOUNCEMENTS!$AD$2:$AD$180,I$13,ANNOUNCEMENTS!$J$2:$J$180,$A$28)</f>
        <v>0</v>
      </c>
      <c r="J19" s="333">
        <f>COUNTIFS(ANNOUNCEMENTS!$W$2:$W$180,$E19,ANNOUNCEMENTS!$Z$2:$Z$180,J$13,ANNOUNCEMENTS!$J$2:$J$180,$A$29)+
COUNTIFS(ANNOUNCEMENTS!$W$2:$W$180,$E19,ANNOUNCEMENTS!$AB$2:$AB$180,J$13,ANNOUNCEMENTS!$J$2:$J$180,$A$29)+
COUNTIFS(ANNOUNCEMENTS!$W$2:$W$180,$E19,ANNOUNCEMENTS!$AD$2:$AD$180,J$13,ANNOUNCEMENTS!$J$2:$J$180,$A$29)+
COUNTIFS(ANNOUNCEMENTS!$W$2:$W$180,$E19,ANNOUNCEMENTS!$Z$2:$Z$180,J$13,ANNOUNCEMENTS!$J$2:$J$180,$A$28)+
COUNTIFS(ANNOUNCEMENTS!$W$2:$W$180,$E19,ANNOUNCEMENTS!$AB$2:$AB$180,J$13,ANNOUNCEMENTS!$J$2:$J$180,$A$28)+
COUNTIFS(ANNOUNCEMENTS!$W$2:$W$180,$E19,ANNOUNCEMENTS!$AD$2:$AD$180,J$13,ANNOUNCEMENTS!$J$2:$J$180,$A$28)</f>
        <v>0</v>
      </c>
      <c r="K19" s="333">
        <f>COUNTIFS(ANNOUNCEMENTS!$W$2:$W$180,$E19,ANNOUNCEMENTS!$Z$2:$Z$180,K$13,ANNOUNCEMENTS!$J$2:$J$180,$A$29)+
COUNTIFS(ANNOUNCEMENTS!$W$2:$W$180,$E19,ANNOUNCEMENTS!$AB$2:$AB$180,K$13,ANNOUNCEMENTS!$J$2:$J$180,$A$29)+
COUNTIFS(ANNOUNCEMENTS!$W$2:$W$180,$E19,ANNOUNCEMENTS!$AD$2:$AD$180,K$13,ANNOUNCEMENTS!$J$2:$J$180,$A$29)+
COUNTIFS(ANNOUNCEMENTS!$W$2:$W$180,$E19,ANNOUNCEMENTS!$Z$2:$Z$180,K$13,ANNOUNCEMENTS!$J$2:$J$180,$A$28)+
COUNTIFS(ANNOUNCEMENTS!$W$2:$W$180,$E19,ANNOUNCEMENTS!$AB$2:$AB$180,K$13,ANNOUNCEMENTS!$J$2:$J$180,$A$28)+
COUNTIFS(ANNOUNCEMENTS!$W$2:$W$180,$E19,ANNOUNCEMENTS!$AD$2:$AD$180,K$13,ANNOUNCEMENTS!$J$2:$J$180,$A$28)</f>
        <v>1</v>
      </c>
      <c r="L19" s="333">
        <f>COUNTIFS(ANNOUNCEMENTS!$W$2:$W$180,$E19,ANNOUNCEMENTS!$Z$2:$Z$180,L$13,ANNOUNCEMENTS!$J$2:$J$180,$A$29)+
COUNTIFS(ANNOUNCEMENTS!$W$2:$W$180,$E19,ANNOUNCEMENTS!$AB$2:$AB$180,L$13,ANNOUNCEMENTS!$J$2:$J$180,$A$29)+
COUNTIFS(ANNOUNCEMENTS!$W$2:$W$180,$E19,ANNOUNCEMENTS!$AD$2:$AD$180,L$13,ANNOUNCEMENTS!$J$2:$J$180,$A$29)+
COUNTIFS(ANNOUNCEMENTS!$W$2:$W$180,$E19,ANNOUNCEMENTS!$Z$2:$Z$180,L$13,ANNOUNCEMENTS!$J$2:$J$180,$A$28)+
COUNTIFS(ANNOUNCEMENTS!$W$2:$W$180,$E19,ANNOUNCEMENTS!$AB$2:$AB$180,L$13,ANNOUNCEMENTS!$J$2:$J$180,$A$28)+
COUNTIFS(ANNOUNCEMENTS!$W$2:$W$180,$E19,ANNOUNCEMENTS!$AD$2:$AD$180,L$13,ANNOUNCEMENTS!$J$2:$J$180,$A$28)</f>
        <v>0</v>
      </c>
      <c r="M19" s="333">
        <f>COUNTIFS(ANNOUNCEMENTS!$W$2:$W$180,$E19,ANNOUNCEMENTS!$Z$2:$Z$180,M$13,ANNOUNCEMENTS!$J$2:$J$180,$A$29)+
COUNTIFS(ANNOUNCEMENTS!$W$2:$W$180,$E19,ANNOUNCEMENTS!$AB$2:$AB$180,M$13,ANNOUNCEMENTS!$J$2:$J$180,$A$29)+
COUNTIFS(ANNOUNCEMENTS!$W$2:$W$180,$E19,ANNOUNCEMENTS!$AD$2:$AD$180,M$13,ANNOUNCEMENTS!$J$2:$J$180,$A$29)+
COUNTIFS(ANNOUNCEMENTS!$W$2:$W$180,$E19,ANNOUNCEMENTS!$Z$2:$Z$180,M$13,ANNOUNCEMENTS!$J$2:$J$180,$A$28)+
COUNTIFS(ANNOUNCEMENTS!$W$2:$W$180,$E19,ANNOUNCEMENTS!$AB$2:$AB$180,M$13,ANNOUNCEMENTS!$J$2:$J$180,$A$28)+
COUNTIFS(ANNOUNCEMENTS!$W$2:$W$180,$E19,ANNOUNCEMENTS!$AD$2:$AD$180,M$13,ANNOUNCEMENTS!$J$2:$J$180,$A$28)</f>
        <v>1</v>
      </c>
      <c r="N19" s="333">
        <f>COUNTIFS(ANNOUNCEMENTS!$W$2:$W$180,$E19,ANNOUNCEMENTS!$Z$2:$Z$180,N$13,ANNOUNCEMENTS!$J$2:$J$180,$A$29)+
COUNTIFS(ANNOUNCEMENTS!$W$2:$W$180,$E19,ANNOUNCEMENTS!$AB$2:$AB$180,N$13,ANNOUNCEMENTS!$J$2:$J$180,$A$29)+
COUNTIFS(ANNOUNCEMENTS!$W$2:$W$180,$E19,ANNOUNCEMENTS!$AD$2:$AD$180,N$13,ANNOUNCEMENTS!$J$2:$J$180,$A$29)+
COUNTIFS(ANNOUNCEMENTS!$W$2:$W$180,$E19,ANNOUNCEMENTS!$Z$2:$Z$180,N$13,ANNOUNCEMENTS!$J$2:$J$180,$A$28)+
COUNTIFS(ANNOUNCEMENTS!$W$2:$W$180,$E19,ANNOUNCEMENTS!$AB$2:$AB$180,N$13,ANNOUNCEMENTS!$J$2:$J$180,$A$28)+
COUNTIFS(ANNOUNCEMENTS!$W$2:$W$180,$E19,ANNOUNCEMENTS!$AD$2:$AD$180,N$13,ANNOUNCEMENTS!$J$2:$J$180,$A$28)</f>
        <v>0</v>
      </c>
      <c r="O19" s="333">
        <f>COUNTIFS(ANNOUNCEMENTS!$W$2:$W$180,$E19,ANNOUNCEMENTS!$Z$2:$Z$180,O$13,ANNOUNCEMENTS!$J$2:$J$180,$A$29)+
COUNTIFS(ANNOUNCEMENTS!$W$2:$W$180,$E19,ANNOUNCEMENTS!$AB$2:$AB$180,O$13,ANNOUNCEMENTS!$J$2:$J$180,$A$29)+
COUNTIFS(ANNOUNCEMENTS!$W$2:$W$180,$E19,ANNOUNCEMENTS!$AD$2:$AD$180,O$13,ANNOUNCEMENTS!$J$2:$J$180,$A$29)+
COUNTIFS(ANNOUNCEMENTS!$W$2:$W$180,$E19,ANNOUNCEMENTS!$Z$2:$Z$180,O$13,ANNOUNCEMENTS!$J$2:$J$180,$A$28)+
COUNTIFS(ANNOUNCEMENTS!$W$2:$W$180,$E19,ANNOUNCEMENTS!$AB$2:$AB$180,O$13,ANNOUNCEMENTS!$J$2:$J$180,$A$28)+
COUNTIFS(ANNOUNCEMENTS!$W$2:$W$180,$E19,ANNOUNCEMENTS!$AD$2:$AD$180,O$13,ANNOUNCEMENTS!$J$2:$J$180,$A$28)</f>
        <v>0</v>
      </c>
      <c r="P19" s="333">
        <f>COUNTIFS(ANNOUNCEMENTS!$W$2:$W$180,$E19,ANNOUNCEMENTS!$Z$2:$Z$180,P$13,ANNOUNCEMENTS!$J$2:$J$180,$A$29)+
COUNTIFS(ANNOUNCEMENTS!$W$2:$W$180,$E19,ANNOUNCEMENTS!$AB$2:$AB$180,P$13,ANNOUNCEMENTS!$J$2:$J$180,$A$29)+
COUNTIFS(ANNOUNCEMENTS!$W$2:$W$180,$E19,ANNOUNCEMENTS!$AD$2:$AD$180,P$13,ANNOUNCEMENTS!$J$2:$J$180,$A$29)+
COUNTIFS(ANNOUNCEMENTS!$W$2:$W$180,$E19,ANNOUNCEMENTS!$Z$2:$Z$180,P$13,ANNOUNCEMENTS!$J$2:$J$180,$A$28)+
COUNTIFS(ANNOUNCEMENTS!$W$2:$W$180,$E19,ANNOUNCEMENTS!$AB$2:$AB$180,P$13,ANNOUNCEMENTS!$J$2:$J$180,$A$28)+
COUNTIFS(ANNOUNCEMENTS!$W$2:$W$180,$E19,ANNOUNCEMENTS!$AD$2:$AD$180,P$13,ANNOUNCEMENTS!$J$2:$J$180,$A$28)</f>
        <v>0</v>
      </c>
      <c r="Q19" s="346">
        <f>COUNTIFS(ANNOUNCEMENTS!$W$2:$W$180,$E19,ANNOUNCEMENTS!$J$2:$J$180,$A$29)+
COUNTIFS(ANNOUNCEMENTS!$W$2:$W$180,$E19,ANNOUNCEMENTS!$J$2:$J$180,$A$28)</f>
        <v>3</v>
      </c>
      <c r="R19" s="143">
        <f>Q19/SUM($Q$14:$Q$20)</f>
        <v>3.614457831325301E-2</v>
      </c>
      <c r="Z19" s="287"/>
      <c r="BP19" s="21" t="str">
        <v>4. Joint Venture</v>
      </c>
    </row>
    <row r="20" spans="1:68" x14ac:dyDescent="0.35">
      <c r="A20" s="297" t="s">
        <v>2145</v>
      </c>
      <c r="B20" s="21">
        <f>COUNTA(_xlfn.UNIQUE(ANNOUNCEMENTS!A2:A180))</f>
        <v>165</v>
      </c>
      <c r="E20" s="334" t="str">
        <v>4. Joint Venture</v>
      </c>
      <c r="F20" s="347"/>
      <c r="G20" s="347"/>
      <c r="H20" s="333">
        <f>COUNTIFS(ANNOUNCEMENTS!$W$2:$W$180,$E20,ANNOUNCEMENTS!$Z$2:$Z$180,H$13,ANNOUNCEMENTS!$J$2:$J$180,$A$29)+
COUNTIFS(ANNOUNCEMENTS!$W$2:$W$180,$E20,ANNOUNCEMENTS!$AB$2:$AB$180,H$13,ANNOUNCEMENTS!$J$2:$J$180,$A$29)+
COUNTIFS(ANNOUNCEMENTS!$W$2:$W$180,$E20,ANNOUNCEMENTS!$AD$2:$AD$180,H$13,ANNOUNCEMENTS!$J$2:$J$180,$A$29)+
COUNTIFS(ANNOUNCEMENTS!$W$2:$W$180,$E20,ANNOUNCEMENTS!$Z$2:$Z$180,H$13,ANNOUNCEMENTS!$J$2:$J$180,$A$28)+
COUNTIFS(ANNOUNCEMENTS!$W$2:$W$180,$E20,ANNOUNCEMENTS!$AB$2:$AB$180,H$13,ANNOUNCEMENTS!$J$2:$J$180,$A$28)+
COUNTIFS(ANNOUNCEMENTS!$W$2:$W$180,$E20,ANNOUNCEMENTS!$AD$2:$AD$180,H$13,ANNOUNCEMENTS!$J$2:$J$180,$A$28)</f>
        <v>2</v>
      </c>
      <c r="I20" s="333">
        <f>COUNTIFS(ANNOUNCEMENTS!$W$2:$W$180,$E20,ANNOUNCEMENTS!$Z$2:$Z$180,I$13,ANNOUNCEMENTS!$J$2:$J$180,$A$29)+
COUNTIFS(ANNOUNCEMENTS!$W$2:$W$180,$E20,ANNOUNCEMENTS!$AB$2:$AB$180,I$13,ANNOUNCEMENTS!$J$2:$J$180,$A$29)+
COUNTIFS(ANNOUNCEMENTS!$W$2:$W$180,$E20,ANNOUNCEMENTS!$AD$2:$AD$180,I$13,ANNOUNCEMENTS!$J$2:$J$180,$A$29)+
COUNTIFS(ANNOUNCEMENTS!$W$2:$W$180,$E20,ANNOUNCEMENTS!$Z$2:$Z$180,I$13,ANNOUNCEMENTS!$J$2:$J$180,$A$28)+
COUNTIFS(ANNOUNCEMENTS!$W$2:$W$180,$E20,ANNOUNCEMENTS!$AB$2:$AB$180,I$13,ANNOUNCEMENTS!$J$2:$J$180,$A$28)+
COUNTIFS(ANNOUNCEMENTS!$W$2:$W$180,$E20,ANNOUNCEMENTS!$AD$2:$AD$180,I$13,ANNOUNCEMENTS!$J$2:$J$180,$A$28)</f>
        <v>0</v>
      </c>
      <c r="J20" s="333">
        <f>COUNTIFS(ANNOUNCEMENTS!$W$2:$W$180,$E20,ANNOUNCEMENTS!$Z$2:$Z$180,J$13,ANNOUNCEMENTS!$J$2:$J$180,$A$29)+
COUNTIFS(ANNOUNCEMENTS!$W$2:$W$180,$E20,ANNOUNCEMENTS!$AB$2:$AB$180,J$13,ANNOUNCEMENTS!$J$2:$J$180,$A$29)+
COUNTIFS(ANNOUNCEMENTS!$W$2:$W$180,$E20,ANNOUNCEMENTS!$AD$2:$AD$180,J$13,ANNOUNCEMENTS!$J$2:$J$180,$A$29)+
COUNTIFS(ANNOUNCEMENTS!$W$2:$W$180,$E20,ANNOUNCEMENTS!$Z$2:$Z$180,J$13,ANNOUNCEMENTS!$J$2:$J$180,$A$28)+
COUNTIFS(ANNOUNCEMENTS!$W$2:$W$180,$E20,ANNOUNCEMENTS!$AB$2:$AB$180,J$13,ANNOUNCEMENTS!$J$2:$J$180,$A$28)+
COUNTIFS(ANNOUNCEMENTS!$W$2:$W$180,$E20,ANNOUNCEMENTS!$AD$2:$AD$180,J$13,ANNOUNCEMENTS!$J$2:$J$180,$A$28)</f>
        <v>1</v>
      </c>
      <c r="K20" s="333">
        <f>COUNTIFS(ANNOUNCEMENTS!$W$2:$W$180,$E20,ANNOUNCEMENTS!$Z$2:$Z$180,K$13,ANNOUNCEMENTS!$J$2:$J$180,$A$29)+
COUNTIFS(ANNOUNCEMENTS!$W$2:$W$180,$E20,ANNOUNCEMENTS!$AB$2:$AB$180,K$13,ANNOUNCEMENTS!$J$2:$J$180,$A$29)+
COUNTIFS(ANNOUNCEMENTS!$W$2:$W$180,$E20,ANNOUNCEMENTS!$AD$2:$AD$180,K$13,ANNOUNCEMENTS!$J$2:$J$180,$A$29)+
COUNTIFS(ANNOUNCEMENTS!$W$2:$W$180,$E20,ANNOUNCEMENTS!$Z$2:$Z$180,K$13,ANNOUNCEMENTS!$J$2:$J$180,$A$28)+
COUNTIFS(ANNOUNCEMENTS!$W$2:$W$180,$E20,ANNOUNCEMENTS!$AB$2:$AB$180,K$13,ANNOUNCEMENTS!$J$2:$J$180,$A$28)+
COUNTIFS(ANNOUNCEMENTS!$W$2:$W$180,$E20,ANNOUNCEMENTS!$AD$2:$AD$180,K$13,ANNOUNCEMENTS!$J$2:$J$180,$A$28)</f>
        <v>0</v>
      </c>
      <c r="L20" s="333">
        <f>COUNTIFS(ANNOUNCEMENTS!$W$2:$W$180,$E20,ANNOUNCEMENTS!$Z$2:$Z$180,L$13,ANNOUNCEMENTS!$J$2:$J$180,$A$29)+
COUNTIFS(ANNOUNCEMENTS!$W$2:$W$180,$E20,ANNOUNCEMENTS!$AB$2:$AB$180,L$13,ANNOUNCEMENTS!$J$2:$J$180,$A$29)+
COUNTIFS(ANNOUNCEMENTS!$W$2:$W$180,$E20,ANNOUNCEMENTS!$AD$2:$AD$180,L$13,ANNOUNCEMENTS!$J$2:$J$180,$A$29)+
COUNTIFS(ANNOUNCEMENTS!$W$2:$W$180,$E20,ANNOUNCEMENTS!$Z$2:$Z$180,L$13,ANNOUNCEMENTS!$J$2:$J$180,$A$28)+
COUNTIFS(ANNOUNCEMENTS!$W$2:$W$180,$E20,ANNOUNCEMENTS!$AB$2:$AB$180,L$13,ANNOUNCEMENTS!$J$2:$J$180,$A$28)+
COUNTIFS(ANNOUNCEMENTS!$W$2:$W$180,$E20,ANNOUNCEMENTS!$AD$2:$AD$180,L$13,ANNOUNCEMENTS!$J$2:$J$180,$A$28)</f>
        <v>0</v>
      </c>
      <c r="M20" s="333">
        <f>COUNTIFS(ANNOUNCEMENTS!$W$2:$W$180,$E20,ANNOUNCEMENTS!$Z$2:$Z$180,M$13,ANNOUNCEMENTS!$J$2:$J$180,$A$29)+
COUNTIFS(ANNOUNCEMENTS!$W$2:$W$180,$E20,ANNOUNCEMENTS!$AB$2:$AB$180,M$13,ANNOUNCEMENTS!$J$2:$J$180,$A$29)+
COUNTIFS(ANNOUNCEMENTS!$W$2:$W$180,$E20,ANNOUNCEMENTS!$AD$2:$AD$180,M$13,ANNOUNCEMENTS!$J$2:$J$180,$A$29)+
COUNTIFS(ANNOUNCEMENTS!$W$2:$W$180,$E20,ANNOUNCEMENTS!$Z$2:$Z$180,M$13,ANNOUNCEMENTS!$J$2:$J$180,$A$28)+
COUNTIFS(ANNOUNCEMENTS!$W$2:$W$180,$E20,ANNOUNCEMENTS!$AB$2:$AB$180,M$13,ANNOUNCEMENTS!$J$2:$J$180,$A$28)+
COUNTIFS(ANNOUNCEMENTS!$W$2:$W$180,$E20,ANNOUNCEMENTS!$AD$2:$AD$180,M$13,ANNOUNCEMENTS!$J$2:$J$180,$A$28)</f>
        <v>0</v>
      </c>
      <c r="N20" s="333">
        <f>COUNTIFS(ANNOUNCEMENTS!$W$2:$W$180,$E20,ANNOUNCEMENTS!$Z$2:$Z$180,N$13,ANNOUNCEMENTS!$J$2:$J$180,$A$29)+
COUNTIFS(ANNOUNCEMENTS!$W$2:$W$180,$E20,ANNOUNCEMENTS!$AB$2:$AB$180,N$13,ANNOUNCEMENTS!$J$2:$J$180,$A$29)+
COUNTIFS(ANNOUNCEMENTS!$W$2:$W$180,$E20,ANNOUNCEMENTS!$AD$2:$AD$180,N$13,ANNOUNCEMENTS!$J$2:$J$180,$A$29)+
COUNTIFS(ANNOUNCEMENTS!$W$2:$W$180,$E20,ANNOUNCEMENTS!$Z$2:$Z$180,N$13,ANNOUNCEMENTS!$J$2:$J$180,$A$28)+
COUNTIFS(ANNOUNCEMENTS!$W$2:$W$180,$E20,ANNOUNCEMENTS!$AB$2:$AB$180,N$13,ANNOUNCEMENTS!$J$2:$J$180,$A$28)+
COUNTIFS(ANNOUNCEMENTS!$W$2:$W$180,$E20,ANNOUNCEMENTS!$AD$2:$AD$180,N$13,ANNOUNCEMENTS!$J$2:$J$180,$A$28)</f>
        <v>0</v>
      </c>
      <c r="O20" s="333">
        <f>COUNTIFS(ANNOUNCEMENTS!$W$2:$W$180,$E20,ANNOUNCEMENTS!$Z$2:$Z$180,O$13,ANNOUNCEMENTS!$J$2:$J$180,$A$29)+
COUNTIFS(ANNOUNCEMENTS!$W$2:$W$180,$E20,ANNOUNCEMENTS!$AB$2:$AB$180,O$13,ANNOUNCEMENTS!$J$2:$J$180,$A$29)+
COUNTIFS(ANNOUNCEMENTS!$W$2:$W$180,$E20,ANNOUNCEMENTS!$AD$2:$AD$180,O$13,ANNOUNCEMENTS!$J$2:$J$180,$A$29)+
COUNTIFS(ANNOUNCEMENTS!$W$2:$W$180,$E20,ANNOUNCEMENTS!$Z$2:$Z$180,O$13,ANNOUNCEMENTS!$J$2:$J$180,$A$28)+
COUNTIFS(ANNOUNCEMENTS!$W$2:$W$180,$E20,ANNOUNCEMENTS!$AB$2:$AB$180,O$13,ANNOUNCEMENTS!$J$2:$J$180,$A$28)+
COUNTIFS(ANNOUNCEMENTS!$W$2:$W$180,$E20,ANNOUNCEMENTS!$AD$2:$AD$180,O$13,ANNOUNCEMENTS!$J$2:$J$180,$A$28)</f>
        <v>0</v>
      </c>
      <c r="P20" s="333">
        <f>COUNTIFS(ANNOUNCEMENTS!$W$2:$W$180,$E20,ANNOUNCEMENTS!$Z$2:$Z$180,P$13,ANNOUNCEMENTS!$J$2:$J$180,$A$29)+
COUNTIFS(ANNOUNCEMENTS!$W$2:$W$180,$E20,ANNOUNCEMENTS!$AB$2:$AB$180,P$13,ANNOUNCEMENTS!$J$2:$J$180,$A$29)+
COUNTIFS(ANNOUNCEMENTS!$W$2:$W$180,$E20,ANNOUNCEMENTS!$AD$2:$AD$180,P$13,ANNOUNCEMENTS!$J$2:$J$180,$A$29)+
COUNTIFS(ANNOUNCEMENTS!$W$2:$W$180,$E20,ANNOUNCEMENTS!$Z$2:$Z$180,P$13,ANNOUNCEMENTS!$J$2:$J$180,$A$28)+
COUNTIFS(ANNOUNCEMENTS!$W$2:$W$180,$E20,ANNOUNCEMENTS!$AB$2:$AB$180,P$13,ANNOUNCEMENTS!$J$2:$J$180,$A$28)+
COUNTIFS(ANNOUNCEMENTS!$W$2:$W$180,$E20,ANNOUNCEMENTS!$AD$2:$AD$180,P$13,ANNOUNCEMENTS!$J$2:$J$180,$A$28)</f>
        <v>1</v>
      </c>
      <c r="Q20" s="346">
        <f>COUNTIFS(ANNOUNCEMENTS!$W$2:$W$180,$E20,ANNOUNCEMENTS!$J$2:$J$180,$A$29)+
COUNTIFS(ANNOUNCEMENTS!$W$2:$W$180,$E20,ANNOUNCEMENTS!$J$2:$J$180,$A$28)</f>
        <v>3</v>
      </c>
      <c r="R20" s="143">
        <f>Q20/SUM($Q$14:$Q$20)</f>
        <v>3.614457831325301E-2</v>
      </c>
      <c r="Z20" s="287"/>
      <c r="BP20" s="21" t="str">
        <v>2.1. Short term Alliance (no exclusivity / previous experience)</v>
      </c>
    </row>
    <row r="21" spans="1:68" ht="15" thickBot="1" x14ac:dyDescent="0.4">
      <c r="A21" s="297" t="s">
        <v>2146</v>
      </c>
      <c r="B21" s="21">
        <f>COUNTA(ANNOUNCEMENTS!A2:A180)</f>
        <v>179</v>
      </c>
      <c r="H21" s="330">
        <f>COUNTIFS(ANNOUNCEMENTS!$Z$2:$Z$180,H$37,ANNOUNCEMENTS!$J$2:$J$180,$A$29)+
COUNTIFS(ANNOUNCEMENTS!$Z$2:$Z$180,H$37,ANNOUNCEMENTS!$J$2:$J$180,$A$28)+
COUNTIFS(ANNOUNCEMENTS!$AB$2:$AB$180,H$37,ANNOUNCEMENTS!$J$2:$J$180,$A$29)+
COUNTIFS(ANNOUNCEMENTS!$AB$2:$AB$180,H$37,ANNOUNCEMENTS!$J$2:$J$180,$A$28)+
COUNTIFS(ANNOUNCEMENTS!$AD$2:$AD$180,H$37,ANNOUNCEMENTS!$J$2:$J$180,$A$29)+
COUNTIFS(ANNOUNCEMENTS!$AD$2:$AD$180,H$37,ANNOUNCEMENTS!$J$2:$J$180,$A$28)</f>
        <v>32</v>
      </c>
      <c r="I21" s="345">
        <f>COUNTIFS(ANNOUNCEMENTS!$Z$2:$Z$180,I$37,ANNOUNCEMENTS!$J$2:$J$180,$A$29)+
COUNTIFS(ANNOUNCEMENTS!$Z$2:$Z$180,I$37,ANNOUNCEMENTS!$J$2:$J$180,$A$28)+
COUNTIFS(ANNOUNCEMENTS!$AB$2:$AB$180,I$37,ANNOUNCEMENTS!$J$2:$J$180,$A$29)+
COUNTIFS(ANNOUNCEMENTS!$AB$2:$AB$180,I$37,ANNOUNCEMENTS!$J$2:$J$180,$A$28)+
COUNTIFS(ANNOUNCEMENTS!$AD$2:$AD$180,I$37,ANNOUNCEMENTS!$J$2:$J$180,$A$29)+
COUNTIFS(ANNOUNCEMENTS!$AD$2:$AD$180,I$37,ANNOUNCEMENTS!$J$2:$J$180,$A$28)</f>
        <v>5</v>
      </c>
      <c r="J21" s="345">
        <f>COUNTIFS(ANNOUNCEMENTS!$Z$2:$Z$180,J$37,ANNOUNCEMENTS!$J$2:$J$180,$A$29)+
COUNTIFS(ANNOUNCEMENTS!$Z$2:$Z$180,J$37,ANNOUNCEMENTS!$J$2:$J$180,$A$28)+
COUNTIFS(ANNOUNCEMENTS!$AB$2:$AB$180,J$37,ANNOUNCEMENTS!$J$2:$J$180,$A$29)+
COUNTIFS(ANNOUNCEMENTS!$AB$2:$AB$180,J$37,ANNOUNCEMENTS!$J$2:$J$180,$A$28)+
COUNTIFS(ANNOUNCEMENTS!$AD$2:$AD$180,J$37,ANNOUNCEMENTS!$J$2:$J$180,$A$29)+
COUNTIFS(ANNOUNCEMENTS!$AD$2:$AD$180,J$37,ANNOUNCEMENTS!$J$2:$J$180,$A$28)</f>
        <v>22</v>
      </c>
      <c r="K21" s="345">
        <f>COUNTIFS(ANNOUNCEMENTS!$Z$2:$Z$180,K$37,ANNOUNCEMENTS!$J$2:$J$180,$A$29)+
COUNTIFS(ANNOUNCEMENTS!$Z$2:$Z$180,K$37,ANNOUNCEMENTS!$J$2:$J$180,$A$28)+
COUNTIFS(ANNOUNCEMENTS!$AB$2:$AB$180,K$37,ANNOUNCEMENTS!$J$2:$J$180,$A$29)+
COUNTIFS(ANNOUNCEMENTS!$AB$2:$AB$180,K$37,ANNOUNCEMENTS!$J$2:$J$180,$A$28)+
COUNTIFS(ANNOUNCEMENTS!$AD$2:$AD$180,K$37,ANNOUNCEMENTS!$J$2:$J$180,$A$29)+
COUNTIFS(ANNOUNCEMENTS!$AD$2:$AD$180,K$37,ANNOUNCEMENTS!$J$2:$J$180,$A$28)</f>
        <v>4</v>
      </c>
      <c r="L21" s="345">
        <f>COUNTIFS(ANNOUNCEMENTS!$Z$2:$Z$180,L$37,ANNOUNCEMENTS!$J$2:$J$180,$A$29)+
COUNTIFS(ANNOUNCEMENTS!$Z$2:$Z$180,L$37,ANNOUNCEMENTS!$J$2:$J$180,$A$28)+
COUNTIFS(ANNOUNCEMENTS!$AB$2:$AB$180,L$37,ANNOUNCEMENTS!$J$2:$J$180,$A$29)+
COUNTIFS(ANNOUNCEMENTS!$AB$2:$AB$180,L$37,ANNOUNCEMENTS!$J$2:$J$180,$A$28)+
COUNTIFS(ANNOUNCEMENTS!$AD$2:$AD$180,L$37,ANNOUNCEMENTS!$J$2:$J$180,$A$29)+
COUNTIFS(ANNOUNCEMENTS!$AD$2:$AD$180,L$37,ANNOUNCEMENTS!$J$2:$J$180,$A$28)</f>
        <v>4</v>
      </c>
      <c r="M21" s="345">
        <f>COUNTIFS(ANNOUNCEMENTS!$Z$2:$Z$180,M$37,ANNOUNCEMENTS!$J$2:$J$180,$A$29)+
COUNTIFS(ANNOUNCEMENTS!$Z$2:$Z$180,M$37,ANNOUNCEMENTS!$J$2:$J$180,$A$28)+
COUNTIFS(ANNOUNCEMENTS!$AB$2:$AB$180,M$37,ANNOUNCEMENTS!$J$2:$J$180,$A$29)+
COUNTIFS(ANNOUNCEMENTS!$AB$2:$AB$180,M$37,ANNOUNCEMENTS!$J$2:$J$180,$A$28)+
COUNTIFS(ANNOUNCEMENTS!$AD$2:$AD$180,M$37,ANNOUNCEMENTS!$J$2:$J$180,$A$29)+
COUNTIFS(ANNOUNCEMENTS!$AD$2:$AD$180,M$37,ANNOUNCEMENTS!$J$2:$J$180,$A$28)</f>
        <v>20</v>
      </c>
      <c r="N21" s="345">
        <f>COUNTIFS(ANNOUNCEMENTS!$Z$2:$Z$180,N$37,ANNOUNCEMENTS!$J$2:$J$180,$A$29)+
COUNTIFS(ANNOUNCEMENTS!$Z$2:$Z$180,N$37,ANNOUNCEMENTS!$J$2:$J$180,$A$28)+
COUNTIFS(ANNOUNCEMENTS!$AB$2:$AB$180,N$37,ANNOUNCEMENTS!$J$2:$J$180,$A$29)+
COUNTIFS(ANNOUNCEMENTS!$AB$2:$AB$180,N$37,ANNOUNCEMENTS!$J$2:$J$180,$A$28)+
COUNTIFS(ANNOUNCEMENTS!$AD$2:$AD$180,N$37,ANNOUNCEMENTS!$J$2:$J$180,$A$29)+
COUNTIFS(ANNOUNCEMENTS!$AD$2:$AD$180,N$37,ANNOUNCEMENTS!$J$2:$J$180,$A$28)</f>
        <v>3</v>
      </c>
      <c r="O21" s="345">
        <f>COUNTIFS(ANNOUNCEMENTS!$Z$2:$Z$180,O$37,ANNOUNCEMENTS!$J$2:$J$180,$A$29)+
COUNTIFS(ANNOUNCEMENTS!$Z$2:$Z$180,O$37,ANNOUNCEMENTS!$J$2:$J$180,$A$28)+
COUNTIFS(ANNOUNCEMENTS!$AB$2:$AB$180,O$37,ANNOUNCEMENTS!$J$2:$J$180,$A$29)+
COUNTIFS(ANNOUNCEMENTS!$AB$2:$AB$180,O$37,ANNOUNCEMENTS!$J$2:$J$180,$A$28)+
COUNTIFS(ANNOUNCEMENTS!$AD$2:$AD$180,O$37,ANNOUNCEMENTS!$J$2:$J$180,$A$29)+
COUNTIFS(ANNOUNCEMENTS!$AD$2:$AD$180,O$37,ANNOUNCEMENTS!$J$2:$J$180,$A$28)</f>
        <v>2</v>
      </c>
      <c r="P21" s="344">
        <f>COUNTIFS(ANNOUNCEMENTS!$Z$2:$Z$180,P$37,ANNOUNCEMENTS!$J$2:$J$180,$A$29)+
COUNTIFS(ANNOUNCEMENTS!$Z$2:$Z$180,P$37,ANNOUNCEMENTS!$J$2:$J$180,$A$28)+
COUNTIFS(ANNOUNCEMENTS!$AB$2:$AB$180,P$37,ANNOUNCEMENTS!$J$2:$J$180,$A$29)+
COUNTIFS(ANNOUNCEMENTS!$AB$2:$AB$180,P$37,ANNOUNCEMENTS!$J$2:$J$180,$A$28)+
COUNTIFS(ANNOUNCEMENTS!$AD$2:$AD$180,P$37,ANNOUNCEMENTS!$J$2:$J$180,$A$29)+
COUNTIFS(ANNOUNCEMENTS!$AD$2:$AD$180,P$37,ANNOUNCEMENTS!$J$2:$J$180,$A$28)</f>
        <v>7</v>
      </c>
      <c r="Q21" s="298"/>
      <c r="R21" s="337"/>
      <c r="Z21" s="287"/>
      <c r="BP21" s="21" t="str">
        <v>2.3. Long term Alliance</v>
      </c>
    </row>
    <row r="22" spans="1:68" ht="15" thickTop="1" x14ac:dyDescent="0.35">
      <c r="A22" s="297" t="s">
        <v>2152</v>
      </c>
      <c r="B22" s="21">
        <f>COUNTIFS(ANNOUNCEMENTS!$Z$2:$Z$180,"&lt;&gt;",ANNOUNCEMENTS!$AB$2:$AB$180,"=",ANNOUNCEMENTS!$AD$2:$AD$180,"=")</f>
        <v>151</v>
      </c>
      <c r="H22" s="94">
        <f>H21/SUM($H$21:$P$21)</f>
        <v>0.32323232323232326</v>
      </c>
      <c r="I22" s="94">
        <f>I21/SUM($H$21:$P$21)</f>
        <v>5.0505050505050504E-2</v>
      </c>
      <c r="J22" s="94">
        <f>J21/SUM($H$21:$P$21)</f>
        <v>0.22222222222222221</v>
      </c>
      <c r="K22" s="94">
        <f>K21/SUM($H$21:$P$21)</f>
        <v>4.0404040404040407E-2</v>
      </c>
      <c r="L22" s="94">
        <f>L21/SUM($H$21:$P$21)</f>
        <v>4.0404040404040407E-2</v>
      </c>
      <c r="M22" s="94">
        <f>M21/SUM($H$21:$P$21)</f>
        <v>0.20202020202020202</v>
      </c>
      <c r="N22" s="94">
        <f>N21/SUM($H$21:$P$21)</f>
        <v>3.0303030303030304E-2</v>
      </c>
      <c r="O22" s="94">
        <f>O21/SUM($H$21:$P$21)</f>
        <v>2.0202020202020204E-2</v>
      </c>
      <c r="P22" s="94">
        <f>P21/SUM($H$21:$P$21)</f>
        <v>7.0707070707070704E-2</v>
      </c>
      <c r="Q22" s="298"/>
      <c r="R22" s="337"/>
      <c r="Z22" s="287"/>
      <c r="BP22" s="21" t="str">
        <v>1. Informal Agreement</v>
      </c>
    </row>
    <row r="23" spans="1:68" x14ac:dyDescent="0.35">
      <c r="A23" s="297" t="s">
        <v>2153</v>
      </c>
      <c r="B23" s="21">
        <f>COUNTIFS(ANNOUNCEMENTS!Z2:Z180,"&lt;&gt;",ANNOUNCEMENTS!AB2:AB180,"&lt;&gt;",ANNOUNCEMENTS!AD2:AD180,"=")</f>
        <v>26</v>
      </c>
      <c r="Z23" s="287"/>
    </row>
    <row r="24" spans="1:68" x14ac:dyDescent="0.35">
      <c r="A24" s="297" t="s">
        <v>2154</v>
      </c>
      <c r="B24" s="21">
        <f>COUNTIFS(ANNOUNCEMENTS!Z2:Z180,"&lt;&gt;",ANNOUNCEMENTS!AB2:AB180,"&lt;&gt;",ANNOUNCEMENTS!AD2:AD180,"&lt;&gt;")</f>
        <v>2</v>
      </c>
      <c r="Z24" s="287"/>
    </row>
    <row r="25" spans="1:68" x14ac:dyDescent="0.35">
      <c r="E25" s="322" t="s">
        <v>1950</v>
      </c>
      <c r="F25" s="141" t="s">
        <v>2141</v>
      </c>
      <c r="G25" s="142">
        <f>B31+B30</f>
        <v>81</v>
      </c>
      <c r="H25" s="336" t="str" cm="1">
        <f t="array" ref="H25:P25">TRANSPOSE(_xlfn.UNIQUE(ANNOUNCEMENTS!Z2:Z180))</f>
        <v>Joint D&amp;D</v>
      </c>
      <c r="I25" s="336" t="str">
        <v>Joint Production</v>
      </c>
      <c r="J25" s="336" t="str">
        <v>Joint Service Agreement</v>
      </c>
      <c r="K25" s="336" t="str">
        <v>Other</v>
      </c>
      <c r="L25" s="336" t="str">
        <v>Supply Partnership (extended)</v>
      </c>
      <c r="M25" s="335" t="str">
        <v>Research &amp; Collaboration</v>
      </c>
      <c r="N25" s="335" t="str">
        <v>Licensing</v>
      </c>
      <c r="O25" s="335" t="str">
        <v>Marketing Agreement</v>
      </c>
      <c r="P25" s="335" t="str">
        <v>Supply Partnership (traditional)</v>
      </c>
      <c r="Q25" s="298"/>
      <c r="R25" s="337"/>
      <c r="Z25" s="287"/>
    </row>
    <row r="26" spans="1:68" x14ac:dyDescent="0.35">
      <c r="A26" s="290" t="s">
        <v>2142</v>
      </c>
      <c r="B26" s="287"/>
      <c r="E26" s="334" t="str" cm="1">
        <f t="array" ref="E26:E32">_xlfn._xlws.SORT(_xlfn.ANCHORARRAY(BP16),1)</f>
        <v>1. Informal Agreement</v>
      </c>
      <c r="F26" s="347"/>
      <c r="G26" s="347"/>
      <c r="H26" s="333">
        <f>COUNTIFS(ANNOUNCEMENTS!$W$2:$W$180,$E26,ANNOUNCEMENTS!$Z$2:$Z$180,H$37,ANNOUNCEMENTS!$J$2:$J$180,$A$31)+
COUNTIFS(ANNOUNCEMENTS!$W$2:$W$180,$E26,ANNOUNCEMENTS!$AB$2:$AB$180,H$37,ANNOUNCEMENTS!$J$2:$J$180,$A$31)+
COUNTIFS(ANNOUNCEMENTS!$W$2:$W$180,$E26,ANNOUNCEMENTS!$AD$2:$AD$180,H$37,ANNOUNCEMENTS!$J$2:$J$180,$A$31)+
COUNTIFS(ANNOUNCEMENTS!$W$2:$W$180,$E26,ANNOUNCEMENTS!$Z$2:$Z$180,H$37,ANNOUNCEMENTS!$J$2:$J$180,$A$30)+
COUNTIFS(ANNOUNCEMENTS!$W$2:$W$180,$E26,ANNOUNCEMENTS!$AB$2:$AB$180,H$37,ANNOUNCEMENTS!$J$2:$J$180,$A$30)+
COUNTIFS(ANNOUNCEMENTS!$W$2:$W$180,$E26,ANNOUNCEMENTS!$AD$2:$AD$180,H$37,ANNOUNCEMENTS!$J$2:$J$180,$A$30)</f>
        <v>0</v>
      </c>
      <c r="I26" s="333">
        <f>COUNTIFS(ANNOUNCEMENTS!$W$2:$W$180,$E26,ANNOUNCEMENTS!$Z$2:$Z$180,I$37,ANNOUNCEMENTS!$J$2:$J$180,$A$31)+
COUNTIFS(ANNOUNCEMENTS!$W$2:$W$180,$E26,ANNOUNCEMENTS!$AB$2:$AB$180,I$37,ANNOUNCEMENTS!$J$2:$J$180,$A$31)+
COUNTIFS(ANNOUNCEMENTS!$W$2:$W$180,$E26,ANNOUNCEMENTS!$AD$2:$AD$180,I$37,ANNOUNCEMENTS!$J$2:$J$180,$A$31)+
COUNTIFS(ANNOUNCEMENTS!$W$2:$W$180,$E26,ANNOUNCEMENTS!$Z$2:$Z$180,I$37,ANNOUNCEMENTS!$J$2:$J$180,$A$30)+
COUNTIFS(ANNOUNCEMENTS!$W$2:$W$180,$E26,ANNOUNCEMENTS!$AB$2:$AB$180,I$37,ANNOUNCEMENTS!$J$2:$J$180,$A$30)+
COUNTIFS(ANNOUNCEMENTS!$W$2:$W$180,$E26,ANNOUNCEMENTS!$AD$2:$AD$180,I$37,ANNOUNCEMENTS!$J$2:$J$180,$A$30)</f>
        <v>0</v>
      </c>
      <c r="J26" s="333">
        <f>COUNTIFS(ANNOUNCEMENTS!$W$2:$W$180,$E26,ANNOUNCEMENTS!$Z$2:$Z$180,J$37,ANNOUNCEMENTS!$J$2:$J$180,$A$31)+
COUNTIFS(ANNOUNCEMENTS!$W$2:$W$180,$E26,ANNOUNCEMENTS!$AB$2:$AB$180,J$37,ANNOUNCEMENTS!$J$2:$J$180,$A$31)+
COUNTIFS(ANNOUNCEMENTS!$W$2:$W$180,$E26,ANNOUNCEMENTS!$AD$2:$AD$180,J$37,ANNOUNCEMENTS!$J$2:$J$180,$A$31)+
COUNTIFS(ANNOUNCEMENTS!$W$2:$W$180,$E26,ANNOUNCEMENTS!$Z$2:$Z$180,J$37,ANNOUNCEMENTS!$J$2:$J$180,$A$30)+
COUNTIFS(ANNOUNCEMENTS!$W$2:$W$180,$E26,ANNOUNCEMENTS!$AB$2:$AB$180,J$37,ANNOUNCEMENTS!$J$2:$J$180,$A$30)+
COUNTIFS(ANNOUNCEMENTS!$W$2:$W$180,$E26,ANNOUNCEMENTS!$AD$2:$AD$180,J$37,ANNOUNCEMENTS!$J$2:$J$180,$A$30)</f>
        <v>0</v>
      </c>
      <c r="K26" s="333">
        <f>COUNTIFS(ANNOUNCEMENTS!$W$2:$W$180,$E26,ANNOUNCEMENTS!$Z$2:$Z$180,K$37,ANNOUNCEMENTS!$J$2:$J$180,$A$31)+
COUNTIFS(ANNOUNCEMENTS!$W$2:$W$180,$E26,ANNOUNCEMENTS!$AB$2:$AB$180,K$37,ANNOUNCEMENTS!$J$2:$J$180,$A$31)+
COUNTIFS(ANNOUNCEMENTS!$W$2:$W$180,$E26,ANNOUNCEMENTS!$AD$2:$AD$180,K$37,ANNOUNCEMENTS!$J$2:$J$180,$A$31)+
COUNTIFS(ANNOUNCEMENTS!$W$2:$W$180,$E26,ANNOUNCEMENTS!$Z$2:$Z$180,K$37,ANNOUNCEMENTS!$J$2:$J$180,$A$30)+
COUNTIFS(ANNOUNCEMENTS!$W$2:$W$180,$E26,ANNOUNCEMENTS!$AB$2:$AB$180,K$37,ANNOUNCEMENTS!$J$2:$J$180,$A$30)+
COUNTIFS(ANNOUNCEMENTS!$W$2:$W$180,$E26,ANNOUNCEMENTS!$AD$2:$AD$180,K$37,ANNOUNCEMENTS!$J$2:$J$180,$A$30)</f>
        <v>1</v>
      </c>
      <c r="L26" s="333">
        <f>COUNTIFS(ANNOUNCEMENTS!$W$2:$W$180,$E26,ANNOUNCEMENTS!$Z$2:$Z$180,L$37,ANNOUNCEMENTS!$J$2:$J$180,$A$31)+
COUNTIFS(ANNOUNCEMENTS!$W$2:$W$180,$E26,ANNOUNCEMENTS!$AB$2:$AB$180,L$37,ANNOUNCEMENTS!$J$2:$J$180,$A$31)+
COUNTIFS(ANNOUNCEMENTS!$W$2:$W$180,$E26,ANNOUNCEMENTS!$AD$2:$AD$180,L$37,ANNOUNCEMENTS!$J$2:$J$180,$A$31)+
COUNTIFS(ANNOUNCEMENTS!$W$2:$W$180,$E26,ANNOUNCEMENTS!$Z$2:$Z$180,L$37,ANNOUNCEMENTS!$J$2:$J$180,$A$30)+
COUNTIFS(ANNOUNCEMENTS!$W$2:$W$180,$E26,ANNOUNCEMENTS!$AB$2:$AB$180,L$37,ANNOUNCEMENTS!$J$2:$J$180,$A$30)+
COUNTIFS(ANNOUNCEMENTS!$W$2:$W$180,$E26,ANNOUNCEMENTS!$AD$2:$AD$180,L$37,ANNOUNCEMENTS!$J$2:$J$180,$A$30)</f>
        <v>0</v>
      </c>
      <c r="M26" s="333">
        <f>COUNTIFS(ANNOUNCEMENTS!$W$2:$W$180,$E26,ANNOUNCEMENTS!$Z$2:$Z$180,M$37,ANNOUNCEMENTS!$J$2:$J$180,$A$31)+
COUNTIFS(ANNOUNCEMENTS!$W$2:$W$180,$E26,ANNOUNCEMENTS!$AB$2:$AB$180,M$37,ANNOUNCEMENTS!$J$2:$J$180,$A$31)+
COUNTIFS(ANNOUNCEMENTS!$W$2:$W$180,$E26,ANNOUNCEMENTS!$AD$2:$AD$180,M$37,ANNOUNCEMENTS!$J$2:$J$180,$A$31)+
COUNTIFS(ANNOUNCEMENTS!$W$2:$W$180,$E26,ANNOUNCEMENTS!$Z$2:$Z$180,M$37,ANNOUNCEMENTS!$J$2:$J$180,$A$30)+
COUNTIFS(ANNOUNCEMENTS!$W$2:$W$180,$E26,ANNOUNCEMENTS!$AB$2:$AB$180,M$37,ANNOUNCEMENTS!$J$2:$J$180,$A$30)+
COUNTIFS(ANNOUNCEMENTS!$W$2:$W$180,$E26,ANNOUNCEMENTS!$AD$2:$AD$180,M$37,ANNOUNCEMENTS!$J$2:$J$180,$A$30)</f>
        <v>1</v>
      </c>
      <c r="N26" s="333">
        <f>COUNTIFS(ANNOUNCEMENTS!$W$2:$W$180,$E26,ANNOUNCEMENTS!$Z$2:$Z$180,N$37,ANNOUNCEMENTS!$J$2:$J$180,$A$31)+
COUNTIFS(ANNOUNCEMENTS!$W$2:$W$180,$E26,ANNOUNCEMENTS!$AB$2:$AB$180,N$37,ANNOUNCEMENTS!$J$2:$J$180,$A$31)+
COUNTIFS(ANNOUNCEMENTS!$W$2:$W$180,$E26,ANNOUNCEMENTS!$AD$2:$AD$180,N$37,ANNOUNCEMENTS!$J$2:$J$180,$A$31)+
COUNTIFS(ANNOUNCEMENTS!$W$2:$W$180,$E26,ANNOUNCEMENTS!$Z$2:$Z$180,N$37,ANNOUNCEMENTS!$J$2:$J$180,$A$30)+
COUNTIFS(ANNOUNCEMENTS!$W$2:$W$180,$E26,ANNOUNCEMENTS!$AB$2:$AB$180,N$37,ANNOUNCEMENTS!$J$2:$J$180,$A$30)+
COUNTIFS(ANNOUNCEMENTS!$W$2:$W$180,$E26,ANNOUNCEMENTS!$AD$2:$AD$180,N$37,ANNOUNCEMENTS!$J$2:$J$180,$A$30)</f>
        <v>0</v>
      </c>
      <c r="O26" s="333">
        <f>COUNTIFS(ANNOUNCEMENTS!$W$2:$W$180,$E26,ANNOUNCEMENTS!$Z$2:$Z$180,O$37,ANNOUNCEMENTS!$J$2:$J$180,$A$31)+
COUNTIFS(ANNOUNCEMENTS!$W$2:$W$180,$E26,ANNOUNCEMENTS!$AB$2:$AB$180,O$37,ANNOUNCEMENTS!$J$2:$J$180,$A$31)+
COUNTIFS(ANNOUNCEMENTS!$W$2:$W$180,$E26,ANNOUNCEMENTS!$AD$2:$AD$180,O$37,ANNOUNCEMENTS!$J$2:$J$180,$A$31)+
COUNTIFS(ANNOUNCEMENTS!$W$2:$W$180,$E26,ANNOUNCEMENTS!$Z$2:$Z$180,O$37,ANNOUNCEMENTS!$J$2:$J$180,$A$30)+
COUNTIFS(ANNOUNCEMENTS!$W$2:$W$180,$E26,ANNOUNCEMENTS!$AB$2:$AB$180,O$37,ANNOUNCEMENTS!$J$2:$J$180,$A$30)+
COUNTIFS(ANNOUNCEMENTS!$W$2:$W$180,$E26,ANNOUNCEMENTS!$AD$2:$AD$180,O$37,ANNOUNCEMENTS!$J$2:$J$180,$A$30)</f>
        <v>2</v>
      </c>
      <c r="P26" s="333">
        <f>COUNTIFS(ANNOUNCEMENTS!$W$2:$W$180,$E26,ANNOUNCEMENTS!$Z$2:$Z$180,P$37,ANNOUNCEMENTS!$J$2:$J$180,$A$31)+
COUNTIFS(ANNOUNCEMENTS!$W$2:$W$180,$E26,ANNOUNCEMENTS!$AB$2:$AB$180,P$37,ANNOUNCEMENTS!$J$2:$J$180,$A$31)+
COUNTIFS(ANNOUNCEMENTS!$W$2:$W$180,$E26,ANNOUNCEMENTS!$AD$2:$AD$180,P$37,ANNOUNCEMENTS!$J$2:$J$180,$A$31)+
COUNTIFS(ANNOUNCEMENTS!$W$2:$W$180,$E26,ANNOUNCEMENTS!$Z$2:$Z$180,P$37,ANNOUNCEMENTS!$J$2:$J$180,$A$30)+
COUNTIFS(ANNOUNCEMENTS!$W$2:$W$180,$E26,ANNOUNCEMENTS!$AB$2:$AB$180,P$37,ANNOUNCEMENTS!$J$2:$J$180,$A$30)+
COUNTIFS(ANNOUNCEMENTS!$W$2:$W$180,$E26,ANNOUNCEMENTS!$AD$2:$AD$180,P$37,ANNOUNCEMENTS!$J$2:$J$180,$A$30)</f>
        <v>0</v>
      </c>
      <c r="Q26" s="346">
        <f>COUNTIFS(ANNOUNCEMENTS!$W$2:$W$180,$E26,ANNOUNCEMENTS!$J$2:$J$180,$A$31)+
COUNTIFS(ANNOUNCEMENTS!$W$2:$W$180,$E26,ANNOUNCEMENTS!$J$2:$J$180,$A$30)</f>
        <v>4</v>
      </c>
      <c r="R26" s="143">
        <f>Q26/SUM($Q$26:$Q$32)</f>
        <v>4.9382716049382713E-2</v>
      </c>
      <c r="Z26" s="287"/>
    </row>
    <row r="27" spans="1:68" x14ac:dyDescent="0.35">
      <c r="A27" s="297" t="s">
        <v>1200</v>
      </c>
      <c r="B27" s="287">
        <f>COUNTIF(ANNOUNCEMENTS!$J$2:$J$180,A27)</f>
        <v>15</v>
      </c>
      <c r="E27" s="334" t="str">
        <v>2.1. Short term Alliance (no exclusivity / previous experience)</v>
      </c>
      <c r="F27" s="347"/>
      <c r="G27" s="347"/>
      <c r="H27" s="333">
        <f>COUNTIFS(ANNOUNCEMENTS!$W$2:$W$180,$E27,ANNOUNCEMENTS!$Z$2:$Z$180,H$37,ANNOUNCEMENTS!$J$2:$J$180,$A$31)+
COUNTIFS(ANNOUNCEMENTS!$W$2:$W$180,$E27,ANNOUNCEMENTS!$AB$2:$AB$180,H$37,ANNOUNCEMENTS!$J$2:$J$180,$A$31)+
COUNTIFS(ANNOUNCEMENTS!$W$2:$W$180,$E27,ANNOUNCEMENTS!$AD$2:$AD$180,H$37,ANNOUNCEMENTS!$J$2:$J$180,$A$31)+
COUNTIFS(ANNOUNCEMENTS!$W$2:$W$180,$E27,ANNOUNCEMENTS!$Z$2:$Z$180,H$37,ANNOUNCEMENTS!$J$2:$J$180,$A$30)+
COUNTIFS(ANNOUNCEMENTS!$W$2:$W$180,$E27,ANNOUNCEMENTS!$AB$2:$AB$180,H$37,ANNOUNCEMENTS!$J$2:$J$180,$A$30)+
COUNTIFS(ANNOUNCEMENTS!$W$2:$W$180,$E27,ANNOUNCEMENTS!$AD$2:$AD$180,H$37,ANNOUNCEMENTS!$J$2:$J$180,$A$30)</f>
        <v>10</v>
      </c>
      <c r="I27" s="333">
        <f>COUNTIFS(ANNOUNCEMENTS!$W$2:$W$180,$E27,ANNOUNCEMENTS!$Z$2:$Z$180,I$37,ANNOUNCEMENTS!$J$2:$J$180,$A$31)+
COUNTIFS(ANNOUNCEMENTS!$W$2:$W$180,$E27,ANNOUNCEMENTS!$AB$2:$AB$180,I$37,ANNOUNCEMENTS!$J$2:$J$180,$A$31)+
COUNTIFS(ANNOUNCEMENTS!$W$2:$W$180,$E27,ANNOUNCEMENTS!$AD$2:$AD$180,I$37,ANNOUNCEMENTS!$J$2:$J$180,$A$31)+
COUNTIFS(ANNOUNCEMENTS!$W$2:$W$180,$E27,ANNOUNCEMENTS!$Z$2:$Z$180,I$37,ANNOUNCEMENTS!$J$2:$J$180,$A$30)+
COUNTIFS(ANNOUNCEMENTS!$W$2:$W$180,$E27,ANNOUNCEMENTS!$AB$2:$AB$180,I$37,ANNOUNCEMENTS!$J$2:$J$180,$A$30)+
COUNTIFS(ANNOUNCEMENTS!$W$2:$W$180,$E27,ANNOUNCEMENTS!$AD$2:$AD$180,I$37,ANNOUNCEMENTS!$J$2:$J$180,$A$30)</f>
        <v>0</v>
      </c>
      <c r="J27" s="333">
        <f>COUNTIFS(ANNOUNCEMENTS!$W$2:$W$180,$E27,ANNOUNCEMENTS!$Z$2:$Z$180,J$37,ANNOUNCEMENTS!$J$2:$J$180,$A$31)+
COUNTIFS(ANNOUNCEMENTS!$W$2:$W$180,$E27,ANNOUNCEMENTS!$AB$2:$AB$180,J$37,ANNOUNCEMENTS!$J$2:$J$180,$A$31)+
COUNTIFS(ANNOUNCEMENTS!$W$2:$W$180,$E27,ANNOUNCEMENTS!$AD$2:$AD$180,J$37,ANNOUNCEMENTS!$J$2:$J$180,$A$31)+
COUNTIFS(ANNOUNCEMENTS!$W$2:$W$180,$E27,ANNOUNCEMENTS!$Z$2:$Z$180,J$37,ANNOUNCEMENTS!$J$2:$J$180,$A$30)+
COUNTIFS(ANNOUNCEMENTS!$W$2:$W$180,$E27,ANNOUNCEMENTS!$AB$2:$AB$180,J$37,ANNOUNCEMENTS!$J$2:$J$180,$A$30)+
COUNTIFS(ANNOUNCEMENTS!$W$2:$W$180,$E27,ANNOUNCEMENTS!$AD$2:$AD$180,J$37,ANNOUNCEMENTS!$J$2:$J$180,$A$30)</f>
        <v>17</v>
      </c>
      <c r="K27" s="333">
        <f>COUNTIFS(ANNOUNCEMENTS!$W$2:$W$180,$E27,ANNOUNCEMENTS!$Z$2:$Z$180,K$37,ANNOUNCEMENTS!$J$2:$J$180,$A$31)+
COUNTIFS(ANNOUNCEMENTS!$W$2:$W$180,$E27,ANNOUNCEMENTS!$AB$2:$AB$180,K$37,ANNOUNCEMENTS!$J$2:$J$180,$A$31)+
COUNTIFS(ANNOUNCEMENTS!$W$2:$W$180,$E27,ANNOUNCEMENTS!$AD$2:$AD$180,K$37,ANNOUNCEMENTS!$J$2:$J$180,$A$31)+
COUNTIFS(ANNOUNCEMENTS!$W$2:$W$180,$E27,ANNOUNCEMENTS!$Z$2:$Z$180,K$37,ANNOUNCEMENTS!$J$2:$J$180,$A$30)+
COUNTIFS(ANNOUNCEMENTS!$W$2:$W$180,$E27,ANNOUNCEMENTS!$AB$2:$AB$180,K$37,ANNOUNCEMENTS!$J$2:$J$180,$A$30)+
COUNTIFS(ANNOUNCEMENTS!$W$2:$W$180,$E27,ANNOUNCEMENTS!$AD$2:$AD$180,K$37,ANNOUNCEMENTS!$J$2:$J$180,$A$30)</f>
        <v>1</v>
      </c>
      <c r="L27" s="333">
        <f>COUNTIFS(ANNOUNCEMENTS!$W$2:$W$180,$E27,ANNOUNCEMENTS!$Z$2:$Z$180,L$37,ANNOUNCEMENTS!$J$2:$J$180,$A$31)+
COUNTIFS(ANNOUNCEMENTS!$W$2:$W$180,$E27,ANNOUNCEMENTS!$AB$2:$AB$180,L$37,ANNOUNCEMENTS!$J$2:$J$180,$A$31)+
COUNTIFS(ANNOUNCEMENTS!$W$2:$W$180,$E27,ANNOUNCEMENTS!$AD$2:$AD$180,L$37,ANNOUNCEMENTS!$J$2:$J$180,$A$31)+
COUNTIFS(ANNOUNCEMENTS!$W$2:$W$180,$E27,ANNOUNCEMENTS!$Z$2:$Z$180,L$37,ANNOUNCEMENTS!$J$2:$J$180,$A$30)+
COUNTIFS(ANNOUNCEMENTS!$W$2:$W$180,$E27,ANNOUNCEMENTS!$AB$2:$AB$180,L$37,ANNOUNCEMENTS!$J$2:$J$180,$A$30)+
COUNTIFS(ANNOUNCEMENTS!$W$2:$W$180,$E27,ANNOUNCEMENTS!$AD$2:$AD$180,L$37,ANNOUNCEMENTS!$J$2:$J$180,$A$30)</f>
        <v>11</v>
      </c>
      <c r="M27" s="333">
        <f>COUNTIFS(ANNOUNCEMENTS!$W$2:$W$180,$E27,ANNOUNCEMENTS!$Z$2:$Z$180,M$37,ANNOUNCEMENTS!$J$2:$J$180,$A$31)+
COUNTIFS(ANNOUNCEMENTS!$W$2:$W$180,$E27,ANNOUNCEMENTS!$AB$2:$AB$180,M$37,ANNOUNCEMENTS!$J$2:$J$180,$A$31)+
COUNTIFS(ANNOUNCEMENTS!$W$2:$W$180,$E27,ANNOUNCEMENTS!$AD$2:$AD$180,M$37,ANNOUNCEMENTS!$J$2:$J$180,$A$31)+
COUNTIFS(ANNOUNCEMENTS!$W$2:$W$180,$E27,ANNOUNCEMENTS!$Z$2:$Z$180,M$37,ANNOUNCEMENTS!$J$2:$J$180,$A$30)+
COUNTIFS(ANNOUNCEMENTS!$W$2:$W$180,$E27,ANNOUNCEMENTS!$AB$2:$AB$180,M$37,ANNOUNCEMENTS!$J$2:$J$180,$A$30)+
COUNTIFS(ANNOUNCEMENTS!$W$2:$W$180,$E27,ANNOUNCEMENTS!$AD$2:$AD$180,M$37,ANNOUNCEMENTS!$J$2:$J$180,$A$30)</f>
        <v>7</v>
      </c>
      <c r="N27" s="333">
        <f>COUNTIFS(ANNOUNCEMENTS!$W$2:$W$180,$E27,ANNOUNCEMENTS!$Z$2:$Z$180,N$37,ANNOUNCEMENTS!$J$2:$J$180,$A$31)+
COUNTIFS(ANNOUNCEMENTS!$W$2:$W$180,$E27,ANNOUNCEMENTS!$AB$2:$AB$180,N$37,ANNOUNCEMENTS!$J$2:$J$180,$A$31)+
COUNTIFS(ANNOUNCEMENTS!$W$2:$W$180,$E27,ANNOUNCEMENTS!$AD$2:$AD$180,N$37,ANNOUNCEMENTS!$J$2:$J$180,$A$31)+
COUNTIFS(ANNOUNCEMENTS!$W$2:$W$180,$E27,ANNOUNCEMENTS!$Z$2:$Z$180,N$37,ANNOUNCEMENTS!$J$2:$J$180,$A$30)+
COUNTIFS(ANNOUNCEMENTS!$W$2:$W$180,$E27,ANNOUNCEMENTS!$AB$2:$AB$180,N$37,ANNOUNCEMENTS!$J$2:$J$180,$A$30)+
COUNTIFS(ANNOUNCEMENTS!$W$2:$W$180,$E27,ANNOUNCEMENTS!$AD$2:$AD$180,N$37,ANNOUNCEMENTS!$J$2:$J$180,$A$30)</f>
        <v>0</v>
      </c>
      <c r="O27" s="333">
        <f>COUNTIFS(ANNOUNCEMENTS!$W$2:$W$180,$E27,ANNOUNCEMENTS!$Z$2:$Z$180,O$37,ANNOUNCEMENTS!$J$2:$J$180,$A$31)+
COUNTIFS(ANNOUNCEMENTS!$W$2:$W$180,$E27,ANNOUNCEMENTS!$AB$2:$AB$180,O$37,ANNOUNCEMENTS!$J$2:$J$180,$A$31)+
COUNTIFS(ANNOUNCEMENTS!$W$2:$W$180,$E27,ANNOUNCEMENTS!$AD$2:$AD$180,O$37,ANNOUNCEMENTS!$J$2:$J$180,$A$31)+
COUNTIFS(ANNOUNCEMENTS!$W$2:$W$180,$E27,ANNOUNCEMENTS!$Z$2:$Z$180,O$37,ANNOUNCEMENTS!$J$2:$J$180,$A$30)+
COUNTIFS(ANNOUNCEMENTS!$W$2:$W$180,$E27,ANNOUNCEMENTS!$AB$2:$AB$180,O$37,ANNOUNCEMENTS!$J$2:$J$180,$A$30)+
COUNTIFS(ANNOUNCEMENTS!$W$2:$W$180,$E27,ANNOUNCEMENTS!$AD$2:$AD$180,O$37,ANNOUNCEMENTS!$J$2:$J$180,$A$30)</f>
        <v>0</v>
      </c>
      <c r="P27" s="333">
        <f>COUNTIFS(ANNOUNCEMENTS!$W$2:$W$180,$E27,ANNOUNCEMENTS!$Z$2:$Z$180,P$37,ANNOUNCEMENTS!$J$2:$J$180,$A$31)+
COUNTIFS(ANNOUNCEMENTS!$W$2:$W$180,$E27,ANNOUNCEMENTS!$AB$2:$AB$180,P$37,ANNOUNCEMENTS!$J$2:$J$180,$A$31)+
COUNTIFS(ANNOUNCEMENTS!$W$2:$W$180,$E27,ANNOUNCEMENTS!$AD$2:$AD$180,P$37,ANNOUNCEMENTS!$J$2:$J$180,$A$31)+
COUNTIFS(ANNOUNCEMENTS!$W$2:$W$180,$E27,ANNOUNCEMENTS!$Z$2:$Z$180,P$37,ANNOUNCEMENTS!$J$2:$J$180,$A$30)+
COUNTIFS(ANNOUNCEMENTS!$W$2:$W$180,$E27,ANNOUNCEMENTS!$AB$2:$AB$180,P$37,ANNOUNCEMENTS!$J$2:$J$180,$A$30)+
COUNTIFS(ANNOUNCEMENTS!$W$2:$W$180,$E27,ANNOUNCEMENTS!$AD$2:$AD$180,P$37,ANNOUNCEMENTS!$J$2:$J$180,$A$30)</f>
        <v>4</v>
      </c>
      <c r="Q27" s="346">
        <f>COUNTIFS(ANNOUNCEMENTS!$W$2:$W$180,$E27,ANNOUNCEMENTS!$J$2:$J$180,$A$31)+
COUNTIFS(ANNOUNCEMENTS!$W$2:$W$180,$E27,ANNOUNCEMENTS!$J$2:$J$180,$A$30)</f>
        <v>45</v>
      </c>
      <c r="R27" s="143">
        <f>Q27/SUM($Q$26:$Q$32)</f>
        <v>0.55555555555555558</v>
      </c>
      <c r="Z27" s="287"/>
    </row>
    <row r="28" spans="1:68" x14ac:dyDescent="0.35">
      <c r="A28" s="297" t="s">
        <v>372</v>
      </c>
      <c r="B28" s="287">
        <f>COUNTIF(ANNOUNCEMENTS!$J$2:$J$180,A28)</f>
        <v>59</v>
      </c>
      <c r="C28" s="287">
        <f>SUM(M54:S57)</f>
        <v>59</v>
      </c>
      <c r="E28" s="334" t="str">
        <v xml:space="preserve">2.2. Renewed Alliance </v>
      </c>
      <c r="F28" s="347"/>
      <c r="G28" s="347"/>
      <c r="H28" s="333">
        <f>COUNTIFS(ANNOUNCEMENTS!$W$2:$W$180,$E28,ANNOUNCEMENTS!$Z$2:$Z$180,H$37,ANNOUNCEMENTS!$J$2:$J$180,$A$31)+
COUNTIFS(ANNOUNCEMENTS!$W$2:$W$180,$E28,ANNOUNCEMENTS!$AB$2:$AB$180,H$37,ANNOUNCEMENTS!$J$2:$J$180,$A$31)+
COUNTIFS(ANNOUNCEMENTS!$W$2:$W$180,$E28,ANNOUNCEMENTS!$AD$2:$AD$180,H$37,ANNOUNCEMENTS!$J$2:$J$180,$A$31)+
COUNTIFS(ANNOUNCEMENTS!$W$2:$W$180,$E28,ANNOUNCEMENTS!$Z$2:$Z$180,H$37,ANNOUNCEMENTS!$J$2:$J$180,$A$30)+
COUNTIFS(ANNOUNCEMENTS!$W$2:$W$180,$E28,ANNOUNCEMENTS!$AB$2:$AB$180,H$37,ANNOUNCEMENTS!$J$2:$J$180,$A$30)+
COUNTIFS(ANNOUNCEMENTS!$W$2:$W$180,$E28,ANNOUNCEMENTS!$AD$2:$AD$180,H$37,ANNOUNCEMENTS!$J$2:$J$180,$A$30)</f>
        <v>0</v>
      </c>
      <c r="I28" s="333">
        <f>COUNTIFS(ANNOUNCEMENTS!$W$2:$W$180,$E28,ANNOUNCEMENTS!$Z$2:$Z$180,I$37,ANNOUNCEMENTS!$J$2:$J$180,$A$31)+
COUNTIFS(ANNOUNCEMENTS!$W$2:$W$180,$E28,ANNOUNCEMENTS!$AB$2:$AB$180,I$37,ANNOUNCEMENTS!$J$2:$J$180,$A$31)+
COUNTIFS(ANNOUNCEMENTS!$W$2:$W$180,$E28,ANNOUNCEMENTS!$AD$2:$AD$180,I$37,ANNOUNCEMENTS!$J$2:$J$180,$A$31)+
COUNTIFS(ANNOUNCEMENTS!$W$2:$W$180,$E28,ANNOUNCEMENTS!$Z$2:$Z$180,I$37,ANNOUNCEMENTS!$J$2:$J$180,$A$30)+
COUNTIFS(ANNOUNCEMENTS!$W$2:$W$180,$E28,ANNOUNCEMENTS!$AB$2:$AB$180,I$37,ANNOUNCEMENTS!$J$2:$J$180,$A$30)+
COUNTIFS(ANNOUNCEMENTS!$W$2:$W$180,$E28,ANNOUNCEMENTS!$AD$2:$AD$180,I$37,ANNOUNCEMENTS!$J$2:$J$180,$A$30)</f>
        <v>0</v>
      </c>
      <c r="J28" s="333">
        <f>COUNTIFS(ANNOUNCEMENTS!$W$2:$W$180,$E28,ANNOUNCEMENTS!$Z$2:$Z$180,J$37,ANNOUNCEMENTS!$J$2:$J$180,$A$31)+
COUNTIFS(ANNOUNCEMENTS!$W$2:$W$180,$E28,ANNOUNCEMENTS!$AB$2:$AB$180,J$37,ANNOUNCEMENTS!$J$2:$J$180,$A$31)+
COUNTIFS(ANNOUNCEMENTS!$W$2:$W$180,$E28,ANNOUNCEMENTS!$AD$2:$AD$180,J$37,ANNOUNCEMENTS!$J$2:$J$180,$A$31)+
COUNTIFS(ANNOUNCEMENTS!$W$2:$W$180,$E28,ANNOUNCEMENTS!$Z$2:$Z$180,J$37,ANNOUNCEMENTS!$J$2:$J$180,$A$30)+
COUNTIFS(ANNOUNCEMENTS!$W$2:$W$180,$E28,ANNOUNCEMENTS!$AB$2:$AB$180,J$37,ANNOUNCEMENTS!$J$2:$J$180,$A$30)+
COUNTIFS(ANNOUNCEMENTS!$W$2:$W$180,$E28,ANNOUNCEMENTS!$AD$2:$AD$180,J$37,ANNOUNCEMENTS!$J$2:$J$180,$A$30)</f>
        <v>1</v>
      </c>
      <c r="K28" s="333">
        <f>COUNTIFS(ANNOUNCEMENTS!$W$2:$W$180,$E28,ANNOUNCEMENTS!$Z$2:$Z$180,K$37,ANNOUNCEMENTS!$J$2:$J$180,$A$31)+
COUNTIFS(ANNOUNCEMENTS!$W$2:$W$180,$E28,ANNOUNCEMENTS!$AB$2:$AB$180,K$37,ANNOUNCEMENTS!$J$2:$J$180,$A$31)+
COUNTIFS(ANNOUNCEMENTS!$W$2:$W$180,$E28,ANNOUNCEMENTS!$AD$2:$AD$180,K$37,ANNOUNCEMENTS!$J$2:$J$180,$A$31)+
COUNTIFS(ANNOUNCEMENTS!$W$2:$W$180,$E28,ANNOUNCEMENTS!$Z$2:$Z$180,K$37,ANNOUNCEMENTS!$J$2:$J$180,$A$30)+
COUNTIFS(ANNOUNCEMENTS!$W$2:$W$180,$E28,ANNOUNCEMENTS!$AB$2:$AB$180,K$37,ANNOUNCEMENTS!$J$2:$J$180,$A$30)+
COUNTIFS(ANNOUNCEMENTS!$W$2:$W$180,$E28,ANNOUNCEMENTS!$AD$2:$AD$180,K$37,ANNOUNCEMENTS!$J$2:$J$180,$A$30)</f>
        <v>0</v>
      </c>
      <c r="L28" s="333">
        <f>COUNTIFS(ANNOUNCEMENTS!$W$2:$W$180,$E28,ANNOUNCEMENTS!$Z$2:$Z$180,L$37,ANNOUNCEMENTS!$J$2:$J$180,$A$31)+
COUNTIFS(ANNOUNCEMENTS!$W$2:$W$180,$E28,ANNOUNCEMENTS!$AB$2:$AB$180,L$37,ANNOUNCEMENTS!$J$2:$J$180,$A$31)+
COUNTIFS(ANNOUNCEMENTS!$W$2:$W$180,$E28,ANNOUNCEMENTS!$AD$2:$AD$180,L$37,ANNOUNCEMENTS!$J$2:$J$180,$A$31)+
COUNTIFS(ANNOUNCEMENTS!$W$2:$W$180,$E28,ANNOUNCEMENTS!$Z$2:$Z$180,L$37,ANNOUNCEMENTS!$J$2:$J$180,$A$30)+
COUNTIFS(ANNOUNCEMENTS!$W$2:$W$180,$E28,ANNOUNCEMENTS!$AB$2:$AB$180,L$37,ANNOUNCEMENTS!$J$2:$J$180,$A$30)+
COUNTIFS(ANNOUNCEMENTS!$W$2:$W$180,$E28,ANNOUNCEMENTS!$AD$2:$AD$180,L$37,ANNOUNCEMENTS!$J$2:$J$180,$A$30)</f>
        <v>2</v>
      </c>
      <c r="M28" s="333">
        <f>COUNTIFS(ANNOUNCEMENTS!$W$2:$W$180,$E28,ANNOUNCEMENTS!$Z$2:$Z$180,M$37,ANNOUNCEMENTS!$J$2:$J$180,$A$31)+
COUNTIFS(ANNOUNCEMENTS!$W$2:$W$180,$E28,ANNOUNCEMENTS!$AB$2:$AB$180,M$37,ANNOUNCEMENTS!$J$2:$J$180,$A$31)+
COUNTIFS(ANNOUNCEMENTS!$W$2:$W$180,$E28,ANNOUNCEMENTS!$AD$2:$AD$180,M$37,ANNOUNCEMENTS!$J$2:$J$180,$A$31)+
COUNTIFS(ANNOUNCEMENTS!$W$2:$W$180,$E28,ANNOUNCEMENTS!$Z$2:$Z$180,M$37,ANNOUNCEMENTS!$J$2:$J$180,$A$30)+
COUNTIFS(ANNOUNCEMENTS!$W$2:$W$180,$E28,ANNOUNCEMENTS!$AB$2:$AB$180,M$37,ANNOUNCEMENTS!$J$2:$J$180,$A$30)+
COUNTIFS(ANNOUNCEMENTS!$W$2:$W$180,$E28,ANNOUNCEMENTS!$AD$2:$AD$180,M$37,ANNOUNCEMENTS!$J$2:$J$180,$A$30)</f>
        <v>0</v>
      </c>
      <c r="N28" s="333">
        <f>COUNTIFS(ANNOUNCEMENTS!$W$2:$W$180,$E28,ANNOUNCEMENTS!$Z$2:$Z$180,N$37,ANNOUNCEMENTS!$J$2:$J$180,$A$31)+
COUNTIFS(ANNOUNCEMENTS!$W$2:$W$180,$E28,ANNOUNCEMENTS!$AB$2:$AB$180,N$37,ANNOUNCEMENTS!$J$2:$J$180,$A$31)+
COUNTIFS(ANNOUNCEMENTS!$W$2:$W$180,$E28,ANNOUNCEMENTS!$AD$2:$AD$180,N$37,ANNOUNCEMENTS!$J$2:$J$180,$A$31)+
COUNTIFS(ANNOUNCEMENTS!$W$2:$W$180,$E28,ANNOUNCEMENTS!$Z$2:$Z$180,N$37,ANNOUNCEMENTS!$J$2:$J$180,$A$30)+
COUNTIFS(ANNOUNCEMENTS!$W$2:$W$180,$E28,ANNOUNCEMENTS!$AB$2:$AB$180,N$37,ANNOUNCEMENTS!$J$2:$J$180,$A$30)+
COUNTIFS(ANNOUNCEMENTS!$W$2:$W$180,$E28,ANNOUNCEMENTS!$AD$2:$AD$180,N$37,ANNOUNCEMENTS!$J$2:$J$180,$A$30)</f>
        <v>0</v>
      </c>
      <c r="O28" s="333">
        <f>COUNTIFS(ANNOUNCEMENTS!$W$2:$W$180,$E28,ANNOUNCEMENTS!$Z$2:$Z$180,O$37,ANNOUNCEMENTS!$J$2:$J$180,$A$31)+
COUNTIFS(ANNOUNCEMENTS!$W$2:$W$180,$E28,ANNOUNCEMENTS!$AB$2:$AB$180,O$37,ANNOUNCEMENTS!$J$2:$J$180,$A$31)+
COUNTIFS(ANNOUNCEMENTS!$W$2:$W$180,$E28,ANNOUNCEMENTS!$AD$2:$AD$180,O$37,ANNOUNCEMENTS!$J$2:$J$180,$A$31)+
COUNTIFS(ANNOUNCEMENTS!$W$2:$W$180,$E28,ANNOUNCEMENTS!$Z$2:$Z$180,O$37,ANNOUNCEMENTS!$J$2:$J$180,$A$30)+
COUNTIFS(ANNOUNCEMENTS!$W$2:$W$180,$E28,ANNOUNCEMENTS!$AB$2:$AB$180,O$37,ANNOUNCEMENTS!$J$2:$J$180,$A$30)+
COUNTIFS(ANNOUNCEMENTS!$W$2:$W$180,$E28,ANNOUNCEMENTS!$AD$2:$AD$180,O$37,ANNOUNCEMENTS!$J$2:$J$180,$A$30)</f>
        <v>0</v>
      </c>
      <c r="P28" s="333">
        <f>COUNTIFS(ANNOUNCEMENTS!$W$2:$W$180,$E28,ANNOUNCEMENTS!$Z$2:$Z$180,P$37,ANNOUNCEMENTS!$J$2:$J$180,$A$31)+
COUNTIFS(ANNOUNCEMENTS!$W$2:$W$180,$E28,ANNOUNCEMENTS!$AB$2:$AB$180,P$37,ANNOUNCEMENTS!$J$2:$J$180,$A$31)+
COUNTIFS(ANNOUNCEMENTS!$W$2:$W$180,$E28,ANNOUNCEMENTS!$AD$2:$AD$180,P$37,ANNOUNCEMENTS!$J$2:$J$180,$A$31)+
COUNTIFS(ANNOUNCEMENTS!$W$2:$W$180,$E28,ANNOUNCEMENTS!$Z$2:$Z$180,P$37,ANNOUNCEMENTS!$J$2:$J$180,$A$30)+
COUNTIFS(ANNOUNCEMENTS!$W$2:$W$180,$E28,ANNOUNCEMENTS!$AB$2:$AB$180,P$37,ANNOUNCEMENTS!$J$2:$J$180,$A$30)+
COUNTIFS(ANNOUNCEMENTS!$W$2:$W$180,$E28,ANNOUNCEMENTS!$AD$2:$AD$180,P$37,ANNOUNCEMENTS!$J$2:$J$180,$A$30)</f>
        <v>0</v>
      </c>
      <c r="Q28" s="346">
        <f>COUNTIFS(ANNOUNCEMENTS!$W$2:$W$180,$E28,ANNOUNCEMENTS!$J$2:$J$180,$A$31)+
COUNTIFS(ANNOUNCEMENTS!$W$2:$W$180,$E28,ANNOUNCEMENTS!$J$2:$J$180,$A$30)</f>
        <v>3</v>
      </c>
      <c r="R28" s="143">
        <f>Q28/SUM($Q$26:$Q$32)</f>
        <v>3.7037037037037035E-2</v>
      </c>
      <c r="Z28" s="287"/>
    </row>
    <row r="29" spans="1:68" x14ac:dyDescent="0.35">
      <c r="A29" s="297" t="s">
        <v>341</v>
      </c>
      <c r="B29" s="287">
        <f>COUNTIF(ANNOUNCEMENTS!$J$2:$J$180,A29)</f>
        <v>24</v>
      </c>
      <c r="C29" s="287">
        <f>SUM(M64:S67)</f>
        <v>24</v>
      </c>
      <c r="E29" s="334" t="str">
        <v>2.3. Long term Alliance</v>
      </c>
      <c r="F29" s="347"/>
      <c r="G29" s="347"/>
      <c r="H29" s="333">
        <f>COUNTIFS(ANNOUNCEMENTS!$W$2:$W$180,$E29,ANNOUNCEMENTS!$Z$2:$Z$180,H$37,ANNOUNCEMENTS!$J$2:$J$180,$A$31)+
COUNTIFS(ANNOUNCEMENTS!$W$2:$W$180,$E29,ANNOUNCEMENTS!$AB$2:$AB$180,H$37,ANNOUNCEMENTS!$J$2:$J$180,$A$31)+
COUNTIFS(ANNOUNCEMENTS!$W$2:$W$180,$E29,ANNOUNCEMENTS!$AD$2:$AD$180,H$37,ANNOUNCEMENTS!$J$2:$J$180,$A$31)+
COUNTIFS(ANNOUNCEMENTS!$W$2:$W$180,$E29,ANNOUNCEMENTS!$Z$2:$Z$180,H$37,ANNOUNCEMENTS!$J$2:$J$180,$A$30)+
COUNTIFS(ANNOUNCEMENTS!$W$2:$W$180,$E29,ANNOUNCEMENTS!$AB$2:$AB$180,H$37,ANNOUNCEMENTS!$J$2:$J$180,$A$30)+
COUNTIFS(ANNOUNCEMENTS!$W$2:$W$180,$E29,ANNOUNCEMENTS!$AD$2:$AD$180,H$37,ANNOUNCEMENTS!$J$2:$J$180,$A$30)</f>
        <v>4</v>
      </c>
      <c r="I29" s="333">
        <f>COUNTIFS(ANNOUNCEMENTS!$W$2:$W$180,$E29,ANNOUNCEMENTS!$Z$2:$Z$180,I$37,ANNOUNCEMENTS!$J$2:$J$180,$A$31)+
COUNTIFS(ANNOUNCEMENTS!$W$2:$W$180,$E29,ANNOUNCEMENTS!$AB$2:$AB$180,I$37,ANNOUNCEMENTS!$J$2:$J$180,$A$31)+
COUNTIFS(ANNOUNCEMENTS!$W$2:$W$180,$E29,ANNOUNCEMENTS!$AD$2:$AD$180,I$37,ANNOUNCEMENTS!$J$2:$J$180,$A$31)+
COUNTIFS(ANNOUNCEMENTS!$W$2:$W$180,$E29,ANNOUNCEMENTS!$Z$2:$Z$180,I$37,ANNOUNCEMENTS!$J$2:$J$180,$A$30)+
COUNTIFS(ANNOUNCEMENTS!$W$2:$W$180,$E29,ANNOUNCEMENTS!$AB$2:$AB$180,I$37,ANNOUNCEMENTS!$J$2:$J$180,$A$30)+
COUNTIFS(ANNOUNCEMENTS!$W$2:$W$180,$E29,ANNOUNCEMENTS!$AD$2:$AD$180,I$37,ANNOUNCEMENTS!$J$2:$J$180,$A$30)</f>
        <v>1</v>
      </c>
      <c r="J29" s="333">
        <f>COUNTIFS(ANNOUNCEMENTS!$W$2:$W$180,$E29,ANNOUNCEMENTS!$Z$2:$Z$180,J$37,ANNOUNCEMENTS!$J$2:$J$180,$A$31)+
COUNTIFS(ANNOUNCEMENTS!$W$2:$W$180,$E29,ANNOUNCEMENTS!$AB$2:$AB$180,J$37,ANNOUNCEMENTS!$J$2:$J$180,$A$31)+
COUNTIFS(ANNOUNCEMENTS!$W$2:$W$180,$E29,ANNOUNCEMENTS!$AD$2:$AD$180,J$37,ANNOUNCEMENTS!$J$2:$J$180,$A$31)+
COUNTIFS(ANNOUNCEMENTS!$W$2:$W$180,$E29,ANNOUNCEMENTS!$Z$2:$Z$180,J$37,ANNOUNCEMENTS!$J$2:$J$180,$A$30)+
COUNTIFS(ANNOUNCEMENTS!$W$2:$W$180,$E29,ANNOUNCEMENTS!$AB$2:$AB$180,J$37,ANNOUNCEMENTS!$J$2:$J$180,$A$30)+
COUNTIFS(ANNOUNCEMENTS!$W$2:$W$180,$E29,ANNOUNCEMENTS!$AD$2:$AD$180,J$37,ANNOUNCEMENTS!$J$2:$J$180,$A$30)</f>
        <v>8</v>
      </c>
      <c r="K29" s="333">
        <f>COUNTIFS(ANNOUNCEMENTS!$W$2:$W$180,$E29,ANNOUNCEMENTS!$Z$2:$Z$180,K$37,ANNOUNCEMENTS!$J$2:$J$180,$A$31)+
COUNTIFS(ANNOUNCEMENTS!$W$2:$W$180,$E29,ANNOUNCEMENTS!$AB$2:$AB$180,K$37,ANNOUNCEMENTS!$J$2:$J$180,$A$31)+
COUNTIFS(ANNOUNCEMENTS!$W$2:$W$180,$E29,ANNOUNCEMENTS!$AD$2:$AD$180,K$37,ANNOUNCEMENTS!$J$2:$J$180,$A$31)+
COUNTIFS(ANNOUNCEMENTS!$W$2:$W$180,$E29,ANNOUNCEMENTS!$Z$2:$Z$180,K$37,ANNOUNCEMENTS!$J$2:$J$180,$A$30)+
COUNTIFS(ANNOUNCEMENTS!$W$2:$W$180,$E29,ANNOUNCEMENTS!$AB$2:$AB$180,K$37,ANNOUNCEMENTS!$J$2:$J$180,$A$30)+
COUNTIFS(ANNOUNCEMENTS!$W$2:$W$180,$E29,ANNOUNCEMENTS!$AD$2:$AD$180,K$37,ANNOUNCEMENTS!$J$2:$J$180,$A$30)</f>
        <v>0</v>
      </c>
      <c r="L29" s="333">
        <f>COUNTIFS(ANNOUNCEMENTS!$W$2:$W$180,$E29,ANNOUNCEMENTS!$Z$2:$Z$180,L$37,ANNOUNCEMENTS!$J$2:$J$180,$A$31)+
COUNTIFS(ANNOUNCEMENTS!$W$2:$W$180,$E29,ANNOUNCEMENTS!$AB$2:$AB$180,L$37,ANNOUNCEMENTS!$J$2:$J$180,$A$31)+
COUNTIFS(ANNOUNCEMENTS!$W$2:$W$180,$E29,ANNOUNCEMENTS!$AD$2:$AD$180,L$37,ANNOUNCEMENTS!$J$2:$J$180,$A$31)+
COUNTIFS(ANNOUNCEMENTS!$W$2:$W$180,$E29,ANNOUNCEMENTS!$Z$2:$Z$180,L$37,ANNOUNCEMENTS!$J$2:$J$180,$A$30)+
COUNTIFS(ANNOUNCEMENTS!$W$2:$W$180,$E29,ANNOUNCEMENTS!$AB$2:$AB$180,L$37,ANNOUNCEMENTS!$J$2:$J$180,$A$30)+
COUNTIFS(ANNOUNCEMENTS!$W$2:$W$180,$E29,ANNOUNCEMENTS!$AD$2:$AD$180,L$37,ANNOUNCEMENTS!$J$2:$J$180,$A$30)</f>
        <v>7</v>
      </c>
      <c r="M29" s="333">
        <f>COUNTIFS(ANNOUNCEMENTS!$W$2:$W$180,$E29,ANNOUNCEMENTS!$Z$2:$Z$180,M$37,ANNOUNCEMENTS!$J$2:$J$180,$A$31)+
COUNTIFS(ANNOUNCEMENTS!$W$2:$W$180,$E29,ANNOUNCEMENTS!$AB$2:$AB$180,M$37,ANNOUNCEMENTS!$J$2:$J$180,$A$31)+
COUNTIFS(ANNOUNCEMENTS!$W$2:$W$180,$E29,ANNOUNCEMENTS!$AD$2:$AD$180,M$37,ANNOUNCEMENTS!$J$2:$J$180,$A$31)+
COUNTIFS(ANNOUNCEMENTS!$W$2:$W$180,$E29,ANNOUNCEMENTS!$Z$2:$Z$180,M$37,ANNOUNCEMENTS!$J$2:$J$180,$A$30)+
COUNTIFS(ANNOUNCEMENTS!$W$2:$W$180,$E29,ANNOUNCEMENTS!$AB$2:$AB$180,M$37,ANNOUNCEMENTS!$J$2:$J$180,$A$30)+
COUNTIFS(ANNOUNCEMENTS!$W$2:$W$180,$E29,ANNOUNCEMENTS!$AD$2:$AD$180,M$37,ANNOUNCEMENTS!$J$2:$J$180,$A$30)</f>
        <v>1</v>
      </c>
      <c r="N29" s="333">
        <f>COUNTIFS(ANNOUNCEMENTS!$W$2:$W$180,$E29,ANNOUNCEMENTS!$Z$2:$Z$180,N$37,ANNOUNCEMENTS!$J$2:$J$180,$A$31)+
COUNTIFS(ANNOUNCEMENTS!$W$2:$W$180,$E29,ANNOUNCEMENTS!$AB$2:$AB$180,N$37,ANNOUNCEMENTS!$J$2:$J$180,$A$31)+
COUNTIFS(ANNOUNCEMENTS!$W$2:$W$180,$E29,ANNOUNCEMENTS!$AD$2:$AD$180,N$37,ANNOUNCEMENTS!$J$2:$J$180,$A$31)+
COUNTIFS(ANNOUNCEMENTS!$W$2:$W$180,$E29,ANNOUNCEMENTS!$Z$2:$Z$180,N$37,ANNOUNCEMENTS!$J$2:$J$180,$A$30)+
COUNTIFS(ANNOUNCEMENTS!$W$2:$W$180,$E29,ANNOUNCEMENTS!$AB$2:$AB$180,N$37,ANNOUNCEMENTS!$J$2:$J$180,$A$30)+
COUNTIFS(ANNOUNCEMENTS!$W$2:$W$180,$E29,ANNOUNCEMENTS!$AD$2:$AD$180,N$37,ANNOUNCEMENTS!$J$2:$J$180,$A$30)</f>
        <v>0</v>
      </c>
      <c r="O29" s="333">
        <f>COUNTIFS(ANNOUNCEMENTS!$W$2:$W$180,$E29,ANNOUNCEMENTS!$Z$2:$Z$180,O$37,ANNOUNCEMENTS!$J$2:$J$180,$A$31)+
COUNTIFS(ANNOUNCEMENTS!$W$2:$W$180,$E29,ANNOUNCEMENTS!$AB$2:$AB$180,O$37,ANNOUNCEMENTS!$J$2:$J$180,$A$31)+
COUNTIFS(ANNOUNCEMENTS!$W$2:$W$180,$E29,ANNOUNCEMENTS!$AD$2:$AD$180,O$37,ANNOUNCEMENTS!$J$2:$J$180,$A$31)+
COUNTIFS(ANNOUNCEMENTS!$W$2:$W$180,$E29,ANNOUNCEMENTS!$Z$2:$Z$180,O$37,ANNOUNCEMENTS!$J$2:$J$180,$A$30)+
COUNTIFS(ANNOUNCEMENTS!$W$2:$W$180,$E29,ANNOUNCEMENTS!$AB$2:$AB$180,O$37,ANNOUNCEMENTS!$J$2:$J$180,$A$30)+
COUNTIFS(ANNOUNCEMENTS!$W$2:$W$180,$E29,ANNOUNCEMENTS!$AD$2:$AD$180,O$37,ANNOUNCEMENTS!$J$2:$J$180,$A$30)</f>
        <v>0</v>
      </c>
      <c r="P29" s="333">
        <f>COUNTIFS(ANNOUNCEMENTS!$W$2:$W$180,$E29,ANNOUNCEMENTS!$Z$2:$Z$180,P$37,ANNOUNCEMENTS!$J$2:$J$180,$A$31)+
COUNTIFS(ANNOUNCEMENTS!$W$2:$W$180,$E29,ANNOUNCEMENTS!$AB$2:$AB$180,P$37,ANNOUNCEMENTS!$J$2:$J$180,$A$31)+
COUNTIFS(ANNOUNCEMENTS!$W$2:$W$180,$E29,ANNOUNCEMENTS!$AD$2:$AD$180,P$37,ANNOUNCEMENTS!$J$2:$J$180,$A$31)+
COUNTIFS(ANNOUNCEMENTS!$W$2:$W$180,$E29,ANNOUNCEMENTS!$Z$2:$Z$180,P$37,ANNOUNCEMENTS!$J$2:$J$180,$A$30)+
COUNTIFS(ANNOUNCEMENTS!$W$2:$W$180,$E29,ANNOUNCEMENTS!$AB$2:$AB$180,P$37,ANNOUNCEMENTS!$J$2:$J$180,$A$30)+
COUNTIFS(ANNOUNCEMENTS!$W$2:$W$180,$E29,ANNOUNCEMENTS!$AD$2:$AD$180,P$37,ANNOUNCEMENTS!$J$2:$J$180,$A$30)</f>
        <v>1</v>
      </c>
      <c r="Q29" s="346">
        <f>COUNTIFS(ANNOUNCEMENTS!$W$2:$W$180,$E29,ANNOUNCEMENTS!$J$2:$J$180,$A$31)+
COUNTIFS(ANNOUNCEMENTS!$W$2:$W$180,$E29,ANNOUNCEMENTS!$J$2:$J$180,$A$30)</f>
        <v>19</v>
      </c>
      <c r="R29" s="143">
        <f>Q29/SUM($Q$26:$Q$32)</f>
        <v>0.23456790123456789</v>
      </c>
      <c r="Z29" s="287"/>
    </row>
    <row r="30" spans="1:68" x14ac:dyDescent="0.35">
      <c r="A30" s="297" t="s">
        <v>405</v>
      </c>
      <c r="B30" s="287">
        <f>COUNTIF(ANNOUNCEMENTS!$J$2:$J$180,A30)</f>
        <v>54</v>
      </c>
      <c r="C30" s="287">
        <f>SUM(M74:S77)</f>
        <v>54</v>
      </c>
      <c r="E30" s="334" t="str">
        <v>2.4. Exclusive Alliance</v>
      </c>
      <c r="F30" s="347"/>
      <c r="G30" s="347"/>
      <c r="H30" s="333">
        <f>COUNTIFS(ANNOUNCEMENTS!$W$2:$W$180,$E30,ANNOUNCEMENTS!$Z$2:$Z$180,H$37,ANNOUNCEMENTS!$J$2:$J$180,$A$31)+
COUNTIFS(ANNOUNCEMENTS!$W$2:$W$180,$E30,ANNOUNCEMENTS!$AB$2:$AB$180,H$37,ANNOUNCEMENTS!$J$2:$J$180,$A$31)+
COUNTIFS(ANNOUNCEMENTS!$W$2:$W$180,$E30,ANNOUNCEMENTS!$AD$2:$AD$180,H$37,ANNOUNCEMENTS!$J$2:$J$180,$A$31)+
COUNTIFS(ANNOUNCEMENTS!$W$2:$W$180,$E30,ANNOUNCEMENTS!$Z$2:$Z$180,H$37,ANNOUNCEMENTS!$J$2:$J$180,$A$30)+
COUNTIFS(ANNOUNCEMENTS!$W$2:$W$180,$E30,ANNOUNCEMENTS!$AB$2:$AB$180,H$37,ANNOUNCEMENTS!$J$2:$J$180,$A$30)+
COUNTIFS(ANNOUNCEMENTS!$W$2:$W$180,$E30,ANNOUNCEMENTS!$AD$2:$AD$180,H$37,ANNOUNCEMENTS!$J$2:$J$180,$A$30)</f>
        <v>0</v>
      </c>
      <c r="I30" s="333">
        <f>COUNTIFS(ANNOUNCEMENTS!$W$2:$W$180,$E30,ANNOUNCEMENTS!$Z$2:$Z$180,I$37,ANNOUNCEMENTS!$J$2:$J$180,$A$31)+
COUNTIFS(ANNOUNCEMENTS!$W$2:$W$180,$E30,ANNOUNCEMENTS!$AB$2:$AB$180,I$37,ANNOUNCEMENTS!$J$2:$J$180,$A$31)+
COUNTIFS(ANNOUNCEMENTS!$W$2:$W$180,$E30,ANNOUNCEMENTS!$AD$2:$AD$180,I$37,ANNOUNCEMENTS!$J$2:$J$180,$A$31)+
COUNTIFS(ANNOUNCEMENTS!$W$2:$W$180,$E30,ANNOUNCEMENTS!$Z$2:$Z$180,I$37,ANNOUNCEMENTS!$J$2:$J$180,$A$30)+
COUNTIFS(ANNOUNCEMENTS!$W$2:$W$180,$E30,ANNOUNCEMENTS!$AB$2:$AB$180,I$37,ANNOUNCEMENTS!$J$2:$J$180,$A$30)+
COUNTIFS(ANNOUNCEMENTS!$W$2:$W$180,$E30,ANNOUNCEMENTS!$AD$2:$AD$180,I$37,ANNOUNCEMENTS!$J$2:$J$180,$A$30)</f>
        <v>0</v>
      </c>
      <c r="J30" s="333">
        <f>COUNTIFS(ANNOUNCEMENTS!$W$2:$W$180,$E30,ANNOUNCEMENTS!$Z$2:$Z$180,J$37,ANNOUNCEMENTS!$J$2:$J$180,$A$31)+
COUNTIFS(ANNOUNCEMENTS!$W$2:$W$180,$E30,ANNOUNCEMENTS!$AB$2:$AB$180,J$37,ANNOUNCEMENTS!$J$2:$J$180,$A$31)+
COUNTIFS(ANNOUNCEMENTS!$W$2:$W$180,$E30,ANNOUNCEMENTS!$AD$2:$AD$180,J$37,ANNOUNCEMENTS!$J$2:$J$180,$A$31)+
COUNTIFS(ANNOUNCEMENTS!$W$2:$W$180,$E30,ANNOUNCEMENTS!$Z$2:$Z$180,J$37,ANNOUNCEMENTS!$J$2:$J$180,$A$30)+
COUNTIFS(ANNOUNCEMENTS!$W$2:$W$180,$E30,ANNOUNCEMENTS!$AB$2:$AB$180,J$37,ANNOUNCEMENTS!$J$2:$J$180,$A$30)+
COUNTIFS(ANNOUNCEMENTS!$W$2:$W$180,$E30,ANNOUNCEMENTS!$AD$2:$AD$180,J$37,ANNOUNCEMENTS!$J$2:$J$180,$A$30)</f>
        <v>0</v>
      </c>
      <c r="K30" s="333">
        <f>COUNTIFS(ANNOUNCEMENTS!$W$2:$W$180,$E30,ANNOUNCEMENTS!$Z$2:$Z$180,K$37,ANNOUNCEMENTS!$J$2:$J$180,$A$31)+
COUNTIFS(ANNOUNCEMENTS!$W$2:$W$180,$E30,ANNOUNCEMENTS!$AB$2:$AB$180,K$37,ANNOUNCEMENTS!$J$2:$J$180,$A$31)+
COUNTIFS(ANNOUNCEMENTS!$W$2:$W$180,$E30,ANNOUNCEMENTS!$AD$2:$AD$180,K$37,ANNOUNCEMENTS!$J$2:$J$180,$A$31)+
COUNTIFS(ANNOUNCEMENTS!$W$2:$W$180,$E30,ANNOUNCEMENTS!$Z$2:$Z$180,K$37,ANNOUNCEMENTS!$J$2:$J$180,$A$30)+
COUNTIFS(ANNOUNCEMENTS!$W$2:$W$180,$E30,ANNOUNCEMENTS!$AB$2:$AB$180,K$37,ANNOUNCEMENTS!$J$2:$J$180,$A$30)+
COUNTIFS(ANNOUNCEMENTS!$W$2:$W$180,$E30,ANNOUNCEMENTS!$AD$2:$AD$180,K$37,ANNOUNCEMENTS!$J$2:$J$180,$A$30)</f>
        <v>0</v>
      </c>
      <c r="L30" s="333">
        <f>COUNTIFS(ANNOUNCEMENTS!$W$2:$W$180,$E30,ANNOUNCEMENTS!$Z$2:$Z$180,L$37,ANNOUNCEMENTS!$J$2:$J$180,$A$31)+
COUNTIFS(ANNOUNCEMENTS!$W$2:$W$180,$E30,ANNOUNCEMENTS!$AB$2:$AB$180,L$37,ANNOUNCEMENTS!$J$2:$J$180,$A$31)+
COUNTIFS(ANNOUNCEMENTS!$W$2:$W$180,$E30,ANNOUNCEMENTS!$AD$2:$AD$180,L$37,ANNOUNCEMENTS!$J$2:$J$180,$A$31)+
COUNTIFS(ANNOUNCEMENTS!$W$2:$W$180,$E30,ANNOUNCEMENTS!$Z$2:$Z$180,L$37,ANNOUNCEMENTS!$J$2:$J$180,$A$30)+
COUNTIFS(ANNOUNCEMENTS!$W$2:$W$180,$E30,ANNOUNCEMENTS!$AB$2:$AB$180,L$37,ANNOUNCEMENTS!$J$2:$J$180,$A$30)+
COUNTIFS(ANNOUNCEMENTS!$W$2:$W$180,$E30,ANNOUNCEMENTS!$AD$2:$AD$180,L$37,ANNOUNCEMENTS!$J$2:$J$180,$A$30)</f>
        <v>0</v>
      </c>
      <c r="M30" s="333">
        <f>COUNTIFS(ANNOUNCEMENTS!$W$2:$W$180,$E30,ANNOUNCEMENTS!$Z$2:$Z$180,M$37,ANNOUNCEMENTS!$J$2:$J$180,$A$31)+
COUNTIFS(ANNOUNCEMENTS!$W$2:$W$180,$E30,ANNOUNCEMENTS!$AB$2:$AB$180,M$37,ANNOUNCEMENTS!$J$2:$J$180,$A$31)+
COUNTIFS(ANNOUNCEMENTS!$W$2:$W$180,$E30,ANNOUNCEMENTS!$AD$2:$AD$180,M$37,ANNOUNCEMENTS!$J$2:$J$180,$A$31)+
COUNTIFS(ANNOUNCEMENTS!$W$2:$W$180,$E30,ANNOUNCEMENTS!$Z$2:$Z$180,M$37,ANNOUNCEMENTS!$J$2:$J$180,$A$30)+
COUNTIFS(ANNOUNCEMENTS!$W$2:$W$180,$E30,ANNOUNCEMENTS!$AB$2:$AB$180,M$37,ANNOUNCEMENTS!$J$2:$J$180,$A$30)+
COUNTIFS(ANNOUNCEMENTS!$W$2:$W$180,$E30,ANNOUNCEMENTS!$AD$2:$AD$180,M$37,ANNOUNCEMENTS!$J$2:$J$180,$A$30)</f>
        <v>1</v>
      </c>
      <c r="N30" s="333">
        <f>COUNTIFS(ANNOUNCEMENTS!$W$2:$W$180,$E30,ANNOUNCEMENTS!$Z$2:$Z$180,N$37,ANNOUNCEMENTS!$J$2:$J$180,$A$31)+
COUNTIFS(ANNOUNCEMENTS!$W$2:$W$180,$E30,ANNOUNCEMENTS!$AB$2:$AB$180,N$37,ANNOUNCEMENTS!$J$2:$J$180,$A$31)+
COUNTIFS(ANNOUNCEMENTS!$W$2:$W$180,$E30,ANNOUNCEMENTS!$AD$2:$AD$180,N$37,ANNOUNCEMENTS!$J$2:$J$180,$A$31)+
COUNTIFS(ANNOUNCEMENTS!$W$2:$W$180,$E30,ANNOUNCEMENTS!$Z$2:$Z$180,N$37,ANNOUNCEMENTS!$J$2:$J$180,$A$30)+
COUNTIFS(ANNOUNCEMENTS!$W$2:$W$180,$E30,ANNOUNCEMENTS!$AB$2:$AB$180,N$37,ANNOUNCEMENTS!$J$2:$J$180,$A$30)+
COUNTIFS(ANNOUNCEMENTS!$W$2:$W$180,$E30,ANNOUNCEMENTS!$AD$2:$AD$180,N$37,ANNOUNCEMENTS!$J$2:$J$180,$A$30)</f>
        <v>0</v>
      </c>
      <c r="O30" s="333">
        <f>COUNTIFS(ANNOUNCEMENTS!$W$2:$W$180,$E30,ANNOUNCEMENTS!$Z$2:$Z$180,O$37,ANNOUNCEMENTS!$J$2:$J$180,$A$31)+
COUNTIFS(ANNOUNCEMENTS!$W$2:$W$180,$E30,ANNOUNCEMENTS!$AB$2:$AB$180,O$37,ANNOUNCEMENTS!$J$2:$J$180,$A$31)+
COUNTIFS(ANNOUNCEMENTS!$W$2:$W$180,$E30,ANNOUNCEMENTS!$AD$2:$AD$180,O$37,ANNOUNCEMENTS!$J$2:$J$180,$A$31)+
COUNTIFS(ANNOUNCEMENTS!$W$2:$W$180,$E30,ANNOUNCEMENTS!$Z$2:$Z$180,O$37,ANNOUNCEMENTS!$J$2:$J$180,$A$30)+
COUNTIFS(ANNOUNCEMENTS!$W$2:$W$180,$E30,ANNOUNCEMENTS!$AB$2:$AB$180,O$37,ANNOUNCEMENTS!$J$2:$J$180,$A$30)+
COUNTIFS(ANNOUNCEMENTS!$W$2:$W$180,$E30,ANNOUNCEMENTS!$AD$2:$AD$180,O$37,ANNOUNCEMENTS!$J$2:$J$180,$A$30)</f>
        <v>0</v>
      </c>
      <c r="P30" s="333">
        <f>COUNTIFS(ANNOUNCEMENTS!$W$2:$W$180,$E30,ANNOUNCEMENTS!$Z$2:$Z$180,P$37,ANNOUNCEMENTS!$J$2:$J$180,$A$31)+
COUNTIFS(ANNOUNCEMENTS!$W$2:$W$180,$E30,ANNOUNCEMENTS!$AB$2:$AB$180,P$37,ANNOUNCEMENTS!$J$2:$J$180,$A$31)+
COUNTIFS(ANNOUNCEMENTS!$W$2:$W$180,$E30,ANNOUNCEMENTS!$AD$2:$AD$180,P$37,ANNOUNCEMENTS!$J$2:$J$180,$A$31)+
COUNTIFS(ANNOUNCEMENTS!$W$2:$W$180,$E30,ANNOUNCEMENTS!$Z$2:$Z$180,P$37,ANNOUNCEMENTS!$J$2:$J$180,$A$30)+
COUNTIFS(ANNOUNCEMENTS!$W$2:$W$180,$E30,ANNOUNCEMENTS!$AB$2:$AB$180,P$37,ANNOUNCEMENTS!$J$2:$J$180,$A$30)+
COUNTIFS(ANNOUNCEMENTS!$W$2:$W$180,$E30,ANNOUNCEMENTS!$AD$2:$AD$180,P$37,ANNOUNCEMENTS!$J$2:$J$180,$A$30)</f>
        <v>1</v>
      </c>
      <c r="Q30" s="346">
        <f>COUNTIFS(ANNOUNCEMENTS!$W$2:$W$180,$E30,ANNOUNCEMENTS!$J$2:$J$180,$A$31)+
COUNTIFS(ANNOUNCEMENTS!$W$2:$W$180,$E30,ANNOUNCEMENTS!$J$2:$J$180,$A$30)</f>
        <v>2</v>
      </c>
      <c r="R30" s="143">
        <f>Q30/SUM($Q$26:$Q$32)</f>
        <v>2.4691358024691357E-2</v>
      </c>
      <c r="Z30" s="287"/>
    </row>
    <row r="31" spans="1:68" x14ac:dyDescent="0.35">
      <c r="A31" s="297" t="s">
        <v>273</v>
      </c>
      <c r="B31" s="287">
        <f>COUNTIF(ANNOUNCEMENTS!$J$2:$J$180,A31)</f>
        <v>27</v>
      </c>
      <c r="C31" s="287">
        <f>SUM(M84:S87)</f>
        <v>27</v>
      </c>
      <c r="E31" s="334" t="str">
        <v>3. Strategic Partnership</v>
      </c>
      <c r="F31" s="347"/>
      <c r="G31" s="347"/>
      <c r="H31" s="333">
        <f>COUNTIFS(ANNOUNCEMENTS!$W$2:$W$180,$E31,ANNOUNCEMENTS!$Z$2:$Z$180,H$37,ANNOUNCEMENTS!$J$2:$J$180,$A$31)+
COUNTIFS(ANNOUNCEMENTS!$W$2:$W$180,$E31,ANNOUNCEMENTS!$AB$2:$AB$180,H$37,ANNOUNCEMENTS!$J$2:$J$180,$A$31)+
COUNTIFS(ANNOUNCEMENTS!$W$2:$W$180,$E31,ANNOUNCEMENTS!$AD$2:$AD$180,H$37,ANNOUNCEMENTS!$J$2:$J$180,$A$31)+
COUNTIFS(ANNOUNCEMENTS!$W$2:$W$180,$E31,ANNOUNCEMENTS!$Z$2:$Z$180,H$37,ANNOUNCEMENTS!$J$2:$J$180,$A$30)+
COUNTIFS(ANNOUNCEMENTS!$W$2:$W$180,$E31,ANNOUNCEMENTS!$AB$2:$AB$180,H$37,ANNOUNCEMENTS!$J$2:$J$180,$A$30)+
COUNTIFS(ANNOUNCEMENTS!$W$2:$W$180,$E31,ANNOUNCEMENTS!$AD$2:$AD$180,H$37,ANNOUNCEMENTS!$J$2:$J$180,$A$30)</f>
        <v>5</v>
      </c>
      <c r="I31" s="333">
        <f>COUNTIFS(ANNOUNCEMENTS!$W$2:$W$180,$E31,ANNOUNCEMENTS!$Z$2:$Z$180,I$37,ANNOUNCEMENTS!$J$2:$J$180,$A$31)+
COUNTIFS(ANNOUNCEMENTS!$W$2:$W$180,$E31,ANNOUNCEMENTS!$AB$2:$AB$180,I$37,ANNOUNCEMENTS!$J$2:$J$180,$A$31)+
COUNTIFS(ANNOUNCEMENTS!$W$2:$W$180,$E31,ANNOUNCEMENTS!$AD$2:$AD$180,I$37,ANNOUNCEMENTS!$J$2:$J$180,$A$31)+
COUNTIFS(ANNOUNCEMENTS!$W$2:$W$180,$E31,ANNOUNCEMENTS!$Z$2:$Z$180,I$37,ANNOUNCEMENTS!$J$2:$J$180,$A$30)+
COUNTIFS(ANNOUNCEMENTS!$W$2:$W$180,$E31,ANNOUNCEMENTS!$AB$2:$AB$180,I$37,ANNOUNCEMENTS!$J$2:$J$180,$A$30)+
COUNTIFS(ANNOUNCEMENTS!$W$2:$W$180,$E31,ANNOUNCEMENTS!$AD$2:$AD$180,I$37,ANNOUNCEMENTS!$J$2:$J$180,$A$30)</f>
        <v>1</v>
      </c>
      <c r="J31" s="333">
        <f>COUNTIFS(ANNOUNCEMENTS!$W$2:$W$180,$E31,ANNOUNCEMENTS!$Z$2:$Z$180,J$37,ANNOUNCEMENTS!$J$2:$J$180,$A$31)+
COUNTIFS(ANNOUNCEMENTS!$W$2:$W$180,$E31,ANNOUNCEMENTS!$AB$2:$AB$180,J$37,ANNOUNCEMENTS!$J$2:$J$180,$A$31)+
COUNTIFS(ANNOUNCEMENTS!$W$2:$W$180,$E31,ANNOUNCEMENTS!$AD$2:$AD$180,J$37,ANNOUNCEMENTS!$J$2:$J$180,$A$31)+
COUNTIFS(ANNOUNCEMENTS!$W$2:$W$180,$E31,ANNOUNCEMENTS!$Z$2:$Z$180,J$37,ANNOUNCEMENTS!$J$2:$J$180,$A$30)+
COUNTIFS(ANNOUNCEMENTS!$W$2:$W$180,$E31,ANNOUNCEMENTS!$AB$2:$AB$180,J$37,ANNOUNCEMENTS!$J$2:$J$180,$A$30)+
COUNTIFS(ANNOUNCEMENTS!$W$2:$W$180,$E31,ANNOUNCEMENTS!$AD$2:$AD$180,J$37,ANNOUNCEMENTS!$J$2:$J$180,$A$30)</f>
        <v>1</v>
      </c>
      <c r="K31" s="333">
        <f>COUNTIFS(ANNOUNCEMENTS!$W$2:$W$180,$E31,ANNOUNCEMENTS!$Z$2:$Z$180,K$37,ANNOUNCEMENTS!$J$2:$J$180,$A$31)+
COUNTIFS(ANNOUNCEMENTS!$W$2:$W$180,$E31,ANNOUNCEMENTS!$AB$2:$AB$180,K$37,ANNOUNCEMENTS!$J$2:$J$180,$A$31)+
COUNTIFS(ANNOUNCEMENTS!$W$2:$W$180,$E31,ANNOUNCEMENTS!$AD$2:$AD$180,K$37,ANNOUNCEMENTS!$J$2:$J$180,$A$31)+
COUNTIFS(ANNOUNCEMENTS!$W$2:$W$180,$E31,ANNOUNCEMENTS!$Z$2:$Z$180,K$37,ANNOUNCEMENTS!$J$2:$J$180,$A$30)+
COUNTIFS(ANNOUNCEMENTS!$W$2:$W$180,$E31,ANNOUNCEMENTS!$AB$2:$AB$180,K$37,ANNOUNCEMENTS!$J$2:$J$180,$A$30)+
COUNTIFS(ANNOUNCEMENTS!$W$2:$W$180,$E31,ANNOUNCEMENTS!$AD$2:$AD$180,K$37,ANNOUNCEMENTS!$J$2:$J$180,$A$30)</f>
        <v>2</v>
      </c>
      <c r="L31" s="333">
        <f>COUNTIFS(ANNOUNCEMENTS!$W$2:$W$180,$E31,ANNOUNCEMENTS!$Z$2:$Z$180,L$37,ANNOUNCEMENTS!$J$2:$J$180,$A$31)+
COUNTIFS(ANNOUNCEMENTS!$W$2:$W$180,$E31,ANNOUNCEMENTS!$AB$2:$AB$180,L$37,ANNOUNCEMENTS!$J$2:$J$180,$A$31)+
COUNTIFS(ANNOUNCEMENTS!$W$2:$W$180,$E31,ANNOUNCEMENTS!$AD$2:$AD$180,L$37,ANNOUNCEMENTS!$J$2:$J$180,$A$31)+
COUNTIFS(ANNOUNCEMENTS!$W$2:$W$180,$E31,ANNOUNCEMENTS!$Z$2:$Z$180,L$37,ANNOUNCEMENTS!$J$2:$J$180,$A$30)+
COUNTIFS(ANNOUNCEMENTS!$W$2:$W$180,$E31,ANNOUNCEMENTS!$AB$2:$AB$180,L$37,ANNOUNCEMENTS!$J$2:$J$180,$A$30)+
COUNTIFS(ANNOUNCEMENTS!$W$2:$W$180,$E31,ANNOUNCEMENTS!$AD$2:$AD$180,L$37,ANNOUNCEMENTS!$J$2:$J$180,$A$30)</f>
        <v>0</v>
      </c>
      <c r="M31" s="333">
        <f>COUNTIFS(ANNOUNCEMENTS!$W$2:$W$180,$E31,ANNOUNCEMENTS!$Z$2:$Z$180,M$37,ANNOUNCEMENTS!$J$2:$J$180,$A$31)+
COUNTIFS(ANNOUNCEMENTS!$W$2:$W$180,$E31,ANNOUNCEMENTS!$AB$2:$AB$180,M$37,ANNOUNCEMENTS!$J$2:$J$180,$A$31)+
COUNTIFS(ANNOUNCEMENTS!$W$2:$W$180,$E31,ANNOUNCEMENTS!$AD$2:$AD$180,M$37,ANNOUNCEMENTS!$J$2:$J$180,$A$31)+
COUNTIFS(ANNOUNCEMENTS!$W$2:$W$180,$E31,ANNOUNCEMENTS!$Z$2:$Z$180,M$37,ANNOUNCEMENTS!$J$2:$J$180,$A$30)+
COUNTIFS(ANNOUNCEMENTS!$W$2:$W$180,$E31,ANNOUNCEMENTS!$AB$2:$AB$180,M$37,ANNOUNCEMENTS!$J$2:$J$180,$A$30)+
COUNTIFS(ANNOUNCEMENTS!$W$2:$W$180,$E31,ANNOUNCEMENTS!$AD$2:$AD$180,M$37,ANNOUNCEMENTS!$J$2:$J$180,$A$30)</f>
        <v>1</v>
      </c>
      <c r="N31" s="333">
        <f>COUNTIFS(ANNOUNCEMENTS!$W$2:$W$180,$E31,ANNOUNCEMENTS!$Z$2:$Z$180,N$37,ANNOUNCEMENTS!$J$2:$J$180,$A$31)+
COUNTIFS(ANNOUNCEMENTS!$W$2:$W$180,$E31,ANNOUNCEMENTS!$AB$2:$AB$180,N$37,ANNOUNCEMENTS!$J$2:$J$180,$A$31)+
COUNTIFS(ANNOUNCEMENTS!$W$2:$W$180,$E31,ANNOUNCEMENTS!$AD$2:$AD$180,N$37,ANNOUNCEMENTS!$J$2:$J$180,$A$31)+
COUNTIFS(ANNOUNCEMENTS!$W$2:$W$180,$E31,ANNOUNCEMENTS!$Z$2:$Z$180,N$37,ANNOUNCEMENTS!$J$2:$J$180,$A$30)+
COUNTIFS(ANNOUNCEMENTS!$W$2:$W$180,$E31,ANNOUNCEMENTS!$AB$2:$AB$180,N$37,ANNOUNCEMENTS!$J$2:$J$180,$A$30)+
COUNTIFS(ANNOUNCEMENTS!$W$2:$W$180,$E31,ANNOUNCEMENTS!$AD$2:$AD$180,N$37,ANNOUNCEMENTS!$J$2:$J$180,$A$30)</f>
        <v>0</v>
      </c>
      <c r="O31" s="333">
        <f>COUNTIFS(ANNOUNCEMENTS!$W$2:$W$180,$E31,ANNOUNCEMENTS!$Z$2:$Z$180,O$37,ANNOUNCEMENTS!$J$2:$J$180,$A$31)+
COUNTIFS(ANNOUNCEMENTS!$W$2:$W$180,$E31,ANNOUNCEMENTS!$AB$2:$AB$180,O$37,ANNOUNCEMENTS!$J$2:$J$180,$A$31)+
COUNTIFS(ANNOUNCEMENTS!$W$2:$W$180,$E31,ANNOUNCEMENTS!$AD$2:$AD$180,O$37,ANNOUNCEMENTS!$J$2:$J$180,$A$31)+
COUNTIFS(ANNOUNCEMENTS!$W$2:$W$180,$E31,ANNOUNCEMENTS!$Z$2:$Z$180,O$37,ANNOUNCEMENTS!$J$2:$J$180,$A$30)+
COUNTIFS(ANNOUNCEMENTS!$W$2:$W$180,$E31,ANNOUNCEMENTS!$AB$2:$AB$180,O$37,ANNOUNCEMENTS!$J$2:$J$180,$A$30)+
COUNTIFS(ANNOUNCEMENTS!$W$2:$W$180,$E31,ANNOUNCEMENTS!$AD$2:$AD$180,O$37,ANNOUNCEMENTS!$J$2:$J$180,$A$30)</f>
        <v>0</v>
      </c>
      <c r="P31" s="333">
        <f>COUNTIFS(ANNOUNCEMENTS!$W$2:$W$180,$E31,ANNOUNCEMENTS!$Z$2:$Z$180,P$37,ANNOUNCEMENTS!$J$2:$J$180,$A$31)+
COUNTIFS(ANNOUNCEMENTS!$W$2:$W$180,$E31,ANNOUNCEMENTS!$AB$2:$AB$180,P$37,ANNOUNCEMENTS!$J$2:$J$180,$A$31)+
COUNTIFS(ANNOUNCEMENTS!$W$2:$W$180,$E31,ANNOUNCEMENTS!$AD$2:$AD$180,P$37,ANNOUNCEMENTS!$J$2:$J$180,$A$31)+
COUNTIFS(ANNOUNCEMENTS!$W$2:$W$180,$E31,ANNOUNCEMENTS!$Z$2:$Z$180,P$37,ANNOUNCEMENTS!$J$2:$J$180,$A$30)+
COUNTIFS(ANNOUNCEMENTS!$W$2:$W$180,$E31,ANNOUNCEMENTS!$AB$2:$AB$180,P$37,ANNOUNCEMENTS!$J$2:$J$180,$A$30)+
COUNTIFS(ANNOUNCEMENTS!$W$2:$W$180,$E31,ANNOUNCEMENTS!$AD$2:$AD$180,P$37,ANNOUNCEMENTS!$J$2:$J$180,$A$30)</f>
        <v>2</v>
      </c>
      <c r="Q31" s="346">
        <f>COUNTIFS(ANNOUNCEMENTS!$W$2:$W$180,$E31,ANNOUNCEMENTS!$J$2:$J$180,$A$31)+
COUNTIFS(ANNOUNCEMENTS!$W$2:$W$180,$E31,ANNOUNCEMENTS!$J$2:$J$180,$A$30)</f>
        <v>7</v>
      </c>
      <c r="R31" s="143">
        <f>Q31/SUM($Q$26:$Q$32)</f>
        <v>8.6419753086419748E-2</v>
      </c>
      <c r="Z31" s="287"/>
    </row>
    <row r="32" spans="1:68" x14ac:dyDescent="0.35">
      <c r="E32" s="334" t="str">
        <v>4. Joint Venture</v>
      </c>
      <c r="F32" s="347"/>
      <c r="G32" s="347"/>
      <c r="H32" s="333">
        <f>COUNTIFS(ANNOUNCEMENTS!$W$2:$W$180,$E32,ANNOUNCEMENTS!$Z$2:$Z$180,H$37,ANNOUNCEMENTS!$J$2:$J$180,$A$31)+
COUNTIFS(ANNOUNCEMENTS!$W$2:$W$180,$E32,ANNOUNCEMENTS!$AB$2:$AB$180,H$37,ANNOUNCEMENTS!$J$2:$J$180,$A$31)+
COUNTIFS(ANNOUNCEMENTS!$W$2:$W$180,$E32,ANNOUNCEMENTS!$AD$2:$AD$180,H$37,ANNOUNCEMENTS!$J$2:$J$180,$A$31)+
COUNTIFS(ANNOUNCEMENTS!$W$2:$W$180,$E32,ANNOUNCEMENTS!$Z$2:$Z$180,H$37,ANNOUNCEMENTS!$J$2:$J$180,$A$30)+
COUNTIFS(ANNOUNCEMENTS!$W$2:$W$180,$E32,ANNOUNCEMENTS!$AB$2:$AB$180,H$37,ANNOUNCEMENTS!$J$2:$J$180,$A$30)+
COUNTIFS(ANNOUNCEMENTS!$W$2:$W$180,$E32,ANNOUNCEMENTS!$AD$2:$AD$180,H$37,ANNOUNCEMENTS!$J$2:$J$180,$A$30)</f>
        <v>1</v>
      </c>
      <c r="I32" s="333">
        <f>COUNTIFS(ANNOUNCEMENTS!$W$2:$W$180,$E32,ANNOUNCEMENTS!$Z$2:$Z$180,I$37,ANNOUNCEMENTS!$J$2:$J$180,$A$31)+
COUNTIFS(ANNOUNCEMENTS!$W$2:$W$180,$E32,ANNOUNCEMENTS!$AB$2:$AB$180,I$37,ANNOUNCEMENTS!$J$2:$J$180,$A$31)+
COUNTIFS(ANNOUNCEMENTS!$W$2:$W$180,$E32,ANNOUNCEMENTS!$AD$2:$AD$180,I$37,ANNOUNCEMENTS!$J$2:$J$180,$A$31)+
COUNTIFS(ANNOUNCEMENTS!$W$2:$W$180,$E32,ANNOUNCEMENTS!$Z$2:$Z$180,I$37,ANNOUNCEMENTS!$J$2:$J$180,$A$30)+
COUNTIFS(ANNOUNCEMENTS!$W$2:$W$180,$E32,ANNOUNCEMENTS!$AB$2:$AB$180,I$37,ANNOUNCEMENTS!$J$2:$J$180,$A$30)+
COUNTIFS(ANNOUNCEMENTS!$W$2:$W$180,$E32,ANNOUNCEMENTS!$AD$2:$AD$180,I$37,ANNOUNCEMENTS!$J$2:$J$180,$A$30)</f>
        <v>0</v>
      </c>
      <c r="J32" s="333">
        <f>COUNTIFS(ANNOUNCEMENTS!$W$2:$W$180,$E32,ANNOUNCEMENTS!$Z$2:$Z$180,J$37,ANNOUNCEMENTS!$J$2:$J$180,$A$31)+
COUNTIFS(ANNOUNCEMENTS!$W$2:$W$180,$E32,ANNOUNCEMENTS!$AB$2:$AB$180,J$37,ANNOUNCEMENTS!$J$2:$J$180,$A$31)+
COUNTIFS(ANNOUNCEMENTS!$W$2:$W$180,$E32,ANNOUNCEMENTS!$AD$2:$AD$180,J$37,ANNOUNCEMENTS!$J$2:$J$180,$A$31)+
COUNTIFS(ANNOUNCEMENTS!$W$2:$W$180,$E32,ANNOUNCEMENTS!$Z$2:$Z$180,J$37,ANNOUNCEMENTS!$J$2:$J$180,$A$30)+
COUNTIFS(ANNOUNCEMENTS!$W$2:$W$180,$E32,ANNOUNCEMENTS!$AB$2:$AB$180,J$37,ANNOUNCEMENTS!$J$2:$J$180,$A$30)+
COUNTIFS(ANNOUNCEMENTS!$W$2:$W$180,$E32,ANNOUNCEMENTS!$AD$2:$AD$180,J$37,ANNOUNCEMENTS!$J$2:$J$180,$A$30)</f>
        <v>0</v>
      </c>
      <c r="K32" s="333">
        <f>COUNTIFS(ANNOUNCEMENTS!$W$2:$W$180,$E32,ANNOUNCEMENTS!$Z$2:$Z$180,K$37,ANNOUNCEMENTS!$J$2:$J$180,$A$31)+
COUNTIFS(ANNOUNCEMENTS!$W$2:$W$180,$E32,ANNOUNCEMENTS!$AB$2:$AB$180,K$37,ANNOUNCEMENTS!$J$2:$J$180,$A$31)+
COUNTIFS(ANNOUNCEMENTS!$W$2:$W$180,$E32,ANNOUNCEMENTS!$AD$2:$AD$180,K$37,ANNOUNCEMENTS!$J$2:$J$180,$A$31)+
COUNTIFS(ANNOUNCEMENTS!$W$2:$W$180,$E32,ANNOUNCEMENTS!$Z$2:$Z$180,K$37,ANNOUNCEMENTS!$J$2:$J$180,$A$30)+
COUNTIFS(ANNOUNCEMENTS!$W$2:$W$180,$E32,ANNOUNCEMENTS!$AB$2:$AB$180,K$37,ANNOUNCEMENTS!$J$2:$J$180,$A$30)+
COUNTIFS(ANNOUNCEMENTS!$W$2:$W$180,$E32,ANNOUNCEMENTS!$AD$2:$AD$180,K$37,ANNOUNCEMENTS!$J$2:$J$180,$A$30)</f>
        <v>0</v>
      </c>
      <c r="L32" s="333">
        <f>COUNTIFS(ANNOUNCEMENTS!$W$2:$W$180,$E32,ANNOUNCEMENTS!$Z$2:$Z$180,L$37,ANNOUNCEMENTS!$J$2:$J$180,$A$31)+
COUNTIFS(ANNOUNCEMENTS!$W$2:$W$180,$E32,ANNOUNCEMENTS!$AB$2:$AB$180,L$37,ANNOUNCEMENTS!$J$2:$J$180,$A$31)+
COUNTIFS(ANNOUNCEMENTS!$W$2:$W$180,$E32,ANNOUNCEMENTS!$AD$2:$AD$180,L$37,ANNOUNCEMENTS!$J$2:$J$180,$A$31)+
COUNTIFS(ANNOUNCEMENTS!$W$2:$W$180,$E32,ANNOUNCEMENTS!$Z$2:$Z$180,L$37,ANNOUNCEMENTS!$J$2:$J$180,$A$30)+
COUNTIFS(ANNOUNCEMENTS!$W$2:$W$180,$E32,ANNOUNCEMENTS!$AB$2:$AB$180,L$37,ANNOUNCEMENTS!$J$2:$J$180,$A$30)+
COUNTIFS(ANNOUNCEMENTS!$W$2:$W$180,$E32,ANNOUNCEMENTS!$AD$2:$AD$180,L$37,ANNOUNCEMENTS!$J$2:$J$180,$A$30)</f>
        <v>0</v>
      </c>
      <c r="M32" s="333">
        <f>COUNTIFS(ANNOUNCEMENTS!$W$2:$W$180,$E32,ANNOUNCEMENTS!$Z$2:$Z$180,M$37,ANNOUNCEMENTS!$J$2:$J$180,$A$31)+
COUNTIFS(ANNOUNCEMENTS!$W$2:$W$180,$E32,ANNOUNCEMENTS!$AB$2:$AB$180,M$37,ANNOUNCEMENTS!$J$2:$J$180,$A$31)+
COUNTIFS(ANNOUNCEMENTS!$W$2:$W$180,$E32,ANNOUNCEMENTS!$AD$2:$AD$180,M$37,ANNOUNCEMENTS!$J$2:$J$180,$A$31)+
COUNTIFS(ANNOUNCEMENTS!$W$2:$W$180,$E32,ANNOUNCEMENTS!$Z$2:$Z$180,M$37,ANNOUNCEMENTS!$J$2:$J$180,$A$30)+
COUNTIFS(ANNOUNCEMENTS!$W$2:$W$180,$E32,ANNOUNCEMENTS!$AB$2:$AB$180,M$37,ANNOUNCEMENTS!$J$2:$J$180,$A$30)+
COUNTIFS(ANNOUNCEMENTS!$W$2:$W$180,$E32,ANNOUNCEMENTS!$AD$2:$AD$180,M$37,ANNOUNCEMENTS!$J$2:$J$180,$A$30)</f>
        <v>0</v>
      </c>
      <c r="N32" s="333">
        <f>COUNTIFS(ANNOUNCEMENTS!$W$2:$W$180,$E32,ANNOUNCEMENTS!$Z$2:$Z$180,N$37,ANNOUNCEMENTS!$J$2:$J$180,$A$31)+
COUNTIFS(ANNOUNCEMENTS!$W$2:$W$180,$E32,ANNOUNCEMENTS!$AB$2:$AB$180,N$37,ANNOUNCEMENTS!$J$2:$J$180,$A$31)+
COUNTIFS(ANNOUNCEMENTS!$W$2:$W$180,$E32,ANNOUNCEMENTS!$AD$2:$AD$180,N$37,ANNOUNCEMENTS!$J$2:$J$180,$A$31)+
COUNTIFS(ANNOUNCEMENTS!$W$2:$W$180,$E32,ANNOUNCEMENTS!$Z$2:$Z$180,N$37,ANNOUNCEMENTS!$J$2:$J$180,$A$30)+
COUNTIFS(ANNOUNCEMENTS!$W$2:$W$180,$E32,ANNOUNCEMENTS!$AB$2:$AB$180,N$37,ANNOUNCEMENTS!$J$2:$J$180,$A$30)+
COUNTIFS(ANNOUNCEMENTS!$W$2:$W$180,$E32,ANNOUNCEMENTS!$AD$2:$AD$180,N$37,ANNOUNCEMENTS!$J$2:$J$180,$A$30)</f>
        <v>0</v>
      </c>
      <c r="O32" s="333">
        <f>COUNTIFS(ANNOUNCEMENTS!$W$2:$W$180,$E32,ANNOUNCEMENTS!$Z$2:$Z$180,O$37,ANNOUNCEMENTS!$J$2:$J$180,$A$31)+
COUNTIFS(ANNOUNCEMENTS!$W$2:$W$180,$E32,ANNOUNCEMENTS!$AB$2:$AB$180,O$37,ANNOUNCEMENTS!$J$2:$J$180,$A$31)+
COUNTIFS(ANNOUNCEMENTS!$W$2:$W$180,$E32,ANNOUNCEMENTS!$AD$2:$AD$180,O$37,ANNOUNCEMENTS!$J$2:$J$180,$A$31)+
COUNTIFS(ANNOUNCEMENTS!$W$2:$W$180,$E32,ANNOUNCEMENTS!$Z$2:$Z$180,O$37,ANNOUNCEMENTS!$J$2:$J$180,$A$30)+
COUNTIFS(ANNOUNCEMENTS!$W$2:$W$180,$E32,ANNOUNCEMENTS!$AB$2:$AB$180,O$37,ANNOUNCEMENTS!$J$2:$J$180,$A$30)+
COUNTIFS(ANNOUNCEMENTS!$W$2:$W$180,$E32,ANNOUNCEMENTS!$AD$2:$AD$180,O$37,ANNOUNCEMENTS!$J$2:$J$180,$A$30)</f>
        <v>0</v>
      </c>
      <c r="P32" s="333">
        <f>COUNTIFS(ANNOUNCEMENTS!$W$2:$W$180,$E32,ANNOUNCEMENTS!$Z$2:$Z$180,P$37,ANNOUNCEMENTS!$J$2:$J$180,$A$31)+
COUNTIFS(ANNOUNCEMENTS!$W$2:$W$180,$E32,ANNOUNCEMENTS!$AB$2:$AB$180,P$37,ANNOUNCEMENTS!$J$2:$J$180,$A$31)+
COUNTIFS(ANNOUNCEMENTS!$W$2:$W$180,$E32,ANNOUNCEMENTS!$AD$2:$AD$180,P$37,ANNOUNCEMENTS!$J$2:$J$180,$A$31)+
COUNTIFS(ANNOUNCEMENTS!$W$2:$W$180,$E32,ANNOUNCEMENTS!$Z$2:$Z$180,P$37,ANNOUNCEMENTS!$J$2:$J$180,$A$30)+
COUNTIFS(ANNOUNCEMENTS!$W$2:$W$180,$E32,ANNOUNCEMENTS!$AB$2:$AB$180,P$37,ANNOUNCEMENTS!$J$2:$J$180,$A$30)+
COUNTIFS(ANNOUNCEMENTS!$W$2:$W$180,$E32,ANNOUNCEMENTS!$AD$2:$AD$180,P$37,ANNOUNCEMENTS!$J$2:$J$180,$A$30)</f>
        <v>0</v>
      </c>
      <c r="Q32" s="346">
        <f>COUNTIFS(ANNOUNCEMENTS!$W$2:$W$180,$E32,ANNOUNCEMENTS!$J$2:$J$180,$A$31)+
COUNTIFS(ANNOUNCEMENTS!$W$2:$W$180,$E32,ANNOUNCEMENTS!$J$2:$J$180,$A$30)</f>
        <v>1</v>
      </c>
      <c r="R32" s="143">
        <f>Q32/SUM($Q$26:$Q$32)</f>
        <v>1.2345679012345678E-2</v>
      </c>
      <c r="Z32" s="287"/>
    </row>
    <row r="33" spans="1:26" ht="15" thickBot="1" x14ac:dyDescent="0.4">
      <c r="H33" s="330">
        <f>COUNTIFS(ANNOUNCEMENTS!$Z$2:$Z$180,H$37,ANNOUNCEMENTS!$J$2:$J$180,$A$31)+
COUNTIFS(ANNOUNCEMENTS!$Z$2:$Z$180,H$37,ANNOUNCEMENTS!$J$2:$J$180,$A$30)+
COUNTIFS(ANNOUNCEMENTS!$AB$2:$AB$180,H$37,ANNOUNCEMENTS!$J$2:$J$180,$A$31)+
COUNTIFS(ANNOUNCEMENTS!$AB$2:$AB$180,H$37,ANNOUNCEMENTS!$J$2:$J$180,$A$30)+
COUNTIFS(ANNOUNCEMENTS!$AD$2:$AD$180,H$37,ANNOUNCEMENTS!$J$2:$J$180,$A$31)+
COUNTIFS(ANNOUNCEMENTS!$AD$2:$AD$180,H$37,ANNOUNCEMENTS!$J$2:$J$180,$A$30)</f>
        <v>20</v>
      </c>
      <c r="I33" s="345">
        <f>COUNTIFS(ANNOUNCEMENTS!$Z$2:$Z$180,I$37,ANNOUNCEMENTS!$J$2:$J$180,$A$31)+
COUNTIFS(ANNOUNCEMENTS!$Z$2:$Z$180,I$37,ANNOUNCEMENTS!$J$2:$J$180,$A$30)+
COUNTIFS(ANNOUNCEMENTS!$AB$2:$AB$180,I$37,ANNOUNCEMENTS!$J$2:$J$180,$A$31)+
COUNTIFS(ANNOUNCEMENTS!$AB$2:$AB$180,I$37,ANNOUNCEMENTS!$J$2:$J$180,$A$30)+
COUNTIFS(ANNOUNCEMENTS!$AD$2:$AD$180,I$37,ANNOUNCEMENTS!$J$2:$J$180,$A$31)+
COUNTIFS(ANNOUNCEMENTS!$AD$2:$AD$180,I$37,ANNOUNCEMENTS!$J$2:$J$180,$A$30)</f>
        <v>2</v>
      </c>
      <c r="J33" s="345">
        <f>COUNTIFS(ANNOUNCEMENTS!$Z$2:$Z$180,J$37,ANNOUNCEMENTS!$J$2:$J$180,$A$31)+
COUNTIFS(ANNOUNCEMENTS!$Z$2:$Z$180,J$37,ANNOUNCEMENTS!$J$2:$J$180,$A$30)+
COUNTIFS(ANNOUNCEMENTS!$AB$2:$AB$180,J$37,ANNOUNCEMENTS!$J$2:$J$180,$A$31)+
COUNTIFS(ANNOUNCEMENTS!$AB$2:$AB$180,J$37,ANNOUNCEMENTS!$J$2:$J$180,$A$30)+
COUNTIFS(ANNOUNCEMENTS!$AD$2:$AD$180,J$37,ANNOUNCEMENTS!$J$2:$J$180,$A$31)+
COUNTIFS(ANNOUNCEMENTS!$AD$2:$AD$180,J$37,ANNOUNCEMENTS!$J$2:$J$180,$A$30)</f>
        <v>27</v>
      </c>
      <c r="K33" s="345">
        <f>COUNTIFS(ANNOUNCEMENTS!$Z$2:$Z$180,K$37,ANNOUNCEMENTS!$J$2:$J$180,$A$31)+
COUNTIFS(ANNOUNCEMENTS!$Z$2:$Z$180,K$37,ANNOUNCEMENTS!$J$2:$J$180,$A$30)+
COUNTIFS(ANNOUNCEMENTS!$AB$2:$AB$180,K$37,ANNOUNCEMENTS!$J$2:$J$180,$A$31)+
COUNTIFS(ANNOUNCEMENTS!$AB$2:$AB$180,K$37,ANNOUNCEMENTS!$J$2:$J$180,$A$30)+
COUNTIFS(ANNOUNCEMENTS!$AD$2:$AD$180,K$37,ANNOUNCEMENTS!$J$2:$J$180,$A$31)+
COUNTIFS(ANNOUNCEMENTS!$AD$2:$AD$180,K$37,ANNOUNCEMENTS!$J$2:$J$180,$A$30)</f>
        <v>4</v>
      </c>
      <c r="L33" s="345">
        <f>COUNTIFS(ANNOUNCEMENTS!$Z$2:$Z$180,L$37,ANNOUNCEMENTS!$J$2:$J$180,$A$31)+
COUNTIFS(ANNOUNCEMENTS!$Z$2:$Z$180,L$37,ANNOUNCEMENTS!$J$2:$J$180,$A$30)+
COUNTIFS(ANNOUNCEMENTS!$AB$2:$AB$180,L$37,ANNOUNCEMENTS!$J$2:$J$180,$A$31)+
COUNTIFS(ANNOUNCEMENTS!$AB$2:$AB$180,L$37,ANNOUNCEMENTS!$J$2:$J$180,$A$30)+
COUNTIFS(ANNOUNCEMENTS!$AD$2:$AD$180,L$37,ANNOUNCEMENTS!$J$2:$J$180,$A$31)+
COUNTIFS(ANNOUNCEMENTS!$AD$2:$AD$180,L$37,ANNOUNCEMENTS!$J$2:$J$180,$A$30)</f>
        <v>20</v>
      </c>
      <c r="M33" s="345">
        <f>COUNTIFS(ANNOUNCEMENTS!$Z$2:$Z$180,M$37,ANNOUNCEMENTS!$J$2:$J$180,$A$31)+
COUNTIFS(ANNOUNCEMENTS!$Z$2:$Z$180,M$37,ANNOUNCEMENTS!$J$2:$J$180,$A$30)+
COUNTIFS(ANNOUNCEMENTS!$AB$2:$AB$180,M$37,ANNOUNCEMENTS!$J$2:$J$180,$A$31)+
COUNTIFS(ANNOUNCEMENTS!$AB$2:$AB$180,M$37,ANNOUNCEMENTS!$J$2:$J$180,$A$30)+
COUNTIFS(ANNOUNCEMENTS!$AD$2:$AD$180,M$37,ANNOUNCEMENTS!$J$2:$J$180,$A$31)+
COUNTIFS(ANNOUNCEMENTS!$AD$2:$AD$180,M$37,ANNOUNCEMENTS!$J$2:$J$180,$A$30)</f>
        <v>11</v>
      </c>
      <c r="N33" s="345">
        <f>COUNTIFS(ANNOUNCEMENTS!$Z$2:$Z$180,N$37,ANNOUNCEMENTS!$J$2:$J$180,$A$31)+
COUNTIFS(ANNOUNCEMENTS!$Z$2:$Z$180,N$37,ANNOUNCEMENTS!$J$2:$J$180,$A$30)+
COUNTIFS(ANNOUNCEMENTS!$AB$2:$AB$180,N$37,ANNOUNCEMENTS!$J$2:$J$180,$A$31)+
COUNTIFS(ANNOUNCEMENTS!$AB$2:$AB$180,N$37,ANNOUNCEMENTS!$J$2:$J$180,$A$30)+
COUNTIFS(ANNOUNCEMENTS!$AD$2:$AD$180,N$37,ANNOUNCEMENTS!$J$2:$J$180,$A$31)+
COUNTIFS(ANNOUNCEMENTS!$AD$2:$AD$180,N$37,ANNOUNCEMENTS!$J$2:$J$180,$A$30)</f>
        <v>0</v>
      </c>
      <c r="O33" s="345">
        <f>COUNTIFS(ANNOUNCEMENTS!$Z$2:$Z$180,O$37,ANNOUNCEMENTS!$J$2:$J$180,$A$31)+
COUNTIFS(ANNOUNCEMENTS!$Z$2:$Z$180,O$37,ANNOUNCEMENTS!$J$2:$J$180,$A$30)+
COUNTIFS(ANNOUNCEMENTS!$AB$2:$AB$180,O$37,ANNOUNCEMENTS!$J$2:$J$180,$A$31)+
COUNTIFS(ANNOUNCEMENTS!$AB$2:$AB$180,O$37,ANNOUNCEMENTS!$J$2:$J$180,$A$30)+
COUNTIFS(ANNOUNCEMENTS!$AD$2:$AD$180,O$37,ANNOUNCEMENTS!$J$2:$J$180,$A$31)+
COUNTIFS(ANNOUNCEMENTS!$AD$2:$AD$180,O$37,ANNOUNCEMENTS!$J$2:$J$180,$A$30)</f>
        <v>2</v>
      </c>
      <c r="P33" s="344">
        <f>COUNTIFS(ANNOUNCEMENTS!$Z$2:$Z$180,P$37,ANNOUNCEMENTS!$J$2:$J$180,$A$31)+
COUNTIFS(ANNOUNCEMENTS!$Z$2:$Z$180,P$37,ANNOUNCEMENTS!$J$2:$J$180,$A$30)+
COUNTIFS(ANNOUNCEMENTS!$AB$2:$AB$180,P$37,ANNOUNCEMENTS!$J$2:$J$180,$A$31)+
COUNTIFS(ANNOUNCEMENTS!$AB$2:$AB$180,P$37,ANNOUNCEMENTS!$J$2:$J$180,$A$30)+
COUNTIFS(ANNOUNCEMENTS!$AD$2:$AD$180,P$37,ANNOUNCEMENTS!$J$2:$J$180,$A$31)+
COUNTIFS(ANNOUNCEMENTS!$AD$2:$AD$180,P$37,ANNOUNCEMENTS!$J$2:$J$180,$A$30)</f>
        <v>8</v>
      </c>
      <c r="Z33" s="287"/>
    </row>
    <row r="34" spans="1:26" ht="15" thickTop="1" x14ac:dyDescent="0.35">
      <c r="A34" s="21" t="s">
        <v>2264</v>
      </c>
      <c r="B34" s="313" t="s">
        <v>1931</v>
      </c>
      <c r="C34" s="313" t="s">
        <v>1950</v>
      </c>
      <c r="H34" s="94">
        <f>H33/SUM($H$33:$P$33)</f>
        <v>0.21276595744680851</v>
      </c>
      <c r="I34" s="94">
        <f>I33/SUM($H$21:$P$21)</f>
        <v>2.0202020202020204E-2</v>
      </c>
      <c r="J34" s="94">
        <f>J33/SUM($H$21:$P$21)</f>
        <v>0.27272727272727271</v>
      </c>
      <c r="K34" s="94">
        <f>K33/SUM($H$21:$P$21)</f>
        <v>4.0404040404040407E-2</v>
      </c>
      <c r="L34" s="94">
        <f>L33/SUM($H$21:$P$21)</f>
        <v>0.20202020202020202</v>
      </c>
      <c r="M34" s="94">
        <f>M33/SUM($H$21:$P$21)</f>
        <v>0.1111111111111111</v>
      </c>
      <c r="N34" s="94">
        <f>N33/SUM($H$21:$P$21)</f>
        <v>0</v>
      </c>
      <c r="O34" s="94">
        <f>O33/SUM($H$21:$P$21)</f>
        <v>2.0202020202020204E-2</v>
      </c>
      <c r="P34" s="94">
        <f>P33/SUM($H$21:$P$21)</f>
        <v>8.0808080808080815E-2</v>
      </c>
      <c r="Z34" s="287"/>
    </row>
    <row r="35" spans="1:26" x14ac:dyDescent="0.35">
      <c r="A35" s="297" t="s">
        <v>2262</v>
      </c>
      <c r="B35" s="58">
        <f>(D58+D68+F58+F68)/(K58+K68)</f>
        <v>0.26262626262626265</v>
      </c>
      <c r="C35" s="58">
        <f>(D78+D88+F78+F88)/(K78+K88)</f>
        <v>0.5</v>
      </c>
      <c r="Z35" s="287"/>
    </row>
    <row r="36" spans="1:26" x14ac:dyDescent="0.35">
      <c r="A36" s="297" t="s">
        <v>2263</v>
      </c>
      <c r="B36" s="58">
        <f>K58/SUM(K58,K68)*B61+K68/SUM(K58,K68)*B71</f>
        <v>0.44444444444444453</v>
      </c>
      <c r="C36" s="58">
        <f>K78/SUM(K78,K88)*B81+K88/SUM(K78,K88)*B91</f>
        <v>0.31914893617021278</v>
      </c>
      <c r="Z36" s="287"/>
    </row>
    <row r="37" spans="1:26" x14ac:dyDescent="0.35">
      <c r="E37" s="322" t="s">
        <v>2078</v>
      </c>
      <c r="F37" s="141" t="s">
        <v>2141</v>
      </c>
      <c r="G37" s="142">
        <f>B27</f>
        <v>15</v>
      </c>
      <c r="H37" s="336" t="str" cm="1">
        <f t="array" ref="H37:P37">TRANSPOSE(_xlfn.UNIQUE(ANNOUNCEMENTS!Z2:Z180))</f>
        <v>Joint D&amp;D</v>
      </c>
      <c r="I37" s="336" t="str">
        <v>Joint Production</v>
      </c>
      <c r="J37" s="336" t="str">
        <v>Joint Service Agreement</v>
      </c>
      <c r="K37" s="336" t="str">
        <v>Other</v>
      </c>
      <c r="L37" s="336" t="str">
        <v>Supply Partnership (extended)</v>
      </c>
      <c r="M37" s="335" t="str">
        <v>Research &amp; Collaboration</v>
      </c>
      <c r="N37" s="335" t="str">
        <v>Licensing</v>
      </c>
      <c r="O37" s="335" t="str">
        <v>Marketing Agreement</v>
      </c>
      <c r="P37" s="335" t="str">
        <v>Supply Partnership (traditional)</v>
      </c>
      <c r="S37" s="341"/>
    </row>
    <row r="38" spans="1:26" x14ac:dyDescent="0.35">
      <c r="E38" s="334" t="str" cm="1">
        <f t="array" ref="E38:E44">_xlfn._xlws.SORT(_xlfn.ANCHORARRAY(BP16),1)</f>
        <v>1. Informal Agreement</v>
      </c>
      <c r="F38" s="347"/>
      <c r="G38" s="347"/>
      <c r="H38" s="333">
        <f>COUNTIFS(ANNOUNCEMENTS!$W$2:$W$180,$E38,ANNOUNCEMENTS!$Z$2:$Z$180,H$37,ANNOUNCEMENTS!$J$2:$J$180,$A$27)+
COUNTIFS(ANNOUNCEMENTS!$W$2:$W$180,$E38,ANNOUNCEMENTS!$AB$2:$AB$180,H$37,ANNOUNCEMENTS!$J$2:$J$180,$A$27)+
COUNTIFS(ANNOUNCEMENTS!$W$2:$W$180,$E38,ANNOUNCEMENTS!$AD$2:$AD$180,H$37,ANNOUNCEMENTS!$J$2:$J$180,$A$27)</f>
        <v>0</v>
      </c>
      <c r="I38" s="333">
        <f>COUNTIFS(ANNOUNCEMENTS!$W$2:$W$180,$E38,ANNOUNCEMENTS!$Z$2:$Z$180,I$37,ANNOUNCEMENTS!$J$2:$J$180,$A$27)+
COUNTIFS(ANNOUNCEMENTS!$W$2:$W$180,$E38,ANNOUNCEMENTS!$AB$2:$AB$180,I$37,ANNOUNCEMENTS!$J$2:$J$180,$A$27)+
COUNTIFS(ANNOUNCEMENTS!$W$2:$W$180,$E38,ANNOUNCEMENTS!$AD$2:$AD$180,I$37,ANNOUNCEMENTS!$J$2:$J$180,$A$27)</f>
        <v>0</v>
      </c>
      <c r="J38" s="333">
        <f>COUNTIFS(ANNOUNCEMENTS!$W$2:$W$180,$E38,ANNOUNCEMENTS!$Z$2:$Z$180,J$37,ANNOUNCEMENTS!$J$2:$J$180,$A$27)+
COUNTIFS(ANNOUNCEMENTS!$W$2:$W$180,$E38,ANNOUNCEMENTS!$AB$2:$AB$180,J$37,ANNOUNCEMENTS!$J$2:$J$180,$A$27)+
COUNTIFS(ANNOUNCEMENTS!$W$2:$W$180,$E38,ANNOUNCEMENTS!$AD$2:$AD$180,J$37,ANNOUNCEMENTS!$J$2:$J$180,$A$27)</f>
        <v>0</v>
      </c>
      <c r="K38" s="333">
        <f>COUNTIFS(ANNOUNCEMENTS!$W$2:$W$180,$E38,ANNOUNCEMENTS!$Z$2:$Z$180,K$37,ANNOUNCEMENTS!$J$2:$J$180,$A$27)+
COUNTIFS(ANNOUNCEMENTS!$W$2:$W$180,$E38,ANNOUNCEMENTS!$AB$2:$AB$180,K$37,ANNOUNCEMENTS!$J$2:$J$180,$A$27)+
COUNTIFS(ANNOUNCEMENTS!$W$2:$W$180,$E38,ANNOUNCEMENTS!$AD$2:$AD$180,K$37,ANNOUNCEMENTS!$J$2:$J$180,$A$27)</f>
        <v>1</v>
      </c>
      <c r="L38" s="333">
        <f>COUNTIFS(ANNOUNCEMENTS!$W$2:$W$180,$E38,ANNOUNCEMENTS!$Z$2:$Z$180,L$37,ANNOUNCEMENTS!$J$2:$J$180,$A$27)+
COUNTIFS(ANNOUNCEMENTS!$W$2:$W$180,$E38,ANNOUNCEMENTS!$AB$2:$AB$180,L$37,ANNOUNCEMENTS!$J$2:$J$180,$A$27)+
COUNTIFS(ANNOUNCEMENTS!$W$2:$W$180,$E38,ANNOUNCEMENTS!$AD$2:$AD$180,L$37,ANNOUNCEMENTS!$J$2:$J$180,$A$27)</f>
        <v>0</v>
      </c>
      <c r="M38" s="333">
        <f>COUNTIFS(ANNOUNCEMENTS!$W$2:$W$180,$E38,ANNOUNCEMENTS!$Z$2:$Z$180,M$37,ANNOUNCEMENTS!$J$2:$J$180,$A$27)+
COUNTIFS(ANNOUNCEMENTS!$W$2:$W$180,$E38,ANNOUNCEMENTS!$AB$2:$AB$180,M$37,ANNOUNCEMENTS!$J$2:$J$180,$A$27)+
COUNTIFS(ANNOUNCEMENTS!$W$2:$W$180,$E38,ANNOUNCEMENTS!$AD$2:$AD$180,M$37,ANNOUNCEMENTS!$J$2:$J$180,$A$27)</f>
        <v>1</v>
      </c>
      <c r="N38" s="333">
        <f>COUNTIFS(ANNOUNCEMENTS!$W$2:$W$180,$E38,ANNOUNCEMENTS!$Z$2:$Z$180,N$37,ANNOUNCEMENTS!$J$2:$J$180,$A$27)+
COUNTIFS(ANNOUNCEMENTS!$W$2:$W$180,$E38,ANNOUNCEMENTS!$AB$2:$AB$180,N$37,ANNOUNCEMENTS!$J$2:$J$180,$A$27)+
COUNTIFS(ANNOUNCEMENTS!$W$2:$W$180,$E38,ANNOUNCEMENTS!$AD$2:$AD$180,N$37,ANNOUNCEMENTS!$J$2:$J$180,$A$27)</f>
        <v>0</v>
      </c>
      <c r="O38" s="333">
        <f>COUNTIFS(ANNOUNCEMENTS!$W$2:$W$180,$E38,ANNOUNCEMENTS!$Z$2:$Z$180,O$37,ANNOUNCEMENTS!$J$2:$J$180,$A$27)+
COUNTIFS(ANNOUNCEMENTS!$W$2:$W$180,$E38,ANNOUNCEMENTS!$AB$2:$AB$180,O$37,ANNOUNCEMENTS!$J$2:$J$180,$A$27)+
COUNTIFS(ANNOUNCEMENTS!$W$2:$W$180,$E38,ANNOUNCEMENTS!$AD$2:$AD$180,O$37,ANNOUNCEMENTS!$J$2:$J$180,$A$27)</f>
        <v>1</v>
      </c>
      <c r="P38" s="333">
        <f>COUNTIFS(ANNOUNCEMENTS!$W$2:$W$180,$E38,ANNOUNCEMENTS!$Z$2:$Z$180,P$37,ANNOUNCEMENTS!$J$2:$J$180,$A$27)+
COUNTIFS(ANNOUNCEMENTS!$W$2:$W$180,$E38,ANNOUNCEMENTS!$AB$2:$AB$180,P$37,ANNOUNCEMENTS!$J$2:$J$180,$A$27)+
COUNTIFS(ANNOUNCEMENTS!$W$2:$W$180,$E38,ANNOUNCEMENTS!$AD$2:$AD$180,P$37,ANNOUNCEMENTS!$J$2:$J$180,$A$27)</f>
        <v>0</v>
      </c>
      <c r="Q38" s="346">
        <f>COUNTIFS(ANNOUNCEMENTS!$W$2:$W$180,$E38,ANNOUNCEMENTS!$J$2:$J$180,$A$27)</f>
        <v>3</v>
      </c>
      <c r="R38" s="143">
        <f>Q38/SUM($Q$38:$Q$44)</f>
        <v>0.2</v>
      </c>
      <c r="S38" s="341"/>
      <c r="T38" s="197">
        <f t="shared" ref="T38:T44" si="0">Q38+Q14+Q26</f>
        <v>9</v>
      </c>
    </row>
    <row r="39" spans="1:26" x14ac:dyDescent="0.35">
      <c r="E39" s="334" t="str">
        <v>2.1. Short term Alliance (no exclusivity / previous experience)</v>
      </c>
      <c r="F39" s="347"/>
      <c r="G39" s="347"/>
      <c r="H39" s="333">
        <f>COUNTIFS(ANNOUNCEMENTS!$W$2:$W$180,$E39,ANNOUNCEMENTS!$Z$2:$Z$180,H$37,ANNOUNCEMENTS!$J$2:$J$180,$A$27)+
COUNTIFS(ANNOUNCEMENTS!$W$2:$W$180,$E39,ANNOUNCEMENTS!$AB$2:$AB$180,H$37,ANNOUNCEMENTS!$J$2:$J$180,$A$27)+
COUNTIFS(ANNOUNCEMENTS!$W$2:$W$180,$E39,ANNOUNCEMENTS!$AD$2:$AD$180,H$37,ANNOUNCEMENTS!$J$2:$J$180,$A$27)</f>
        <v>2</v>
      </c>
      <c r="I39" s="333">
        <f>COUNTIFS(ANNOUNCEMENTS!$W$2:$W$180,$E39,ANNOUNCEMENTS!$Z$2:$Z$180,I$37,ANNOUNCEMENTS!$J$2:$J$180,$A$27)+
COUNTIFS(ANNOUNCEMENTS!$W$2:$W$180,$E39,ANNOUNCEMENTS!$AB$2:$AB$180,I$37,ANNOUNCEMENTS!$J$2:$J$180,$A$27)+
COUNTIFS(ANNOUNCEMENTS!$W$2:$W$180,$E39,ANNOUNCEMENTS!$AD$2:$AD$180,I$37,ANNOUNCEMENTS!$J$2:$J$180,$A$27)</f>
        <v>0</v>
      </c>
      <c r="J39" s="333">
        <f>COUNTIFS(ANNOUNCEMENTS!$W$2:$W$180,$E39,ANNOUNCEMENTS!$Z$2:$Z$180,J$37,ANNOUNCEMENTS!$J$2:$J$180,$A$27)+
COUNTIFS(ANNOUNCEMENTS!$W$2:$W$180,$E39,ANNOUNCEMENTS!$AB$2:$AB$180,J$37,ANNOUNCEMENTS!$J$2:$J$180,$A$27)+
COUNTIFS(ANNOUNCEMENTS!$W$2:$W$180,$E39,ANNOUNCEMENTS!$AD$2:$AD$180,J$37,ANNOUNCEMENTS!$J$2:$J$180,$A$27)</f>
        <v>0</v>
      </c>
      <c r="K39" s="333">
        <f>COUNTIFS(ANNOUNCEMENTS!$W$2:$W$180,$E39,ANNOUNCEMENTS!$Z$2:$Z$180,K$37,ANNOUNCEMENTS!$J$2:$J$180,$A$27)+
COUNTIFS(ANNOUNCEMENTS!$W$2:$W$180,$E39,ANNOUNCEMENTS!$AB$2:$AB$180,K$37,ANNOUNCEMENTS!$J$2:$J$180,$A$27)+
COUNTIFS(ANNOUNCEMENTS!$W$2:$W$180,$E39,ANNOUNCEMENTS!$AD$2:$AD$180,K$37,ANNOUNCEMENTS!$J$2:$J$180,$A$27)</f>
        <v>1</v>
      </c>
      <c r="L39" s="333">
        <f>COUNTIFS(ANNOUNCEMENTS!$W$2:$W$180,$E39,ANNOUNCEMENTS!$Z$2:$Z$180,L$37,ANNOUNCEMENTS!$J$2:$J$180,$A$27)+
COUNTIFS(ANNOUNCEMENTS!$W$2:$W$180,$E39,ANNOUNCEMENTS!$AB$2:$AB$180,L$37,ANNOUNCEMENTS!$J$2:$J$180,$A$27)+
COUNTIFS(ANNOUNCEMENTS!$W$2:$W$180,$E39,ANNOUNCEMENTS!$AD$2:$AD$180,L$37,ANNOUNCEMENTS!$J$2:$J$180,$A$27)</f>
        <v>0</v>
      </c>
      <c r="M39" s="333">
        <f>COUNTIFS(ANNOUNCEMENTS!$W$2:$W$180,$E39,ANNOUNCEMENTS!$Z$2:$Z$180,M$37,ANNOUNCEMENTS!$J$2:$J$180,$A$27)+
COUNTIFS(ANNOUNCEMENTS!$W$2:$W$180,$E39,ANNOUNCEMENTS!$AB$2:$AB$180,M$37,ANNOUNCEMENTS!$J$2:$J$180,$A$27)+
COUNTIFS(ANNOUNCEMENTS!$W$2:$W$180,$E39,ANNOUNCEMENTS!$AD$2:$AD$180,M$37,ANNOUNCEMENTS!$J$2:$J$180,$A$27)</f>
        <v>1</v>
      </c>
      <c r="N39" s="333">
        <f>COUNTIFS(ANNOUNCEMENTS!$W$2:$W$180,$E39,ANNOUNCEMENTS!$Z$2:$Z$180,N$37,ANNOUNCEMENTS!$J$2:$J$180,$A$27)+
COUNTIFS(ANNOUNCEMENTS!$W$2:$W$180,$E39,ANNOUNCEMENTS!$AB$2:$AB$180,N$37,ANNOUNCEMENTS!$J$2:$J$180,$A$27)+
COUNTIFS(ANNOUNCEMENTS!$W$2:$W$180,$E39,ANNOUNCEMENTS!$AD$2:$AD$180,N$37,ANNOUNCEMENTS!$J$2:$J$180,$A$27)</f>
        <v>0</v>
      </c>
      <c r="O39" s="333">
        <f>COUNTIFS(ANNOUNCEMENTS!$W$2:$W$180,$E39,ANNOUNCEMENTS!$Z$2:$Z$180,O$37,ANNOUNCEMENTS!$J$2:$J$180,$A$27)+
COUNTIFS(ANNOUNCEMENTS!$W$2:$W$180,$E39,ANNOUNCEMENTS!$AB$2:$AB$180,O$37,ANNOUNCEMENTS!$J$2:$J$180,$A$27)+
COUNTIFS(ANNOUNCEMENTS!$W$2:$W$180,$E39,ANNOUNCEMENTS!$AD$2:$AD$180,O$37,ANNOUNCEMENTS!$J$2:$J$180,$A$27)</f>
        <v>1</v>
      </c>
      <c r="P39" s="333">
        <f>COUNTIFS(ANNOUNCEMENTS!$W$2:$W$180,$E39,ANNOUNCEMENTS!$Z$2:$Z$180,P$37,ANNOUNCEMENTS!$J$2:$J$180,$A$27)+
COUNTIFS(ANNOUNCEMENTS!$W$2:$W$180,$E39,ANNOUNCEMENTS!$AB$2:$AB$180,P$37,ANNOUNCEMENTS!$J$2:$J$180,$A$27)+
COUNTIFS(ANNOUNCEMENTS!$W$2:$W$180,$E39,ANNOUNCEMENTS!$AD$2:$AD$180,P$37,ANNOUNCEMENTS!$J$2:$J$180,$A$27)</f>
        <v>2</v>
      </c>
      <c r="Q39" s="346">
        <f>COUNTIFS(ANNOUNCEMENTS!$W$2:$W$180,$E39,ANNOUNCEMENTS!$J$2:$J$180,$A$27)</f>
        <v>6</v>
      </c>
      <c r="R39" s="143">
        <f>Q39/SUM($Q$38:$Q$44)</f>
        <v>0.4</v>
      </c>
      <c r="S39" s="341"/>
      <c r="T39" s="197">
        <f t="shared" si="0"/>
        <v>95</v>
      </c>
    </row>
    <row r="40" spans="1:26" x14ac:dyDescent="0.35">
      <c r="E40" s="334" t="str">
        <v xml:space="preserve">2.2. Renewed Alliance </v>
      </c>
      <c r="F40" s="347"/>
      <c r="G40" s="347"/>
      <c r="H40" s="333">
        <f>COUNTIFS(ANNOUNCEMENTS!$W$2:$W$180,$E40,ANNOUNCEMENTS!$Z$2:$Z$180,H$37,ANNOUNCEMENTS!$J$2:$J$180,$A$27)+
COUNTIFS(ANNOUNCEMENTS!$W$2:$W$180,$E40,ANNOUNCEMENTS!$AB$2:$AB$180,H$37,ANNOUNCEMENTS!$J$2:$J$180,$A$27)+
COUNTIFS(ANNOUNCEMENTS!$W$2:$W$180,$E40,ANNOUNCEMENTS!$AD$2:$AD$180,H$37,ANNOUNCEMENTS!$J$2:$J$180,$A$27)</f>
        <v>0</v>
      </c>
      <c r="I40" s="333">
        <f>COUNTIFS(ANNOUNCEMENTS!$W$2:$W$180,$E40,ANNOUNCEMENTS!$Z$2:$Z$180,I$37,ANNOUNCEMENTS!$J$2:$J$180,$A$27)+
COUNTIFS(ANNOUNCEMENTS!$W$2:$W$180,$E40,ANNOUNCEMENTS!$AB$2:$AB$180,I$37,ANNOUNCEMENTS!$J$2:$J$180,$A$27)+
COUNTIFS(ANNOUNCEMENTS!$W$2:$W$180,$E40,ANNOUNCEMENTS!$AD$2:$AD$180,I$37,ANNOUNCEMENTS!$J$2:$J$180,$A$27)</f>
        <v>0</v>
      </c>
      <c r="J40" s="333">
        <f>COUNTIFS(ANNOUNCEMENTS!$W$2:$W$180,$E40,ANNOUNCEMENTS!$Z$2:$Z$180,J$37,ANNOUNCEMENTS!$J$2:$J$180,$A$27)+
COUNTIFS(ANNOUNCEMENTS!$W$2:$W$180,$E40,ANNOUNCEMENTS!$AB$2:$AB$180,J$37,ANNOUNCEMENTS!$J$2:$J$180,$A$27)+
COUNTIFS(ANNOUNCEMENTS!$W$2:$W$180,$E40,ANNOUNCEMENTS!$AD$2:$AD$180,J$37,ANNOUNCEMENTS!$J$2:$J$180,$A$27)</f>
        <v>0</v>
      </c>
      <c r="K40" s="333">
        <f>COUNTIFS(ANNOUNCEMENTS!$W$2:$W$180,$E40,ANNOUNCEMENTS!$Z$2:$Z$180,K$37,ANNOUNCEMENTS!$J$2:$J$180,$A$27)+
COUNTIFS(ANNOUNCEMENTS!$W$2:$W$180,$E40,ANNOUNCEMENTS!$AB$2:$AB$180,K$37,ANNOUNCEMENTS!$J$2:$J$180,$A$27)+
COUNTIFS(ANNOUNCEMENTS!$W$2:$W$180,$E40,ANNOUNCEMENTS!$AD$2:$AD$180,K$37,ANNOUNCEMENTS!$J$2:$J$180,$A$27)</f>
        <v>0</v>
      </c>
      <c r="L40" s="333">
        <f>COUNTIFS(ANNOUNCEMENTS!$W$2:$W$180,$E40,ANNOUNCEMENTS!$Z$2:$Z$180,L$37,ANNOUNCEMENTS!$J$2:$J$180,$A$27)+
COUNTIFS(ANNOUNCEMENTS!$W$2:$W$180,$E40,ANNOUNCEMENTS!$AB$2:$AB$180,L$37,ANNOUNCEMENTS!$J$2:$J$180,$A$27)+
COUNTIFS(ANNOUNCEMENTS!$W$2:$W$180,$E40,ANNOUNCEMENTS!$AD$2:$AD$180,L$37,ANNOUNCEMENTS!$J$2:$J$180,$A$27)</f>
        <v>0</v>
      </c>
      <c r="M40" s="333">
        <f>COUNTIFS(ANNOUNCEMENTS!$W$2:$W$180,$E40,ANNOUNCEMENTS!$Z$2:$Z$180,M$37,ANNOUNCEMENTS!$J$2:$J$180,$A$27)+
COUNTIFS(ANNOUNCEMENTS!$W$2:$W$180,$E40,ANNOUNCEMENTS!$AB$2:$AB$180,M$37,ANNOUNCEMENTS!$J$2:$J$180,$A$27)+
COUNTIFS(ANNOUNCEMENTS!$W$2:$W$180,$E40,ANNOUNCEMENTS!$AD$2:$AD$180,M$37,ANNOUNCEMENTS!$J$2:$J$180,$A$27)</f>
        <v>0</v>
      </c>
      <c r="N40" s="333">
        <f>COUNTIFS(ANNOUNCEMENTS!$W$2:$W$180,$E40,ANNOUNCEMENTS!$Z$2:$Z$180,N$37,ANNOUNCEMENTS!$J$2:$J$180,$A$27)+
COUNTIFS(ANNOUNCEMENTS!$W$2:$W$180,$E40,ANNOUNCEMENTS!$AB$2:$AB$180,N$37,ANNOUNCEMENTS!$J$2:$J$180,$A$27)+
COUNTIFS(ANNOUNCEMENTS!$W$2:$W$180,$E40,ANNOUNCEMENTS!$AD$2:$AD$180,N$37,ANNOUNCEMENTS!$J$2:$J$180,$A$27)</f>
        <v>0</v>
      </c>
      <c r="O40" s="333">
        <f>COUNTIFS(ANNOUNCEMENTS!$W$2:$W$180,$E40,ANNOUNCEMENTS!$Z$2:$Z$180,O$37,ANNOUNCEMENTS!$J$2:$J$180,$A$27)+
COUNTIFS(ANNOUNCEMENTS!$W$2:$W$180,$E40,ANNOUNCEMENTS!$AB$2:$AB$180,O$37,ANNOUNCEMENTS!$J$2:$J$180,$A$27)+
COUNTIFS(ANNOUNCEMENTS!$W$2:$W$180,$E40,ANNOUNCEMENTS!$AD$2:$AD$180,O$37,ANNOUNCEMENTS!$J$2:$J$180,$A$27)</f>
        <v>0</v>
      </c>
      <c r="P40" s="333">
        <f>COUNTIFS(ANNOUNCEMENTS!$W$2:$W$180,$E40,ANNOUNCEMENTS!$Z$2:$Z$180,P$37,ANNOUNCEMENTS!$J$2:$J$180,$A$27)+
COUNTIFS(ANNOUNCEMENTS!$W$2:$W$180,$E40,ANNOUNCEMENTS!$AB$2:$AB$180,P$37,ANNOUNCEMENTS!$J$2:$J$180,$A$27)+
COUNTIFS(ANNOUNCEMENTS!$W$2:$W$180,$E40,ANNOUNCEMENTS!$AD$2:$AD$180,P$37,ANNOUNCEMENTS!$J$2:$J$180,$A$27)</f>
        <v>1</v>
      </c>
      <c r="Q40" s="346">
        <f>COUNTIFS(ANNOUNCEMENTS!$W$2:$W$180,$E40,ANNOUNCEMENTS!$J$2:$J$180,$A$27)</f>
        <v>1</v>
      </c>
      <c r="R40" s="143">
        <f>Q40/SUM($Q$38:$Q$44)</f>
        <v>6.6666666666666666E-2</v>
      </c>
      <c r="S40" s="341"/>
      <c r="T40" s="197">
        <f t="shared" si="0"/>
        <v>15</v>
      </c>
    </row>
    <row r="41" spans="1:26" x14ac:dyDescent="0.35">
      <c r="E41" s="334" t="str">
        <v>2.3. Long term Alliance</v>
      </c>
      <c r="F41" s="347"/>
      <c r="G41" s="347"/>
      <c r="H41" s="333">
        <f>COUNTIFS(ANNOUNCEMENTS!$W$2:$W$180,$E41,ANNOUNCEMENTS!$Z$2:$Z$180,H$37,ANNOUNCEMENTS!$J$2:$J$180,$A$27)+
COUNTIFS(ANNOUNCEMENTS!$W$2:$W$180,$E41,ANNOUNCEMENTS!$AB$2:$AB$180,H$37,ANNOUNCEMENTS!$J$2:$J$180,$A$27)+
COUNTIFS(ANNOUNCEMENTS!$W$2:$W$180,$E41,ANNOUNCEMENTS!$AD$2:$AD$180,H$37,ANNOUNCEMENTS!$J$2:$J$180,$A$27)</f>
        <v>2</v>
      </c>
      <c r="I41" s="333">
        <f>COUNTIFS(ANNOUNCEMENTS!$W$2:$W$180,$E41,ANNOUNCEMENTS!$Z$2:$Z$180,I$37,ANNOUNCEMENTS!$J$2:$J$180,$A$27)+
COUNTIFS(ANNOUNCEMENTS!$W$2:$W$180,$E41,ANNOUNCEMENTS!$AB$2:$AB$180,I$37,ANNOUNCEMENTS!$J$2:$J$180,$A$27)+
COUNTIFS(ANNOUNCEMENTS!$W$2:$W$180,$E41,ANNOUNCEMENTS!$AD$2:$AD$180,I$37,ANNOUNCEMENTS!$J$2:$J$180,$A$27)</f>
        <v>0</v>
      </c>
      <c r="J41" s="333">
        <f>COUNTIFS(ANNOUNCEMENTS!$W$2:$W$180,$E41,ANNOUNCEMENTS!$Z$2:$Z$180,J$37,ANNOUNCEMENTS!$J$2:$J$180,$A$27)+
COUNTIFS(ANNOUNCEMENTS!$W$2:$W$180,$E41,ANNOUNCEMENTS!$AB$2:$AB$180,J$37,ANNOUNCEMENTS!$J$2:$J$180,$A$27)+
COUNTIFS(ANNOUNCEMENTS!$W$2:$W$180,$E41,ANNOUNCEMENTS!$AD$2:$AD$180,J$37,ANNOUNCEMENTS!$J$2:$J$180,$A$27)</f>
        <v>0</v>
      </c>
      <c r="K41" s="333">
        <f>COUNTIFS(ANNOUNCEMENTS!$W$2:$W$180,$E41,ANNOUNCEMENTS!$Z$2:$Z$180,K$37,ANNOUNCEMENTS!$J$2:$J$180,$A$27)+
COUNTIFS(ANNOUNCEMENTS!$W$2:$W$180,$E41,ANNOUNCEMENTS!$AB$2:$AB$180,K$37,ANNOUNCEMENTS!$J$2:$J$180,$A$27)+
COUNTIFS(ANNOUNCEMENTS!$W$2:$W$180,$E41,ANNOUNCEMENTS!$AD$2:$AD$180,K$37,ANNOUNCEMENTS!$J$2:$J$180,$A$27)</f>
        <v>0</v>
      </c>
      <c r="L41" s="333">
        <f>COUNTIFS(ANNOUNCEMENTS!$W$2:$W$180,$E41,ANNOUNCEMENTS!$Z$2:$Z$180,L$37,ANNOUNCEMENTS!$J$2:$J$180,$A$27)+
COUNTIFS(ANNOUNCEMENTS!$W$2:$W$180,$E41,ANNOUNCEMENTS!$AB$2:$AB$180,L$37,ANNOUNCEMENTS!$J$2:$J$180,$A$27)+
COUNTIFS(ANNOUNCEMENTS!$W$2:$W$180,$E41,ANNOUNCEMENTS!$AD$2:$AD$180,L$37,ANNOUNCEMENTS!$J$2:$J$180,$A$27)</f>
        <v>0</v>
      </c>
      <c r="M41" s="333">
        <f>COUNTIFS(ANNOUNCEMENTS!$W$2:$W$180,$E41,ANNOUNCEMENTS!$Z$2:$Z$180,M$37,ANNOUNCEMENTS!$J$2:$J$180,$A$27)+
COUNTIFS(ANNOUNCEMENTS!$W$2:$W$180,$E41,ANNOUNCEMENTS!$AB$2:$AB$180,M$37,ANNOUNCEMENTS!$J$2:$J$180,$A$27)+
COUNTIFS(ANNOUNCEMENTS!$W$2:$W$180,$E41,ANNOUNCEMENTS!$AD$2:$AD$180,M$37,ANNOUNCEMENTS!$J$2:$J$180,$A$27)</f>
        <v>0</v>
      </c>
      <c r="N41" s="333">
        <f>COUNTIFS(ANNOUNCEMENTS!$W$2:$W$180,$E41,ANNOUNCEMENTS!$Z$2:$Z$180,N$37,ANNOUNCEMENTS!$J$2:$J$180,$A$27)+
COUNTIFS(ANNOUNCEMENTS!$W$2:$W$180,$E41,ANNOUNCEMENTS!$AB$2:$AB$180,N$37,ANNOUNCEMENTS!$J$2:$J$180,$A$27)+
COUNTIFS(ANNOUNCEMENTS!$W$2:$W$180,$E41,ANNOUNCEMENTS!$AD$2:$AD$180,N$37,ANNOUNCEMENTS!$J$2:$J$180,$A$27)</f>
        <v>0</v>
      </c>
      <c r="O41" s="333">
        <f>COUNTIFS(ANNOUNCEMENTS!$W$2:$W$180,$E41,ANNOUNCEMENTS!$Z$2:$Z$180,O$37,ANNOUNCEMENTS!$J$2:$J$180,$A$27)+
COUNTIFS(ANNOUNCEMENTS!$W$2:$W$180,$E41,ANNOUNCEMENTS!$AB$2:$AB$180,O$37,ANNOUNCEMENTS!$J$2:$J$180,$A$27)+
COUNTIFS(ANNOUNCEMENTS!$W$2:$W$180,$E41,ANNOUNCEMENTS!$AD$2:$AD$180,O$37,ANNOUNCEMENTS!$J$2:$J$180,$A$27)</f>
        <v>0</v>
      </c>
      <c r="P41" s="333">
        <f>COUNTIFS(ANNOUNCEMENTS!$W$2:$W$180,$E41,ANNOUNCEMENTS!$Z$2:$Z$180,P$37,ANNOUNCEMENTS!$J$2:$J$180,$A$27)+
COUNTIFS(ANNOUNCEMENTS!$W$2:$W$180,$E41,ANNOUNCEMENTS!$AB$2:$AB$180,P$37,ANNOUNCEMENTS!$J$2:$J$180,$A$27)+
COUNTIFS(ANNOUNCEMENTS!$W$2:$W$180,$E41,ANNOUNCEMENTS!$AD$2:$AD$180,P$37,ANNOUNCEMENTS!$J$2:$J$180,$A$27)</f>
        <v>2</v>
      </c>
      <c r="Q41" s="346">
        <f>COUNTIFS(ANNOUNCEMENTS!$W$2:$W$180,$E41,ANNOUNCEMENTS!$J$2:$J$180,$A$27)</f>
        <v>4</v>
      </c>
      <c r="R41" s="143">
        <f>Q41/SUM($Q$38:$Q$44)</f>
        <v>0.26666666666666666</v>
      </c>
      <c r="S41" s="341"/>
      <c r="T41" s="197">
        <f t="shared" si="0"/>
        <v>39</v>
      </c>
    </row>
    <row r="42" spans="1:26" x14ac:dyDescent="0.35">
      <c r="E42" s="334" t="str">
        <v>2.4. Exclusive Alliance</v>
      </c>
      <c r="F42" s="347"/>
      <c r="G42" s="347"/>
      <c r="H42" s="333">
        <f>COUNTIFS(ANNOUNCEMENTS!$W$2:$W$180,$E42,ANNOUNCEMENTS!$Z$2:$Z$180,H$37,ANNOUNCEMENTS!$J$2:$J$180,$A$27)+
COUNTIFS(ANNOUNCEMENTS!$W$2:$W$180,$E42,ANNOUNCEMENTS!$AB$2:$AB$180,H$37,ANNOUNCEMENTS!$J$2:$J$180,$A$27)+
COUNTIFS(ANNOUNCEMENTS!$W$2:$W$180,$E42,ANNOUNCEMENTS!$AD$2:$AD$180,H$37,ANNOUNCEMENTS!$J$2:$J$180,$A$27)</f>
        <v>0</v>
      </c>
      <c r="I42" s="333">
        <f>COUNTIFS(ANNOUNCEMENTS!$W$2:$W$180,$E42,ANNOUNCEMENTS!$Z$2:$Z$180,I$37,ANNOUNCEMENTS!$J$2:$J$180,$A$27)+
COUNTIFS(ANNOUNCEMENTS!$W$2:$W$180,$E42,ANNOUNCEMENTS!$AB$2:$AB$180,I$37,ANNOUNCEMENTS!$J$2:$J$180,$A$27)+
COUNTIFS(ANNOUNCEMENTS!$W$2:$W$180,$E42,ANNOUNCEMENTS!$AD$2:$AD$180,I$37,ANNOUNCEMENTS!$J$2:$J$180,$A$27)</f>
        <v>0</v>
      </c>
      <c r="J42" s="333">
        <f>COUNTIFS(ANNOUNCEMENTS!$W$2:$W$180,$E42,ANNOUNCEMENTS!$Z$2:$Z$180,J$37,ANNOUNCEMENTS!$J$2:$J$180,$A$27)+
COUNTIFS(ANNOUNCEMENTS!$W$2:$W$180,$E42,ANNOUNCEMENTS!$AB$2:$AB$180,J$37,ANNOUNCEMENTS!$J$2:$J$180,$A$27)+
COUNTIFS(ANNOUNCEMENTS!$W$2:$W$180,$E42,ANNOUNCEMENTS!$AD$2:$AD$180,J$37,ANNOUNCEMENTS!$J$2:$J$180,$A$27)</f>
        <v>0</v>
      </c>
      <c r="K42" s="333">
        <f>COUNTIFS(ANNOUNCEMENTS!$W$2:$W$180,$E42,ANNOUNCEMENTS!$Z$2:$Z$180,K$37,ANNOUNCEMENTS!$J$2:$J$180,$A$27)+
COUNTIFS(ANNOUNCEMENTS!$W$2:$W$180,$E42,ANNOUNCEMENTS!$AB$2:$AB$180,K$37,ANNOUNCEMENTS!$J$2:$J$180,$A$27)+
COUNTIFS(ANNOUNCEMENTS!$W$2:$W$180,$E42,ANNOUNCEMENTS!$AD$2:$AD$180,K$37,ANNOUNCEMENTS!$J$2:$J$180,$A$27)</f>
        <v>0</v>
      </c>
      <c r="L42" s="333">
        <f>COUNTIFS(ANNOUNCEMENTS!$W$2:$W$180,$E42,ANNOUNCEMENTS!$Z$2:$Z$180,L$37,ANNOUNCEMENTS!$J$2:$J$180,$A$27)+
COUNTIFS(ANNOUNCEMENTS!$W$2:$W$180,$E42,ANNOUNCEMENTS!$AB$2:$AB$180,L$37,ANNOUNCEMENTS!$J$2:$J$180,$A$27)+
COUNTIFS(ANNOUNCEMENTS!$W$2:$W$180,$E42,ANNOUNCEMENTS!$AD$2:$AD$180,L$37,ANNOUNCEMENTS!$J$2:$J$180,$A$27)</f>
        <v>0</v>
      </c>
      <c r="M42" s="333">
        <f>COUNTIFS(ANNOUNCEMENTS!$W$2:$W$180,$E42,ANNOUNCEMENTS!$Z$2:$Z$180,M$37,ANNOUNCEMENTS!$J$2:$J$180,$A$27)+
COUNTIFS(ANNOUNCEMENTS!$W$2:$W$180,$E42,ANNOUNCEMENTS!$AB$2:$AB$180,M$37,ANNOUNCEMENTS!$J$2:$J$180,$A$27)+
COUNTIFS(ANNOUNCEMENTS!$W$2:$W$180,$E42,ANNOUNCEMENTS!$AD$2:$AD$180,M$37,ANNOUNCEMENTS!$J$2:$J$180,$A$27)</f>
        <v>0</v>
      </c>
      <c r="N42" s="333">
        <f>COUNTIFS(ANNOUNCEMENTS!$W$2:$W$180,$E42,ANNOUNCEMENTS!$Z$2:$Z$180,N$37,ANNOUNCEMENTS!$J$2:$J$180,$A$27)+
COUNTIFS(ANNOUNCEMENTS!$W$2:$W$180,$E42,ANNOUNCEMENTS!$AB$2:$AB$180,N$37,ANNOUNCEMENTS!$J$2:$J$180,$A$27)+
COUNTIFS(ANNOUNCEMENTS!$W$2:$W$180,$E42,ANNOUNCEMENTS!$AD$2:$AD$180,N$37,ANNOUNCEMENTS!$J$2:$J$180,$A$27)</f>
        <v>0</v>
      </c>
      <c r="O42" s="333">
        <f>COUNTIFS(ANNOUNCEMENTS!$W$2:$W$180,$E42,ANNOUNCEMENTS!$Z$2:$Z$180,O$37,ANNOUNCEMENTS!$J$2:$J$180,$A$27)+
COUNTIFS(ANNOUNCEMENTS!$W$2:$W$180,$E42,ANNOUNCEMENTS!$AB$2:$AB$180,O$37,ANNOUNCEMENTS!$J$2:$J$180,$A$27)+
COUNTIFS(ANNOUNCEMENTS!$W$2:$W$180,$E42,ANNOUNCEMENTS!$AD$2:$AD$180,O$37,ANNOUNCEMENTS!$J$2:$J$180,$A$27)</f>
        <v>0</v>
      </c>
      <c r="P42" s="333">
        <f>COUNTIFS(ANNOUNCEMENTS!$W$2:$W$180,$E42,ANNOUNCEMENTS!$Z$2:$Z$180,P$37,ANNOUNCEMENTS!$J$2:$J$180,$A$27)+
COUNTIFS(ANNOUNCEMENTS!$W$2:$W$180,$E42,ANNOUNCEMENTS!$AB$2:$AB$180,P$37,ANNOUNCEMENTS!$J$2:$J$180,$A$27)+
COUNTIFS(ANNOUNCEMENTS!$W$2:$W$180,$E42,ANNOUNCEMENTS!$AD$2:$AD$180,P$37,ANNOUNCEMENTS!$J$2:$J$180,$A$27)</f>
        <v>0</v>
      </c>
      <c r="Q42" s="346">
        <f>COUNTIFS(ANNOUNCEMENTS!$W$2:$W$180,$E42,ANNOUNCEMENTS!$J$2:$J$180,$A$27)</f>
        <v>0</v>
      </c>
      <c r="R42" s="143">
        <f>Q42/SUM($Q$38:$Q$44)</f>
        <v>0</v>
      </c>
      <c r="S42" s="341"/>
      <c r="T42" s="197">
        <f t="shared" si="0"/>
        <v>6</v>
      </c>
    </row>
    <row r="43" spans="1:26" x14ac:dyDescent="0.35">
      <c r="E43" s="334" t="str">
        <v>3. Strategic Partnership</v>
      </c>
      <c r="F43" s="347"/>
      <c r="G43" s="347"/>
      <c r="H43" s="333">
        <f>COUNTIFS(ANNOUNCEMENTS!$W$2:$W$180,$E43,ANNOUNCEMENTS!$Z$2:$Z$180,H$37,ANNOUNCEMENTS!$J$2:$J$180,$A$27)+
COUNTIFS(ANNOUNCEMENTS!$W$2:$W$180,$E43,ANNOUNCEMENTS!$AB$2:$AB$180,H$37,ANNOUNCEMENTS!$J$2:$J$180,$A$27)+
COUNTIFS(ANNOUNCEMENTS!$W$2:$W$180,$E43,ANNOUNCEMENTS!$AD$2:$AD$180,H$37,ANNOUNCEMENTS!$J$2:$J$180,$A$27)</f>
        <v>1</v>
      </c>
      <c r="I43" s="333">
        <f>COUNTIFS(ANNOUNCEMENTS!$W$2:$W$180,$E43,ANNOUNCEMENTS!$Z$2:$Z$180,I$37,ANNOUNCEMENTS!$J$2:$J$180,$A$27)+
COUNTIFS(ANNOUNCEMENTS!$W$2:$W$180,$E43,ANNOUNCEMENTS!$AB$2:$AB$180,I$37,ANNOUNCEMENTS!$J$2:$J$180,$A$27)+
COUNTIFS(ANNOUNCEMENTS!$W$2:$W$180,$E43,ANNOUNCEMENTS!$AD$2:$AD$180,I$37,ANNOUNCEMENTS!$J$2:$J$180,$A$27)</f>
        <v>0</v>
      </c>
      <c r="J43" s="333">
        <f>COUNTIFS(ANNOUNCEMENTS!$W$2:$W$180,$E43,ANNOUNCEMENTS!$Z$2:$Z$180,J$37,ANNOUNCEMENTS!$J$2:$J$180,$A$27)+
COUNTIFS(ANNOUNCEMENTS!$W$2:$W$180,$E43,ANNOUNCEMENTS!$AB$2:$AB$180,J$37,ANNOUNCEMENTS!$J$2:$J$180,$A$27)+
COUNTIFS(ANNOUNCEMENTS!$W$2:$W$180,$E43,ANNOUNCEMENTS!$AD$2:$AD$180,J$37,ANNOUNCEMENTS!$J$2:$J$180,$A$27)</f>
        <v>0</v>
      </c>
      <c r="K43" s="333">
        <f>COUNTIFS(ANNOUNCEMENTS!$W$2:$W$180,$E43,ANNOUNCEMENTS!$Z$2:$Z$180,K$37,ANNOUNCEMENTS!$J$2:$J$180,$A$27)+
COUNTIFS(ANNOUNCEMENTS!$W$2:$W$180,$E43,ANNOUNCEMENTS!$AB$2:$AB$180,K$37,ANNOUNCEMENTS!$J$2:$J$180,$A$27)+
COUNTIFS(ANNOUNCEMENTS!$W$2:$W$180,$E43,ANNOUNCEMENTS!$AD$2:$AD$180,K$37,ANNOUNCEMENTS!$J$2:$J$180,$A$27)</f>
        <v>0</v>
      </c>
      <c r="L43" s="333">
        <f>COUNTIFS(ANNOUNCEMENTS!$W$2:$W$180,$E43,ANNOUNCEMENTS!$Z$2:$Z$180,L$37,ANNOUNCEMENTS!$J$2:$J$180,$A$27)+
COUNTIFS(ANNOUNCEMENTS!$W$2:$W$180,$E43,ANNOUNCEMENTS!$AB$2:$AB$180,L$37,ANNOUNCEMENTS!$J$2:$J$180,$A$27)+
COUNTIFS(ANNOUNCEMENTS!$W$2:$W$180,$E43,ANNOUNCEMENTS!$AD$2:$AD$180,L$37,ANNOUNCEMENTS!$J$2:$J$180,$A$27)</f>
        <v>0</v>
      </c>
      <c r="M43" s="333">
        <f>COUNTIFS(ANNOUNCEMENTS!$W$2:$W$180,$E43,ANNOUNCEMENTS!$Z$2:$Z$180,M$37,ANNOUNCEMENTS!$J$2:$J$180,$A$27)+
COUNTIFS(ANNOUNCEMENTS!$W$2:$W$180,$E43,ANNOUNCEMENTS!$AB$2:$AB$180,M$37,ANNOUNCEMENTS!$J$2:$J$180,$A$27)+
COUNTIFS(ANNOUNCEMENTS!$W$2:$W$180,$E43,ANNOUNCEMENTS!$AD$2:$AD$180,M$37,ANNOUNCEMENTS!$J$2:$J$180,$A$27)</f>
        <v>0</v>
      </c>
      <c r="N43" s="333">
        <f>COUNTIFS(ANNOUNCEMENTS!$W$2:$W$180,$E43,ANNOUNCEMENTS!$Z$2:$Z$180,N$37,ANNOUNCEMENTS!$J$2:$J$180,$A$27)+
COUNTIFS(ANNOUNCEMENTS!$W$2:$W$180,$E43,ANNOUNCEMENTS!$AB$2:$AB$180,N$37,ANNOUNCEMENTS!$J$2:$J$180,$A$27)+
COUNTIFS(ANNOUNCEMENTS!$W$2:$W$180,$E43,ANNOUNCEMENTS!$AD$2:$AD$180,N$37,ANNOUNCEMENTS!$J$2:$J$180,$A$27)</f>
        <v>0</v>
      </c>
      <c r="O43" s="333">
        <f>COUNTIFS(ANNOUNCEMENTS!$W$2:$W$180,$E43,ANNOUNCEMENTS!$Z$2:$Z$180,O$37,ANNOUNCEMENTS!$J$2:$J$180,$A$27)+
COUNTIFS(ANNOUNCEMENTS!$W$2:$W$180,$E43,ANNOUNCEMENTS!$AB$2:$AB$180,O$37,ANNOUNCEMENTS!$J$2:$J$180,$A$27)+
COUNTIFS(ANNOUNCEMENTS!$W$2:$W$180,$E43,ANNOUNCEMENTS!$AD$2:$AD$180,O$37,ANNOUNCEMENTS!$J$2:$J$180,$A$27)</f>
        <v>0</v>
      </c>
      <c r="P43" s="333">
        <f>COUNTIFS(ANNOUNCEMENTS!$W$2:$W$180,$E43,ANNOUNCEMENTS!$Z$2:$Z$180,P$37,ANNOUNCEMENTS!$J$2:$J$180,$A$27)+
COUNTIFS(ANNOUNCEMENTS!$W$2:$W$180,$E43,ANNOUNCEMENTS!$AB$2:$AB$180,P$37,ANNOUNCEMENTS!$J$2:$J$180,$A$27)+
COUNTIFS(ANNOUNCEMENTS!$W$2:$W$180,$E43,ANNOUNCEMENTS!$AD$2:$AD$180,P$37,ANNOUNCEMENTS!$J$2:$J$180,$A$27)</f>
        <v>0</v>
      </c>
      <c r="Q43" s="346">
        <f>COUNTIFS(ANNOUNCEMENTS!$W$2:$W$180,$E43,ANNOUNCEMENTS!$J$2:$J$180,$A$27)</f>
        <v>1</v>
      </c>
      <c r="R43" s="143">
        <f>Q43/SUM($Q$38:$Q$44)</f>
        <v>6.6666666666666666E-2</v>
      </c>
      <c r="S43" s="341"/>
      <c r="T43" s="197">
        <f t="shared" si="0"/>
        <v>11</v>
      </c>
    </row>
    <row r="44" spans="1:26" x14ac:dyDescent="0.35">
      <c r="E44" s="334" t="str">
        <v>4. Joint Venture</v>
      </c>
      <c r="F44" s="347"/>
      <c r="G44" s="347"/>
      <c r="H44" s="333">
        <f>COUNTIFS(ANNOUNCEMENTS!$W$2:$W$180,$E44,ANNOUNCEMENTS!$Z$2:$Z$180,H$37,ANNOUNCEMENTS!$J$2:$J$180,$A$27)+
COUNTIFS(ANNOUNCEMENTS!$W$2:$W$180,$E44,ANNOUNCEMENTS!$AB$2:$AB$180,H$37,ANNOUNCEMENTS!$J$2:$J$180,$A$27)+
COUNTIFS(ANNOUNCEMENTS!$W$2:$W$180,$E44,ANNOUNCEMENTS!$AD$2:$AD$180,H$37,ANNOUNCEMENTS!$J$2:$J$180,$A$27)</f>
        <v>0</v>
      </c>
      <c r="I44" s="333">
        <f>COUNTIFS(ANNOUNCEMENTS!$W$2:$W$180,$E44,ANNOUNCEMENTS!$Z$2:$Z$180,I$37,ANNOUNCEMENTS!$J$2:$J$180,$A$27)+
COUNTIFS(ANNOUNCEMENTS!$W$2:$W$180,$E44,ANNOUNCEMENTS!$AB$2:$AB$180,I$37,ANNOUNCEMENTS!$J$2:$J$180,$A$27)+
COUNTIFS(ANNOUNCEMENTS!$W$2:$W$180,$E44,ANNOUNCEMENTS!$AD$2:$AD$180,I$37,ANNOUNCEMENTS!$J$2:$J$180,$A$27)</f>
        <v>0</v>
      </c>
      <c r="J44" s="333">
        <f>COUNTIFS(ANNOUNCEMENTS!$W$2:$W$180,$E44,ANNOUNCEMENTS!$Z$2:$Z$180,J$37,ANNOUNCEMENTS!$J$2:$J$180,$A$27)+
COUNTIFS(ANNOUNCEMENTS!$W$2:$W$180,$E44,ANNOUNCEMENTS!$AB$2:$AB$180,J$37,ANNOUNCEMENTS!$J$2:$J$180,$A$27)+
COUNTIFS(ANNOUNCEMENTS!$W$2:$W$180,$E44,ANNOUNCEMENTS!$AD$2:$AD$180,J$37,ANNOUNCEMENTS!$J$2:$J$180,$A$27)</f>
        <v>0</v>
      </c>
      <c r="K44" s="333">
        <f>COUNTIFS(ANNOUNCEMENTS!$W$2:$W$180,$E44,ANNOUNCEMENTS!$Z$2:$Z$180,K$37,ANNOUNCEMENTS!$J$2:$J$180,$A$27)+
COUNTIFS(ANNOUNCEMENTS!$W$2:$W$180,$E44,ANNOUNCEMENTS!$AB$2:$AB$180,K$37,ANNOUNCEMENTS!$J$2:$J$180,$A$27)+
COUNTIFS(ANNOUNCEMENTS!$W$2:$W$180,$E44,ANNOUNCEMENTS!$AD$2:$AD$180,K$37,ANNOUNCEMENTS!$J$2:$J$180,$A$27)</f>
        <v>0</v>
      </c>
      <c r="L44" s="333">
        <f>COUNTIFS(ANNOUNCEMENTS!$W$2:$W$180,$E44,ANNOUNCEMENTS!$Z$2:$Z$180,L$37,ANNOUNCEMENTS!$J$2:$J$180,$A$27)+
COUNTIFS(ANNOUNCEMENTS!$W$2:$W$180,$E44,ANNOUNCEMENTS!$AB$2:$AB$180,L$37,ANNOUNCEMENTS!$J$2:$J$180,$A$27)+
COUNTIFS(ANNOUNCEMENTS!$W$2:$W$180,$E44,ANNOUNCEMENTS!$AD$2:$AD$180,L$37,ANNOUNCEMENTS!$J$2:$J$180,$A$27)</f>
        <v>0</v>
      </c>
      <c r="M44" s="333">
        <f>COUNTIFS(ANNOUNCEMENTS!$W$2:$W$180,$E44,ANNOUNCEMENTS!$Z$2:$Z$180,M$37,ANNOUNCEMENTS!$J$2:$J$180,$A$27)+
COUNTIFS(ANNOUNCEMENTS!$W$2:$W$180,$E44,ANNOUNCEMENTS!$AB$2:$AB$180,M$37,ANNOUNCEMENTS!$J$2:$J$180,$A$27)+
COUNTIFS(ANNOUNCEMENTS!$W$2:$W$180,$E44,ANNOUNCEMENTS!$AD$2:$AD$180,M$37,ANNOUNCEMENTS!$J$2:$J$180,$A$27)</f>
        <v>0</v>
      </c>
      <c r="N44" s="333">
        <f>COUNTIFS(ANNOUNCEMENTS!$W$2:$W$180,$E44,ANNOUNCEMENTS!$Z$2:$Z$180,N$37,ANNOUNCEMENTS!$J$2:$J$180,$A$27)+
COUNTIFS(ANNOUNCEMENTS!$W$2:$W$180,$E44,ANNOUNCEMENTS!$AB$2:$AB$180,N$37,ANNOUNCEMENTS!$J$2:$J$180,$A$27)+
COUNTIFS(ANNOUNCEMENTS!$W$2:$W$180,$E44,ANNOUNCEMENTS!$AD$2:$AD$180,N$37,ANNOUNCEMENTS!$J$2:$J$180,$A$27)</f>
        <v>0</v>
      </c>
      <c r="O44" s="333">
        <f>COUNTIFS(ANNOUNCEMENTS!$W$2:$W$180,$E44,ANNOUNCEMENTS!$Z$2:$Z$180,O$37,ANNOUNCEMENTS!$J$2:$J$180,$A$27)+
COUNTIFS(ANNOUNCEMENTS!$W$2:$W$180,$E44,ANNOUNCEMENTS!$AB$2:$AB$180,O$37,ANNOUNCEMENTS!$J$2:$J$180,$A$27)+
COUNTIFS(ANNOUNCEMENTS!$W$2:$W$180,$E44,ANNOUNCEMENTS!$AD$2:$AD$180,O$37,ANNOUNCEMENTS!$J$2:$J$180,$A$27)</f>
        <v>0</v>
      </c>
      <c r="P44" s="333">
        <f>COUNTIFS(ANNOUNCEMENTS!$W$2:$W$180,$E44,ANNOUNCEMENTS!$Z$2:$Z$180,P$37,ANNOUNCEMENTS!$J$2:$J$180,$A$27)+
COUNTIFS(ANNOUNCEMENTS!$W$2:$W$180,$E44,ANNOUNCEMENTS!$AB$2:$AB$180,P$37,ANNOUNCEMENTS!$J$2:$J$180,$A$27)+
COUNTIFS(ANNOUNCEMENTS!$W$2:$W$180,$E44,ANNOUNCEMENTS!$AD$2:$AD$180,P$37,ANNOUNCEMENTS!$J$2:$J$180,$A$27)</f>
        <v>0</v>
      </c>
      <c r="Q44" s="346">
        <f>COUNTIFS(ANNOUNCEMENTS!$W$2:$W$180,$E44,ANNOUNCEMENTS!$J$2:$J$180,$A$27)</f>
        <v>0</v>
      </c>
      <c r="R44" s="143">
        <f>Q44/SUM($Q$38:$Q$44)</f>
        <v>0</v>
      </c>
      <c r="S44" s="341"/>
      <c r="T44" s="197">
        <f t="shared" si="0"/>
        <v>4</v>
      </c>
    </row>
    <row r="45" spans="1:26" ht="15" thickBot="1" x14ac:dyDescent="0.4">
      <c r="H45" s="330">
        <f t="shared" ref="H45:P45" si="1">SUM(H38:H44)</f>
        <v>5</v>
      </c>
      <c r="I45" s="345">
        <f t="shared" si="1"/>
        <v>0</v>
      </c>
      <c r="J45" s="345">
        <f t="shared" si="1"/>
        <v>0</v>
      </c>
      <c r="K45" s="345">
        <f t="shared" si="1"/>
        <v>2</v>
      </c>
      <c r="L45" s="345">
        <f t="shared" si="1"/>
        <v>0</v>
      </c>
      <c r="M45" s="345">
        <f t="shared" si="1"/>
        <v>2</v>
      </c>
      <c r="N45" s="345">
        <f t="shared" si="1"/>
        <v>0</v>
      </c>
      <c r="O45" s="345">
        <f t="shared" si="1"/>
        <v>2</v>
      </c>
      <c r="P45" s="344">
        <f t="shared" si="1"/>
        <v>5</v>
      </c>
      <c r="Q45" s="343"/>
      <c r="R45" s="342"/>
      <c r="S45" s="341"/>
    </row>
    <row r="46" spans="1:26" ht="15" thickTop="1" x14ac:dyDescent="0.35">
      <c r="H46" s="94">
        <f>H45/SUM($H$45:$P$45)</f>
        <v>0.3125</v>
      </c>
      <c r="I46" s="94">
        <f>I45/SUM($H$21:$P$21)</f>
        <v>0</v>
      </c>
      <c r="J46" s="94">
        <f>J45/SUM($H$21:$P$21)</f>
        <v>0</v>
      </c>
      <c r="K46" s="94">
        <f>K45/SUM($H$21:$P$21)</f>
        <v>2.0202020202020204E-2</v>
      </c>
      <c r="L46" s="94">
        <f>L45/SUM($H$21:$P$21)</f>
        <v>0</v>
      </c>
      <c r="M46" s="94">
        <f>M45/SUM($H$21:$P$21)</f>
        <v>2.0202020202020204E-2</v>
      </c>
      <c r="N46" s="94">
        <f>N45/SUM($H$21:$P$21)</f>
        <v>0</v>
      </c>
      <c r="O46" s="94">
        <f>O45/SUM($H$21:$P$21)</f>
        <v>2.0202020202020204E-2</v>
      </c>
      <c r="P46" s="94">
        <f>P45/SUM($H$21:$P$21)</f>
        <v>5.0505050505050504E-2</v>
      </c>
      <c r="Q46" s="298"/>
      <c r="R46" s="337"/>
      <c r="S46" s="341"/>
    </row>
    <row r="47" spans="1:26" ht="15" thickBot="1" x14ac:dyDescent="0.4">
      <c r="E47" s="340"/>
      <c r="F47" s="340"/>
      <c r="G47" s="340"/>
      <c r="H47" s="340"/>
      <c r="I47" s="340"/>
      <c r="J47" s="340"/>
      <c r="K47" s="340"/>
      <c r="L47" s="340"/>
      <c r="M47" s="340"/>
      <c r="N47" s="340"/>
      <c r="O47" s="340"/>
      <c r="P47" s="340"/>
      <c r="Q47" s="340"/>
      <c r="R47" s="340"/>
      <c r="S47" s="339"/>
    </row>
    <row r="48" spans="1:26" ht="15" thickTop="1" x14ac:dyDescent="0.35">
      <c r="E48" s="290" t="s">
        <v>2221</v>
      </c>
      <c r="H48" s="290">
        <f t="shared" ref="H48:P48" si="2">H33+H45+H21</f>
        <v>57</v>
      </c>
      <c r="I48" s="290">
        <f t="shared" si="2"/>
        <v>7</v>
      </c>
      <c r="J48" s="290">
        <f t="shared" si="2"/>
        <v>49</v>
      </c>
      <c r="K48" s="290">
        <f t="shared" si="2"/>
        <v>10</v>
      </c>
      <c r="L48" s="290">
        <f t="shared" si="2"/>
        <v>24</v>
      </c>
      <c r="M48" s="290">
        <f t="shared" si="2"/>
        <v>33</v>
      </c>
      <c r="N48" s="290">
        <f t="shared" si="2"/>
        <v>3</v>
      </c>
      <c r="O48" s="290">
        <f t="shared" si="2"/>
        <v>6</v>
      </c>
      <c r="P48" s="290">
        <f t="shared" si="2"/>
        <v>20</v>
      </c>
    </row>
    <row r="51" spans="1:43" x14ac:dyDescent="0.35">
      <c r="A51" s="290" t="s">
        <v>2168</v>
      </c>
      <c r="C51" s="385">
        <f>_xlfn.STDEV.S(B60,B70,B80,B90)</f>
        <v>0.22340909208556986</v>
      </c>
      <c r="D51" s="179"/>
      <c r="E51" s="179"/>
      <c r="F51" s="179"/>
      <c r="G51" s="179"/>
      <c r="H51" s="179"/>
      <c r="I51" s="179"/>
      <c r="J51" s="179"/>
      <c r="K51" s="179"/>
      <c r="L51" s="179"/>
      <c r="M51" s="179"/>
      <c r="N51" s="385">
        <f>_xlfn.STDEV.S(M60,M70,M80,M90)</f>
        <v>7.0118391791728157E-2</v>
      </c>
      <c r="O51" s="287"/>
    </row>
    <row r="52" spans="1:43" ht="26" x14ac:dyDescent="0.6">
      <c r="A52" s="318"/>
      <c r="C52" s="385">
        <f>_xlfn.STDEV.S(B61,B71,B81,B91)</f>
        <v>0.19725360163880737</v>
      </c>
      <c r="D52" s="179"/>
      <c r="E52" s="179"/>
      <c r="F52" s="179"/>
      <c r="G52" s="179"/>
      <c r="H52" s="179"/>
      <c r="I52" s="179"/>
      <c r="J52" s="179"/>
      <c r="K52" s="179"/>
      <c r="L52" s="386"/>
      <c r="M52" s="179"/>
      <c r="N52" s="385">
        <f>_xlfn.STDEV.S(M61,M71,M81,M91)</f>
        <v>5.6446802193218328E-2</v>
      </c>
      <c r="O52" s="287"/>
      <c r="P52" s="158"/>
      <c r="Q52" s="158"/>
      <c r="S52" s="290"/>
    </row>
    <row r="53" spans="1:43" x14ac:dyDescent="0.35">
      <c r="A53" s="322" t="s">
        <v>372</v>
      </c>
      <c r="B53" s="336" t="str" cm="1">
        <f t="array" ref="B53:J53">TRANSPOSE(_xlfn.UNIQUE(ANNOUNCEMENTS!Z2:Z180))</f>
        <v>Joint D&amp;D</v>
      </c>
      <c r="C53" s="336" t="str">
        <v>Joint Production</v>
      </c>
      <c r="D53" s="336" t="str">
        <v>Joint Service Agreement</v>
      </c>
      <c r="E53" s="336" t="str">
        <v>Other</v>
      </c>
      <c r="F53" s="336" t="str">
        <v>Supply Partnership (extended)</v>
      </c>
      <c r="G53" s="335" t="str">
        <v>Research &amp; Collaboration</v>
      </c>
      <c r="H53" s="335" t="str">
        <v>Licensing</v>
      </c>
      <c r="I53" s="335" t="str">
        <v>Marketing Agreement</v>
      </c>
      <c r="J53" s="335" t="str">
        <v>Supply Partnership (traditional)</v>
      </c>
      <c r="K53" s="298"/>
      <c r="L53" s="322" t="s">
        <v>372</v>
      </c>
      <c r="M53" s="334" t="str" cm="1">
        <f t="array" ref="M53:S53">TRANSPOSE(_xlfn._xlws.SORT(_xlfn.ANCHORARRAY(BP16),1))</f>
        <v>1. Informal Agreement</v>
      </c>
      <c r="N53" s="334" t="str">
        <v>2.1. Short term Alliance (no exclusivity / previous experience)</v>
      </c>
      <c r="O53" s="334" t="str">
        <v xml:space="preserve">2.2. Renewed Alliance </v>
      </c>
      <c r="P53" s="334" t="str">
        <v>2.3. Long term Alliance</v>
      </c>
      <c r="Q53" s="334" t="str">
        <v>2.4. Exclusive Alliance</v>
      </c>
      <c r="R53" s="334" t="str">
        <v>3. Strategic Partnership</v>
      </c>
      <c r="S53" s="334" t="str">
        <v>4. Joint Venture</v>
      </c>
      <c r="U53" s="322" t="s">
        <v>372</v>
      </c>
      <c r="V53" s="336" t="str" cm="1">
        <f t="array" ref="V53:AD53">TRANSPOSE(_xlfn.UNIQUE(ANNOUNCEMENTS!Z2:Z180))</f>
        <v>Joint D&amp;D</v>
      </c>
      <c r="W53" s="336" t="str">
        <v>Joint Production</v>
      </c>
      <c r="X53" s="336" t="str">
        <v>Joint Service Agreement</v>
      </c>
      <c r="Y53" s="336" t="str">
        <v>Other</v>
      </c>
      <c r="Z53" s="336" t="str">
        <v>Supply Partnership (extended)</v>
      </c>
      <c r="AA53" s="335" t="str">
        <v>Research &amp; Collaboration</v>
      </c>
      <c r="AB53" s="335" t="str">
        <v>Licensing</v>
      </c>
      <c r="AC53" s="335" t="str">
        <v>Marketing Agreement</v>
      </c>
      <c r="AD53" s="335" t="str">
        <v>Supply Partnership (traditional)</v>
      </c>
      <c r="AE53" s="334" t="str" cm="1">
        <f t="array" ref="AE53:AK53">TRANSPOSE(_xlfn._xlws.SORT(_xlfn.ANCHORARRAY(BP16),1))</f>
        <v>1. Informal Agreement</v>
      </c>
      <c r="AF53" s="334" t="str">
        <v>2.1. Short term Alliance (no exclusivity / previous experience)</v>
      </c>
      <c r="AG53" s="334" t="str">
        <v xml:space="preserve">2.2. Renewed Alliance </v>
      </c>
      <c r="AH53" s="334" t="str">
        <v>2.3. Long term Alliance</v>
      </c>
      <c r="AI53" s="334" t="str">
        <v>2.4. Exclusive Alliance</v>
      </c>
      <c r="AJ53" s="334" t="str">
        <v>3. Strategic Partnership</v>
      </c>
      <c r="AK53" s="334" t="str">
        <v>4. Joint Venture</v>
      </c>
    </row>
    <row r="54" spans="1:43" x14ac:dyDescent="0.35">
      <c r="A54" s="332" t="s">
        <v>286</v>
      </c>
      <c r="B54" s="333">
        <f>COUNTIFS(ANNOUNCEMENTS!$J$2:$J$180,$A$53,ANNOUNCEMENTS!$Z$2:$Z$180,B$53,ANNOUNCEMENTS!$F$2:$F$180,$A54)+
COUNTIFS(ANNOUNCEMENTS!$J$2:$J$180,$A$53,ANNOUNCEMENTS!$AB$2:$AB$180,B$53,ANNOUNCEMENTS!$F$2:$F$180,$A54)+
COUNTIFS(ANNOUNCEMENTS!$J$2:$J$180,$A$53,ANNOUNCEMENTS!$AD$2:$AD$180,B$53,ANNOUNCEMENTS!$F$2:$F$180,$A54)</f>
        <v>14</v>
      </c>
      <c r="C54" s="333">
        <f>COUNTIFS(ANNOUNCEMENTS!$J$2:$J$180,$A$53,ANNOUNCEMENTS!$Z$2:$Z$180,C$53,ANNOUNCEMENTS!$F$2:$F$180,$A54)+
COUNTIFS(ANNOUNCEMENTS!$J$2:$J$180,$A$53,ANNOUNCEMENTS!$AB$2:$AB$180,C$53,ANNOUNCEMENTS!$F$2:$F$180,$A54)+
COUNTIFS(ANNOUNCEMENTS!$J$2:$J$180,$A$53,ANNOUNCEMENTS!$AD$2:$AD$180,C$53,ANNOUNCEMENTS!$F$2:$F$180,$A54)</f>
        <v>1</v>
      </c>
      <c r="D54" s="333">
        <f>COUNTIFS(ANNOUNCEMENTS!$J$2:$J$180,$A$53,ANNOUNCEMENTS!$Z$2:$Z$180,D$53,ANNOUNCEMENTS!$F$2:$F$180,$A54)+
COUNTIFS(ANNOUNCEMENTS!$J$2:$J$180,$A$53,ANNOUNCEMENTS!$AB$2:$AB$180,D$53,ANNOUNCEMENTS!$F$2:$F$180,$A54)+
COUNTIFS(ANNOUNCEMENTS!$J$2:$J$180,$A$53,ANNOUNCEMENTS!$AD$2:$AD$180,D$53,ANNOUNCEMENTS!$F$2:$F$180,$A54)</f>
        <v>4</v>
      </c>
      <c r="E54" s="333">
        <f>COUNTIFS(ANNOUNCEMENTS!$J$2:$J$180,$A$53,ANNOUNCEMENTS!$Z$2:$Z$180,E$53,ANNOUNCEMENTS!$F$2:$F$180,$A54)+
COUNTIFS(ANNOUNCEMENTS!$J$2:$J$180,$A$53,ANNOUNCEMENTS!$AB$2:$AB$180,E$53,ANNOUNCEMENTS!$F$2:$F$180,$A54)+
COUNTIFS(ANNOUNCEMENTS!$J$2:$J$180,$A$53,ANNOUNCEMENTS!$AD$2:$AD$180,E$53,ANNOUNCEMENTS!$F$2:$F$180,$A54)</f>
        <v>3</v>
      </c>
      <c r="F54" s="333">
        <f>COUNTIFS(ANNOUNCEMENTS!$J$2:$J$180,$A$53,ANNOUNCEMENTS!$Z$2:$Z$180,F$53,ANNOUNCEMENTS!$F$2:$F$180,$A54)+
COUNTIFS(ANNOUNCEMENTS!$J$2:$J$180,$A$53,ANNOUNCEMENTS!$AB$2:$AB$180,F$53,ANNOUNCEMENTS!$F$2:$F$180,$A54)+
COUNTIFS(ANNOUNCEMENTS!$J$2:$J$180,$A$53,ANNOUNCEMENTS!$AD$2:$AD$180,F$53,ANNOUNCEMENTS!$F$2:$F$180,$A54)</f>
        <v>1</v>
      </c>
      <c r="G54" s="333">
        <f>COUNTIFS(ANNOUNCEMENTS!$J$2:$J$180,$A$53,ANNOUNCEMENTS!$Z$2:$Z$180,G$53,ANNOUNCEMENTS!$F$2:$F$180,$A54)+
COUNTIFS(ANNOUNCEMENTS!$J$2:$J$180,$A$53,ANNOUNCEMENTS!$AB$2:$AB$180,G$53,ANNOUNCEMENTS!$F$2:$F$180,$A54)+
COUNTIFS(ANNOUNCEMENTS!$J$2:$J$180,$A$53,ANNOUNCEMENTS!$AD$2:$AD$180,G$53,ANNOUNCEMENTS!$F$2:$F$180,$A54)</f>
        <v>4</v>
      </c>
      <c r="H54" s="333">
        <f>COUNTIFS(ANNOUNCEMENTS!$J$2:$J$180,$A$53,ANNOUNCEMENTS!$Z$2:$Z$180,H$53,ANNOUNCEMENTS!$F$2:$F$180,$A54)+
COUNTIFS(ANNOUNCEMENTS!$J$2:$J$180,$A$53,ANNOUNCEMENTS!$AB$2:$AB$180,H$53,ANNOUNCEMENTS!$F$2:$F$180,$A54)+
COUNTIFS(ANNOUNCEMENTS!$J$2:$J$180,$A$53,ANNOUNCEMENTS!$AD$2:$AD$180,H$53,ANNOUNCEMENTS!$F$2:$F$180,$A54)</f>
        <v>1</v>
      </c>
      <c r="I54" s="333">
        <f>COUNTIFS(ANNOUNCEMENTS!$J$2:$J$180,$A$53,ANNOUNCEMENTS!$Z$2:$Z$180,I$53,ANNOUNCEMENTS!$F$2:$F$180,$A54)+
COUNTIFS(ANNOUNCEMENTS!$J$2:$J$180,$A$53,ANNOUNCEMENTS!$AB$2:$AB$180,I$53,ANNOUNCEMENTS!$F$2:$F$180,$A54)+
COUNTIFS(ANNOUNCEMENTS!$J$2:$J$180,$A$53,ANNOUNCEMENTS!$AD$2:$AD$180,I$53,ANNOUNCEMENTS!$F$2:$F$180,$A54)</f>
        <v>0</v>
      </c>
      <c r="J54" s="333">
        <f>COUNTIFS(ANNOUNCEMENTS!$J$2:$J$180,$A$53,ANNOUNCEMENTS!$Z$2:$Z$180,J$53,ANNOUNCEMENTS!$F$2:$F$180,$A54)+
COUNTIFS(ANNOUNCEMENTS!$J$2:$J$180,$A$53,ANNOUNCEMENTS!$AB$2:$AB$180,J$53,ANNOUNCEMENTS!$F$2:$F$180,$A54)+
COUNTIFS(ANNOUNCEMENTS!$J$2:$J$180,$A$53,ANNOUNCEMENTS!$AD$2:$AD$180,J$53,ANNOUNCEMENTS!$F$2:$F$180,$A54)</f>
        <v>0</v>
      </c>
      <c r="K54" s="197">
        <f>SUM(B54:J54)</f>
        <v>28</v>
      </c>
      <c r="L54" s="332" t="s">
        <v>286</v>
      </c>
      <c r="M54" s="333">
        <f>COUNTIFS(ANNOUNCEMENTS!$J$2:$J$180,$A$53,ANNOUNCEMENTS!$W$2:$W$180,M$53,ANNOUNCEMENTS!$F$2:$F$180,$A54)</f>
        <v>0</v>
      </c>
      <c r="N54" s="333">
        <f>COUNTIFS(ANNOUNCEMENTS!$J$2:$J$180,$A$53,ANNOUNCEMENTS!$W$2:$W$180,N$53,ANNOUNCEMENTS!$F$2:$F$180,$A54)</f>
        <v>17</v>
      </c>
      <c r="O54" s="333">
        <f>COUNTIFS(ANNOUNCEMENTS!$J$2:$J$180,$A$53,ANNOUNCEMENTS!$W$2:$W$180,O$53,ANNOUNCEMENTS!$F$2:$F$180,$A54)</f>
        <v>2</v>
      </c>
      <c r="P54" s="333">
        <f>COUNTIFS(ANNOUNCEMENTS!$J$2:$J$180,$A$53,ANNOUNCEMENTS!$W$2:$W$180,P$53,ANNOUNCEMENTS!$F$2:$F$180,$A54)</f>
        <v>6</v>
      </c>
      <c r="Q54" s="333">
        <f>COUNTIFS(ANNOUNCEMENTS!$J$2:$J$180,$A$53,ANNOUNCEMENTS!$W$2:$W$180,Q$53,ANNOUNCEMENTS!$F$2:$F$180,$A54)</f>
        <v>0</v>
      </c>
      <c r="R54" s="333">
        <f>COUNTIFS(ANNOUNCEMENTS!$J$2:$J$180,$A$53,ANNOUNCEMENTS!$W$2:$W$180,R$53,ANNOUNCEMENTS!$F$2:$F$180,$A54)</f>
        <v>0</v>
      </c>
      <c r="S54" s="333">
        <f>COUNTIFS(ANNOUNCEMENTS!$J$2:$J$180,$A$53,ANNOUNCEMENTS!$W$2:$W$180,S$53,ANNOUNCEMENTS!$F$2:$F$180,$A54)</f>
        <v>0</v>
      </c>
      <c r="T54" s="197">
        <f>SUM(M54:S54)</f>
        <v>25</v>
      </c>
      <c r="U54" s="332" t="s">
        <v>286</v>
      </c>
      <c r="V54" s="165">
        <f t="shared" ref="V54:AD57" si="3">B54/SUM($B54:$J54)</f>
        <v>0.5</v>
      </c>
      <c r="W54" s="165">
        <f t="shared" si="3"/>
        <v>3.5714285714285712E-2</v>
      </c>
      <c r="X54" s="165">
        <f t="shared" si="3"/>
        <v>0.14285714285714285</v>
      </c>
      <c r="Y54" s="165">
        <f t="shared" si="3"/>
        <v>0.10714285714285714</v>
      </c>
      <c r="Z54" s="165">
        <f t="shared" si="3"/>
        <v>3.5714285714285712E-2</v>
      </c>
      <c r="AA54" s="165">
        <f t="shared" si="3"/>
        <v>0.14285714285714285</v>
      </c>
      <c r="AB54" s="165">
        <f t="shared" si="3"/>
        <v>3.5714285714285712E-2</v>
      </c>
      <c r="AC54" s="165">
        <f t="shared" si="3"/>
        <v>0</v>
      </c>
      <c r="AD54" s="165">
        <f t="shared" si="3"/>
        <v>0</v>
      </c>
      <c r="AE54" s="165">
        <f t="shared" ref="AE54:AK57" si="4">M54/SUM($M54:$S54)</f>
        <v>0</v>
      </c>
      <c r="AF54" s="165">
        <f t="shared" si="4"/>
        <v>0.68</v>
      </c>
      <c r="AG54" s="165">
        <f t="shared" si="4"/>
        <v>0.08</v>
      </c>
      <c r="AH54" s="165">
        <f t="shared" si="4"/>
        <v>0.24</v>
      </c>
      <c r="AI54" s="165">
        <f t="shared" si="4"/>
        <v>0</v>
      </c>
      <c r="AJ54" s="165">
        <f t="shared" si="4"/>
        <v>0</v>
      </c>
      <c r="AK54" s="165">
        <f t="shared" si="4"/>
        <v>0</v>
      </c>
      <c r="AN54" s="58"/>
      <c r="AO54" s="58"/>
      <c r="AP54" s="58"/>
      <c r="AQ54" s="58"/>
    </row>
    <row r="55" spans="1:43" x14ac:dyDescent="0.35">
      <c r="A55" s="332" t="s">
        <v>309</v>
      </c>
      <c r="B55" s="333">
        <f>COUNTIFS(ANNOUNCEMENTS!$J$2:$J$180,$A$53,ANNOUNCEMENTS!$Z$2:$Z$180,B$53,ANNOUNCEMENTS!$F$2:$F$180,$A55)+
COUNTIFS(ANNOUNCEMENTS!$J$2:$J$180,$A$53,ANNOUNCEMENTS!$AB$2:$AB$180,B$53,ANNOUNCEMENTS!$F$2:$F$180,$A55)+
COUNTIFS(ANNOUNCEMENTS!$J$2:$J$180,$A$53,ANNOUNCEMENTS!$AD$2:$AD$180,B$53,ANNOUNCEMENTS!$F$2:$F$180,$A55)</f>
        <v>5</v>
      </c>
      <c r="C55" s="333">
        <f>COUNTIFS(ANNOUNCEMENTS!$J$2:$J$180,$A$53,ANNOUNCEMENTS!$Z$2:$Z$180,C$53,ANNOUNCEMENTS!$F$2:$F$180,$A55)+
COUNTIFS(ANNOUNCEMENTS!$J$2:$J$180,$A$53,ANNOUNCEMENTS!$AB$2:$AB$180,C$53,ANNOUNCEMENTS!$F$2:$F$180,$A55)+
COUNTIFS(ANNOUNCEMENTS!$J$2:$J$180,$A$53,ANNOUNCEMENTS!$AD$2:$AD$180,C$53,ANNOUNCEMENTS!$F$2:$F$180,$A55)</f>
        <v>4</v>
      </c>
      <c r="D55" s="333">
        <f>COUNTIFS(ANNOUNCEMENTS!$J$2:$J$180,$A$53,ANNOUNCEMENTS!$Z$2:$Z$180,D$53,ANNOUNCEMENTS!$F$2:$F$180,$A55)+
COUNTIFS(ANNOUNCEMENTS!$J$2:$J$180,$A$53,ANNOUNCEMENTS!$AB$2:$AB$180,D$53,ANNOUNCEMENTS!$F$2:$F$180,$A55)+
COUNTIFS(ANNOUNCEMENTS!$J$2:$J$180,$A$53,ANNOUNCEMENTS!$AD$2:$AD$180,D$53,ANNOUNCEMENTS!$F$2:$F$180,$A55)</f>
        <v>5</v>
      </c>
      <c r="E55" s="333">
        <f>COUNTIFS(ANNOUNCEMENTS!$J$2:$J$180,$A$53,ANNOUNCEMENTS!$Z$2:$Z$180,E$53,ANNOUNCEMENTS!$F$2:$F$180,$A55)+
COUNTIFS(ANNOUNCEMENTS!$J$2:$J$180,$A$53,ANNOUNCEMENTS!$AB$2:$AB$180,E$53,ANNOUNCEMENTS!$F$2:$F$180,$A55)+
COUNTIFS(ANNOUNCEMENTS!$J$2:$J$180,$A$53,ANNOUNCEMENTS!$AD$2:$AD$180,E$53,ANNOUNCEMENTS!$F$2:$F$180,$A55)</f>
        <v>1</v>
      </c>
      <c r="F55" s="333">
        <f>COUNTIFS(ANNOUNCEMENTS!$J$2:$J$180,$A$53,ANNOUNCEMENTS!$Z$2:$Z$180,F$53,ANNOUNCEMENTS!$F$2:$F$180,$A55)+
COUNTIFS(ANNOUNCEMENTS!$J$2:$J$180,$A$53,ANNOUNCEMENTS!$AB$2:$AB$180,F$53,ANNOUNCEMENTS!$F$2:$F$180,$A55)+
COUNTIFS(ANNOUNCEMENTS!$J$2:$J$180,$A$53,ANNOUNCEMENTS!$AD$2:$AD$180,F$53,ANNOUNCEMENTS!$F$2:$F$180,$A55)</f>
        <v>0</v>
      </c>
      <c r="G55" s="333">
        <f>COUNTIFS(ANNOUNCEMENTS!$J$2:$J$180,$A$53,ANNOUNCEMENTS!$Z$2:$Z$180,G$53,ANNOUNCEMENTS!$F$2:$F$180,$A55)+
COUNTIFS(ANNOUNCEMENTS!$J$2:$J$180,$A$53,ANNOUNCEMENTS!$AB$2:$AB$180,G$53,ANNOUNCEMENTS!$F$2:$F$180,$A55)+
COUNTIFS(ANNOUNCEMENTS!$J$2:$J$180,$A$53,ANNOUNCEMENTS!$AD$2:$AD$180,G$53,ANNOUNCEMENTS!$F$2:$F$180,$A55)</f>
        <v>5</v>
      </c>
      <c r="H55" s="333">
        <f>COUNTIFS(ANNOUNCEMENTS!$J$2:$J$180,$A$53,ANNOUNCEMENTS!$Z$2:$Z$180,H$53,ANNOUNCEMENTS!$F$2:$F$180,$A55)+
COUNTIFS(ANNOUNCEMENTS!$J$2:$J$180,$A$53,ANNOUNCEMENTS!$AB$2:$AB$180,H$53,ANNOUNCEMENTS!$F$2:$F$180,$A55)+
COUNTIFS(ANNOUNCEMENTS!$J$2:$J$180,$A$53,ANNOUNCEMENTS!$AD$2:$AD$180,H$53,ANNOUNCEMENTS!$F$2:$F$180,$A55)</f>
        <v>1</v>
      </c>
      <c r="I55" s="333">
        <f>COUNTIFS(ANNOUNCEMENTS!$J$2:$J$180,$A$53,ANNOUNCEMENTS!$Z$2:$Z$180,I$53,ANNOUNCEMENTS!$F$2:$F$180,$A55)+
COUNTIFS(ANNOUNCEMENTS!$J$2:$J$180,$A$53,ANNOUNCEMENTS!$AB$2:$AB$180,I$53,ANNOUNCEMENTS!$F$2:$F$180,$A55)+
COUNTIFS(ANNOUNCEMENTS!$J$2:$J$180,$A$53,ANNOUNCEMENTS!$AD$2:$AD$180,I$53,ANNOUNCEMENTS!$F$2:$F$180,$A55)</f>
        <v>2</v>
      </c>
      <c r="J55" s="333">
        <f>COUNTIFS(ANNOUNCEMENTS!$J$2:$J$180,$A$53,ANNOUNCEMENTS!$Z$2:$Z$180,J$53,ANNOUNCEMENTS!$F$2:$F$180,$A55)+
COUNTIFS(ANNOUNCEMENTS!$J$2:$J$180,$A$53,ANNOUNCEMENTS!$AB$2:$AB$180,J$53,ANNOUNCEMENTS!$F$2:$F$180,$A55)+
COUNTIFS(ANNOUNCEMENTS!$J$2:$J$180,$A$53,ANNOUNCEMENTS!$AD$2:$AD$180,J$53,ANNOUNCEMENTS!$F$2:$F$180,$A55)</f>
        <v>2</v>
      </c>
      <c r="K55" s="197">
        <f>SUM(B55:J55)</f>
        <v>25</v>
      </c>
      <c r="L55" s="332" t="s">
        <v>309</v>
      </c>
      <c r="M55" s="333">
        <f>COUNTIFS(ANNOUNCEMENTS!$J$2:$J$180,$A$53,ANNOUNCEMENTS!$W$2:$W$180,M$53,ANNOUNCEMENTS!$F$2:$F$180,$A55)</f>
        <v>2</v>
      </c>
      <c r="N55" s="333">
        <f>COUNTIFS(ANNOUNCEMENTS!$J$2:$J$180,$A$53,ANNOUNCEMENTS!$W$2:$W$180,N$53,ANNOUNCEMENTS!$F$2:$F$180,$A55)</f>
        <v>6</v>
      </c>
      <c r="O55" s="333">
        <f>COUNTIFS(ANNOUNCEMENTS!$J$2:$J$180,$A$53,ANNOUNCEMENTS!$W$2:$W$180,O$53,ANNOUNCEMENTS!$F$2:$F$180,$A55)</f>
        <v>7</v>
      </c>
      <c r="P55" s="333">
        <f>COUNTIFS(ANNOUNCEMENTS!$J$2:$J$180,$A$53,ANNOUNCEMENTS!$W$2:$W$180,P$53,ANNOUNCEMENTS!$F$2:$F$180,$A55)</f>
        <v>3</v>
      </c>
      <c r="Q55" s="333">
        <f>COUNTIFS(ANNOUNCEMENTS!$J$2:$J$180,$A$53,ANNOUNCEMENTS!$W$2:$W$180,Q$53,ANNOUNCEMENTS!$F$2:$F$180,$A55)</f>
        <v>1</v>
      </c>
      <c r="R55" s="333">
        <f>COUNTIFS(ANNOUNCEMENTS!$J$2:$J$180,$A$53,ANNOUNCEMENTS!$W$2:$W$180,R$53,ANNOUNCEMENTS!$F$2:$F$180,$A55)</f>
        <v>1</v>
      </c>
      <c r="S55" s="333">
        <f>COUNTIFS(ANNOUNCEMENTS!$J$2:$J$180,$A$53,ANNOUNCEMENTS!$W$2:$W$180,S$53,ANNOUNCEMENTS!$F$2:$F$180,$A55)</f>
        <v>1</v>
      </c>
      <c r="T55" s="197">
        <f>SUM(M55:S55)</f>
        <v>21</v>
      </c>
      <c r="U55" s="332" t="s">
        <v>309</v>
      </c>
      <c r="V55" s="165">
        <f t="shared" si="3"/>
        <v>0.2</v>
      </c>
      <c r="W55" s="165">
        <f t="shared" si="3"/>
        <v>0.16</v>
      </c>
      <c r="X55" s="165">
        <f t="shared" si="3"/>
        <v>0.2</v>
      </c>
      <c r="Y55" s="165">
        <f t="shared" si="3"/>
        <v>0.04</v>
      </c>
      <c r="Z55" s="165">
        <f t="shared" si="3"/>
        <v>0</v>
      </c>
      <c r="AA55" s="165">
        <f t="shared" si="3"/>
        <v>0.2</v>
      </c>
      <c r="AB55" s="165">
        <f t="shared" si="3"/>
        <v>0.04</v>
      </c>
      <c r="AC55" s="165">
        <f t="shared" si="3"/>
        <v>0.08</v>
      </c>
      <c r="AD55" s="165">
        <f t="shared" si="3"/>
        <v>0.08</v>
      </c>
      <c r="AE55" s="165">
        <f t="shared" si="4"/>
        <v>9.5238095238095233E-2</v>
      </c>
      <c r="AF55" s="165">
        <f t="shared" si="4"/>
        <v>0.2857142857142857</v>
      </c>
      <c r="AG55" s="165">
        <f t="shared" si="4"/>
        <v>0.33333333333333331</v>
      </c>
      <c r="AH55" s="165">
        <f t="shared" si="4"/>
        <v>0.14285714285714285</v>
      </c>
      <c r="AI55" s="165">
        <f t="shared" si="4"/>
        <v>4.7619047619047616E-2</v>
      </c>
      <c r="AJ55" s="165">
        <f t="shared" si="4"/>
        <v>4.7619047619047616E-2</v>
      </c>
      <c r="AK55" s="165">
        <f t="shared" si="4"/>
        <v>4.7619047619047616E-2</v>
      </c>
      <c r="AN55" s="58"/>
      <c r="AO55" s="58"/>
      <c r="AP55" s="58"/>
      <c r="AQ55" s="58"/>
    </row>
    <row r="56" spans="1:43" x14ac:dyDescent="0.35">
      <c r="A56" s="332" t="s">
        <v>331</v>
      </c>
      <c r="B56" s="333">
        <f>COUNTIFS(ANNOUNCEMENTS!$J$2:$J$180,$A$53,ANNOUNCEMENTS!$Z$2:$Z$180,B$53,ANNOUNCEMENTS!$F$2:$F$180,$A56)+
COUNTIFS(ANNOUNCEMENTS!$J$2:$J$180,$A$53,ANNOUNCEMENTS!$AB$2:$AB$180,B$53,ANNOUNCEMENTS!$F$2:$F$180,$A56)+
COUNTIFS(ANNOUNCEMENTS!$J$2:$J$180,$A$53,ANNOUNCEMENTS!$AD$2:$AD$180,B$53,ANNOUNCEMENTS!$F$2:$F$180,$A56)</f>
        <v>1</v>
      </c>
      <c r="C56" s="333">
        <f>COUNTIFS(ANNOUNCEMENTS!$J$2:$J$180,$A$53,ANNOUNCEMENTS!$Z$2:$Z$180,C$53,ANNOUNCEMENTS!$F$2:$F$180,$A56)+
COUNTIFS(ANNOUNCEMENTS!$J$2:$J$180,$A$53,ANNOUNCEMENTS!$AB$2:$AB$180,C$53,ANNOUNCEMENTS!$F$2:$F$180,$A56)+
COUNTIFS(ANNOUNCEMENTS!$J$2:$J$180,$A$53,ANNOUNCEMENTS!$AD$2:$AD$180,C$53,ANNOUNCEMENTS!$F$2:$F$180,$A56)</f>
        <v>0</v>
      </c>
      <c r="D56" s="333">
        <f>COUNTIFS(ANNOUNCEMENTS!$J$2:$J$180,$A$53,ANNOUNCEMENTS!$Z$2:$Z$180,D$53,ANNOUNCEMENTS!$F$2:$F$180,$A56)+
COUNTIFS(ANNOUNCEMENTS!$J$2:$J$180,$A$53,ANNOUNCEMENTS!$AB$2:$AB$180,D$53,ANNOUNCEMENTS!$F$2:$F$180,$A56)+
COUNTIFS(ANNOUNCEMENTS!$J$2:$J$180,$A$53,ANNOUNCEMENTS!$AD$2:$AD$180,D$53,ANNOUNCEMENTS!$F$2:$F$180,$A56)</f>
        <v>8</v>
      </c>
      <c r="E56" s="333">
        <f>COUNTIFS(ANNOUNCEMENTS!$J$2:$J$180,$A$53,ANNOUNCEMENTS!$Z$2:$Z$180,E$53,ANNOUNCEMENTS!$F$2:$F$180,$A56)+
COUNTIFS(ANNOUNCEMENTS!$J$2:$J$180,$A$53,ANNOUNCEMENTS!$AB$2:$AB$180,E$53,ANNOUNCEMENTS!$F$2:$F$180,$A56)+
COUNTIFS(ANNOUNCEMENTS!$J$2:$J$180,$A$53,ANNOUNCEMENTS!$AD$2:$AD$180,E$53,ANNOUNCEMENTS!$F$2:$F$180,$A56)</f>
        <v>0</v>
      </c>
      <c r="F56" s="333">
        <f>COUNTIFS(ANNOUNCEMENTS!$J$2:$J$180,$A$53,ANNOUNCEMENTS!$Z$2:$Z$180,F$53,ANNOUNCEMENTS!$F$2:$F$180,$A56)+
COUNTIFS(ANNOUNCEMENTS!$J$2:$J$180,$A$53,ANNOUNCEMENTS!$AB$2:$AB$180,F$53,ANNOUNCEMENTS!$F$2:$F$180,$A56)+
COUNTIFS(ANNOUNCEMENTS!$J$2:$J$180,$A$53,ANNOUNCEMENTS!$AD$2:$AD$180,F$53,ANNOUNCEMENTS!$F$2:$F$180,$A56)</f>
        <v>0</v>
      </c>
      <c r="G56" s="333">
        <f>COUNTIFS(ANNOUNCEMENTS!$J$2:$J$180,$A$53,ANNOUNCEMENTS!$Z$2:$Z$180,G$53,ANNOUNCEMENTS!$F$2:$F$180,$A56)+
COUNTIFS(ANNOUNCEMENTS!$J$2:$J$180,$A$53,ANNOUNCEMENTS!$AB$2:$AB$180,G$53,ANNOUNCEMENTS!$F$2:$F$180,$A56)+
COUNTIFS(ANNOUNCEMENTS!$J$2:$J$180,$A$53,ANNOUNCEMENTS!$AD$2:$AD$180,G$53,ANNOUNCEMENTS!$F$2:$F$180,$A56)</f>
        <v>3</v>
      </c>
      <c r="H56" s="333">
        <f>COUNTIFS(ANNOUNCEMENTS!$J$2:$J$180,$A$53,ANNOUNCEMENTS!$Z$2:$Z$180,H$53,ANNOUNCEMENTS!$F$2:$F$180,$A56)+
COUNTIFS(ANNOUNCEMENTS!$J$2:$J$180,$A$53,ANNOUNCEMENTS!$AB$2:$AB$180,H$53,ANNOUNCEMENTS!$F$2:$F$180,$A56)+
COUNTIFS(ANNOUNCEMENTS!$J$2:$J$180,$A$53,ANNOUNCEMENTS!$AD$2:$AD$180,H$53,ANNOUNCEMENTS!$F$2:$F$180,$A56)</f>
        <v>1</v>
      </c>
      <c r="I56" s="333">
        <f>COUNTIFS(ANNOUNCEMENTS!$J$2:$J$180,$A$53,ANNOUNCEMENTS!$Z$2:$Z$180,I$53,ANNOUNCEMENTS!$F$2:$F$180,$A56)+
COUNTIFS(ANNOUNCEMENTS!$J$2:$J$180,$A$53,ANNOUNCEMENTS!$AB$2:$AB$180,I$53,ANNOUNCEMENTS!$F$2:$F$180,$A56)+
COUNTIFS(ANNOUNCEMENTS!$J$2:$J$180,$A$53,ANNOUNCEMENTS!$AD$2:$AD$180,I$53,ANNOUNCEMENTS!$F$2:$F$180,$A56)</f>
        <v>0</v>
      </c>
      <c r="J56" s="333">
        <f>COUNTIFS(ANNOUNCEMENTS!$J$2:$J$180,$A$53,ANNOUNCEMENTS!$Z$2:$Z$180,J$53,ANNOUNCEMENTS!$F$2:$F$180,$A56)+
COUNTIFS(ANNOUNCEMENTS!$J$2:$J$180,$A$53,ANNOUNCEMENTS!$AB$2:$AB$180,J$53,ANNOUNCEMENTS!$F$2:$F$180,$A56)+
COUNTIFS(ANNOUNCEMENTS!$J$2:$J$180,$A$53,ANNOUNCEMENTS!$AD$2:$AD$180,J$53,ANNOUNCEMENTS!$F$2:$F$180,$A56)</f>
        <v>0</v>
      </c>
      <c r="K56" s="197">
        <f>SUM(B56:J56)</f>
        <v>13</v>
      </c>
      <c r="L56" s="332" t="s">
        <v>331</v>
      </c>
      <c r="M56" s="333">
        <f>COUNTIFS(ANNOUNCEMENTS!$J$2:$J$180,$A$53,ANNOUNCEMENTS!$W$2:$W$180,M$53,ANNOUNCEMENTS!$F$2:$F$180,$A56)</f>
        <v>0</v>
      </c>
      <c r="N56" s="333">
        <f>COUNTIFS(ANNOUNCEMENTS!$J$2:$J$180,$A$53,ANNOUNCEMENTS!$W$2:$W$180,N$53,ANNOUNCEMENTS!$F$2:$F$180,$A56)</f>
        <v>5</v>
      </c>
      <c r="O56" s="333">
        <f>COUNTIFS(ANNOUNCEMENTS!$J$2:$J$180,$A$53,ANNOUNCEMENTS!$W$2:$W$180,O$53,ANNOUNCEMENTS!$F$2:$F$180,$A56)</f>
        <v>1</v>
      </c>
      <c r="P56" s="333">
        <f>COUNTIFS(ANNOUNCEMENTS!$J$2:$J$180,$A$53,ANNOUNCEMENTS!$W$2:$W$180,P$53,ANNOUNCEMENTS!$F$2:$F$180,$A56)</f>
        <v>5</v>
      </c>
      <c r="Q56" s="333">
        <f>COUNTIFS(ANNOUNCEMENTS!$J$2:$J$180,$A$53,ANNOUNCEMENTS!$W$2:$W$180,Q$53,ANNOUNCEMENTS!$F$2:$F$180,$A56)</f>
        <v>0</v>
      </c>
      <c r="R56" s="333">
        <f>COUNTIFS(ANNOUNCEMENTS!$J$2:$J$180,$A$53,ANNOUNCEMENTS!$W$2:$W$180,R$53,ANNOUNCEMENTS!$F$2:$F$180,$A56)</f>
        <v>0</v>
      </c>
      <c r="S56" s="333">
        <f>COUNTIFS(ANNOUNCEMENTS!$J$2:$J$180,$A$53,ANNOUNCEMENTS!$W$2:$W$180,S$53,ANNOUNCEMENTS!$F$2:$F$180,$A56)</f>
        <v>0</v>
      </c>
      <c r="T56" s="197">
        <f>SUM(M56:S56)</f>
        <v>11</v>
      </c>
      <c r="U56" s="332" t="s">
        <v>331</v>
      </c>
      <c r="V56" s="165">
        <f t="shared" si="3"/>
        <v>7.6923076923076927E-2</v>
      </c>
      <c r="W56" s="165">
        <f t="shared" si="3"/>
        <v>0</v>
      </c>
      <c r="X56" s="165">
        <f t="shared" si="3"/>
        <v>0.61538461538461542</v>
      </c>
      <c r="Y56" s="165">
        <f t="shared" si="3"/>
        <v>0</v>
      </c>
      <c r="Z56" s="165">
        <f t="shared" si="3"/>
        <v>0</v>
      </c>
      <c r="AA56" s="165">
        <f t="shared" si="3"/>
        <v>0.23076923076923078</v>
      </c>
      <c r="AB56" s="165">
        <f t="shared" si="3"/>
        <v>7.6923076923076927E-2</v>
      </c>
      <c r="AC56" s="165">
        <f t="shared" si="3"/>
        <v>0</v>
      </c>
      <c r="AD56" s="165">
        <f t="shared" si="3"/>
        <v>0</v>
      </c>
      <c r="AE56" s="165">
        <f t="shared" si="4"/>
        <v>0</v>
      </c>
      <c r="AF56" s="165">
        <f t="shared" si="4"/>
        <v>0.45454545454545453</v>
      </c>
      <c r="AG56" s="165">
        <f t="shared" si="4"/>
        <v>9.0909090909090912E-2</v>
      </c>
      <c r="AH56" s="165">
        <f t="shared" si="4"/>
        <v>0.45454545454545453</v>
      </c>
      <c r="AI56" s="165">
        <f t="shared" si="4"/>
        <v>0</v>
      </c>
      <c r="AJ56" s="165">
        <f t="shared" si="4"/>
        <v>0</v>
      </c>
      <c r="AK56" s="165">
        <f t="shared" si="4"/>
        <v>0</v>
      </c>
      <c r="AN56" s="58"/>
      <c r="AO56" s="58"/>
      <c r="AP56" s="58"/>
      <c r="AQ56" s="58"/>
    </row>
    <row r="57" spans="1:43" x14ac:dyDescent="0.35">
      <c r="A57" s="332" t="s">
        <v>320</v>
      </c>
      <c r="B57" s="333">
        <f>COUNTIFS(ANNOUNCEMENTS!$J$2:$J$180,$A$53,ANNOUNCEMENTS!$Z$2:$Z$180,B$53,ANNOUNCEMENTS!$F$2:$F$180,$A57)+
COUNTIFS(ANNOUNCEMENTS!$J$2:$J$180,$A$53,ANNOUNCEMENTS!$AB$2:$AB$180,B$53,ANNOUNCEMENTS!$F$2:$F$180,$A57)+
COUNTIFS(ANNOUNCEMENTS!$J$2:$J$180,$A$53,ANNOUNCEMENTS!$AD$2:$AD$180,B$53,ANNOUNCEMENTS!$F$2:$F$180,$A57)</f>
        <v>1</v>
      </c>
      <c r="C57" s="333">
        <f>COUNTIFS(ANNOUNCEMENTS!$J$2:$J$180,$A$53,ANNOUNCEMENTS!$Z$2:$Z$180,C$53,ANNOUNCEMENTS!$F$2:$F$180,$A57)+
COUNTIFS(ANNOUNCEMENTS!$J$2:$J$180,$A$53,ANNOUNCEMENTS!$AB$2:$AB$180,C$53,ANNOUNCEMENTS!$F$2:$F$180,$A57)+
COUNTIFS(ANNOUNCEMENTS!$J$2:$J$180,$A$53,ANNOUNCEMENTS!$AD$2:$AD$180,C$53,ANNOUNCEMENTS!$F$2:$F$180,$A57)</f>
        <v>0</v>
      </c>
      <c r="D57" s="333">
        <f>COUNTIFS(ANNOUNCEMENTS!$J$2:$J$180,$A$53,ANNOUNCEMENTS!$Z$2:$Z$180,D$53,ANNOUNCEMENTS!$F$2:$F$180,$A57)+
COUNTIFS(ANNOUNCEMENTS!$J$2:$J$180,$A$53,ANNOUNCEMENTS!$AB$2:$AB$180,D$53,ANNOUNCEMENTS!$F$2:$F$180,$A57)+
COUNTIFS(ANNOUNCEMENTS!$J$2:$J$180,$A$53,ANNOUNCEMENTS!$AD$2:$AD$180,D$53,ANNOUNCEMENTS!$F$2:$F$180,$A57)</f>
        <v>1</v>
      </c>
      <c r="E57" s="333">
        <f>COUNTIFS(ANNOUNCEMENTS!$J$2:$J$180,$A$53,ANNOUNCEMENTS!$Z$2:$Z$180,E$53,ANNOUNCEMENTS!$F$2:$F$180,$A57)+
COUNTIFS(ANNOUNCEMENTS!$J$2:$J$180,$A$53,ANNOUNCEMENTS!$AB$2:$AB$180,E$53,ANNOUNCEMENTS!$F$2:$F$180,$A57)+
COUNTIFS(ANNOUNCEMENTS!$J$2:$J$180,$A$53,ANNOUNCEMENTS!$AD$2:$AD$180,E$53,ANNOUNCEMENTS!$F$2:$F$180,$A57)</f>
        <v>0</v>
      </c>
      <c r="F57" s="333">
        <f>COUNTIFS(ANNOUNCEMENTS!$J$2:$J$180,$A$53,ANNOUNCEMENTS!$Z$2:$Z$180,F$53,ANNOUNCEMENTS!$F$2:$F$180,$A57)+
COUNTIFS(ANNOUNCEMENTS!$J$2:$J$180,$A$53,ANNOUNCEMENTS!$AB$2:$AB$180,F$53,ANNOUNCEMENTS!$F$2:$F$180,$A57)+
COUNTIFS(ANNOUNCEMENTS!$J$2:$J$180,$A$53,ANNOUNCEMENTS!$AD$2:$AD$180,F$53,ANNOUNCEMENTS!$F$2:$F$180,$A57)</f>
        <v>0</v>
      </c>
      <c r="G57" s="333">
        <f>COUNTIFS(ANNOUNCEMENTS!$J$2:$J$180,$A$53,ANNOUNCEMENTS!$Z$2:$Z$180,G$53,ANNOUNCEMENTS!$F$2:$F$180,$A57)+
COUNTIFS(ANNOUNCEMENTS!$J$2:$J$180,$A$53,ANNOUNCEMENTS!$AB$2:$AB$180,G$53,ANNOUNCEMENTS!$F$2:$F$180,$A57)+
COUNTIFS(ANNOUNCEMENTS!$J$2:$J$180,$A$53,ANNOUNCEMENTS!$AD$2:$AD$180,G$53,ANNOUNCEMENTS!$F$2:$F$180,$A57)</f>
        <v>0</v>
      </c>
      <c r="H57" s="333">
        <f>COUNTIFS(ANNOUNCEMENTS!$J$2:$J$180,$A$53,ANNOUNCEMENTS!$Z$2:$Z$180,H$53,ANNOUNCEMENTS!$F$2:$F$180,$A57)+
COUNTIFS(ANNOUNCEMENTS!$J$2:$J$180,$A$53,ANNOUNCEMENTS!$AB$2:$AB$180,H$53,ANNOUNCEMENTS!$F$2:$F$180,$A57)+
COUNTIFS(ANNOUNCEMENTS!$J$2:$J$180,$A$53,ANNOUNCEMENTS!$AD$2:$AD$180,H$53,ANNOUNCEMENTS!$F$2:$F$180,$A57)</f>
        <v>0</v>
      </c>
      <c r="I57" s="333">
        <f>COUNTIFS(ANNOUNCEMENTS!$J$2:$J$180,$A$53,ANNOUNCEMENTS!$Z$2:$Z$180,I$53,ANNOUNCEMENTS!$F$2:$F$180,$A57)+
COUNTIFS(ANNOUNCEMENTS!$J$2:$J$180,$A$53,ANNOUNCEMENTS!$AB$2:$AB$180,I$53,ANNOUNCEMENTS!$F$2:$F$180,$A57)+
COUNTIFS(ANNOUNCEMENTS!$J$2:$J$180,$A$53,ANNOUNCEMENTS!$AD$2:$AD$180,I$53,ANNOUNCEMENTS!$F$2:$F$180,$A57)</f>
        <v>0</v>
      </c>
      <c r="J57" s="333">
        <f>COUNTIFS(ANNOUNCEMENTS!$J$2:$J$180,$A$53,ANNOUNCEMENTS!$Z$2:$Z$180,J$53,ANNOUNCEMENTS!$F$2:$F$180,$A57)+
COUNTIFS(ANNOUNCEMENTS!$J$2:$J$180,$A$53,ANNOUNCEMENTS!$AB$2:$AB$180,J$53,ANNOUNCEMENTS!$F$2:$F$180,$A57)+
COUNTIFS(ANNOUNCEMENTS!$J$2:$J$180,$A$53,ANNOUNCEMENTS!$AD$2:$AD$180,J$53,ANNOUNCEMENTS!$F$2:$F$180,$A57)</f>
        <v>0</v>
      </c>
      <c r="K57" s="197">
        <f>SUM(B57:J57)</f>
        <v>2</v>
      </c>
      <c r="L57" s="332" t="s">
        <v>320</v>
      </c>
      <c r="M57" s="333">
        <f>COUNTIFS(ANNOUNCEMENTS!$J$2:$J$180,$A$53,ANNOUNCEMENTS!$W$2:$W$180,M$53,ANNOUNCEMENTS!$F$2:$F$180,$A57)</f>
        <v>0</v>
      </c>
      <c r="N57" s="333">
        <f>COUNTIFS(ANNOUNCEMENTS!$J$2:$J$180,$A$53,ANNOUNCEMENTS!$W$2:$W$180,N$53,ANNOUNCEMENTS!$F$2:$F$180,$A57)</f>
        <v>2</v>
      </c>
      <c r="O57" s="333">
        <f>COUNTIFS(ANNOUNCEMENTS!$J$2:$J$180,$A$53,ANNOUNCEMENTS!$W$2:$W$180,O$53,ANNOUNCEMENTS!$F$2:$F$180,$A57)</f>
        <v>0</v>
      </c>
      <c r="P57" s="333">
        <f>COUNTIFS(ANNOUNCEMENTS!$J$2:$J$180,$A$53,ANNOUNCEMENTS!$W$2:$W$180,P$53,ANNOUNCEMENTS!$F$2:$F$180,$A57)</f>
        <v>0</v>
      </c>
      <c r="Q57" s="333">
        <f>COUNTIFS(ANNOUNCEMENTS!$J$2:$J$180,$A$53,ANNOUNCEMENTS!$W$2:$W$180,Q$53,ANNOUNCEMENTS!$F$2:$F$180,$A57)</f>
        <v>0</v>
      </c>
      <c r="R57" s="333">
        <f>COUNTIFS(ANNOUNCEMENTS!$J$2:$J$180,$A$53,ANNOUNCEMENTS!$W$2:$W$180,R$53,ANNOUNCEMENTS!$F$2:$F$180,$A57)</f>
        <v>0</v>
      </c>
      <c r="S57" s="333">
        <f>COUNTIFS(ANNOUNCEMENTS!$J$2:$J$180,$A$53,ANNOUNCEMENTS!$W$2:$W$180,S$53,ANNOUNCEMENTS!$F$2:$F$180,$A57)</f>
        <v>0</v>
      </c>
      <c r="T57" s="197">
        <f>SUM(M57:S57)</f>
        <v>2</v>
      </c>
      <c r="U57" s="332" t="s">
        <v>320</v>
      </c>
      <c r="V57" s="165">
        <f t="shared" si="3"/>
        <v>0.5</v>
      </c>
      <c r="W57" s="165">
        <f t="shared" si="3"/>
        <v>0</v>
      </c>
      <c r="X57" s="165">
        <f t="shared" si="3"/>
        <v>0.5</v>
      </c>
      <c r="Y57" s="165">
        <f t="shared" si="3"/>
        <v>0</v>
      </c>
      <c r="Z57" s="165">
        <f t="shared" si="3"/>
        <v>0</v>
      </c>
      <c r="AA57" s="165">
        <f t="shared" si="3"/>
        <v>0</v>
      </c>
      <c r="AB57" s="165">
        <f t="shared" si="3"/>
        <v>0</v>
      </c>
      <c r="AC57" s="165">
        <f t="shared" si="3"/>
        <v>0</v>
      </c>
      <c r="AD57" s="165">
        <f t="shared" si="3"/>
        <v>0</v>
      </c>
      <c r="AE57" s="165">
        <f t="shared" si="4"/>
        <v>0</v>
      </c>
      <c r="AF57" s="165">
        <f t="shared" si="4"/>
        <v>1</v>
      </c>
      <c r="AG57" s="165">
        <f t="shared" si="4"/>
        <v>0</v>
      </c>
      <c r="AH57" s="165">
        <f t="shared" si="4"/>
        <v>0</v>
      </c>
      <c r="AI57" s="165">
        <f t="shared" si="4"/>
        <v>0</v>
      </c>
      <c r="AJ57" s="165">
        <f t="shared" si="4"/>
        <v>0</v>
      </c>
      <c r="AK57" s="165">
        <f t="shared" si="4"/>
        <v>0</v>
      </c>
      <c r="AN57" s="58"/>
      <c r="AO57" s="58"/>
      <c r="AP57" s="58"/>
      <c r="AQ57" s="58"/>
    </row>
    <row r="58" spans="1:43" ht="15" thickBot="1" x14ac:dyDescent="0.4">
      <c r="A58" s="290" t="s">
        <v>2084</v>
      </c>
      <c r="B58" s="338">
        <f t="shared" ref="B58:J58" si="5">SUM(B54:B57)</f>
        <v>21</v>
      </c>
      <c r="C58" s="338">
        <f t="shared" si="5"/>
        <v>5</v>
      </c>
      <c r="D58" s="338">
        <f t="shared" si="5"/>
        <v>18</v>
      </c>
      <c r="E58" s="338">
        <f t="shared" si="5"/>
        <v>4</v>
      </c>
      <c r="F58" s="338">
        <f t="shared" si="5"/>
        <v>1</v>
      </c>
      <c r="G58" s="338">
        <f t="shared" si="5"/>
        <v>12</v>
      </c>
      <c r="H58" s="338">
        <f t="shared" si="5"/>
        <v>3</v>
      </c>
      <c r="I58" s="338">
        <f t="shared" si="5"/>
        <v>2</v>
      </c>
      <c r="J58" s="338">
        <f t="shared" si="5"/>
        <v>2</v>
      </c>
      <c r="K58" s="198">
        <f>SUM(B54:J57)</f>
        <v>68</v>
      </c>
      <c r="L58" s="290" t="s">
        <v>2084</v>
      </c>
      <c r="M58" s="330">
        <f t="shared" ref="M58:S58" si="6">SUM(M54:M57)</f>
        <v>2</v>
      </c>
      <c r="N58" s="330">
        <f t="shared" si="6"/>
        <v>30</v>
      </c>
      <c r="O58" s="330">
        <f t="shared" si="6"/>
        <v>10</v>
      </c>
      <c r="P58" s="330">
        <f t="shared" si="6"/>
        <v>14</v>
      </c>
      <c r="Q58" s="330">
        <f t="shared" si="6"/>
        <v>1</v>
      </c>
      <c r="R58" s="330">
        <f t="shared" si="6"/>
        <v>1</v>
      </c>
      <c r="S58" s="330">
        <f t="shared" si="6"/>
        <v>1</v>
      </c>
      <c r="T58" s="198">
        <f>SUM(M54:S57)</f>
        <v>59</v>
      </c>
      <c r="U58" s="297"/>
      <c r="V58" s="331"/>
      <c r="W58" s="331"/>
      <c r="X58" s="331"/>
      <c r="Y58" s="331"/>
      <c r="Z58" s="331"/>
      <c r="AA58" s="331"/>
      <c r="AB58" s="331"/>
      <c r="AC58" s="331"/>
      <c r="AD58" s="331"/>
      <c r="AE58" s="330"/>
      <c r="AF58" s="330"/>
      <c r="AG58" s="330"/>
      <c r="AH58" s="330"/>
      <c r="AI58" s="330"/>
      <c r="AJ58" s="330"/>
      <c r="AK58" s="330"/>
      <c r="AN58" s="58"/>
      <c r="AO58" s="58"/>
      <c r="AP58" s="58"/>
      <c r="AQ58" s="58"/>
    </row>
    <row r="59" spans="1:43" ht="15" thickTop="1" x14ac:dyDescent="0.35">
      <c r="A59" s="290" t="s">
        <v>2167</v>
      </c>
      <c r="B59" s="196">
        <f t="shared" ref="B59:J59" si="7">B58/SUM($B$58:$J$58)</f>
        <v>0.30882352941176472</v>
      </c>
      <c r="C59" s="196">
        <f t="shared" si="7"/>
        <v>7.3529411764705885E-2</v>
      </c>
      <c r="D59" s="196">
        <f t="shared" si="7"/>
        <v>0.26470588235294118</v>
      </c>
      <c r="E59" s="196">
        <f t="shared" si="7"/>
        <v>5.8823529411764705E-2</v>
      </c>
      <c r="F59" s="196">
        <f t="shared" si="7"/>
        <v>1.4705882352941176E-2</v>
      </c>
      <c r="G59" s="196">
        <f t="shared" si="7"/>
        <v>0.17647058823529413</v>
      </c>
      <c r="H59" s="196">
        <f t="shared" si="7"/>
        <v>4.4117647058823532E-2</v>
      </c>
      <c r="I59" s="196">
        <f t="shared" si="7"/>
        <v>2.9411764705882353E-2</v>
      </c>
      <c r="J59" s="196">
        <f t="shared" si="7"/>
        <v>2.9411764705882353E-2</v>
      </c>
      <c r="K59" s="197"/>
      <c r="L59" s="290" t="s">
        <v>2167</v>
      </c>
      <c r="M59" s="161">
        <f t="shared" ref="M59:S59" si="8">M58/SUM($M$58:$S$58)</f>
        <v>3.3898305084745763E-2</v>
      </c>
      <c r="N59" s="161">
        <f t="shared" si="8"/>
        <v>0.50847457627118642</v>
      </c>
      <c r="O59" s="161">
        <f t="shared" si="8"/>
        <v>0.16949152542372881</v>
      </c>
      <c r="P59" s="161">
        <f t="shared" si="8"/>
        <v>0.23728813559322035</v>
      </c>
      <c r="Q59" s="161">
        <f t="shared" si="8"/>
        <v>1.6949152542372881E-2</v>
      </c>
      <c r="R59" s="161">
        <f t="shared" si="8"/>
        <v>1.6949152542372881E-2</v>
      </c>
      <c r="S59" s="161">
        <f t="shared" si="8"/>
        <v>1.6949152542372881E-2</v>
      </c>
      <c r="T59" s="197"/>
      <c r="U59" s="297"/>
      <c r="V59" s="162"/>
      <c r="W59" s="162"/>
      <c r="X59" s="162"/>
      <c r="Y59" s="162"/>
      <c r="Z59" s="162"/>
      <c r="AA59" s="162"/>
      <c r="AB59" s="162"/>
      <c r="AC59" s="162"/>
      <c r="AD59" s="162"/>
      <c r="AE59" s="161"/>
      <c r="AF59" s="161"/>
      <c r="AG59" s="161"/>
      <c r="AH59" s="161"/>
      <c r="AI59" s="161"/>
      <c r="AJ59" s="161"/>
      <c r="AK59" s="161"/>
      <c r="AN59" s="58"/>
      <c r="AO59" s="58"/>
      <c r="AP59" s="58"/>
      <c r="AQ59" s="58"/>
    </row>
    <row r="60" spans="1:43" x14ac:dyDescent="0.35">
      <c r="A60" s="329" t="s">
        <v>2223</v>
      </c>
      <c r="B60" s="327">
        <f>D59+F59</f>
        <v>0.27941176470588236</v>
      </c>
      <c r="K60" s="197"/>
      <c r="L60" s="329" t="s">
        <v>2226</v>
      </c>
      <c r="M60" s="327">
        <f>SUM(M59:O59)</f>
        <v>0.71186440677966101</v>
      </c>
      <c r="O60" s="327"/>
      <c r="T60" s="197"/>
      <c r="AN60" s="58"/>
      <c r="AO60" s="58"/>
      <c r="AP60" s="58"/>
      <c r="AQ60" s="58"/>
    </row>
    <row r="61" spans="1:43" x14ac:dyDescent="0.35">
      <c r="A61" s="329" t="s">
        <v>2222</v>
      </c>
      <c r="B61" s="327">
        <f>B59+J59+C59</f>
        <v>0.41176470588235298</v>
      </c>
      <c r="K61" s="197"/>
      <c r="L61" s="329" t="s">
        <v>2224</v>
      </c>
      <c r="M61" s="327">
        <f>SUM(R59:S59)</f>
        <v>3.3898305084745763E-2</v>
      </c>
      <c r="O61" s="327"/>
      <c r="T61" s="197"/>
      <c r="AN61" s="58"/>
      <c r="AO61" s="58"/>
      <c r="AP61" s="58"/>
      <c r="AQ61" s="58"/>
    </row>
    <row r="62" spans="1:43" ht="26" x14ac:dyDescent="0.6">
      <c r="A62" s="318" t="s">
        <v>2147</v>
      </c>
      <c r="C62" s="21"/>
      <c r="K62" s="197"/>
      <c r="L62" s="318" t="s">
        <v>2147</v>
      </c>
      <c r="P62" s="298"/>
      <c r="Q62" s="337"/>
      <c r="R62" s="158"/>
      <c r="S62" s="158"/>
      <c r="T62" s="197"/>
      <c r="AN62" s="58"/>
      <c r="AO62" s="58"/>
      <c r="AP62" s="58"/>
      <c r="AQ62" s="58"/>
    </row>
    <row r="63" spans="1:43" x14ac:dyDescent="0.35">
      <c r="A63" s="322" t="s">
        <v>341</v>
      </c>
      <c r="B63" s="336" t="str" cm="1">
        <f t="array" ref="B63:J63">TRANSPOSE(_xlfn.UNIQUE(ANNOUNCEMENTS!Z2:Z180))</f>
        <v>Joint D&amp;D</v>
      </c>
      <c r="C63" s="336" t="str">
        <v>Joint Production</v>
      </c>
      <c r="D63" s="336" t="str">
        <v>Joint Service Agreement</v>
      </c>
      <c r="E63" s="336" t="str">
        <v>Other</v>
      </c>
      <c r="F63" s="336" t="str">
        <v>Supply Partnership (extended)</v>
      </c>
      <c r="G63" s="335" t="str">
        <v>Research &amp; Collaboration</v>
      </c>
      <c r="H63" s="335" t="str">
        <v>Licensing</v>
      </c>
      <c r="I63" s="335" t="str">
        <v>Marketing Agreement</v>
      </c>
      <c r="J63" s="335" t="str">
        <v>Supply Partnership (traditional)</v>
      </c>
      <c r="K63" s="197"/>
      <c r="L63" s="322" t="s">
        <v>341</v>
      </c>
      <c r="M63" s="334" t="str" cm="1">
        <f t="array" ref="M63:S63">TRANSPOSE(_xlfn._xlws.SORT(_xlfn.ANCHORARRAY(BP16),1))</f>
        <v>1. Informal Agreement</v>
      </c>
      <c r="N63" s="334" t="str">
        <v>2.1. Short term Alliance (no exclusivity / previous experience)</v>
      </c>
      <c r="O63" s="334" t="str">
        <v xml:space="preserve">2.2. Renewed Alliance </v>
      </c>
      <c r="P63" s="334" t="str">
        <v>2.3. Long term Alliance</v>
      </c>
      <c r="Q63" s="334" t="str">
        <v>2.4. Exclusive Alliance</v>
      </c>
      <c r="R63" s="334" t="str">
        <v>3. Strategic Partnership</v>
      </c>
      <c r="S63" s="334" t="str">
        <v>4. Joint Venture</v>
      </c>
      <c r="T63" s="197"/>
      <c r="U63" s="322" t="s">
        <v>341</v>
      </c>
      <c r="V63" s="336" t="str" cm="1">
        <f t="array" ref="V63:AD63">TRANSPOSE(_xlfn.UNIQUE(ANNOUNCEMENTS!Z2:Z180))</f>
        <v>Joint D&amp;D</v>
      </c>
      <c r="W63" s="336" t="str">
        <v>Joint Production</v>
      </c>
      <c r="X63" s="336" t="str">
        <v>Joint Service Agreement</v>
      </c>
      <c r="Y63" s="336" t="str">
        <v>Other</v>
      </c>
      <c r="Z63" s="336" t="str">
        <v>Supply Partnership (extended)</v>
      </c>
      <c r="AA63" s="335" t="str">
        <v>Research &amp; Collaboration</v>
      </c>
      <c r="AB63" s="335" t="str">
        <v>Licensing</v>
      </c>
      <c r="AC63" s="335" t="str">
        <v>Marketing Agreement</v>
      </c>
      <c r="AD63" s="335" t="str">
        <v>Supply Partnership (traditional)</v>
      </c>
      <c r="AE63" s="334" t="str" cm="1">
        <f t="array" ref="AE63:AK63">TRANSPOSE(_xlfn._xlws.SORT(_xlfn.ANCHORARRAY(BP16),1))</f>
        <v>1. Informal Agreement</v>
      </c>
      <c r="AF63" s="334" t="str">
        <v>2.1. Short term Alliance (no exclusivity / previous experience)</v>
      </c>
      <c r="AG63" s="334" t="str">
        <v xml:space="preserve">2.2. Renewed Alliance </v>
      </c>
      <c r="AH63" s="334" t="str">
        <v>2.3. Long term Alliance</v>
      </c>
      <c r="AI63" s="334" t="str">
        <v>2.4. Exclusive Alliance</v>
      </c>
      <c r="AJ63" s="334" t="str">
        <v>3. Strategic Partnership</v>
      </c>
      <c r="AK63" s="334" t="str">
        <v>4. Joint Venture</v>
      </c>
      <c r="AN63" s="58"/>
      <c r="AO63" s="58"/>
      <c r="AP63" s="58"/>
      <c r="AQ63" s="58"/>
    </row>
    <row r="64" spans="1:43" x14ac:dyDescent="0.35">
      <c r="A64" s="332" t="s">
        <v>286</v>
      </c>
      <c r="B64" s="333">
        <f>COUNTIFS(ANNOUNCEMENTS!$J$2:$J$180,$A$63,ANNOUNCEMENTS!$Z$2:$Z$180,B$63,ANNOUNCEMENTS!$F$2:$F$180,$A64)+
COUNTIFS(ANNOUNCEMENTS!$J$2:$J$180,$A$63,ANNOUNCEMENTS!$AB$2:$AB$180,B$63,ANNOUNCEMENTS!$F$2:$F$180,$A64)+
COUNTIFS(ANNOUNCEMENTS!$J$2:$J$180,$A$63,ANNOUNCEMENTS!$AD$2:$AD$180,B$63,ANNOUNCEMENTS!$F$2:$F$180,$A64)</f>
        <v>11</v>
      </c>
      <c r="C64" s="333">
        <f>COUNTIFS(ANNOUNCEMENTS!$J$2:$J$180,$A$63,ANNOUNCEMENTS!$Z$2:$Z$180,C$63,ANNOUNCEMENTS!$F$2:$F$180,$A64)+
COUNTIFS(ANNOUNCEMENTS!$J$2:$J$180,$A$63,ANNOUNCEMENTS!$AB$2:$AB$180,C$63,ANNOUNCEMENTS!$F$2:$F$180,$A64)+
COUNTIFS(ANNOUNCEMENTS!$J$2:$J$180,$A$63,ANNOUNCEMENTS!$AD$2:$AD$180,C$63,ANNOUNCEMENTS!$F$2:$F$180,$A64)</f>
        <v>0</v>
      </c>
      <c r="D64" s="333">
        <f>COUNTIFS(ANNOUNCEMENTS!$J$2:$J$180,$A$63,ANNOUNCEMENTS!$Z$2:$Z$180,D$63,ANNOUNCEMENTS!$F$2:$F$180,$A64)+
COUNTIFS(ANNOUNCEMENTS!$J$2:$J$180,$A$63,ANNOUNCEMENTS!$AB$2:$AB$180,D$63,ANNOUNCEMENTS!$F$2:$F$180,$A64)+
COUNTIFS(ANNOUNCEMENTS!$J$2:$J$180,$A$63,ANNOUNCEMENTS!$AD$2:$AD$180,D$63,ANNOUNCEMENTS!$F$2:$F$180,$A64)</f>
        <v>4</v>
      </c>
      <c r="E64" s="333">
        <f>COUNTIFS(ANNOUNCEMENTS!$J$2:$J$180,$A$63,ANNOUNCEMENTS!$Z$2:$Z$180,E$63,ANNOUNCEMENTS!$F$2:$F$180,$A64)+
COUNTIFS(ANNOUNCEMENTS!$J$2:$J$180,$A$63,ANNOUNCEMENTS!$AB$2:$AB$180,E$63,ANNOUNCEMENTS!$F$2:$F$180,$A64)+
COUNTIFS(ANNOUNCEMENTS!$J$2:$J$180,$A$63,ANNOUNCEMENTS!$AD$2:$AD$180,E$63,ANNOUNCEMENTS!$F$2:$F$180,$A64)</f>
        <v>0</v>
      </c>
      <c r="F64" s="333">
        <f>COUNTIFS(ANNOUNCEMENTS!$J$2:$J$180,$A$63,ANNOUNCEMENTS!$Z$2:$Z$180,F$63,ANNOUNCEMENTS!$F$2:$F$180,$A64)+
COUNTIFS(ANNOUNCEMENTS!$J$2:$J$180,$A$63,ANNOUNCEMENTS!$AB$2:$AB$180,F$63,ANNOUNCEMENTS!$F$2:$F$180,$A64)+
COUNTIFS(ANNOUNCEMENTS!$J$2:$J$180,$A$63,ANNOUNCEMENTS!$AD$2:$AD$180,F$63,ANNOUNCEMENTS!$F$2:$F$180,$A64)</f>
        <v>2</v>
      </c>
      <c r="G64" s="333">
        <f>COUNTIFS(ANNOUNCEMENTS!$J$2:$J$180,$A$63,ANNOUNCEMENTS!$Z$2:$Z$180,G$63,ANNOUNCEMENTS!$F$2:$F$180,$A64)+
COUNTIFS(ANNOUNCEMENTS!$J$2:$J$180,$A$63,ANNOUNCEMENTS!$AB$2:$AB$180,G$63,ANNOUNCEMENTS!$F$2:$F$180,$A64)+
COUNTIFS(ANNOUNCEMENTS!$J$2:$J$180,$A$63,ANNOUNCEMENTS!$AD$2:$AD$180,G$63,ANNOUNCEMENTS!$F$2:$F$180,$A64)</f>
        <v>8</v>
      </c>
      <c r="H64" s="333">
        <f>COUNTIFS(ANNOUNCEMENTS!$J$2:$J$180,$A$63,ANNOUNCEMENTS!$Z$2:$Z$180,H$63,ANNOUNCEMENTS!$F$2:$F$180,$A64)+
COUNTIFS(ANNOUNCEMENTS!$J$2:$J$180,$A$63,ANNOUNCEMENTS!$AB$2:$AB$180,H$63,ANNOUNCEMENTS!$F$2:$F$180,$A64)+
COUNTIFS(ANNOUNCEMENTS!$J$2:$J$180,$A$63,ANNOUNCEMENTS!$AD$2:$AD$180,H$63,ANNOUNCEMENTS!$F$2:$F$180,$A64)</f>
        <v>0</v>
      </c>
      <c r="I64" s="333">
        <f>COUNTIFS(ANNOUNCEMENTS!$J$2:$J$180,$A$63,ANNOUNCEMENTS!$Z$2:$Z$180,I$63,ANNOUNCEMENTS!$F$2:$F$180,$A64)+
COUNTIFS(ANNOUNCEMENTS!$J$2:$J$180,$A$63,ANNOUNCEMENTS!$AB$2:$AB$180,I$63,ANNOUNCEMENTS!$F$2:$F$180,$A64)+
COUNTIFS(ANNOUNCEMENTS!$J$2:$J$180,$A$63,ANNOUNCEMENTS!$AD$2:$AD$180,I$63,ANNOUNCEMENTS!$F$2:$F$180,$A64)</f>
        <v>0</v>
      </c>
      <c r="J64" s="333">
        <f>COUNTIFS(ANNOUNCEMENTS!$J$2:$J$180,$A$63,ANNOUNCEMENTS!$Z$2:$Z$180,J$63,ANNOUNCEMENTS!$F$2:$F$180,$A64)+
COUNTIFS(ANNOUNCEMENTS!$J$2:$J$180,$A$63,ANNOUNCEMENTS!$AB$2:$AB$180,J$63,ANNOUNCEMENTS!$F$2:$F$180,$A64)+
COUNTIFS(ANNOUNCEMENTS!$J$2:$J$180,$A$63,ANNOUNCEMENTS!$AD$2:$AD$180,J$63,ANNOUNCEMENTS!$F$2:$F$180,$A64)</f>
        <v>4</v>
      </c>
      <c r="K64" s="197">
        <f>SUM(B64:J64)</f>
        <v>29</v>
      </c>
      <c r="L64" s="332" t="s">
        <v>286</v>
      </c>
      <c r="M64" s="333">
        <f>COUNTIFS(ANNOUNCEMENTS!$J$2:$J$180,$A$63,ANNOUNCEMENTS!$W$2:$W$180,M$63,ANNOUNCEMENTS!$F$2:$F$180,$A64)</f>
        <v>0</v>
      </c>
      <c r="N64" s="333">
        <f>COUNTIFS(ANNOUNCEMENTS!$J$2:$J$180,$A$63,ANNOUNCEMENTS!$W$2:$W$180,N$63,ANNOUNCEMENTS!$F$2:$F$180,$A64)</f>
        <v>13</v>
      </c>
      <c r="O64" s="333">
        <f>COUNTIFS(ANNOUNCEMENTS!$J$2:$J$180,$A$63,ANNOUNCEMENTS!$W$2:$W$180,O$63,ANNOUNCEMENTS!$F$2:$F$180,$A64)</f>
        <v>0</v>
      </c>
      <c r="P64" s="333">
        <f>COUNTIFS(ANNOUNCEMENTS!$J$2:$J$180,$A$63,ANNOUNCEMENTS!$W$2:$W$180,P$63,ANNOUNCEMENTS!$F$2:$F$180,$A64)</f>
        <v>2</v>
      </c>
      <c r="Q64" s="333">
        <f>COUNTIFS(ANNOUNCEMENTS!$J$2:$J$180,$A$63,ANNOUNCEMENTS!$W$2:$W$180,Q$63,ANNOUNCEMENTS!$F$2:$F$180,$A64)</f>
        <v>3</v>
      </c>
      <c r="R64" s="333">
        <f>COUNTIFS(ANNOUNCEMENTS!$J$2:$J$180,$A$63,ANNOUNCEMENTS!$W$2:$W$180,R$63,ANNOUNCEMENTS!$F$2:$F$180,$A64)</f>
        <v>2</v>
      </c>
      <c r="S64" s="333">
        <f>COUNTIFS(ANNOUNCEMENTS!$J$2:$J$180,$A$63,ANNOUNCEMENTS!$W$2:$W$180,S$63,ANNOUNCEMENTS!$F$2:$F$180,$A64)</f>
        <v>2</v>
      </c>
      <c r="T64" s="197">
        <f>SUM(M64:S64)</f>
        <v>22</v>
      </c>
      <c r="U64" s="332" t="s">
        <v>286</v>
      </c>
      <c r="V64" s="165">
        <f t="shared" ref="V64:AD64" si="9">B64/SUM($B64:$J64)</f>
        <v>0.37931034482758619</v>
      </c>
      <c r="W64" s="165">
        <f t="shared" si="9"/>
        <v>0</v>
      </c>
      <c r="X64" s="165">
        <f t="shared" si="9"/>
        <v>0.13793103448275862</v>
      </c>
      <c r="Y64" s="165">
        <f t="shared" si="9"/>
        <v>0</v>
      </c>
      <c r="Z64" s="165">
        <f t="shared" si="9"/>
        <v>6.8965517241379309E-2</v>
      </c>
      <c r="AA64" s="165">
        <f t="shared" si="9"/>
        <v>0.27586206896551724</v>
      </c>
      <c r="AB64" s="165">
        <f t="shared" si="9"/>
        <v>0</v>
      </c>
      <c r="AC64" s="165">
        <f t="shared" si="9"/>
        <v>0</v>
      </c>
      <c r="AD64" s="165">
        <f t="shared" si="9"/>
        <v>0.13793103448275862</v>
      </c>
      <c r="AE64" s="165">
        <f t="shared" ref="AE64:AK67" si="10">IF(ISERROR(M64/SUM($M64:$S64)),0,M64/SUM($M64:$S64))</f>
        <v>0</v>
      </c>
      <c r="AF64" s="165">
        <f t="shared" si="10"/>
        <v>0.59090909090909094</v>
      </c>
      <c r="AG64" s="165">
        <f t="shared" si="10"/>
        <v>0</v>
      </c>
      <c r="AH64" s="165">
        <f t="shared" si="10"/>
        <v>9.0909090909090912E-2</v>
      </c>
      <c r="AI64" s="165">
        <f t="shared" si="10"/>
        <v>0.13636363636363635</v>
      </c>
      <c r="AJ64" s="165">
        <f t="shared" si="10"/>
        <v>9.0909090909090912E-2</v>
      </c>
      <c r="AK64" s="165">
        <f t="shared" si="10"/>
        <v>9.0909090909090912E-2</v>
      </c>
      <c r="AN64" s="58"/>
      <c r="AO64" s="58"/>
      <c r="AP64" s="58"/>
      <c r="AQ64" s="58"/>
    </row>
    <row r="65" spans="1:43" x14ac:dyDescent="0.35">
      <c r="A65" s="332" t="s">
        <v>309</v>
      </c>
      <c r="B65" s="333">
        <f>COUNTIFS(ANNOUNCEMENTS!$J$2:$J$180,$A$63,ANNOUNCEMENTS!$Z$2:$Z$180,B$63,ANNOUNCEMENTS!$F$2:$F$180,$A65)+
COUNTIFS(ANNOUNCEMENTS!$J$2:$J$180,$A$63,ANNOUNCEMENTS!$AB$2:$AB$180,B$63,ANNOUNCEMENTS!$F$2:$F$180,$A65)+
COUNTIFS(ANNOUNCEMENTS!$J$2:$J$180,$A$63,ANNOUNCEMENTS!$AD$2:$AD$180,B$63,ANNOUNCEMENTS!$F$2:$F$180,$A65)</f>
        <v>0</v>
      </c>
      <c r="C65" s="333">
        <f>COUNTIFS(ANNOUNCEMENTS!$J$2:$J$180,$A$63,ANNOUNCEMENTS!$Z$2:$Z$180,C$63,ANNOUNCEMENTS!$F$2:$F$180,$A65)+
COUNTIFS(ANNOUNCEMENTS!$J$2:$J$180,$A$63,ANNOUNCEMENTS!$AB$2:$AB$180,C$63,ANNOUNCEMENTS!$F$2:$F$180,$A65)+
COUNTIFS(ANNOUNCEMENTS!$J$2:$J$180,$A$63,ANNOUNCEMENTS!$AD$2:$AD$180,C$63,ANNOUNCEMENTS!$F$2:$F$180,$A65)</f>
        <v>0</v>
      </c>
      <c r="D65" s="333">
        <f>COUNTIFS(ANNOUNCEMENTS!$J$2:$J$180,$A$63,ANNOUNCEMENTS!$Z$2:$Z$180,D$63,ANNOUNCEMENTS!$F$2:$F$180,$A65)+
COUNTIFS(ANNOUNCEMENTS!$J$2:$J$180,$A$63,ANNOUNCEMENTS!$AB$2:$AB$180,D$63,ANNOUNCEMENTS!$F$2:$F$180,$A65)+
COUNTIFS(ANNOUNCEMENTS!$J$2:$J$180,$A$63,ANNOUNCEMENTS!$AD$2:$AD$180,D$63,ANNOUNCEMENTS!$F$2:$F$180,$A65)</f>
        <v>0</v>
      </c>
      <c r="E65" s="333">
        <f>COUNTIFS(ANNOUNCEMENTS!$J$2:$J$180,$A$63,ANNOUNCEMENTS!$Z$2:$Z$180,E$63,ANNOUNCEMENTS!$F$2:$F$180,$A65)+
COUNTIFS(ANNOUNCEMENTS!$J$2:$J$180,$A$63,ANNOUNCEMENTS!$AB$2:$AB$180,E$63,ANNOUNCEMENTS!$F$2:$F$180,$A65)+
COUNTIFS(ANNOUNCEMENTS!$J$2:$J$180,$A$63,ANNOUNCEMENTS!$AD$2:$AD$180,E$63,ANNOUNCEMENTS!$F$2:$F$180,$A65)</f>
        <v>0</v>
      </c>
      <c r="F65" s="333">
        <f>COUNTIFS(ANNOUNCEMENTS!$J$2:$J$180,$A$63,ANNOUNCEMENTS!$Z$2:$Z$180,F$63,ANNOUNCEMENTS!$F$2:$F$180,$A65)+
COUNTIFS(ANNOUNCEMENTS!$J$2:$J$180,$A$63,ANNOUNCEMENTS!$AB$2:$AB$180,F$63,ANNOUNCEMENTS!$F$2:$F$180,$A65)+
COUNTIFS(ANNOUNCEMENTS!$J$2:$J$180,$A$63,ANNOUNCEMENTS!$AD$2:$AD$180,F$63,ANNOUNCEMENTS!$F$2:$F$180,$A65)</f>
        <v>0</v>
      </c>
      <c r="G65" s="333">
        <f>COUNTIFS(ANNOUNCEMENTS!$J$2:$J$180,$A$63,ANNOUNCEMENTS!$Z$2:$Z$180,G$63,ANNOUNCEMENTS!$F$2:$F$180,$A65)+
COUNTIFS(ANNOUNCEMENTS!$J$2:$J$180,$A$63,ANNOUNCEMENTS!$AB$2:$AB$180,G$63,ANNOUNCEMENTS!$F$2:$F$180,$A65)+
COUNTIFS(ANNOUNCEMENTS!$J$2:$J$180,$A$63,ANNOUNCEMENTS!$AD$2:$AD$180,G$63,ANNOUNCEMENTS!$F$2:$F$180,$A65)</f>
        <v>0</v>
      </c>
      <c r="H65" s="333">
        <f>COUNTIFS(ANNOUNCEMENTS!$J$2:$J$180,$A$63,ANNOUNCEMENTS!$Z$2:$Z$180,H$63,ANNOUNCEMENTS!$F$2:$F$180,$A65)+
COUNTIFS(ANNOUNCEMENTS!$J$2:$J$180,$A$63,ANNOUNCEMENTS!$AB$2:$AB$180,H$63,ANNOUNCEMENTS!$F$2:$F$180,$A65)+
COUNTIFS(ANNOUNCEMENTS!$J$2:$J$180,$A$63,ANNOUNCEMENTS!$AD$2:$AD$180,H$63,ANNOUNCEMENTS!$F$2:$F$180,$A65)</f>
        <v>0</v>
      </c>
      <c r="I65" s="333">
        <f>COUNTIFS(ANNOUNCEMENTS!$J$2:$J$180,$A$63,ANNOUNCEMENTS!$Z$2:$Z$180,I$63,ANNOUNCEMENTS!$F$2:$F$180,$A65)+
COUNTIFS(ANNOUNCEMENTS!$J$2:$J$180,$A$63,ANNOUNCEMENTS!$AB$2:$AB$180,I$63,ANNOUNCEMENTS!$F$2:$F$180,$A65)+
COUNTIFS(ANNOUNCEMENTS!$J$2:$J$180,$A$63,ANNOUNCEMENTS!$AD$2:$AD$180,I$63,ANNOUNCEMENTS!$F$2:$F$180,$A65)</f>
        <v>0</v>
      </c>
      <c r="J65" s="333">
        <f>COUNTIFS(ANNOUNCEMENTS!$J$2:$J$180,$A$63,ANNOUNCEMENTS!$Z$2:$Z$180,J$63,ANNOUNCEMENTS!$F$2:$F$180,$A65)+
COUNTIFS(ANNOUNCEMENTS!$J$2:$J$180,$A$63,ANNOUNCEMENTS!$AB$2:$AB$180,J$63,ANNOUNCEMENTS!$F$2:$F$180,$A65)+
COUNTIFS(ANNOUNCEMENTS!$J$2:$J$180,$A$63,ANNOUNCEMENTS!$AD$2:$AD$180,J$63,ANNOUNCEMENTS!$F$2:$F$180,$A65)</f>
        <v>0</v>
      </c>
      <c r="K65" s="197">
        <f>SUM(B65:J65)</f>
        <v>0</v>
      </c>
      <c r="L65" s="332" t="s">
        <v>309</v>
      </c>
      <c r="M65" s="333">
        <f>COUNTIFS(ANNOUNCEMENTS!$J$2:$J$180,$A$63,ANNOUNCEMENTS!$W$2:$W$180,M$63,ANNOUNCEMENTS!$F$2:$F$180,$A65)</f>
        <v>0</v>
      </c>
      <c r="N65" s="333">
        <f>COUNTIFS(ANNOUNCEMENTS!$J$2:$J$180,$A$63,ANNOUNCEMENTS!$W$2:$W$180,N$63,ANNOUNCEMENTS!$F$2:$F$180,$A65)</f>
        <v>0</v>
      </c>
      <c r="O65" s="333">
        <f>COUNTIFS(ANNOUNCEMENTS!$J$2:$J$180,$A$63,ANNOUNCEMENTS!$W$2:$W$180,O$63,ANNOUNCEMENTS!$F$2:$F$180,$A65)</f>
        <v>0</v>
      </c>
      <c r="P65" s="333">
        <f>COUNTIFS(ANNOUNCEMENTS!$J$2:$J$180,$A$63,ANNOUNCEMENTS!$W$2:$W$180,P$63,ANNOUNCEMENTS!$F$2:$F$180,$A65)</f>
        <v>0</v>
      </c>
      <c r="Q65" s="333">
        <f>COUNTIFS(ANNOUNCEMENTS!$J$2:$J$180,$A$63,ANNOUNCEMENTS!$W$2:$W$180,Q$63,ANNOUNCEMENTS!$F$2:$F$180,$A65)</f>
        <v>0</v>
      </c>
      <c r="R65" s="333">
        <f>COUNTIFS(ANNOUNCEMENTS!$J$2:$J$180,$A$63,ANNOUNCEMENTS!$W$2:$W$180,R$63,ANNOUNCEMENTS!$F$2:$F$180,$A65)</f>
        <v>0</v>
      </c>
      <c r="S65" s="333">
        <f>COUNTIFS(ANNOUNCEMENTS!$J$2:$J$180,$A$63,ANNOUNCEMENTS!$W$2:$W$180,S$63,ANNOUNCEMENTS!$F$2:$F$180,$A65)</f>
        <v>0</v>
      </c>
      <c r="T65" s="197">
        <f>SUM(M65:S65)</f>
        <v>0</v>
      </c>
      <c r="U65" s="332" t="s">
        <v>309</v>
      </c>
      <c r="V65" s="165">
        <f t="shared" ref="V65:AD67" si="11">IF(ISERROR(B65/SUM($B65:$J65)),0,B65/SUM($B65:$J65))</f>
        <v>0</v>
      </c>
      <c r="W65" s="165">
        <f t="shared" si="11"/>
        <v>0</v>
      </c>
      <c r="X65" s="165">
        <f t="shared" si="11"/>
        <v>0</v>
      </c>
      <c r="Y65" s="165">
        <f t="shared" si="11"/>
        <v>0</v>
      </c>
      <c r="Z65" s="165">
        <f t="shared" si="11"/>
        <v>0</v>
      </c>
      <c r="AA65" s="165">
        <f t="shared" si="11"/>
        <v>0</v>
      </c>
      <c r="AB65" s="165">
        <f t="shared" si="11"/>
        <v>0</v>
      </c>
      <c r="AC65" s="165">
        <f t="shared" si="11"/>
        <v>0</v>
      </c>
      <c r="AD65" s="165">
        <f t="shared" si="11"/>
        <v>0</v>
      </c>
      <c r="AE65" s="165">
        <f t="shared" si="10"/>
        <v>0</v>
      </c>
      <c r="AF65" s="165">
        <f t="shared" si="10"/>
        <v>0</v>
      </c>
      <c r="AG65" s="165">
        <f t="shared" si="10"/>
        <v>0</v>
      </c>
      <c r="AH65" s="165">
        <f t="shared" si="10"/>
        <v>0</v>
      </c>
      <c r="AI65" s="165">
        <f t="shared" si="10"/>
        <v>0</v>
      </c>
      <c r="AJ65" s="165">
        <f t="shared" si="10"/>
        <v>0</v>
      </c>
      <c r="AK65" s="165">
        <f t="shared" si="10"/>
        <v>0</v>
      </c>
      <c r="AN65" s="58"/>
      <c r="AO65" s="58"/>
      <c r="AP65" s="58"/>
      <c r="AQ65" s="58"/>
    </row>
    <row r="66" spans="1:43" x14ac:dyDescent="0.35">
      <c r="A66" s="332" t="s">
        <v>331</v>
      </c>
      <c r="B66" s="333">
        <f>COUNTIFS(ANNOUNCEMENTS!$J$2:$J$180,$A$63,ANNOUNCEMENTS!$Z$2:$Z$180,B$63,ANNOUNCEMENTS!$F$2:$F$180,$A66)+
COUNTIFS(ANNOUNCEMENTS!$J$2:$J$180,$A$63,ANNOUNCEMENTS!$AB$2:$AB$180,B$63,ANNOUNCEMENTS!$F$2:$F$180,$A66)+
COUNTIFS(ANNOUNCEMENTS!$J$2:$J$180,$A$63,ANNOUNCEMENTS!$AD$2:$AD$180,B$63,ANNOUNCEMENTS!$F$2:$F$180,$A66)</f>
        <v>0</v>
      </c>
      <c r="C66" s="333">
        <f>COUNTIFS(ANNOUNCEMENTS!$J$2:$J$180,$A$63,ANNOUNCEMENTS!$Z$2:$Z$180,C$63,ANNOUNCEMENTS!$F$2:$F$180,$A66)+
COUNTIFS(ANNOUNCEMENTS!$J$2:$J$180,$A$63,ANNOUNCEMENTS!$AB$2:$AB$180,C$63,ANNOUNCEMENTS!$F$2:$F$180,$A66)+
COUNTIFS(ANNOUNCEMENTS!$J$2:$J$180,$A$63,ANNOUNCEMENTS!$AD$2:$AD$180,C$63,ANNOUNCEMENTS!$F$2:$F$180,$A66)</f>
        <v>0</v>
      </c>
      <c r="D66" s="333">
        <f>COUNTIFS(ANNOUNCEMENTS!$J$2:$J$180,$A$63,ANNOUNCEMENTS!$Z$2:$Z$180,D$63,ANNOUNCEMENTS!$F$2:$F$180,$A66)+
COUNTIFS(ANNOUNCEMENTS!$J$2:$J$180,$A$63,ANNOUNCEMENTS!$AB$2:$AB$180,D$63,ANNOUNCEMENTS!$F$2:$F$180,$A66)+
COUNTIFS(ANNOUNCEMENTS!$J$2:$J$180,$A$63,ANNOUNCEMENTS!$AD$2:$AD$180,D$63,ANNOUNCEMENTS!$F$2:$F$180,$A66)</f>
        <v>0</v>
      </c>
      <c r="E66" s="333">
        <f>COUNTIFS(ANNOUNCEMENTS!$J$2:$J$180,$A$63,ANNOUNCEMENTS!$Z$2:$Z$180,E$63,ANNOUNCEMENTS!$F$2:$F$180,$A66)+
COUNTIFS(ANNOUNCEMENTS!$J$2:$J$180,$A$63,ANNOUNCEMENTS!$AB$2:$AB$180,E$63,ANNOUNCEMENTS!$F$2:$F$180,$A66)+
COUNTIFS(ANNOUNCEMENTS!$J$2:$J$180,$A$63,ANNOUNCEMENTS!$AD$2:$AD$180,E$63,ANNOUNCEMENTS!$F$2:$F$180,$A66)</f>
        <v>0</v>
      </c>
      <c r="F66" s="333">
        <f>COUNTIFS(ANNOUNCEMENTS!$J$2:$J$180,$A$63,ANNOUNCEMENTS!$Z$2:$Z$180,F$63,ANNOUNCEMENTS!$F$2:$F$180,$A66)+
COUNTIFS(ANNOUNCEMENTS!$J$2:$J$180,$A$63,ANNOUNCEMENTS!$AB$2:$AB$180,F$63,ANNOUNCEMENTS!$F$2:$F$180,$A66)+
COUNTIFS(ANNOUNCEMENTS!$J$2:$J$180,$A$63,ANNOUNCEMENTS!$AD$2:$AD$180,F$63,ANNOUNCEMENTS!$F$2:$F$180,$A66)</f>
        <v>0</v>
      </c>
      <c r="G66" s="333">
        <f>COUNTIFS(ANNOUNCEMENTS!$J$2:$J$180,$A$63,ANNOUNCEMENTS!$Z$2:$Z$180,G$63,ANNOUNCEMENTS!$F$2:$F$180,$A66)+
COUNTIFS(ANNOUNCEMENTS!$J$2:$J$180,$A$63,ANNOUNCEMENTS!$AB$2:$AB$180,G$63,ANNOUNCEMENTS!$F$2:$F$180,$A66)+
COUNTIFS(ANNOUNCEMENTS!$J$2:$J$180,$A$63,ANNOUNCEMENTS!$AD$2:$AD$180,G$63,ANNOUNCEMENTS!$F$2:$F$180,$A66)</f>
        <v>0</v>
      </c>
      <c r="H66" s="333">
        <f>COUNTIFS(ANNOUNCEMENTS!$J$2:$J$180,$A$63,ANNOUNCEMENTS!$Z$2:$Z$180,H$63,ANNOUNCEMENTS!$F$2:$F$180,$A66)+
COUNTIFS(ANNOUNCEMENTS!$J$2:$J$180,$A$63,ANNOUNCEMENTS!$AB$2:$AB$180,H$63,ANNOUNCEMENTS!$F$2:$F$180,$A66)+
COUNTIFS(ANNOUNCEMENTS!$J$2:$J$180,$A$63,ANNOUNCEMENTS!$AD$2:$AD$180,H$63,ANNOUNCEMENTS!$F$2:$F$180,$A66)</f>
        <v>0</v>
      </c>
      <c r="I66" s="333">
        <f>COUNTIFS(ANNOUNCEMENTS!$J$2:$J$180,$A$63,ANNOUNCEMENTS!$Z$2:$Z$180,I$63,ANNOUNCEMENTS!$F$2:$F$180,$A66)+
COUNTIFS(ANNOUNCEMENTS!$J$2:$J$180,$A$63,ANNOUNCEMENTS!$AB$2:$AB$180,I$63,ANNOUNCEMENTS!$F$2:$F$180,$A66)+
COUNTIFS(ANNOUNCEMENTS!$J$2:$J$180,$A$63,ANNOUNCEMENTS!$AD$2:$AD$180,I$63,ANNOUNCEMENTS!$F$2:$F$180,$A66)</f>
        <v>0</v>
      </c>
      <c r="J66" s="333">
        <f>COUNTIFS(ANNOUNCEMENTS!$J$2:$J$180,$A$63,ANNOUNCEMENTS!$Z$2:$Z$180,J$63,ANNOUNCEMENTS!$F$2:$F$180,$A66)+
COUNTIFS(ANNOUNCEMENTS!$J$2:$J$180,$A$63,ANNOUNCEMENTS!$AB$2:$AB$180,J$63,ANNOUNCEMENTS!$F$2:$F$180,$A66)+
COUNTIFS(ANNOUNCEMENTS!$J$2:$J$180,$A$63,ANNOUNCEMENTS!$AD$2:$AD$180,J$63,ANNOUNCEMENTS!$F$2:$F$180,$A66)</f>
        <v>0</v>
      </c>
      <c r="K66" s="197">
        <f>SUM(B66:J66)</f>
        <v>0</v>
      </c>
      <c r="L66" s="332" t="s">
        <v>331</v>
      </c>
      <c r="M66" s="333">
        <f>COUNTIFS(ANNOUNCEMENTS!$J$2:$J$180,$A$63,ANNOUNCEMENTS!$W$2:$W$180,M$63,ANNOUNCEMENTS!$F$2:$F$180,$A66)</f>
        <v>0</v>
      </c>
      <c r="N66" s="333">
        <f>COUNTIFS(ANNOUNCEMENTS!$J$2:$J$180,$A$63,ANNOUNCEMENTS!$W$2:$W$180,N$63,ANNOUNCEMENTS!$F$2:$F$180,$A66)</f>
        <v>0</v>
      </c>
      <c r="O66" s="333">
        <f>COUNTIFS(ANNOUNCEMENTS!$J$2:$J$180,$A$63,ANNOUNCEMENTS!$W$2:$W$180,O$63,ANNOUNCEMENTS!$F$2:$F$180,$A66)</f>
        <v>0</v>
      </c>
      <c r="P66" s="333">
        <f>COUNTIFS(ANNOUNCEMENTS!$J$2:$J$180,$A$63,ANNOUNCEMENTS!$W$2:$W$180,P$63,ANNOUNCEMENTS!$F$2:$F$180,$A66)</f>
        <v>0</v>
      </c>
      <c r="Q66" s="333">
        <f>COUNTIFS(ANNOUNCEMENTS!$J$2:$J$180,$A$63,ANNOUNCEMENTS!$W$2:$W$180,Q$63,ANNOUNCEMENTS!$F$2:$F$180,$A66)</f>
        <v>0</v>
      </c>
      <c r="R66" s="333">
        <f>COUNTIFS(ANNOUNCEMENTS!$J$2:$J$180,$A$63,ANNOUNCEMENTS!$W$2:$W$180,R$63,ANNOUNCEMENTS!$F$2:$F$180,$A66)</f>
        <v>0</v>
      </c>
      <c r="S66" s="333">
        <f>COUNTIFS(ANNOUNCEMENTS!$J$2:$J$180,$A$63,ANNOUNCEMENTS!$W$2:$W$180,S$63,ANNOUNCEMENTS!$F$2:$F$180,$A66)</f>
        <v>0</v>
      </c>
      <c r="T66" s="197">
        <f>SUM(M66:S66)</f>
        <v>0</v>
      </c>
      <c r="U66" s="332" t="s">
        <v>331</v>
      </c>
      <c r="V66" s="165">
        <f t="shared" si="11"/>
        <v>0</v>
      </c>
      <c r="W66" s="165">
        <f t="shared" si="11"/>
        <v>0</v>
      </c>
      <c r="X66" s="165">
        <f t="shared" si="11"/>
        <v>0</v>
      </c>
      <c r="Y66" s="165">
        <f t="shared" si="11"/>
        <v>0</v>
      </c>
      <c r="Z66" s="165">
        <f t="shared" si="11"/>
        <v>0</v>
      </c>
      <c r="AA66" s="165">
        <f t="shared" si="11"/>
        <v>0</v>
      </c>
      <c r="AB66" s="165">
        <f t="shared" si="11"/>
        <v>0</v>
      </c>
      <c r="AC66" s="165">
        <f t="shared" si="11"/>
        <v>0</v>
      </c>
      <c r="AD66" s="165">
        <f t="shared" si="11"/>
        <v>0</v>
      </c>
      <c r="AE66" s="165">
        <f t="shared" si="10"/>
        <v>0</v>
      </c>
      <c r="AF66" s="165">
        <f t="shared" si="10"/>
        <v>0</v>
      </c>
      <c r="AG66" s="165">
        <f t="shared" si="10"/>
        <v>0</v>
      </c>
      <c r="AH66" s="165">
        <f t="shared" si="10"/>
        <v>0</v>
      </c>
      <c r="AI66" s="165">
        <f t="shared" si="10"/>
        <v>0</v>
      </c>
      <c r="AJ66" s="165">
        <f t="shared" si="10"/>
        <v>0</v>
      </c>
      <c r="AK66" s="165">
        <f t="shared" si="10"/>
        <v>0</v>
      </c>
      <c r="AN66" s="58"/>
      <c r="AO66" s="58"/>
      <c r="AP66" s="58"/>
      <c r="AQ66" s="58"/>
    </row>
    <row r="67" spans="1:43" x14ac:dyDescent="0.35">
      <c r="A67" s="332" t="s">
        <v>320</v>
      </c>
      <c r="B67" s="333">
        <f>COUNTIFS(ANNOUNCEMENTS!$J$2:$J$180,$A$63,ANNOUNCEMENTS!$Z$2:$Z$180,B$63,ANNOUNCEMENTS!$F$2:$F$180,$A67)+
COUNTIFS(ANNOUNCEMENTS!$J$2:$J$180,$A$63,ANNOUNCEMENTS!$AB$2:$AB$180,B$63,ANNOUNCEMENTS!$F$2:$F$180,$A67)+
COUNTIFS(ANNOUNCEMENTS!$J$2:$J$180,$A$63,ANNOUNCEMENTS!$AD$2:$AD$180,B$63,ANNOUNCEMENTS!$F$2:$F$180,$A67)</f>
        <v>0</v>
      </c>
      <c r="C67" s="333">
        <f>COUNTIFS(ANNOUNCEMENTS!$J$2:$J$180,$A$63,ANNOUNCEMENTS!$Z$2:$Z$180,C$63,ANNOUNCEMENTS!$F$2:$F$180,$A67)+
COUNTIFS(ANNOUNCEMENTS!$J$2:$J$180,$A$63,ANNOUNCEMENTS!$AB$2:$AB$180,C$63,ANNOUNCEMENTS!$F$2:$F$180,$A67)+
COUNTIFS(ANNOUNCEMENTS!$J$2:$J$180,$A$63,ANNOUNCEMENTS!$AD$2:$AD$180,C$63,ANNOUNCEMENTS!$F$2:$F$180,$A67)</f>
        <v>0</v>
      </c>
      <c r="D67" s="333">
        <f>COUNTIFS(ANNOUNCEMENTS!$J$2:$J$180,$A$63,ANNOUNCEMENTS!$Z$2:$Z$180,D$63,ANNOUNCEMENTS!$F$2:$F$180,$A67)+
COUNTIFS(ANNOUNCEMENTS!$J$2:$J$180,$A$63,ANNOUNCEMENTS!$AB$2:$AB$180,D$63,ANNOUNCEMENTS!$F$2:$F$180,$A67)+
COUNTIFS(ANNOUNCEMENTS!$J$2:$J$180,$A$63,ANNOUNCEMENTS!$AD$2:$AD$180,D$63,ANNOUNCEMENTS!$F$2:$F$180,$A67)</f>
        <v>0</v>
      </c>
      <c r="E67" s="333">
        <f>COUNTIFS(ANNOUNCEMENTS!$J$2:$J$180,$A$63,ANNOUNCEMENTS!$Z$2:$Z$180,E$63,ANNOUNCEMENTS!$F$2:$F$180,$A67)+
COUNTIFS(ANNOUNCEMENTS!$J$2:$J$180,$A$63,ANNOUNCEMENTS!$AB$2:$AB$180,E$63,ANNOUNCEMENTS!$F$2:$F$180,$A67)+
COUNTIFS(ANNOUNCEMENTS!$J$2:$J$180,$A$63,ANNOUNCEMENTS!$AD$2:$AD$180,E$63,ANNOUNCEMENTS!$F$2:$F$180,$A67)</f>
        <v>0</v>
      </c>
      <c r="F67" s="333">
        <f>COUNTIFS(ANNOUNCEMENTS!$J$2:$J$180,$A$63,ANNOUNCEMENTS!$Z$2:$Z$180,F$63,ANNOUNCEMENTS!$F$2:$F$180,$A67)+
COUNTIFS(ANNOUNCEMENTS!$J$2:$J$180,$A$63,ANNOUNCEMENTS!$AB$2:$AB$180,F$63,ANNOUNCEMENTS!$F$2:$F$180,$A67)+
COUNTIFS(ANNOUNCEMENTS!$J$2:$J$180,$A$63,ANNOUNCEMENTS!$AD$2:$AD$180,F$63,ANNOUNCEMENTS!$F$2:$F$180,$A67)</f>
        <v>1</v>
      </c>
      <c r="G67" s="333">
        <f>COUNTIFS(ANNOUNCEMENTS!$J$2:$J$180,$A$63,ANNOUNCEMENTS!$Z$2:$Z$180,G$63,ANNOUNCEMENTS!$F$2:$F$180,$A67)+
COUNTIFS(ANNOUNCEMENTS!$J$2:$J$180,$A$63,ANNOUNCEMENTS!$AB$2:$AB$180,G$63,ANNOUNCEMENTS!$F$2:$F$180,$A67)+
COUNTIFS(ANNOUNCEMENTS!$J$2:$J$180,$A$63,ANNOUNCEMENTS!$AD$2:$AD$180,G$63,ANNOUNCEMENTS!$F$2:$F$180,$A67)</f>
        <v>0</v>
      </c>
      <c r="H67" s="333">
        <f>COUNTIFS(ANNOUNCEMENTS!$J$2:$J$180,$A$63,ANNOUNCEMENTS!$Z$2:$Z$180,H$63,ANNOUNCEMENTS!$F$2:$F$180,$A67)+
COUNTIFS(ANNOUNCEMENTS!$J$2:$J$180,$A$63,ANNOUNCEMENTS!$AB$2:$AB$180,H$63,ANNOUNCEMENTS!$F$2:$F$180,$A67)+
COUNTIFS(ANNOUNCEMENTS!$J$2:$J$180,$A$63,ANNOUNCEMENTS!$AD$2:$AD$180,H$63,ANNOUNCEMENTS!$F$2:$F$180,$A67)</f>
        <v>0</v>
      </c>
      <c r="I67" s="333">
        <f>COUNTIFS(ANNOUNCEMENTS!$J$2:$J$180,$A$63,ANNOUNCEMENTS!$Z$2:$Z$180,I$63,ANNOUNCEMENTS!$F$2:$F$180,$A67)+
COUNTIFS(ANNOUNCEMENTS!$J$2:$J$180,$A$63,ANNOUNCEMENTS!$AB$2:$AB$180,I$63,ANNOUNCEMENTS!$F$2:$F$180,$A67)+
COUNTIFS(ANNOUNCEMENTS!$J$2:$J$180,$A$63,ANNOUNCEMENTS!$AD$2:$AD$180,I$63,ANNOUNCEMENTS!$F$2:$F$180,$A67)</f>
        <v>0</v>
      </c>
      <c r="J67" s="333">
        <f>COUNTIFS(ANNOUNCEMENTS!$J$2:$J$180,$A$63,ANNOUNCEMENTS!$Z$2:$Z$180,J$63,ANNOUNCEMENTS!$F$2:$F$180,$A67)+
COUNTIFS(ANNOUNCEMENTS!$J$2:$J$180,$A$63,ANNOUNCEMENTS!$AB$2:$AB$180,J$63,ANNOUNCEMENTS!$F$2:$F$180,$A67)+
COUNTIFS(ANNOUNCEMENTS!$J$2:$J$180,$A$63,ANNOUNCEMENTS!$AD$2:$AD$180,J$63,ANNOUNCEMENTS!$F$2:$F$180,$A67)</f>
        <v>1</v>
      </c>
      <c r="K67" s="197">
        <f>SUM(B67:J67)</f>
        <v>2</v>
      </c>
      <c r="L67" s="332" t="s">
        <v>320</v>
      </c>
      <c r="M67" s="333">
        <f>COUNTIFS(ANNOUNCEMENTS!$J$2:$J$180,$A$63,ANNOUNCEMENTS!$W$2:$W$180,M$63,ANNOUNCEMENTS!$F$2:$F$180,$A67)</f>
        <v>0</v>
      </c>
      <c r="N67" s="333">
        <f>COUNTIFS(ANNOUNCEMENTS!$J$2:$J$180,$A$63,ANNOUNCEMENTS!$W$2:$W$180,N$63,ANNOUNCEMENTS!$F$2:$F$180,$A67)</f>
        <v>1</v>
      </c>
      <c r="O67" s="333">
        <f>COUNTIFS(ANNOUNCEMENTS!$J$2:$J$180,$A$63,ANNOUNCEMENTS!$W$2:$W$180,O$63,ANNOUNCEMENTS!$F$2:$F$180,$A67)</f>
        <v>1</v>
      </c>
      <c r="P67" s="333">
        <f>COUNTIFS(ANNOUNCEMENTS!$J$2:$J$180,$A$63,ANNOUNCEMENTS!$W$2:$W$180,P$63,ANNOUNCEMENTS!$F$2:$F$180,$A67)</f>
        <v>0</v>
      </c>
      <c r="Q67" s="333">
        <f>COUNTIFS(ANNOUNCEMENTS!$J$2:$J$180,$A$63,ANNOUNCEMENTS!$W$2:$W$180,Q$63,ANNOUNCEMENTS!$F$2:$F$180,$A67)</f>
        <v>0</v>
      </c>
      <c r="R67" s="333">
        <f>COUNTIFS(ANNOUNCEMENTS!$J$2:$J$180,$A$63,ANNOUNCEMENTS!$W$2:$W$180,R$63,ANNOUNCEMENTS!$F$2:$F$180,$A67)</f>
        <v>0</v>
      </c>
      <c r="S67" s="333">
        <f>COUNTIFS(ANNOUNCEMENTS!$J$2:$J$180,$A$63,ANNOUNCEMENTS!$W$2:$W$180,S$63,ANNOUNCEMENTS!$F$2:$F$180,$A67)</f>
        <v>0</v>
      </c>
      <c r="T67" s="197">
        <f>SUM(M67:S67)</f>
        <v>2</v>
      </c>
      <c r="U67" s="332" t="s">
        <v>320</v>
      </c>
      <c r="V67" s="165">
        <f t="shared" si="11"/>
        <v>0</v>
      </c>
      <c r="W67" s="165">
        <f t="shared" si="11"/>
        <v>0</v>
      </c>
      <c r="X67" s="165">
        <f t="shared" si="11"/>
        <v>0</v>
      </c>
      <c r="Y67" s="165">
        <f t="shared" si="11"/>
        <v>0</v>
      </c>
      <c r="Z67" s="165">
        <f t="shared" si="11"/>
        <v>0.5</v>
      </c>
      <c r="AA67" s="165">
        <f t="shared" si="11"/>
        <v>0</v>
      </c>
      <c r="AB67" s="165">
        <f t="shared" si="11"/>
        <v>0</v>
      </c>
      <c r="AC67" s="165">
        <f t="shared" si="11"/>
        <v>0</v>
      </c>
      <c r="AD67" s="165">
        <f t="shared" si="11"/>
        <v>0.5</v>
      </c>
      <c r="AE67" s="165">
        <f t="shared" si="10"/>
        <v>0</v>
      </c>
      <c r="AF67" s="165">
        <f t="shared" si="10"/>
        <v>0.5</v>
      </c>
      <c r="AG67" s="165">
        <f t="shared" si="10"/>
        <v>0.5</v>
      </c>
      <c r="AH67" s="165">
        <f t="shared" si="10"/>
        <v>0</v>
      </c>
      <c r="AI67" s="165">
        <f t="shared" si="10"/>
        <v>0</v>
      </c>
      <c r="AJ67" s="165">
        <f t="shared" si="10"/>
        <v>0</v>
      </c>
      <c r="AK67" s="165">
        <f t="shared" si="10"/>
        <v>0</v>
      </c>
      <c r="AN67" s="58"/>
      <c r="AO67" s="58"/>
      <c r="AP67" s="58"/>
      <c r="AQ67" s="58"/>
    </row>
    <row r="68" spans="1:43" ht="17" customHeight="1" thickBot="1" x14ac:dyDescent="0.4">
      <c r="A68" s="297" t="s">
        <v>2084</v>
      </c>
      <c r="B68" s="330">
        <f t="shared" ref="B68:J68" si="12">SUM(B64:B67)</f>
        <v>11</v>
      </c>
      <c r="C68" s="330">
        <f t="shared" si="12"/>
        <v>0</v>
      </c>
      <c r="D68" s="330">
        <f t="shared" si="12"/>
        <v>4</v>
      </c>
      <c r="E68" s="330">
        <f t="shared" si="12"/>
        <v>0</v>
      </c>
      <c r="F68" s="330">
        <f t="shared" si="12"/>
        <v>3</v>
      </c>
      <c r="G68" s="330">
        <f t="shared" si="12"/>
        <v>8</v>
      </c>
      <c r="H68" s="330">
        <f t="shared" si="12"/>
        <v>0</v>
      </c>
      <c r="I68" s="330">
        <f t="shared" si="12"/>
        <v>0</v>
      </c>
      <c r="J68" s="330">
        <f t="shared" si="12"/>
        <v>5</v>
      </c>
      <c r="K68" s="197">
        <f>SUM(B64:J67)</f>
        <v>31</v>
      </c>
      <c r="L68" s="297" t="s">
        <v>2084</v>
      </c>
      <c r="M68" s="330">
        <f t="shared" ref="M68:S68" si="13">SUM(M64:M67)</f>
        <v>0</v>
      </c>
      <c r="N68" s="330">
        <f t="shared" si="13"/>
        <v>14</v>
      </c>
      <c r="O68" s="330">
        <f t="shared" si="13"/>
        <v>1</v>
      </c>
      <c r="P68" s="330">
        <f t="shared" si="13"/>
        <v>2</v>
      </c>
      <c r="Q68" s="330">
        <f t="shared" si="13"/>
        <v>3</v>
      </c>
      <c r="R68" s="330">
        <f t="shared" si="13"/>
        <v>2</v>
      </c>
      <c r="S68" s="330">
        <f t="shared" si="13"/>
        <v>2</v>
      </c>
      <c r="T68" s="198">
        <f>SUM(M64:S67)</f>
        <v>24</v>
      </c>
      <c r="U68" s="297"/>
      <c r="V68" s="331"/>
      <c r="W68" s="331"/>
      <c r="X68" s="331"/>
      <c r="Y68" s="331"/>
      <c r="Z68" s="331"/>
      <c r="AA68" s="331"/>
      <c r="AB68" s="331"/>
      <c r="AC68" s="331"/>
      <c r="AD68" s="331"/>
      <c r="AE68" s="330"/>
      <c r="AF68" s="330"/>
      <c r="AG68" s="330"/>
      <c r="AH68" s="330"/>
      <c r="AI68" s="330"/>
      <c r="AJ68" s="330"/>
      <c r="AK68" s="330"/>
      <c r="AN68" s="58"/>
      <c r="AO68" s="58"/>
      <c r="AP68" s="58"/>
      <c r="AQ68" s="58"/>
    </row>
    <row r="69" spans="1:43" ht="17" customHeight="1" thickTop="1" x14ac:dyDescent="0.35">
      <c r="A69" s="297" t="s">
        <v>2167</v>
      </c>
      <c r="B69" s="162">
        <f t="shared" ref="B69:J69" si="14">B68/SUM($B$68:$J$68)</f>
        <v>0.35483870967741937</v>
      </c>
      <c r="C69" s="162">
        <f t="shared" si="14"/>
        <v>0</v>
      </c>
      <c r="D69" s="162">
        <f t="shared" si="14"/>
        <v>0.12903225806451613</v>
      </c>
      <c r="E69" s="162">
        <f t="shared" si="14"/>
        <v>0</v>
      </c>
      <c r="F69" s="162">
        <f t="shared" si="14"/>
        <v>9.6774193548387094E-2</v>
      </c>
      <c r="G69" s="162">
        <f t="shared" si="14"/>
        <v>0.25806451612903225</v>
      </c>
      <c r="H69" s="162">
        <f t="shared" si="14"/>
        <v>0</v>
      </c>
      <c r="I69" s="162">
        <f t="shared" si="14"/>
        <v>0</v>
      </c>
      <c r="J69" s="162">
        <f t="shared" si="14"/>
        <v>0.16129032258064516</v>
      </c>
      <c r="K69" s="197"/>
      <c r="L69" s="297" t="s">
        <v>2167</v>
      </c>
      <c r="M69" s="161">
        <f t="shared" ref="M69:S69" si="15">M68/SUM($M$68:$S$68)</f>
        <v>0</v>
      </c>
      <c r="N69" s="161">
        <f t="shared" si="15"/>
        <v>0.58333333333333337</v>
      </c>
      <c r="O69" s="161">
        <f t="shared" si="15"/>
        <v>4.1666666666666664E-2</v>
      </c>
      <c r="P69" s="161">
        <f t="shared" si="15"/>
        <v>8.3333333333333329E-2</v>
      </c>
      <c r="Q69" s="161">
        <f t="shared" si="15"/>
        <v>0.125</v>
      </c>
      <c r="R69" s="161">
        <f t="shared" si="15"/>
        <v>8.3333333333333329E-2</v>
      </c>
      <c r="S69" s="161">
        <f t="shared" si="15"/>
        <v>8.3333333333333329E-2</v>
      </c>
      <c r="T69" s="197"/>
      <c r="U69" s="297"/>
      <c r="V69" s="162"/>
      <c r="W69" s="162"/>
      <c r="X69" s="162"/>
      <c r="Y69" s="162"/>
      <c r="Z69" s="162"/>
      <c r="AA69" s="162"/>
      <c r="AB69" s="162"/>
      <c r="AC69" s="162"/>
      <c r="AD69" s="162"/>
      <c r="AE69" s="161"/>
      <c r="AF69" s="161"/>
      <c r="AG69" s="161"/>
      <c r="AH69" s="161"/>
      <c r="AI69" s="161"/>
      <c r="AJ69" s="161"/>
      <c r="AK69" s="161"/>
      <c r="AN69" s="58"/>
      <c r="AO69" s="58"/>
      <c r="AP69" s="58"/>
      <c r="AQ69" s="58"/>
    </row>
    <row r="70" spans="1:43" x14ac:dyDescent="0.35">
      <c r="A70" s="329" t="s">
        <v>2223</v>
      </c>
      <c r="B70" s="327">
        <f>D69+F69</f>
        <v>0.22580645161290322</v>
      </c>
      <c r="K70" s="197"/>
      <c r="L70" s="329" t="s">
        <v>2226</v>
      </c>
      <c r="M70" s="327">
        <f>SUM(M69:O69)</f>
        <v>0.625</v>
      </c>
      <c r="O70" s="327"/>
      <c r="T70" s="197"/>
      <c r="AN70" s="58"/>
      <c r="AO70" s="58"/>
      <c r="AP70" s="58"/>
      <c r="AQ70" s="58"/>
    </row>
    <row r="71" spans="1:43" x14ac:dyDescent="0.35">
      <c r="A71" s="329" t="s">
        <v>2222</v>
      </c>
      <c r="B71" s="327">
        <f>B69+J69+C69</f>
        <v>0.5161290322580645</v>
      </c>
      <c r="K71" s="197"/>
      <c r="L71" s="329" t="s">
        <v>2224</v>
      </c>
      <c r="M71" s="327">
        <f>SUM(R69:S69)</f>
        <v>0.16666666666666666</v>
      </c>
      <c r="O71" s="327"/>
      <c r="T71" s="197"/>
      <c r="AN71" s="58"/>
      <c r="AO71" s="58"/>
      <c r="AP71" s="58"/>
      <c r="AQ71" s="58"/>
    </row>
    <row r="72" spans="1:43" ht="26" x14ac:dyDescent="0.6">
      <c r="A72" s="318" t="s">
        <v>2147</v>
      </c>
      <c r="C72" s="21"/>
      <c r="K72" s="197"/>
      <c r="L72" s="318" t="s">
        <v>2147</v>
      </c>
      <c r="P72" s="298"/>
      <c r="Q72" s="337"/>
      <c r="R72" s="158"/>
      <c r="S72" s="158"/>
      <c r="T72" s="197"/>
    </row>
    <row r="73" spans="1:43" x14ac:dyDescent="0.35">
      <c r="A73" s="322" t="s">
        <v>405</v>
      </c>
      <c r="B73" s="336" t="str" cm="1">
        <f t="array" ref="B73:J73">TRANSPOSE(_xlfn.UNIQUE(ANNOUNCEMENTS!Z2:Z180))</f>
        <v>Joint D&amp;D</v>
      </c>
      <c r="C73" s="336" t="str">
        <v>Joint Production</v>
      </c>
      <c r="D73" s="336" t="str">
        <v>Joint Service Agreement</v>
      </c>
      <c r="E73" s="336" t="str">
        <v>Other</v>
      </c>
      <c r="F73" s="336" t="str">
        <v>Supply Partnership (extended)</v>
      </c>
      <c r="G73" s="335" t="str">
        <v>Research &amp; Collaboration</v>
      </c>
      <c r="H73" s="335" t="str">
        <v>Licensing</v>
      </c>
      <c r="I73" s="335" t="str">
        <v>Marketing Agreement</v>
      </c>
      <c r="J73" s="335" t="str">
        <v>Supply Partnership (traditional)</v>
      </c>
      <c r="K73" s="197"/>
      <c r="L73" s="322" t="s">
        <v>405</v>
      </c>
      <c r="M73" s="334" t="str" cm="1">
        <f t="array" ref="M73:S73">TRANSPOSE(_xlfn._xlws.SORT(_xlfn.ANCHORARRAY(BP16),1))</f>
        <v>1. Informal Agreement</v>
      </c>
      <c r="N73" s="334" t="str">
        <v>2.1. Short term Alliance (no exclusivity / previous experience)</v>
      </c>
      <c r="O73" s="334" t="str">
        <v xml:space="preserve">2.2. Renewed Alliance </v>
      </c>
      <c r="P73" s="334" t="str">
        <v>2.3. Long term Alliance</v>
      </c>
      <c r="Q73" s="334" t="str">
        <v>2.4. Exclusive Alliance</v>
      </c>
      <c r="R73" s="334" t="str">
        <v>3. Strategic Partnership</v>
      </c>
      <c r="S73" s="334" t="str">
        <v>4. Joint Venture</v>
      </c>
      <c r="T73" s="197">
        <f>SUM(M73:S73)</f>
        <v>0</v>
      </c>
      <c r="U73" s="322" t="s">
        <v>405</v>
      </c>
      <c r="V73" s="336" t="str" cm="1">
        <f t="array" ref="V73:AD73">TRANSPOSE(_xlfn.UNIQUE(ANNOUNCEMENTS!Z2:Z180))</f>
        <v>Joint D&amp;D</v>
      </c>
      <c r="W73" s="336" t="str">
        <v>Joint Production</v>
      </c>
      <c r="X73" s="336" t="str">
        <v>Joint Service Agreement</v>
      </c>
      <c r="Y73" s="336" t="str">
        <v>Other</v>
      </c>
      <c r="Z73" s="336" t="str">
        <v>Supply Partnership (extended)</v>
      </c>
      <c r="AA73" s="335" t="str">
        <v>Research &amp; Collaboration</v>
      </c>
      <c r="AB73" s="335" t="str">
        <v>Licensing</v>
      </c>
      <c r="AC73" s="335" t="str">
        <v>Marketing Agreement</v>
      </c>
      <c r="AD73" s="335" t="str">
        <v>Supply Partnership (traditional)</v>
      </c>
      <c r="AE73" s="334" t="str" cm="1">
        <f t="array" ref="AE73:AK73">TRANSPOSE(_xlfn._xlws.SORT(_xlfn.ANCHORARRAY(BP16),1))</f>
        <v>1. Informal Agreement</v>
      </c>
      <c r="AF73" s="334" t="str">
        <v>2.1. Short term Alliance (no exclusivity / previous experience)</v>
      </c>
      <c r="AG73" s="334" t="str">
        <v xml:space="preserve">2.2. Renewed Alliance </v>
      </c>
      <c r="AH73" s="334" t="str">
        <v>2.3. Long term Alliance</v>
      </c>
      <c r="AI73" s="334" t="str">
        <v>2.4. Exclusive Alliance</v>
      </c>
      <c r="AJ73" s="334" t="str">
        <v>3. Strategic Partnership</v>
      </c>
      <c r="AK73" s="334" t="str">
        <v>4. Joint Venture</v>
      </c>
    </row>
    <row r="74" spans="1:43" x14ac:dyDescent="0.35">
      <c r="A74" s="332" t="s">
        <v>286</v>
      </c>
      <c r="B74" s="333">
        <f>COUNTIFS(ANNOUNCEMENTS!$J$2:$J$180,$A$73,ANNOUNCEMENTS!$Z$2:$Z$180,B$73,ANNOUNCEMENTS!$F$2:$F$180,$A74)+
COUNTIFS(ANNOUNCEMENTS!$J$2:$J$180,$A$73,ANNOUNCEMENTS!$AB$2:$AB$180,B$73,ANNOUNCEMENTS!$F$2:$F$180,$A74)+
COUNTIFS(ANNOUNCEMENTS!$J$2:$J$180,$A$73,ANNOUNCEMENTS!$AD$2:$AD$180,B$73,ANNOUNCEMENTS!$F$2:$F$180,$A74)</f>
        <v>15</v>
      </c>
      <c r="C74" s="333">
        <f>COUNTIFS(ANNOUNCEMENTS!$J$2:$J$180,$A$73,ANNOUNCEMENTS!$Z$2:$Z$180,C$73,ANNOUNCEMENTS!$F$2:$F$180,$A74)+
COUNTIFS(ANNOUNCEMENTS!$J$2:$J$180,$A$73,ANNOUNCEMENTS!$AB$2:$AB$180,C$73,ANNOUNCEMENTS!$F$2:$F$180,$A74)+
COUNTIFS(ANNOUNCEMENTS!$J$2:$J$180,$A$73,ANNOUNCEMENTS!$AD$2:$AD$180,C$73,ANNOUNCEMENTS!$F$2:$F$180,$A74)</f>
        <v>2</v>
      </c>
      <c r="D74" s="333">
        <f>COUNTIFS(ANNOUNCEMENTS!$J$2:$J$180,$A$73,ANNOUNCEMENTS!$Z$2:$Z$180,D$73,ANNOUNCEMENTS!$F$2:$F$180,$A74)+
COUNTIFS(ANNOUNCEMENTS!$J$2:$J$180,$A$73,ANNOUNCEMENTS!$AB$2:$AB$180,D$73,ANNOUNCEMENTS!$F$2:$F$180,$A74)+
COUNTIFS(ANNOUNCEMENTS!$J$2:$J$180,$A$73,ANNOUNCEMENTS!$AD$2:$AD$180,D$73,ANNOUNCEMENTS!$F$2:$F$180,$A74)</f>
        <v>5</v>
      </c>
      <c r="E74" s="333">
        <f>COUNTIFS(ANNOUNCEMENTS!$J$2:$J$180,$A$73,ANNOUNCEMENTS!$Z$2:$Z$180,E$73,ANNOUNCEMENTS!$F$2:$F$180,$A74)+
COUNTIFS(ANNOUNCEMENTS!$J$2:$J$180,$A$73,ANNOUNCEMENTS!$AB$2:$AB$180,E$73,ANNOUNCEMENTS!$F$2:$F$180,$A74)+
COUNTIFS(ANNOUNCEMENTS!$J$2:$J$180,$A$73,ANNOUNCEMENTS!$AD$2:$AD$180,E$73,ANNOUNCEMENTS!$F$2:$F$180,$A74)</f>
        <v>2</v>
      </c>
      <c r="F74" s="333">
        <f>COUNTIFS(ANNOUNCEMENTS!$J$2:$J$180,$A$73,ANNOUNCEMENTS!$Z$2:$Z$180,F$73,ANNOUNCEMENTS!$F$2:$F$180,$A74)+
COUNTIFS(ANNOUNCEMENTS!$J$2:$J$180,$A$73,ANNOUNCEMENTS!$AB$2:$AB$180,F$73,ANNOUNCEMENTS!$F$2:$F$180,$A74)+
COUNTIFS(ANNOUNCEMENTS!$J$2:$J$180,$A$73,ANNOUNCEMENTS!$AD$2:$AD$180,F$73,ANNOUNCEMENTS!$F$2:$F$180,$A74)</f>
        <v>8</v>
      </c>
      <c r="G74" s="333">
        <f>COUNTIFS(ANNOUNCEMENTS!$J$2:$J$180,$A$73,ANNOUNCEMENTS!$Z$2:$Z$180,G$73,ANNOUNCEMENTS!$F$2:$F$180,$A74)+
COUNTIFS(ANNOUNCEMENTS!$J$2:$J$180,$A$73,ANNOUNCEMENTS!$AB$2:$AB$180,G$73,ANNOUNCEMENTS!$F$2:$F$180,$A74)+
COUNTIFS(ANNOUNCEMENTS!$J$2:$J$180,$A$73,ANNOUNCEMENTS!$AD$2:$AD$180,G$73,ANNOUNCEMENTS!$F$2:$F$180,$A74)</f>
        <v>7</v>
      </c>
      <c r="H74" s="333">
        <f>COUNTIFS(ANNOUNCEMENTS!$J$2:$J$180,$A$73,ANNOUNCEMENTS!$Z$2:$Z$180,H$73,ANNOUNCEMENTS!$F$2:$F$180,$A74)+
COUNTIFS(ANNOUNCEMENTS!$J$2:$J$180,$A$73,ANNOUNCEMENTS!$AB$2:$AB$180,H$73,ANNOUNCEMENTS!$F$2:$F$180,$A74)+
COUNTIFS(ANNOUNCEMENTS!$J$2:$J$180,$A$73,ANNOUNCEMENTS!$AD$2:$AD$180,H$73,ANNOUNCEMENTS!$F$2:$F$180,$A74)</f>
        <v>0</v>
      </c>
      <c r="I74" s="333">
        <f>COUNTIFS(ANNOUNCEMENTS!$J$2:$J$180,$A$73,ANNOUNCEMENTS!$Z$2:$Z$180,I$73,ANNOUNCEMENTS!$F$2:$F$180,$A74)+
COUNTIFS(ANNOUNCEMENTS!$J$2:$J$180,$A$73,ANNOUNCEMENTS!$AB$2:$AB$180,I$73,ANNOUNCEMENTS!$F$2:$F$180,$A74)+
COUNTIFS(ANNOUNCEMENTS!$J$2:$J$180,$A$73,ANNOUNCEMENTS!$AD$2:$AD$180,I$73,ANNOUNCEMENTS!$F$2:$F$180,$A74)</f>
        <v>0</v>
      </c>
      <c r="J74" s="333">
        <f>COUNTIFS(ANNOUNCEMENTS!$J$2:$J$180,$A$73,ANNOUNCEMENTS!$Z$2:$Z$180,J$73,ANNOUNCEMENTS!$F$2:$F$180,$A74)+
COUNTIFS(ANNOUNCEMENTS!$J$2:$J$180,$A$73,ANNOUNCEMENTS!$AB$2:$AB$180,J$73,ANNOUNCEMENTS!$F$2:$F$180,$A74)+
COUNTIFS(ANNOUNCEMENTS!$J$2:$J$180,$A$73,ANNOUNCEMENTS!$AD$2:$AD$180,J$73,ANNOUNCEMENTS!$F$2:$F$180,$A74)</f>
        <v>6</v>
      </c>
      <c r="K74" s="197">
        <f>SUM(B74:J74)</f>
        <v>45</v>
      </c>
      <c r="L74" s="332" t="s">
        <v>286</v>
      </c>
      <c r="M74" s="333">
        <f>COUNTIFS(ANNOUNCEMENTS!$J$2:$J$180,$A$73,ANNOUNCEMENTS!$W$2:$W$180,M$73,ANNOUNCEMENTS!$F$2:$F$180,$A74)</f>
        <v>2</v>
      </c>
      <c r="N74" s="333">
        <f>COUNTIFS(ANNOUNCEMENTS!$J$2:$J$180,$A$73,ANNOUNCEMENTS!$W$2:$W$180,N$73,ANNOUNCEMENTS!$F$2:$F$180,$A74)</f>
        <v>20</v>
      </c>
      <c r="O74" s="333">
        <f>COUNTIFS(ANNOUNCEMENTS!$J$2:$J$180,$A$73,ANNOUNCEMENTS!$W$2:$W$180,O$73,ANNOUNCEMENTS!$F$2:$F$180,$A74)</f>
        <v>1</v>
      </c>
      <c r="P74" s="333">
        <f>COUNTIFS(ANNOUNCEMENTS!$J$2:$J$180,$A$73,ANNOUNCEMENTS!$W$2:$W$180,P$73,ANNOUNCEMENTS!$F$2:$F$180,$A74)</f>
        <v>6</v>
      </c>
      <c r="Q74" s="333">
        <f>COUNTIFS(ANNOUNCEMENTS!$J$2:$J$180,$A$73,ANNOUNCEMENTS!$W$2:$W$180,Q$73,ANNOUNCEMENTS!$F$2:$F$180,$A74)</f>
        <v>1</v>
      </c>
      <c r="R74" s="333">
        <f>COUNTIFS(ANNOUNCEMENTS!$J$2:$J$180,$A$73,ANNOUNCEMENTS!$W$2:$W$180,R$73,ANNOUNCEMENTS!$F$2:$F$180,$A74)</f>
        <v>5</v>
      </c>
      <c r="S74" s="333">
        <f>COUNTIFS(ANNOUNCEMENTS!$J$2:$J$180,$A$73,ANNOUNCEMENTS!$W$2:$W$180,S$73,ANNOUNCEMENTS!$F$2:$F$180,$A74)</f>
        <v>1</v>
      </c>
      <c r="T74" s="197">
        <f>SUM(M74:S74)</f>
        <v>36</v>
      </c>
      <c r="U74" s="332" t="s">
        <v>286</v>
      </c>
      <c r="V74" s="165">
        <f t="shared" ref="V74:AD77" si="16">IF(ISERROR(B74/SUM($B74:$J74)),0,B74/SUM($B74:$J74))</f>
        <v>0.33333333333333331</v>
      </c>
      <c r="W74" s="165">
        <f t="shared" si="16"/>
        <v>4.4444444444444446E-2</v>
      </c>
      <c r="X74" s="165">
        <f t="shared" si="16"/>
        <v>0.1111111111111111</v>
      </c>
      <c r="Y74" s="165">
        <f t="shared" si="16"/>
        <v>4.4444444444444446E-2</v>
      </c>
      <c r="Z74" s="165">
        <f t="shared" si="16"/>
        <v>0.17777777777777778</v>
      </c>
      <c r="AA74" s="165">
        <f t="shared" si="16"/>
        <v>0.15555555555555556</v>
      </c>
      <c r="AB74" s="165">
        <f t="shared" si="16"/>
        <v>0</v>
      </c>
      <c r="AC74" s="165">
        <f t="shared" si="16"/>
        <v>0</v>
      </c>
      <c r="AD74" s="165">
        <f t="shared" si="16"/>
        <v>0.13333333333333333</v>
      </c>
      <c r="AE74" s="165">
        <f t="shared" ref="AE74:AK75" si="17">IF(ISERROR(M74/SUM($M74:$S74)),0,M74/SUM($M74:$S74))</f>
        <v>5.5555555555555552E-2</v>
      </c>
      <c r="AF74" s="165">
        <f t="shared" si="17"/>
        <v>0.55555555555555558</v>
      </c>
      <c r="AG74" s="165">
        <f t="shared" si="17"/>
        <v>2.7777777777777776E-2</v>
      </c>
      <c r="AH74" s="165">
        <f t="shared" si="17"/>
        <v>0.16666666666666666</v>
      </c>
      <c r="AI74" s="165">
        <f t="shared" si="17"/>
        <v>2.7777777777777776E-2</v>
      </c>
      <c r="AJ74" s="165">
        <f t="shared" si="17"/>
        <v>0.1388888888888889</v>
      </c>
      <c r="AK74" s="165">
        <f t="shared" si="17"/>
        <v>2.7777777777777776E-2</v>
      </c>
    </row>
    <row r="75" spans="1:43" x14ac:dyDescent="0.35">
      <c r="A75" s="332" t="s">
        <v>309</v>
      </c>
      <c r="B75" s="333">
        <f>COUNTIFS(ANNOUNCEMENTS!$J$2:$J$180,$A$73,ANNOUNCEMENTS!$Z$2:$Z$180,B$73,ANNOUNCEMENTS!$F$2:$F$180,$A75)+
COUNTIFS(ANNOUNCEMENTS!$J$2:$J$180,$A$73,ANNOUNCEMENTS!$AB$2:$AB$180,B$73,ANNOUNCEMENTS!$F$2:$F$180,$A75)+
COUNTIFS(ANNOUNCEMENTS!$J$2:$J$180,$A$73,ANNOUNCEMENTS!$AD$2:$AD$180,B$73,ANNOUNCEMENTS!$F$2:$F$180,$A75)</f>
        <v>3</v>
      </c>
      <c r="C75" s="333">
        <f>COUNTIFS(ANNOUNCEMENTS!$J$2:$J$180,$A$73,ANNOUNCEMENTS!$Z$2:$Z$180,C$73,ANNOUNCEMENTS!$F$2:$F$180,$A75)+
COUNTIFS(ANNOUNCEMENTS!$J$2:$J$180,$A$73,ANNOUNCEMENTS!$AB$2:$AB$180,C$73,ANNOUNCEMENTS!$F$2:$F$180,$A75)+
COUNTIFS(ANNOUNCEMENTS!$J$2:$J$180,$A$73,ANNOUNCEMENTS!$AD$2:$AD$180,C$73,ANNOUNCEMENTS!$F$2:$F$180,$A75)</f>
        <v>0</v>
      </c>
      <c r="D75" s="333">
        <f>COUNTIFS(ANNOUNCEMENTS!$J$2:$J$180,$A$73,ANNOUNCEMENTS!$Z$2:$Z$180,D$73,ANNOUNCEMENTS!$F$2:$F$180,$A75)+
COUNTIFS(ANNOUNCEMENTS!$J$2:$J$180,$A$73,ANNOUNCEMENTS!$AB$2:$AB$180,D$73,ANNOUNCEMENTS!$F$2:$F$180,$A75)+
COUNTIFS(ANNOUNCEMENTS!$J$2:$J$180,$A$73,ANNOUNCEMENTS!$AD$2:$AD$180,D$73,ANNOUNCEMENTS!$F$2:$F$180,$A75)</f>
        <v>0</v>
      </c>
      <c r="E75" s="333">
        <f>COUNTIFS(ANNOUNCEMENTS!$J$2:$J$180,$A$73,ANNOUNCEMENTS!$Z$2:$Z$180,E$73,ANNOUNCEMENTS!$F$2:$F$180,$A75)+
COUNTIFS(ANNOUNCEMENTS!$J$2:$J$180,$A$73,ANNOUNCEMENTS!$AB$2:$AB$180,E$73,ANNOUNCEMENTS!$F$2:$F$180,$A75)+
COUNTIFS(ANNOUNCEMENTS!$J$2:$J$180,$A$73,ANNOUNCEMENTS!$AD$2:$AD$180,E$73,ANNOUNCEMENTS!$F$2:$F$180,$A75)</f>
        <v>1</v>
      </c>
      <c r="F75" s="333">
        <f>COUNTIFS(ANNOUNCEMENTS!$J$2:$J$180,$A$73,ANNOUNCEMENTS!$Z$2:$Z$180,F$73,ANNOUNCEMENTS!$F$2:$F$180,$A75)+
COUNTIFS(ANNOUNCEMENTS!$J$2:$J$180,$A$73,ANNOUNCEMENTS!$AB$2:$AB$180,F$73,ANNOUNCEMENTS!$F$2:$F$180,$A75)+
COUNTIFS(ANNOUNCEMENTS!$J$2:$J$180,$A$73,ANNOUNCEMENTS!$AD$2:$AD$180,F$73,ANNOUNCEMENTS!$F$2:$F$180,$A75)</f>
        <v>10</v>
      </c>
      <c r="G75" s="333">
        <f>COUNTIFS(ANNOUNCEMENTS!$J$2:$J$180,$A$73,ANNOUNCEMENTS!$Z$2:$Z$180,G$73,ANNOUNCEMENTS!$F$2:$F$180,$A75)+
COUNTIFS(ANNOUNCEMENTS!$J$2:$J$180,$A$73,ANNOUNCEMENTS!$AB$2:$AB$180,G$73,ANNOUNCEMENTS!$F$2:$F$180,$A75)+
COUNTIFS(ANNOUNCEMENTS!$J$2:$J$180,$A$73,ANNOUNCEMENTS!$AD$2:$AD$180,G$73,ANNOUNCEMENTS!$F$2:$F$180,$A75)</f>
        <v>0</v>
      </c>
      <c r="H75" s="333">
        <f>COUNTIFS(ANNOUNCEMENTS!$J$2:$J$180,$A$73,ANNOUNCEMENTS!$Z$2:$Z$180,H$73,ANNOUNCEMENTS!$F$2:$F$180,$A75)+
COUNTIFS(ANNOUNCEMENTS!$J$2:$J$180,$A$73,ANNOUNCEMENTS!$AB$2:$AB$180,H$73,ANNOUNCEMENTS!$F$2:$F$180,$A75)+
COUNTIFS(ANNOUNCEMENTS!$J$2:$J$180,$A$73,ANNOUNCEMENTS!$AD$2:$AD$180,H$73,ANNOUNCEMENTS!$F$2:$F$180,$A75)</f>
        <v>0</v>
      </c>
      <c r="I75" s="333">
        <f>COUNTIFS(ANNOUNCEMENTS!$J$2:$J$180,$A$73,ANNOUNCEMENTS!$Z$2:$Z$180,I$73,ANNOUNCEMENTS!$F$2:$F$180,$A75)+
COUNTIFS(ANNOUNCEMENTS!$J$2:$J$180,$A$73,ANNOUNCEMENTS!$AB$2:$AB$180,I$73,ANNOUNCEMENTS!$F$2:$F$180,$A75)+
COUNTIFS(ANNOUNCEMENTS!$J$2:$J$180,$A$73,ANNOUNCEMENTS!$AD$2:$AD$180,I$73,ANNOUNCEMENTS!$F$2:$F$180,$A75)</f>
        <v>1</v>
      </c>
      <c r="J75" s="333">
        <f>COUNTIFS(ANNOUNCEMENTS!$J$2:$J$180,$A$73,ANNOUNCEMENTS!$Z$2:$Z$180,J$73,ANNOUNCEMENTS!$F$2:$F$180,$A75)+
COUNTIFS(ANNOUNCEMENTS!$J$2:$J$180,$A$73,ANNOUNCEMENTS!$AB$2:$AB$180,J$73,ANNOUNCEMENTS!$F$2:$F$180,$A75)+
COUNTIFS(ANNOUNCEMENTS!$J$2:$J$180,$A$73,ANNOUNCEMENTS!$AD$2:$AD$180,J$73,ANNOUNCEMENTS!$F$2:$F$180,$A75)</f>
        <v>2</v>
      </c>
      <c r="K75" s="197">
        <f>SUM(B75:J75)</f>
        <v>17</v>
      </c>
      <c r="L75" s="332" t="s">
        <v>309</v>
      </c>
      <c r="M75" s="333">
        <f>COUNTIFS(ANNOUNCEMENTS!$J$2:$J$180,$A$73,ANNOUNCEMENTS!$W$2:$W$180,M$73,ANNOUNCEMENTS!$F$2:$F$180,$A75)</f>
        <v>1</v>
      </c>
      <c r="N75" s="333">
        <f>COUNTIFS(ANNOUNCEMENTS!$J$2:$J$180,$A$73,ANNOUNCEMENTS!$W$2:$W$180,N$73,ANNOUNCEMENTS!$F$2:$F$180,$A75)</f>
        <v>6</v>
      </c>
      <c r="O75" s="333">
        <f>COUNTIFS(ANNOUNCEMENTS!$J$2:$J$180,$A$73,ANNOUNCEMENTS!$W$2:$W$180,O$73,ANNOUNCEMENTS!$F$2:$F$180,$A75)</f>
        <v>1</v>
      </c>
      <c r="P75" s="333">
        <f>COUNTIFS(ANNOUNCEMENTS!$J$2:$J$180,$A$73,ANNOUNCEMENTS!$W$2:$W$180,P$73,ANNOUNCEMENTS!$F$2:$F$180,$A75)</f>
        <v>7</v>
      </c>
      <c r="Q75" s="333">
        <f>COUNTIFS(ANNOUNCEMENTS!$J$2:$J$180,$A$73,ANNOUNCEMENTS!$W$2:$W$180,Q$73,ANNOUNCEMENTS!$F$2:$F$180,$A75)</f>
        <v>0</v>
      </c>
      <c r="R75" s="333">
        <f>COUNTIFS(ANNOUNCEMENTS!$J$2:$J$180,$A$73,ANNOUNCEMENTS!$W$2:$W$180,R$73,ANNOUNCEMENTS!$F$2:$F$180,$A75)</f>
        <v>0</v>
      </c>
      <c r="S75" s="333">
        <f>COUNTIFS(ANNOUNCEMENTS!$J$2:$J$180,$A$73,ANNOUNCEMENTS!$W$2:$W$180,S$73,ANNOUNCEMENTS!$F$2:$F$180,$A75)</f>
        <v>0</v>
      </c>
      <c r="T75" s="197">
        <f>SUM(M75:S75)</f>
        <v>15</v>
      </c>
      <c r="U75" s="332" t="s">
        <v>309</v>
      </c>
      <c r="V75" s="165">
        <f t="shared" si="16"/>
        <v>0.17647058823529413</v>
      </c>
      <c r="W75" s="165">
        <f t="shared" si="16"/>
        <v>0</v>
      </c>
      <c r="X75" s="165">
        <f t="shared" si="16"/>
        <v>0</v>
      </c>
      <c r="Y75" s="165">
        <f t="shared" si="16"/>
        <v>5.8823529411764705E-2</v>
      </c>
      <c r="Z75" s="165">
        <f t="shared" si="16"/>
        <v>0.58823529411764708</v>
      </c>
      <c r="AA75" s="165">
        <f t="shared" si="16"/>
        <v>0</v>
      </c>
      <c r="AB75" s="165">
        <f t="shared" si="16"/>
        <v>0</v>
      </c>
      <c r="AC75" s="165">
        <f t="shared" si="16"/>
        <v>5.8823529411764705E-2</v>
      </c>
      <c r="AD75" s="165">
        <f t="shared" si="16"/>
        <v>0.11764705882352941</v>
      </c>
      <c r="AE75" s="165">
        <f t="shared" si="17"/>
        <v>6.6666666666666666E-2</v>
      </c>
      <c r="AF75" s="165">
        <f t="shared" si="17"/>
        <v>0.4</v>
      </c>
      <c r="AG75" s="165">
        <f t="shared" si="17"/>
        <v>6.6666666666666666E-2</v>
      </c>
      <c r="AH75" s="165">
        <f t="shared" si="17"/>
        <v>0.46666666666666667</v>
      </c>
      <c r="AI75" s="165">
        <f t="shared" si="17"/>
        <v>0</v>
      </c>
      <c r="AJ75" s="165">
        <f t="shared" si="17"/>
        <v>0</v>
      </c>
      <c r="AK75" s="165">
        <f t="shared" si="17"/>
        <v>0</v>
      </c>
    </row>
    <row r="76" spans="1:43" x14ac:dyDescent="0.35">
      <c r="A76" s="332" t="s">
        <v>331</v>
      </c>
      <c r="B76" s="333">
        <f>COUNTIFS(ANNOUNCEMENTS!$J$2:$J$180,$A$73,ANNOUNCEMENTS!$Z$2:$Z$180,B$73,ANNOUNCEMENTS!$F$2:$F$180,$A76)+
COUNTIFS(ANNOUNCEMENTS!$J$2:$J$180,$A$73,ANNOUNCEMENTS!$AB$2:$AB$180,B$73,ANNOUNCEMENTS!$F$2:$F$180,$A76)+
COUNTIFS(ANNOUNCEMENTS!$J$2:$J$180,$A$73,ANNOUNCEMENTS!$AD$2:$AD$180,B$73,ANNOUNCEMENTS!$F$2:$F$180,$A76)</f>
        <v>0</v>
      </c>
      <c r="C76" s="333">
        <f>COUNTIFS(ANNOUNCEMENTS!$J$2:$J$180,$A$73,ANNOUNCEMENTS!$Z$2:$Z$180,C$73,ANNOUNCEMENTS!$F$2:$F$180,$A76)+
COUNTIFS(ANNOUNCEMENTS!$J$2:$J$180,$A$73,ANNOUNCEMENTS!$AB$2:$AB$180,C$73,ANNOUNCEMENTS!$F$2:$F$180,$A76)+
COUNTIFS(ANNOUNCEMENTS!$J$2:$J$180,$A$73,ANNOUNCEMENTS!$AD$2:$AD$180,C$73,ANNOUNCEMENTS!$F$2:$F$180,$A76)</f>
        <v>0</v>
      </c>
      <c r="D76" s="333">
        <f>COUNTIFS(ANNOUNCEMENTS!$J$2:$J$180,$A$73,ANNOUNCEMENTS!$Z$2:$Z$180,D$73,ANNOUNCEMENTS!$F$2:$F$180,$A76)+
COUNTIFS(ANNOUNCEMENTS!$J$2:$J$180,$A$73,ANNOUNCEMENTS!$AB$2:$AB$180,D$73,ANNOUNCEMENTS!$F$2:$F$180,$A76)+
COUNTIFS(ANNOUNCEMENTS!$J$2:$J$180,$A$73,ANNOUNCEMENTS!$AD$2:$AD$180,D$73,ANNOUNCEMENTS!$F$2:$F$180,$A76)</f>
        <v>0</v>
      </c>
      <c r="E76" s="333">
        <f>COUNTIFS(ANNOUNCEMENTS!$J$2:$J$180,$A$73,ANNOUNCEMENTS!$Z$2:$Z$180,E$73,ANNOUNCEMENTS!$F$2:$F$180,$A76)+
COUNTIFS(ANNOUNCEMENTS!$J$2:$J$180,$A$73,ANNOUNCEMENTS!$AB$2:$AB$180,E$73,ANNOUNCEMENTS!$F$2:$F$180,$A76)+
COUNTIFS(ANNOUNCEMENTS!$J$2:$J$180,$A$73,ANNOUNCEMENTS!$AD$2:$AD$180,E$73,ANNOUNCEMENTS!$F$2:$F$180,$A76)</f>
        <v>0</v>
      </c>
      <c r="F76" s="333">
        <f>COUNTIFS(ANNOUNCEMENTS!$J$2:$J$180,$A$73,ANNOUNCEMENTS!$Z$2:$Z$180,F$73,ANNOUNCEMENTS!$F$2:$F$180,$A76)+
COUNTIFS(ANNOUNCEMENTS!$J$2:$J$180,$A$73,ANNOUNCEMENTS!$AB$2:$AB$180,F$73,ANNOUNCEMENTS!$F$2:$F$180,$A76)+
COUNTIFS(ANNOUNCEMENTS!$J$2:$J$180,$A$73,ANNOUNCEMENTS!$AD$2:$AD$180,F$73,ANNOUNCEMENTS!$F$2:$F$180,$A76)</f>
        <v>0</v>
      </c>
      <c r="G76" s="333">
        <f>COUNTIFS(ANNOUNCEMENTS!$J$2:$J$180,$A$73,ANNOUNCEMENTS!$Z$2:$Z$180,G$73,ANNOUNCEMENTS!$F$2:$F$180,$A76)+
COUNTIFS(ANNOUNCEMENTS!$J$2:$J$180,$A$73,ANNOUNCEMENTS!$AB$2:$AB$180,G$73,ANNOUNCEMENTS!$F$2:$F$180,$A76)+
COUNTIFS(ANNOUNCEMENTS!$J$2:$J$180,$A$73,ANNOUNCEMENTS!$AD$2:$AD$180,G$73,ANNOUNCEMENTS!$F$2:$F$180,$A76)</f>
        <v>0</v>
      </c>
      <c r="H76" s="333">
        <f>COUNTIFS(ANNOUNCEMENTS!$J$2:$J$180,$A$73,ANNOUNCEMENTS!$Z$2:$Z$180,H$73,ANNOUNCEMENTS!$F$2:$F$180,$A76)+
COUNTIFS(ANNOUNCEMENTS!$J$2:$J$180,$A$73,ANNOUNCEMENTS!$AB$2:$AB$180,H$73,ANNOUNCEMENTS!$F$2:$F$180,$A76)+
COUNTIFS(ANNOUNCEMENTS!$J$2:$J$180,$A$73,ANNOUNCEMENTS!$AD$2:$AD$180,H$73,ANNOUNCEMENTS!$F$2:$F$180,$A76)</f>
        <v>0</v>
      </c>
      <c r="I76" s="333">
        <f>COUNTIFS(ANNOUNCEMENTS!$J$2:$J$180,$A$73,ANNOUNCEMENTS!$Z$2:$Z$180,I$73,ANNOUNCEMENTS!$F$2:$F$180,$A76)+
COUNTIFS(ANNOUNCEMENTS!$J$2:$J$180,$A$73,ANNOUNCEMENTS!$AB$2:$AB$180,I$73,ANNOUNCEMENTS!$F$2:$F$180,$A76)+
COUNTIFS(ANNOUNCEMENTS!$J$2:$J$180,$A$73,ANNOUNCEMENTS!$AD$2:$AD$180,I$73,ANNOUNCEMENTS!$F$2:$F$180,$A76)</f>
        <v>0</v>
      </c>
      <c r="J76" s="333">
        <f>COUNTIFS(ANNOUNCEMENTS!$J$2:$J$180,$A$73,ANNOUNCEMENTS!$Z$2:$Z$180,J$73,ANNOUNCEMENTS!$F$2:$F$180,$A76)+
COUNTIFS(ANNOUNCEMENTS!$J$2:$J$180,$A$73,ANNOUNCEMENTS!$AB$2:$AB$180,J$73,ANNOUNCEMENTS!$F$2:$F$180,$A76)+
COUNTIFS(ANNOUNCEMENTS!$J$2:$J$180,$A$73,ANNOUNCEMENTS!$AD$2:$AD$180,J$73,ANNOUNCEMENTS!$F$2:$F$180,$A76)</f>
        <v>0</v>
      </c>
      <c r="K76" s="197">
        <f>SUM(B76:J76)</f>
        <v>0</v>
      </c>
      <c r="L76" s="332" t="s">
        <v>331</v>
      </c>
      <c r="M76" s="333">
        <f>COUNTIFS(ANNOUNCEMENTS!$J$2:$J$180,$A$73,ANNOUNCEMENTS!$W$2:$W$180,M$73,ANNOUNCEMENTS!$F$2:$F$180,$A76)</f>
        <v>0</v>
      </c>
      <c r="N76" s="333">
        <f>COUNTIFS(ANNOUNCEMENTS!$J$2:$J$180,$A$73,ANNOUNCEMENTS!$W$2:$W$180,N$73,ANNOUNCEMENTS!$F$2:$F$180,$A76)</f>
        <v>0</v>
      </c>
      <c r="O76" s="333">
        <f>COUNTIFS(ANNOUNCEMENTS!$J$2:$J$180,$A$73,ANNOUNCEMENTS!$W$2:$W$180,O$73,ANNOUNCEMENTS!$F$2:$F$180,$A76)</f>
        <v>0</v>
      </c>
      <c r="P76" s="333">
        <f>COUNTIFS(ANNOUNCEMENTS!$J$2:$J$180,$A$73,ANNOUNCEMENTS!$W$2:$W$180,P$73,ANNOUNCEMENTS!$F$2:$F$180,$A76)</f>
        <v>0</v>
      </c>
      <c r="Q76" s="333">
        <f>COUNTIFS(ANNOUNCEMENTS!$J$2:$J$180,$A$73,ANNOUNCEMENTS!$W$2:$W$180,Q$73,ANNOUNCEMENTS!$F$2:$F$180,$A76)</f>
        <v>0</v>
      </c>
      <c r="R76" s="333">
        <f>COUNTIFS(ANNOUNCEMENTS!$J$2:$J$180,$A$73,ANNOUNCEMENTS!$W$2:$W$180,R$73,ANNOUNCEMENTS!$F$2:$F$180,$A76)</f>
        <v>0</v>
      </c>
      <c r="S76" s="333">
        <f>COUNTIFS(ANNOUNCEMENTS!$J$2:$J$180,$A$73,ANNOUNCEMENTS!$W$2:$W$180,S$73,ANNOUNCEMENTS!$F$2:$F$180,$A76)</f>
        <v>0</v>
      </c>
      <c r="T76" s="197">
        <f>SUM(M76:S76)</f>
        <v>0</v>
      </c>
      <c r="U76" s="332" t="s">
        <v>331</v>
      </c>
      <c r="V76" s="165">
        <f t="shared" si="16"/>
        <v>0</v>
      </c>
      <c r="W76" s="165">
        <f t="shared" si="16"/>
        <v>0</v>
      </c>
      <c r="X76" s="165">
        <f t="shared" si="16"/>
        <v>0</v>
      </c>
      <c r="Y76" s="165">
        <f t="shared" si="16"/>
        <v>0</v>
      </c>
      <c r="Z76" s="165">
        <f t="shared" si="16"/>
        <v>0</v>
      </c>
      <c r="AA76" s="165">
        <f t="shared" si="16"/>
        <v>0</v>
      </c>
      <c r="AB76" s="165">
        <f t="shared" si="16"/>
        <v>0</v>
      </c>
      <c r="AC76" s="165">
        <f t="shared" si="16"/>
        <v>0</v>
      </c>
      <c r="AD76" s="165">
        <f t="shared" si="16"/>
        <v>0</v>
      </c>
      <c r="AE76" s="165">
        <f>IF(ISERROR(K76/SUM($B76:$J76)),0,K76/SUM($B76:$J76))</f>
        <v>0</v>
      </c>
      <c r="AF76" s="165">
        <f t="shared" ref="AF76:AK77" si="18">IF(ISERROR(N76/SUM($M76:$S76)),0,N76/SUM($M76:$S76))</f>
        <v>0</v>
      </c>
      <c r="AG76" s="165">
        <f t="shared" si="18"/>
        <v>0</v>
      </c>
      <c r="AH76" s="165">
        <f t="shared" si="18"/>
        <v>0</v>
      </c>
      <c r="AI76" s="165">
        <f t="shared" si="18"/>
        <v>0</v>
      </c>
      <c r="AJ76" s="165">
        <f t="shared" si="18"/>
        <v>0</v>
      </c>
      <c r="AK76" s="165">
        <f t="shared" si="18"/>
        <v>0</v>
      </c>
    </row>
    <row r="77" spans="1:43" x14ac:dyDescent="0.35">
      <c r="A77" s="332" t="s">
        <v>320</v>
      </c>
      <c r="B77" s="333">
        <f>COUNTIFS(ANNOUNCEMENTS!$J$2:$J$180,$A$73,ANNOUNCEMENTS!$Z$2:$Z$180,B$73,ANNOUNCEMENTS!$F$2:$F$180,$A77)+
COUNTIFS(ANNOUNCEMENTS!$J$2:$J$180,$A$73,ANNOUNCEMENTS!$AB$2:$AB$180,B$73,ANNOUNCEMENTS!$F$2:$F$180,$A77)+
COUNTIFS(ANNOUNCEMENTS!$J$2:$J$180,$A$73,ANNOUNCEMENTS!$AD$2:$AD$180,B$73,ANNOUNCEMENTS!$F$2:$F$180,$A77)</f>
        <v>0</v>
      </c>
      <c r="C77" s="333">
        <f>COUNTIFS(ANNOUNCEMENTS!$J$2:$J$180,$A$73,ANNOUNCEMENTS!$Z$2:$Z$180,C$73,ANNOUNCEMENTS!$F$2:$F$180,$A77)+
COUNTIFS(ANNOUNCEMENTS!$J$2:$J$180,$A$73,ANNOUNCEMENTS!$AB$2:$AB$180,C$73,ANNOUNCEMENTS!$F$2:$F$180,$A77)+
COUNTIFS(ANNOUNCEMENTS!$J$2:$J$180,$A$73,ANNOUNCEMENTS!$AD$2:$AD$180,C$73,ANNOUNCEMENTS!$F$2:$F$180,$A77)</f>
        <v>0</v>
      </c>
      <c r="D77" s="333">
        <f>COUNTIFS(ANNOUNCEMENTS!$J$2:$J$180,$A$73,ANNOUNCEMENTS!$Z$2:$Z$180,D$73,ANNOUNCEMENTS!$F$2:$F$180,$A77)+
COUNTIFS(ANNOUNCEMENTS!$J$2:$J$180,$A$73,ANNOUNCEMENTS!$AB$2:$AB$180,D$73,ANNOUNCEMENTS!$F$2:$F$180,$A77)+
COUNTIFS(ANNOUNCEMENTS!$J$2:$J$180,$A$73,ANNOUNCEMENTS!$AD$2:$AD$180,D$73,ANNOUNCEMENTS!$F$2:$F$180,$A77)</f>
        <v>2</v>
      </c>
      <c r="E77" s="333">
        <f>COUNTIFS(ANNOUNCEMENTS!$J$2:$J$180,$A$73,ANNOUNCEMENTS!$Z$2:$Z$180,E$73,ANNOUNCEMENTS!$F$2:$F$180,$A77)+
COUNTIFS(ANNOUNCEMENTS!$J$2:$J$180,$A$73,ANNOUNCEMENTS!$AB$2:$AB$180,E$73,ANNOUNCEMENTS!$F$2:$F$180,$A77)+
COUNTIFS(ANNOUNCEMENTS!$J$2:$J$180,$A$73,ANNOUNCEMENTS!$AD$2:$AD$180,E$73,ANNOUNCEMENTS!$F$2:$F$180,$A77)</f>
        <v>0</v>
      </c>
      <c r="F77" s="333">
        <f>COUNTIFS(ANNOUNCEMENTS!$J$2:$J$180,$A$73,ANNOUNCEMENTS!$Z$2:$Z$180,F$73,ANNOUNCEMENTS!$F$2:$F$180,$A77)+
COUNTIFS(ANNOUNCEMENTS!$J$2:$J$180,$A$73,ANNOUNCEMENTS!$AB$2:$AB$180,F$73,ANNOUNCEMENTS!$F$2:$F$180,$A77)+
COUNTIFS(ANNOUNCEMENTS!$J$2:$J$180,$A$73,ANNOUNCEMENTS!$AD$2:$AD$180,F$73,ANNOUNCEMENTS!$F$2:$F$180,$A77)</f>
        <v>1</v>
      </c>
      <c r="G77" s="333">
        <f>COUNTIFS(ANNOUNCEMENTS!$J$2:$J$180,$A$73,ANNOUNCEMENTS!$Z$2:$Z$180,G$73,ANNOUNCEMENTS!$F$2:$F$180,$A77)+
COUNTIFS(ANNOUNCEMENTS!$J$2:$J$180,$A$73,ANNOUNCEMENTS!$AB$2:$AB$180,G$73,ANNOUNCEMENTS!$F$2:$F$180,$A77)+
COUNTIFS(ANNOUNCEMENTS!$J$2:$J$180,$A$73,ANNOUNCEMENTS!$AD$2:$AD$180,G$73,ANNOUNCEMENTS!$F$2:$F$180,$A77)</f>
        <v>0</v>
      </c>
      <c r="H77" s="333">
        <f>COUNTIFS(ANNOUNCEMENTS!$J$2:$J$180,$A$73,ANNOUNCEMENTS!$Z$2:$Z$180,H$73,ANNOUNCEMENTS!$F$2:$F$180,$A77)+
COUNTIFS(ANNOUNCEMENTS!$J$2:$J$180,$A$73,ANNOUNCEMENTS!$AB$2:$AB$180,H$73,ANNOUNCEMENTS!$F$2:$F$180,$A77)+
COUNTIFS(ANNOUNCEMENTS!$J$2:$J$180,$A$73,ANNOUNCEMENTS!$AD$2:$AD$180,H$73,ANNOUNCEMENTS!$F$2:$F$180,$A77)</f>
        <v>0</v>
      </c>
      <c r="I77" s="333">
        <f>COUNTIFS(ANNOUNCEMENTS!$J$2:$J$180,$A$73,ANNOUNCEMENTS!$Z$2:$Z$180,I$73,ANNOUNCEMENTS!$F$2:$F$180,$A77)+
COUNTIFS(ANNOUNCEMENTS!$J$2:$J$180,$A$73,ANNOUNCEMENTS!$AB$2:$AB$180,I$73,ANNOUNCEMENTS!$F$2:$F$180,$A77)+
COUNTIFS(ANNOUNCEMENTS!$J$2:$J$180,$A$73,ANNOUNCEMENTS!$AD$2:$AD$180,I$73,ANNOUNCEMENTS!$F$2:$F$180,$A77)</f>
        <v>0</v>
      </c>
      <c r="J77" s="333">
        <f>COUNTIFS(ANNOUNCEMENTS!$J$2:$J$180,$A$73,ANNOUNCEMENTS!$Z$2:$Z$180,J$73,ANNOUNCEMENTS!$F$2:$F$180,$A77)+
COUNTIFS(ANNOUNCEMENTS!$J$2:$J$180,$A$73,ANNOUNCEMENTS!$AB$2:$AB$180,J$73,ANNOUNCEMENTS!$F$2:$F$180,$A77)+
COUNTIFS(ANNOUNCEMENTS!$J$2:$J$180,$A$73,ANNOUNCEMENTS!$AD$2:$AD$180,J$73,ANNOUNCEMENTS!$F$2:$F$180,$A77)</f>
        <v>0</v>
      </c>
      <c r="K77" s="197">
        <f>SUM(B77:J77)</f>
        <v>3</v>
      </c>
      <c r="L77" s="332" t="s">
        <v>320</v>
      </c>
      <c r="M77" s="333">
        <f>COUNTIFS(ANNOUNCEMENTS!$J$2:$J$180,$A$73,ANNOUNCEMENTS!$W$2:$W$180,M$73,ANNOUNCEMENTS!$F$2:$F$180,$A77)</f>
        <v>0</v>
      </c>
      <c r="N77" s="333">
        <f>COUNTIFS(ANNOUNCEMENTS!$J$2:$J$180,$A$73,ANNOUNCEMENTS!$W$2:$W$180,N$73,ANNOUNCEMENTS!$F$2:$F$180,$A77)</f>
        <v>1</v>
      </c>
      <c r="O77" s="333">
        <f>COUNTIFS(ANNOUNCEMENTS!$J$2:$J$180,$A$73,ANNOUNCEMENTS!$W$2:$W$180,O$73,ANNOUNCEMENTS!$F$2:$F$180,$A77)</f>
        <v>0</v>
      </c>
      <c r="P77" s="333">
        <f>COUNTIFS(ANNOUNCEMENTS!$J$2:$J$180,$A$73,ANNOUNCEMENTS!$W$2:$W$180,P$73,ANNOUNCEMENTS!$F$2:$F$180,$A77)</f>
        <v>2</v>
      </c>
      <c r="Q77" s="333">
        <f>COUNTIFS(ANNOUNCEMENTS!$J$2:$J$180,$A$73,ANNOUNCEMENTS!$W$2:$W$180,Q$73,ANNOUNCEMENTS!$F$2:$F$180,$A77)</f>
        <v>0</v>
      </c>
      <c r="R77" s="333">
        <f>COUNTIFS(ANNOUNCEMENTS!$J$2:$J$180,$A$73,ANNOUNCEMENTS!$W$2:$W$180,R$73,ANNOUNCEMENTS!$F$2:$F$180,$A77)</f>
        <v>0</v>
      </c>
      <c r="S77" s="333">
        <f>COUNTIFS(ANNOUNCEMENTS!$J$2:$J$180,$A$73,ANNOUNCEMENTS!$W$2:$W$180,S$73,ANNOUNCEMENTS!$F$2:$F$180,$A77)</f>
        <v>0</v>
      </c>
      <c r="T77" s="197">
        <f>SUM(M77:S77)</f>
        <v>3</v>
      </c>
      <c r="U77" s="332" t="s">
        <v>320</v>
      </c>
      <c r="V77" s="165">
        <f t="shared" si="16"/>
        <v>0</v>
      </c>
      <c r="W77" s="165">
        <f t="shared" si="16"/>
        <v>0</v>
      </c>
      <c r="X77" s="165">
        <f t="shared" si="16"/>
        <v>0.66666666666666663</v>
      </c>
      <c r="Y77" s="165">
        <f t="shared" si="16"/>
        <v>0</v>
      </c>
      <c r="Z77" s="165">
        <f t="shared" si="16"/>
        <v>0.33333333333333331</v>
      </c>
      <c r="AA77" s="165">
        <f t="shared" si="16"/>
        <v>0</v>
      </c>
      <c r="AB77" s="165">
        <f t="shared" si="16"/>
        <v>0</v>
      </c>
      <c r="AC77" s="165">
        <f t="shared" si="16"/>
        <v>0</v>
      </c>
      <c r="AD77" s="165">
        <f t="shared" si="16"/>
        <v>0</v>
      </c>
      <c r="AE77" s="165">
        <f>IF(ISERROR(M77/SUM($M77:$S77)),0,M77/SUM($M77:$S77))</f>
        <v>0</v>
      </c>
      <c r="AF77" s="165">
        <f t="shared" si="18"/>
        <v>0.33333333333333331</v>
      </c>
      <c r="AG77" s="165">
        <f t="shared" si="18"/>
        <v>0</v>
      </c>
      <c r="AH77" s="165">
        <f t="shared" si="18"/>
        <v>0.66666666666666663</v>
      </c>
      <c r="AI77" s="165">
        <f t="shared" si="18"/>
        <v>0</v>
      </c>
      <c r="AJ77" s="165">
        <f t="shared" si="18"/>
        <v>0</v>
      </c>
      <c r="AK77" s="165">
        <f t="shared" si="18"/>
        <v>0</v>
      </c>
    </row>
    <row r="78" spans="1:43" ht="15" thickBot="1" x14ac:dyDescent="0.4">
      <c r="A78" s="297" t="s">
        <v>2084</v>
      </c>
      <c r="B78" s="330">
        <f t="shared" ref="B78:J78" si="19">SUM(B74:B77)</f>
        <v>18</v>
      </c>
      <c r="C78" s="330">
        <f t="shared" si="19"/>
        <v>2</v>
      </c>
      <c r="D78" s="330">
        <f t="shared" si="19"/>
        <v>7</v>
      </c>
      <c r="E78" s="330">
        <f t="shared" si="19"/>
        <v>3</v>
      </c>
      <c r="F78" s="330">
        <f t="shared" si="19"/>
        <v>19</v>
      </c>
      <c r="G78" s="330">
        <f t="shared" si="19"/>
        <v>7</v>
      </c>
      <c r="H78" s="330">
        <f t="shared" si="19"/>
        <v>0</v>
      </c>
      <c r="I78" s="330">
        <f t="shared" si="19"/>
        <v>1</v>
      </c>
      <c r="J78" s="330">
        <f t="shared" si="19"/>
        <v>8</v>
      </c>
      <c r="K78" s="197">
        <f>SUM(B74:J77)</f>
        <v>65</v>
      </c>
      <c r="L78" s="297" t="s">
        <v>2084</v>
      </c>
      <c r="M78" s="330">
        <f t="shared" ref="M78:S78" si="20">SUM(M74:M77)</f>
        <v>3</v>
      </c>
      <c r="N78" s="330">
        <f t="shared" si="20"/>
        <v>27</v>
      </c>
      <c r="O78" s="330">
        <f t="shared" si="20"/>
        <v>2</v>
      </c>
      <c r="P78" s="330">
        <f t="shared" si="20"/>
        <v>15</v>
      </c>
      <c r="Q78" s="330">
        <f t="shared" si="20"/>
        <v>1</v>
      </c>
      <c r="R78" s="330">
        <f t="shared" si="20"/>
        <v>5</v>
      </c>
      <c r="S78" s="330">
        <f t="shared" si="20"/>
        <v>1</v>
      </c>
      <c r="T78" s="198">
        <f>SUM(M74:S77)</f>
        <v>54</v>
      </c>
      <c r="U78" s="297"/>
      <c r="V78" s="331"/>
      <c r="W78" s="331"/>
      <c r="X78" s="331"/>
      <c r="Y78" s="331"/>
      <c r="Z78" s="331"/>
      <c r="AA78" s="331"/>
      <c r="AB78" s="331"/>
      <c r="AC78" s="331"/>
      <c r="AD78" s="331"/>
      <c r="AE78" s="330"/>
      <c r="AF78" s="330"/>
      <c r="AG78" s="330"/>
      <c r="AH78" s="330"/>
      <c r="AI78" s="330"/>
      <c r="AJ78" s="330"/>
      <c r="AK78" s="330"/>
    </row>
    <row r="79" spans="1:43" ht="15" thickTop="1" x14ac:dyDescent="0.35">
      <c r="A79" s="297" t="s">
        <v>2167</v>
      </c>
      <c r="B79" s="162">
        <f t="shared" ref="B79:J79" si="21">B78/SUM($B$78:$J$78)</f>
        <v>0.27692307692307694</v>
      </c>
      <c r="C79" s="162">
        <f t="shared" si="21"/>
        <v>3.0769230769230771E-2</v>
      </c>
      <c r="D79" s="162">
        <f t="shared" si="21"/>
        <v>0.1076923076923077</v>
      </c>
      <c r="E79" s="162">
        <f t="shared" si="21"/>
        <v>4.6153846153846156E-2</v>
      </c>
      <c r="F79" s="162">
        <f t="shared" si="21"/>
        <v>0.29230769230769232</v>
      </c>
      <c r="G79" s="162">
        <f t="shared" si="21"/>
        <v>0.1076923076923077</v>
      </c>
      <c r="H79" s="162">
        <f t="shared" si="21"/>
        <v>0</v>
      </c>
      <c r="I79" s="162">
        <f t="shared" si="21"/>
        <v>1.5384615384615385E-2</v>
      </c>
      <c r="J79" s="162">
        <f t="shared" si="21"/>
        <v>0.12307692307692308</v>
      </c>
      <c r="K79" s="197"/>
      <c r="L79" s="297" t="s">
        <v>2167</v>
      </c>
      <c r="M79" s="163">
        <f t="shared" ref="M79:S79" si="22">M78/SUM($M$78:$S$78)</f>
        <v>5.5555555555555552E-2</v>
      </c>
      <c r="N79" s="163">
        <f t="shared" si="22"/>
        <v>0.5</v>
      </c>
      <c r="O79" s="163">
        <f t="shared" si="22"/>
        <v>3.7037037037037035E-2</v>
      </c>
      <c r="P79" s="163">
        <f t="shared" si="22"/>
        <v>0.27777777777777779</v>
      </c>
      <c r="Q79" s="163">
        <f t="shared" si="22"/>
        <v>1.8518518518518517E-2</v>
      </c>
      <c r="R79" s="163">
        <f t="shared" si="22"/>
        <v>9.2592592592592587E-2</v>
      </c>
      <c r="S79" s="163">
        <f t="shared" si="22"/>
        <v>1.8518518518518517E-2</v>
      </c>
      <c r="T79" s="197"/>
      <c r="U79" s="297"/>
      <c r="V79" s="162"/>
      <c r="W79" s="162"/>
      <c r="X79" s="162"/>
      <c r="Y79" s="162"/>
      <c r="Z79" s="162"/>
      <c r="AA79" s="162"/>
      <c r="AB79" s="162"/>
      <c r="AC79" s="162"/>
      <c r="AD79" s="162"/>
      <c r="AE79" s="161"/>
      <c r="AF79" s="161"/>
      <c r="AG79" s="161"/>
      <c r="AH79" s="161"/>
      <c r="AI79" s="161"/>
      <c r="AJ79" s="161"/>
      <c r="AK79" s="161"/>
    </row>
    <row r="80" spans="1:43" x14ac:dyDescent="0.35">
      <c r="A80" s="329" t="s">
        <v>2223</v>
      </c>
      <c r="B80" s="327">
        <f>D79+F79</f>
        <v>0.4</v>
      </c>
      <c r="K80" s="197"/>
      <c r="L80" s="329" t="s">
        <v>2226</v>
      </c>
      <c r="M80" s="327">
        <f>SUM(M79:O79)</f>
        <v>0.59259259259259256</v>
      </c>
      <c r="O80" s="327"/>
      <c r="T80" s="197"/>
    </row>
    <row r="81" spans="1:37" x14ac:dyDescent="0.35">
      <c r="A81" s="329" t="s">
        <v>2222</v>
      </c>
      <c r="B81" s="327">
        <f>B79+J79+C79</f>
        <v>0.43076923076923079</v>
      </c>
      <c r="K81" s="197"/>
      <c r="L81" s="329" t="s">
        <v>2224</v>
      </c>
      <c r="M81" s="327">
        <f>SUM(R79:S79)</f>
        <v>0.1111111111111111</v>
      </c>
      <c r="O81" s="327"/>
      <c r="T81" s="197"/>
    </row>
    <row r="82" spans="1:37" ht="26" x14ac:dyDescent="0.6">
      <c r="A82" s="318" t="s">
        <v>2147</v>
      </c>
      <c r="C82" s="21"/>
      <c r="K82" s="197"/>
      <c r="L82" s="318" t="s">
        <v>2147</v>
      </c>
      <c r="P82" s="298"/>
      <c r="Q82" s="337"/>
      <c r="R82" s="158"/>
      <c r="S82" s="158"/>
      <c r="T82" s="197"/>
    </row>
    <row r="83" spans="1:37" x14ac:dyDescent="0.35">
      <c r="A83" s="322" t="s">
        <v>273</v>
      </c>
      <c r="B83" s="336" t="str" cm="1">
        <f t="array" ref="B83:J83">TRANSPOSE(_xlfn.UNIQUE(ANNOUNCEMENTS!Z2:Z180))</f>
        <v>Joint D&amp;D</v>
      </c>
      <c r="C83" s="336" t="str">
        <v>Joint Production</v>
      </c>
      <c r="D83" s="336" t="str">
        <v>Joint Service Agreement</v>
      </c>
      <c r="E83" s="336" t="str">
        <v>Other</v>
      </c>
      <c r="F83" s="336" t="str">
        <v>Supply Partnership (extended)</v>
      </c>
      <c r="G83" s="335" t="str">
        <v>Research &amp; Collaboration</v>
      </c>
      <c r="H83" s="335" t="str">
        <v>Licensing</v>
      </c>
      <c r="I83" s="335" t="str">
        <v>Marketing Agreement</v>
      </c>
      <c r="J83" s="335" t="str">
        <v>Supply Partnership (traditional)</v>
      </c>
      <c r="K83" s="197"/>
      <c r="L83" s="322" t="s">
        <v>273</v>
      </c>
      <c r="M83" s="334" t="str" cm="1">
        <f t="array" ref="M83:S83">TRANSPOSE(_xlfn._xlws.SORT(_xlfn.ANCHORARRAY(BP16),1))</f>
        <v>1. Informal Agreement</v>
      </c>
      <c r="N83" s="334" t="str">
        <v>2.1. Short term Alliance (no exclusivity / previous experience)</v>
      </c>
      <c r="O83" s="334" t="str">
        <v xml:space="preserve">2.2. Renewed Alliance </v>
      </c>
      <c r="P83" s="334" t="str">
        <v>2.3. Long term Alliance</v>
      </c>
      <c r="Q83" s="334" t="str">
        <v>2.4. Exclusive Alliance</v>
      </c>
      <c r="R83" s="334" t="str">
        <v>3. Strategic Partnership</v>
      </c>
      <c r="S83" s="334" t="str">
        <v>4. Joint Venture</v>
      </c>
      <c r="T83" s="197"/>
      <c r="U83" s="322" t="s">
        <v>273</v>
      </c>
      <c r="V83" s="336" t="str" cm="1">
        <f t="array" ref="V83:AD83">TRANSPOSE(_xlfn.UNIQUE(ANNOUNCEMENTS!Z2:Z180))</f>
        <v>Joint D&amp;D</v>
      </c>
      <c r="W83" s="336" t="str">
        <v>Joint Production</v>
      </c>
      <c r="X83" s="336" t="str">
        <v>Joint Service Agreement</v>
      </c>
      <c r="Y83" s="336" t="str">
        <v>Other</v>
      </c>
      <c r="Z83" s="336" t="str">
        <v>Supply Partnership (extended)</v>
      </c>
      <c r="AA83" s="335" t="str">
        <v>Research &amp; Collaboration</v>
      </c>
      <c r="AB83" s="335" t="str">
        <v>Licensing</v>
      </c>
      <c r="AC83" s="335" t="str">
        <v>Marketing Agreement</v>
      </c>
      <c r="AD83" s="335" t="str">
        <v>Supply Partnership (traditional)</v>
      </c>
      <c r="AE83" s="334" t="str" cm="1">
        <f t="array" ref="AE83:AK83">TRANSPOSE(_xlfn._xlws.SORT(_xlfn.ANCHORARRAY(BP16),1))</f>
        <v>1. Informal Agreement</v>
      </c>
      <c r="AF83" s="334" t="str">
        <v>2.1. Short term Alliance (no exclusivity / previous experience)</v>
      </c>
      <c r="AG83" s="334" t="str">
        <v xml:space="preserve">2.2. Renewed Alliance </v>
      </c>
      <c r="AH83" s="334" t="str">
        <v>2.3. Long term Alliance</v>
      </c>
      <c r="AI83" s="334" t="str">
        <v>2.4. Exclusive Alliance</v>
      </c>
      <c r="AJ83" s="334" t="str">
        <v>3. Strategic Partnership</v>
      </c>
      <c r="AK83" s="334" t="str">
        <v>4. Joint Venture</v>
      </c>
    </row>
    <row r="84" spans="1:37" x14ac:dyDescent="0.35">
      <c r="A84" s="332" t="s">
        <v>286</v>
      </c>
      <c r="B84" s="333">
        <f>COUNTIFS(ANNOUNCEMENTS!$J$2:$J$180,$A$83,ANNOUNCEMENTS!$Z$2:$Z$180,B$83,ANNOUNCEMENTS!$F$2:$F$180,$A84)+
COUNTIFS(ANNOUNCEMENTS!$J$2:$J$180,$A$83,ANNOUNCEMENTS!$AB$2:$AB$180,B$83,ANNOUNCEMENTS!$F$2:$F$180,$A84)+
COUNTIFS(ANNOUNCEMENTS!$J$2:$J$180,$A$83,ANNOUNCEMENTS!$AD$2:$AD$180,B$83,ANNOUNCEMENTS!$F$2:$F$180,$A84)</f>
        <v>1</v>
      </c>
      <c r="C84" s="333">
        <f>COUNTIFS(ANNOUNCEMENTS!$J$2:$J$180,$A$83,ANNOUNCEMENTS!$Z$2:$Z$180,C$83,ANNOUNCEMENTS!$F$2:$F$180,$A84)+
COUNTIFS(ANNOUNCEMENTS!$J$2:$J$180,$A$83,ANNOUNCEMENTS!$AB$2:$AB$180,C$83,ANNOUNCEMENTS!$F$2:$F$180,$A84)+
COUNTIFS(ANNOUNCEMENTS!$J$2:$J$180,$A$83,ANNOUNCEMENTS!$AD$2:$AD$180,C$83,ANNOUNCEMENTS!$F$2:$F$180,$A84)</f>
        <v>0</v>
      </c>
      <c r="D84" s="333">
        <f>COUNTIFS(ANNOUNCEMENTS!$J$2:$J$180,$A$83,ANNOUNCEMENTS!$Z$2:$Z$180,D$83,ANNOUNCEMENTS!$F$2:$F$180,$A84)+
COUNTIFS(ANNOUNCEMENTS!$J$2:$J$180,$A$83,ANNOUNCEMENTS!$AB$2:$AB$180,D$83,ANNOUNCEMENTS!$F$2:$F$180,$A84)+
COUNTIFS(ANNOUNCEMENTS!$J$2:$J$180,$A$83,ANNOUNCEMENTS!$AD$2:$AD$180,D$83,ANNOUNCEMENTS!$F$2:$F$180,$A84)</f>
        <v>6</v>
      </c>
      <c r="E84" s="333">
        <f>COUNTIFS(ANNOUNCEMENTS!$J$2:$J$180,$A$83,ANNOUNCEMENTS!$Z$2:$Z$180,E$83,ANNOUNCEMENTS!$F$2:$F$180,$A84)+
COUNTIFS(ANNOUNCEMENTS!$J$2:$J$180,$A$83,ANNOUNCEMENTS!$AB$2:$AB$180,E$83,ANNOUNCEMENTS!$F$2:$F$180,$A84)+
COUNTIFS(ANNOUNCEMENTS!$J$2:$J$180,$A$83,ANNOUNCEMENTS!$AD$2:$AD$180,E$83,ANNOUNCEMENTS!$F$2:$F$180,$A84)</f>
        <v>0</v>
      </c>
      <c r="F84" s="333">
        <f>COUNTIFS(ANNOUNCEMENTS!$J$2:$J$180,$A$83,ANNOUNCEMENTS!$Z$2:$Z$180,F$83,ANNOUNCEMENTS!$F$2:$F$180,$A84)+
COUNTIFS(ANNOUNCEMENTS!$J$2:$J$180,$A$83,ANNOUNCEMENTS!$AB$2:$AB$180,F$83,ANNOUNCEMENTS!$F$2:$F$180,$A84)+
COUNTIFS(ANNOUNCEMENTS!$J$2:$J$180,$A$83,ANNOUNCEMENTS!$AD$2:$AD$180,F$83,ANNOUNCEMENTS!$F$2:$F$180,$A84)</f>
        <v>1</v>
      </c>
      <c r="G84" s="333">
        <f>COUNTIFS(ANNOUNCEMENTS!$J$2:$J$180,$A$83,ANNOUNCEMENTS!$Z$2:$Z$180,G$83,ANNOUNCEMENTS!$F$2:$F$180,$A84)+
COUNTIFS(ANNOUNCEMENTS!$J$2:$J$180,$A$83,ANNOUNCEMENTS!$AB$2:$AB$180,G$83,ANNOUNCEMENTS!$F$2:$F$180,$A84)+
COUNTIFS(ANNOUNCEMENTS!$J$2:$J$180,$A$83,ANNOUNCEMENTS!$AD$2:$AD$180,G$83,ANNOUNCEMENTS!$F$2:$F$180,$A84)</f>
        <v>3</v>
      </c>
      <c r="H84" s="333">
        <f>COUNTIFS(ANNOUNCEMENTS!$J$2:$J$180,$A$83,ANNOUNCEMENTS!$Z$2:$Z$180,H$83,ANNOUNCEMENTS!$F$2:$F$180,$A84)+
COUNTIFS(ANNOUNCEMENTS!$J$2:$J$180,$A$83,ANNOUNCEMENTS!$AB$2:$AB$180,H$83,ANNOUNCEMENTS!$F$2:$F$180,$A84)+
COUNTIFS(ANNOUNCEMENTS!$J$2:$J$180,$A$83,ANNOUNCEMENTS!$AD$2:$AD$180,H$83,ANNOUNCEMENTS!$F$2:$F$180,$A84)</f>
        <v>0</v>
      </c>
      <c r="I84" s="333">
        <f>COUNTIFS(ANNOUNCEMENTS!$J$2:$J$180,$A$83,ANNOUNCEMENTS!$Z$2:$Z$180,I$83,ANNOUNCEMENTS!$F$2:$F$180,$A84)+
COUNTIFS(ANNOUNCEMENTS!$J$2:$J$180,$A$83,ANNOUNCEMENTS!$AB$2:$AB$180,I$83,ANNOUNCEMENTS!$F$2:$F$180,$A84)+
COUNTIFS(ANNOUNCEMENTS!$J$2:$J$180,$A$83,ANNOUNCEMENTS!$AD$2:$AD$180,I$83,ANNOUNCEMENTS!$F$2:$F$180,$A84)</f>
        <v>0</v>
      </c>
      <c r="J84" s="333">
        <f>COUNTIFS(ANNOUNCEMENTS!$J$2:$J$180,$A$83,ANNOUNCEMENTS!$Z$2:$Z$180,J$83,ANNOUNCEMENTS!$F$2:$F$180,$A84)+
COUNTIFS(ANNOUNCEMENTS!$J$2:$J$180,$A$83,ANNOUNCEMENTS!$AB$2:$AB$180,J$83,ANNOUNCEMENTS!$F$2:$F$180,$A84)+
COUNTIFS(ANNOUNCEMENTS!$J$2:$J$180,$A$83,ANNOUNCEMENTS!$AD$2:$AD$180,J$83,ANNOUNCEMENTS!$F$2:$F$180,$A84)</f>
        <v>0</v>
      </c>
      <c r="K84" s="197">
        <f>SUM(B84:J84)</f>
        <v>11</v>
      </c>
      <c r="L84" s="332" t="s">
        <v>286</v>
      </c>
      <c r="M84" s="333">
        <f>COUNTIFS(ANNOUNCEMENTS!$J$2:$J$180,$A$83,ANNOUNCEMENTS!$W$2:$W$180,M$83,ANNOUNCEMENTS!$F$2:$F$180,$A84)</f>
        <v>0</v>
      </c>
      <c r="N84" s="333">
        <f>COUNTIFS(ANNOUNCEMENTS!$J$2:$J$180,$A$83,ANNOUNCEMENTS!$W$2:$W$180,N$83,ANNOUNCEMENTS!$F$2:$F$180,$A84)</f>
        <v>6</v>
      </c>
      <c r="O84" s="333">
        <f>COUNTIFS(ANNOUNCEMENTS!$J$2:$J$180,$A$83,ANNOUNCEMENTS!$W$2:$W$180,O$83,ANNOUNCEMENTS!$F$2:$F$180,$A84)</f>
        <v>0</v>
      </c>
      <c r="P84" s="333">
        <f>COUNTIFS(ANNOUNCEMENTS!$J$2:$J$180,$A$83,ANNOUNCEMENTS!$W$2:$W$180,P$83,ANNOUNCEMENTS!$F$2:$F$180,$A84)</f>
        <v>1</v>
      </c>
      <c r="Q84" s="333">
        <f>COUNTIFS(ANNOUNCEMENTS!$J$2:$J$180,$A$83,ANNOUNCEMENTS!$W$2:$W$180,Q$83,ANNOUNCEMENTS!$F$2:$F$180,$A84)</f>
        <v>1</v>
      </c>
      <c r="R84" s="333">
        <f>COUNTIFS(ANNOUNCEMENTS!$J$2:$J$180,$A$83,ANNOUNCEMENTS!$W$2:$W$180,R$83,ANNOUNCEMENTS!$F$2:$F$180,$A84)</f>
        <v>1</v>
      </c>
      <c r="S84" s="333">
        <f>COUNTIFS(ANNOUNCEMENTS!$J$2:$J$180,$A$83,ANNOUNCEMENTS!$W$2:$W$180,S$83,ANNOUNCEMENTS!$F$2:$F$180,$A84)</f>
        <v>0</v>
      </c>
      <c r="T84" s="197">
        <f>SUM(M84:S84)</f>
        <v>9</v>
      </c>
      <c r="U84" s="332" t="s">
        <v>286</v>
      </c>
      <c r="V84" s="165">
        <f t="shared" ref="V84:AD87" si="23">IF(ISERROR(B84/SUM($B84:$J84)),0,B84/SUM($B84:$J84))</f>
        <v>9.0909090909090912E-2</v>
      </c>
      <c r="W84" s="165">
        <f t="shared" si="23"/>
        <v>0</v>
      </c>
      <c r="X84" s="165">
        <f t="shared" si="23"/>
        <v>0.54545454545454541</v>
      </c>
      <c r="Y84" s="165">
        <f t="shared" si="23"/>
        <v>0</v>
      </c>
      <c r="Z84" s="165">
        <f t="shared" si="23"/>
        <v>9.0909090909090912E-2</v>
      </c>
      <c r="AA84" s="165">
        <f t="shared" si="23"/>
        <v>0.27272727272727271</v>
      </c>
      <c r="AB84" s="165">
        <f t="shared" si="23"/>
        <v>0</v>
      </c>
      <c r="AC84" s="165">
        <f t="shared" si="23"/>
        <v>0</v>
      </c>
      <c r="AD84" s="165">
        <f t="shared" si="23"/>
        <v>0</v>
      </c>
      <c r="AE84" s="165">
        <f t="shared" ref="AE84:AK87" si="24">IF(ISERROR(M84/SUM($M84:$S84)),0,M84/SUM($M84:$S84))</f>
        <v>0</v>
      </c>
      <c r="AF84" s="165">
        <f t="shared" si="24"/>
        <v>0.66666666666666663</v>
      </c>
      <c r="AG84" s="165">
        <f t="shared" si="24"/>
        <v>0</v>
      </c>
      <c r="AH84" s="165">
        <f t="shared" si="24"/>
        <v>0.1111111111111111</v>
      </c>
      <c r="AI84" s="165">
        <f t="shared" si="24"/>
        <v>0.1111111111111111</v>
      </c>
      <c r="AJ84" s="165">
        <f t="shared" si="24"/>
        <v>0.1111111111111111</v>
      </c>
      <c r="AK84" s="165">
        <f t="shared" si="24"/>
        <v>0</v>
      </c>
    </row>
    <row r="85" spans="1:37" x14ac:dyDescent="0.35">
      <c r="A85" s="332" t="s">
        <v>309</v>
      </c>
      <c r="B85" s="333">
        <f>COUNTIFS(ANNOUNCEMENTS!$J$2:$J$180,$A$83,ANNOUNCEMENTS!$Z$2:$Z$180,B$83,ANNOUNCEMENTS!$F$2:$F$180,$A85)+
COUNTIFS(ANNOUNCEMENTS!$J$2:$J$180,$A$83,ANNOUNCEMENTS!$AB$2:$AB$180,B$83,ANNOUNCEMENTS!$F$2:$F$180,$A85)+
COUNTIFS(ANNOUNCEMENTS!$J$2:$J$180,$A$83,ANNOUNCEMENTS!$AD$2:$AD$180,B$83,ANNOUNCEMENTS!$F$2:$F$180,$A85)</f>
        <v>1</v>
      </c>
      <c r="C85" s="333">
        <f>COUNTIFS(ANNOUNCEMENTS!$J$2:$J$180,$A$83,ANNOUNCEMENTS!$Z$2:$Z$180,C$83,ANNOUNCEMENTS!$F$2:$F$180,$A85)+
COUNTIFS(ANNOUNCEMENTS!$J$2:$J$180,$A$83,ANNOUNCEMENTS!$AB$2:$AB$180,C$83,ANNOUNCEMENTS!$F$2:$F$180,$A85)+
COUNTIFS(ANNOUNCEMENTS!$J$2:$J$180,$A$83,ANNOUNCEMENTS!$AD$2:$AD$180,C$83,ANNOUNCEMENTS!$F$2:$F$180,$A85)</f>
        <v>0</v>
      </c>
      <c r="D85" s="333">
        <f>COUNTIFS(ANNOUNCEMENTS!$J$2:$J$180,$A$83,ANNOUNCEMENTS!$Z$2:$Z$180,D$83,ANNOUNCEMENTS!$F$2:$F$180,$A85)+
COUNTIFS(ANNOUNCEMENTS!$J$2:$J$180,$A$83,ANNOUNCEMENTS!$AB$2:$AB$180,D$83,ANNOUNCEMENTS!$F$2:$F$180,$A85)+
COUNTIFS(ANNOUNCEMENTS!$J$2:$J$180,$A$83,ANNOUNCEMENTS!$AD$2:$AD$180,D$83,ANNOUNCEMENTS!$F$2:$F$180,$A85)</f>
        <v>11</v>
      </c>
      <c r="E85" s="333">
        <f>COUNTIFS(ANNOUNCEMENTS!$J$2:$J$180,$A$83,ANNOUNCEMENTS!$Z$2:$Z$180,E$83,ANNOUNCEMENTS!$F$2:$F$180,$A85)+
COUNTIFS(ANNOUNCEMENTS!$J$2:$J$180,$A$83,ANNOUNCEMENTS!$AB$2:$AB$180,E$83,ANNOUNCEMENTS!$F$2:$F$180,$A85)+
COUNTIFS(ANNOUNCEMENTS!$J$2:$J$180,$A$83,ANNOUNCEMENTS!$AD$2:$AD$180,E$83,ANNOUNCEMENTS!$F$2:$F$180,$A85)</f>
        <v>1</v>
      </c>
      <c r="F85" s="333">
        <f>COUNTIFS(ANNOUNCEMENTS!$J$2:$J$180,$A$83,ANNOUNCEMENTS!$Z$2:$Z$180,F$83,ANNOUNCEMENTS!$F$2:$F$180,$A85)+
COUNTIFS(ANNOUNCEMENTS!$J$2:$J$180,$A$83,ANNOUNCEMENTS!$AB$2:$AB$180,F$83,ANNOUNCEMENTS!$F$2:$F$180,$A85)+
COUNTIFS(ANNOUNCEMENTS!$J$2:$J$180,$A$83,ANNOUNCEMENTS!$AD$2:$AD$180,F$83,ANNOUNCEMENTS!$F$2:$F$180,$A85)</f>
        <v>0</v>
      </c>
      <c r="G85" s="333">
        <f>COUNTIFS(ANNOUNCEMENTS!$J$2:$J$180,$A$83,ANNOUNCEMENTS!$Z$2:$Z$180,G$83,ANNOUNCEMENTS!$F$2:$F$180,$A85)+
COUNTIFS(ANNOUNCEMENTS!$J$2:$J$180,$A$83,ANNOUNCEMENTS!$AB$2:$AB$180,G$83,ANNOUNCEMENTS!$F$2:$F$180,$A85)+
COUNTIFS(ANNOUNCEMENTS!$J$2:$J$180,$A$83,ANNOUNCEMENTS!$AD$2:$AD$180,G$83,ANNOUNCEMENTS!$F$2:$F$180,$A85)</f>
        <v>1</v>
      </c>
      <c r="H85" s="333">
        <f>COUNTIFS(ANNOUNCEMENTS!$J$2:$J$180,$A$83,ANNOUNCEMENTS!$Z$2:$Z$180,H$83,ANNOUNCEMENTS!$F$2:$F$180,$A85)+
COUNTIFS(ANNOUNCEMENTS!$J$2:$J$180,$A$83,ANNOUNCEMENTS!$AB$2:$AB$180,H$83,ANNOUNCEMENTS!$F$2:$F$180,$A85)+
COUNTIFS(ANNOUNCEMENTS!$J$2:$J$180,$A$83,ANNOUNCEMENTS!$AD$2:$AD$180,H$83,ANNOUNCEMENTS!$F$2:$F$180,$A85)</f>
        <v>0</v>
      </c>
      <c r="I85" s="333">
        <f>COUNTIFS(ANNOUNCEMENTS!$J$2:$J$180,$A$83,ANNOUNCEMENTS!$Z$2:$Z$180,I$83,ANNOUNCEMENTS!$F$2:$F$180,$A85)+
COUNTIFS(ANNOUNCEMENTS!$J$2:$J$180,$A$83,ANNOUNCEMENTS!$AB$2:$AB$180,I$83,ANNOUNCEMENTS!$F$2:$F$180,$A85)+
COUNTIFS(ANNOUNCEMENTS!$J$2:$J$180,$A$83,ANNOUNCEMENTS!$AD$2:$AD$180,I$83,ANNOUNCEMENTS!$F$2:$F$180,$A85)</f>
        <v>1</v>
      </c>
      <c r="J85" s="333">
        <f>COUNTIFS(ANNOUNCEMENTS!$J$2:$J$180,$A$83,ANNOUNCEMENTS!$Z$2:$Z$180,J$83,ANNOUNCEMENTS!$F$2:$F$180,$A85)+
COUNTIFS(ANNOUNCEMENTS!$J$2:$J$180,$A$83,ANNOUNCEMENTS!$AB$2:$AB$180,J$83,ANNOUNCEMENTS!$F$2:$F$180,$A85)+
COUNTIFS(ANNOUNCEMENTS!$J$2:$J$180,$A$83,ANNOUNCEMENTS!$AD$2:$AD$180,J$83,ANNOUNCEMENTS!$F$2:$F$180,$A85)</f>
        <v>0</v>
      </c>
      <c r="K85" s="197">
        <f>SUM(B85:J85)</f>
        <v>15</v>
      </c>
      <c r="L85" s="332" t="s">
        <v>309</v>
      </c>
      <c r="M85" s="333">
        <f>COUNTIFS(ANNOUNCEMENTS!$J$2:$J$180,$A$83,ANNOUNCEMENTS!$W$2:$W$180,M$83,ANNOUNCEMENTS!$F$2:$F$180,$A85)</f>
        <v>1</v>
      </c>
      <c r="N85" s="333">
        <f>COUNTIFS(ANNOUNCEMENTS!$J$2:$J$180,$A$83,ANNOUNCEMENTS!$W$2:$W$180,N$83,ANNOUNCEMENTS!$F$2:$F$180,$A85)</f>
        <v>10</v>
      </c>
      <c r="O85" s="333">
        <f>COUNTIFS(ANNOUNCEMENTS!$J$2:$J$180,$A$83,ANNOUNCEMENTS!$W$2:$W$180,O$83,ANNOUNCEMENTS!$F$2:$F$180,$A85)</f>
        <v>1</v>
      </c>
      <c r="P85" s="333">
        <f>COUNTIFS(ANNOUNCEMENTS!$J$2:$J$180,$A$83,ANNOUNCEMENTS!$W$2:$W$180,P$83,ANNOUNCEMENTS!$F$2:$F$180,$A85)</f>
        <v>2</v>
      </c>
      <c r="Q85" s="333">
        <f>COUNTIFS(ANNOUNCEMENTS!$J$2:$J$180,$A$83,ANNOUNCEMENTS!$W$2:$W$180,Q$83,ANNOUNCEMENTS!$F$2:$F$180,$A85)</f>
        <v>0</v>
      </c>
      <c r="R85" s="333">
        <f>COUNTIFS(ANNOUNCEMENTS!$J$2:$J$180,$A$83,ANNOUNCEMENTS!$W$2:$W$180,R$83,ANNOUNCEMENTS!$F$2:$F$180,$A85)</f>
        <v>1</v>
      </c>
      <c r="S85" s="333">
        <f>COUNTIFS(ANNOUNCEMENTS!$J$2:$J$180,$A$83,ANNOUNCEMENTS!$W$2:$W$180,S$83,ANNOUNCEMENTS!$F$2:$F$180,$A85)</f>
        <v>0</v>
      </c>
      <c r="T85" s="197">
        <f>SUM(M85:S85)</f>
        <v>15</v>
      </c>
      <c r="U85" s="332" t="s">
        <v>309</v>
      </c>
      <c r="V85" s="165">
        <f t="shared" si="23"/>
        <v>6.6666666666666666E-2</v>
      </c>
      <c r="W85" s="165">
        <f t="shared" si="23"/>
        <v>0</v>
      </c>
      <c r="X85" s="165">
        <f t="shared" si="23"/>
        <v>0.73333333333333328</v>
      </c>
      <c r="Y85" s="165">
        <f t="shared" si="23"/>
        <v>6.6666666666666666E-2</v>
      </c>
      <c r="Z85" s="165">
        <f t="shared" si="23"/>
        <v>0</v>
      </c>
      <c r="AA85" s="165">
        <f t="shared" si="23"/>
        <v>6.6666666666666666E-2</v>
      </c>
      <c r="AB85" s="165">
        <f t="shared" si="23"/>
        <v>0</v>
      </c>
      <c r="AC85" s="165">
        <f t="shared" si="23"/>
        <v>6.6666666666666666E-2</v>
      </c>
      <c r="AD85" s="165">
        <f t="shared" si="23"/>
        <v>0</v>
      </c>
      <c r="AE85" s="165">
        <f t="shared" si="24"/>
        <v>6.6666666666666666E-2</v>
      </c>
      <c r="AF85" s="165">
        <f t="shared" si="24"/>
        <v>0.66666666666666663</v>
      </c>
      <c r="AG85" s="165">
        <f t="shared" si="24"/>
        <v>6.6666666666666666E-2</v>
      </c>
      <c r="AH85" s="165">
        <f t="shared" si="24"/>
        <v>0.13333333333333333</v>
      </c>
      <c r="AI85" s="165">
        <f t="shared" si="24"/>
        <v>0</v>
      </c>
      <c r="AJ85" s="165">
        <f t="shared" si="24"/>
        <v>6.6666666666666666E-2</v>
      </c>
      <c r="AK85" s="165">
        <f t="shared" si="24"/>
        <v>0</v>
      </c>
    </row>
    <row r="86" spans="1:37" x14ac:dyDescent="0.35">
      <c r="A86" s="332" t="s">
        <v>331</v>
      </c>
      <c r="B86" s="333">
        <f>COUNTIFS(ANNOUNCEMENTS!$J$2:$J$180,$A$83,ANNOUNCEMENTS!$Z$2:$Z$180,B$83,ANNOUNCEMENTS!$F$2:$F$180,$A86)+
COUNTIFS(ANNOUNCEMENTS!$J$2:$J$180,$A$83,ANNOUNCEMENTS!$AB$2:$AB$180,B$83,ANNOUNCEMENTS!$F$2:$F$180,$A86)+
COUNTIFS(ANNOUNCEMENTS!$J$2:$J$180,$A$83,ANNOUNCEMENTS!$AD$2:$AD$180,B$83,ANNOUNCEMENTS!$F$2:$F$180,$A86)</f>
        <v>0</v>
      </c>
      <c r="C86" s="333">
        <f>COUNTIFS(ANNOUNCEMENTS!$J$2:$J$180,$A$83,ANNOUNCEMENTS!$Z$2:$Z$180,C$83,ANNOUNCEMENTS!$F$2:$F$180,$A86)+
COUNTIFS(ANNOUNCEMENTS!$J$2:$J$180,$A$83,ANNOUNCEMENTS!$AB$2:$AB$180,C$83,ANNOUNCEMENTS!$F$2:$F$180,$A86)+
COUNTIFS(ANNOUNCEMENTS!$J$2:$J$180,$A$83,ANNOUNCEMENTS!$AD$2:$AD$180,C$83,ANNOUNCEMENTS!$F$2:$F$180,$A86)</f>
        <v>0</v>
      </c>
      <c r="D86" s="333">
        <f>COUNTIFS(ANNOUNCEMENTS!$J$2:$J$180,$A$83,ANNOUNCEMENTS!$Z$2:$Z$180,D$83,ANNOUNCEMENTS!$F$2:$F$180,$A86)+
COUNTIFS(ANNOUNCEMENTS!$J$2:$J$180,$A$83,ANNOUNCEMENTS!$AB$2:$AB$180,D$83,ANNOUNCEMENTS!$F$2:$F$180,$A86)+
COUNTIFS(ANNOUNCEMENTS!$J$2:$J$180,$A$83,ANNOUNCEMENTS!$AD$2:$AD$180,D$83,ANNOUNCEMENTS!$F$2:$F$180,$A86)</f>
        <v>0</v>
      </c>
      <c r="E86" s="333">
        <f>COUNTIFS(ANNOUNCEMENTS!$J$2:$J$180,$A$83,ANNOUNCEMENTS!$Z$2:$Z$180,E$83,ANNOUNCEMENTS!$F$2:$F$180,$A86)+
COUNTIFS(ANNOUNCEMENTS!$J$2:$J$180,$A$83,ANNOUNCEMENTS!$AB$2:$AB$180,E$83,ANNOUNCEMENTS!$F$2:$F$180,$A86)+
COUNTIFS(ANNOUNCEMENTS!$J$2:$J$180,$A$83,ANNOUNCEMENTS!$AD$2:$AD$180,E$83,ANNOUNCEMENTS!$F$2:$F$180,$A86)</f>
        <v>0</v>
      </c>
      <c r="F86" s="333">
        <f>COUNTIFS(ANNOUNCEMENTS!$J$2:$J$180,$A$83,ANNOUNCEMENTS!$Z$2:$Z$180,F$83,ANNOUNCEMENTS!$F$2:$F$180,$A86)+
COUNTIFS(ANNOUNCEMENTS!$J$2:$J$180,$A$83,ANNOUNCEMENTS!$AB$2:$AB$180,F$83,ANNOUNCEMENTS!$F$2:$F$180,$A86)+
COUNTIFS(ANNOUNCEMENTS!$J$2:$J$180,$A$83,ANNOUNCEMENTS!$AD$2:$AD$180,F$83,ANNOUNCEMENTS!$F$2:$F$180,$A86)</f>
        <v>0</v>
      </c>
      <c r="G86" s="333">
        <f>COUNTIFS(ANNOUNCEMENTS!$J$2:$J$180,$A$83,ANNOUNCEMENTS!$Z$2:$Z$180,G$83,ANNOUNCEMENTS!$F$2:$F$180,$A86)+
COUNTIFS(ANNOUNCEMENTS!$J$2:$J$180,$A$83,ANNOUNCEMENTS!$AB$2:$AB$180,G$83,ANNOUNCEMENTS!$F$2:$F$180,$A86)+
COUNTIFS(ANNOUNCEMENTS!$J$2:$J$180,$A$83,ANNOUNCEMENTS!$AD$2:$AD$180,G$83,ANNOUNCEMENTS!$F$2:$F$180,$A86)</f>
        <v>0</v>
      </c>
      <c r="H86" s="333">
        <f>COUNTIFS(ANNOUNCEMENTS!$J$2:$J$180,$A$83,ANNOUNCEMENTS!$Z$2:$Z$180,H$83,ANNOUNCEMENTS!$F$2:$F$180,$A86)+
COUNTIFS(ANNOUNCEMENTS!$J$2:$J$180,$A$83,ANNOUNCEMENTS!$AB$2:$AB$180,H$83,ANNOUNCEMENTS!$F$2:$F$180,$A86)+
COUNTIFS(ANNOUNCEMENTS!$J$2:$J$180,$A$83,ANNOUNCEMENTS!$AD$2:$AD$180,H$83,ANNOUNCEMENTS!$F$2:$F$180,$A86)</f>
        <v>0</v>
      </c>
      <c r="I86" s="333">
        <f>COUNTIFS(ANNOUNCEMENTS!$J$2:$J$180,$A$83,ANNOUNCEMENTS!$Z$2:$Z$180,I$83,ANNOUNCEMENTS!$F$2:$F$180,$A86)+
COUNTIFS(ANNOUNCEMENTS!$J$2:$J$180,$A$83,ANNOUNCEMENTS!$AB$2:$AB$180,I$83,ANNOUNCEMENTS!$F$2:$F$180,$A86)+
COUNTIFS(ANNOUNCEMENTS!$J$2:$J$180,$A$83,ANNOUNCEMENTS!$AD$2:$AD$180,I$83,ANNOUNCEMENTS!$F$2:$F$180,$A86)</f>
        <v>0</v>
      </c>
      <c r="J86" s="333">
        <f>COUNTIFS(ANNOUNCEMENTS!$J$2:$J$180,$A$83,ANNOUNCEMENTS!$Z$2:$Z$180,J$83,ANNOUNCEMENTS!$F$2:$F$180,$A86)+
COUNTIFS(ANNOUNCEMENTS!$J$2:$J$180,$A$83,ANNOUNCEMENTS!$AB$2:$AB$180,J$83,ANNOUNCEMENTS!$F$2:$F$180,$A86)+
COUNTIFS(ANNOUNCEMENTS!$J$2:$J$180,$A$83,ANNOUNCEMENTS!$AD$2:$AD$180,J$83,ANNOUNCEMENTS!$F$2:$F$180,$A86)</f>
        <v>0</v>
      </c>
      <c r="K86" s="197">
        <f>SUM(B86:J86)</f>
        <v>0</v>
      </c>
      <c r="L86" s="332" t="s">
        <v>331</v>
      </c>
      <c r="M86" s="333">
        <f>COUNTIFS(ANNOUNCEMENTS!$J$2:$J$180,$A$83,ANNOUNCEMENTS!$W$2:$W$180,M$83,ANNOUNCEMENTS!$F$2:$F$180,$A86)</f>
        <v>0</v>
      </c>
      <c r="N86" s="333">
        <f>COUNTIFS(ANNOUNCEMENTS!$J$2:$J$180,$A$83,ANNOUNCEMENTS!$W$2:$W$180,N$83,ANNOUNCEMENTS!$F$2:$F$180,$A86)</f>
        <v>0</v>
      </c>
      <c r="O86" s="333">
        <f>COUNTIFS(ANNOUNCEMENTS!$J$2:$J$180,$A$83,ANNOUNCEMENTS!$W$2:$W$180,O$83,ANNOUNCEMENTS!$F$2:$F$180,$A86)</f>
        <v>0</v>
      </c>
      <c r="P86" s="333">
        <f>COUNTIFS(ANNOUNCEMENTS!$J$2:$J$180,$A$83,ANNOUNCEMENTS!$W$2:$W$180,P$83,ANNOUNCEMENTS!$F$2:$F$180,$A86)</f>
        <v>0</v>
      </c>
      <c r="Q86" s="333">
        <f>COUNTIFS(ANNOUNCEMENTS!$J$2:$J$180,$A$83,ANNOUNCEMENTS!$W$2:$W$180,Q$83,ANNOUNCEMENTS!$F$2:$F$180,$A86)</f>
        <v>0</v>
      </c>
      <c r="R86" s="333">
        <f>COUNTIFS(ANNOUNCEMENTS!$J$2:$J$180,$A$83,ANNOUNCEMENTS!$W$2:$W$180,R$83,ANNOUNCEMENTS!$F$2:$F$180,$A86)</f>
        <v>0</v>
      </c>
      <c r="S86" s="333">
        <f>COUNTIFS(ANNOUNCEMENTS!$J$2:$J$180,$A$83,ANNOUNCEMENTS!$W$2:$W$180,S$83,ANNOUNCEMENTS!$F$2:$F$180,$A86)</f>
        <v>0</v>
      </c>
      <c r="T86" s="197">
        <f>SUM(M86:S86)</f>
        <v>0</v>
      </c>
      <c r="U86" s="332" t="s">
        <v>331</v>
      </c>
      <c r="V86" s="165">
        <f t="shared" si="23"/>
        <v>0</v>
      </c>
      <c r="W86" s="165">
        <f t="shared" si="23"/>
        <v>0</v>
      </c>
      <c r="X86" s="165">
        <f t="shared" si="23"/>
        <v>0</v>
      </c>
      <c r="Y86" s="165">
        <f t="shared" si="23"/>
        <v>0</v>
      </c>
      <c r="Z86" s="165">
        <f t="shared" si="23"/>
        <v>0</v>
      </c>
      <c r="AA86" s="165">
        <f t="shared" si="23"/>
        <v>0</v>
      </c>
      <c r="AB86" s="165">
        <f t="shared" si="23"/>
        <v>0</v>
      </c>
      <c r="AC86" s="165">
        <f t="shared" si="23"/>
        <v>0</v>
      </c>
      <c r="AD86" s="165">
        <f t="shared" si="23"/>
        <v>0</v>
      </c>
      <c r="AE86" s="165">
        <f t="shared" si="24"/>
        <v>0</v>
      </c>
      <c r="AF86" s="165">
        <f t="shared" si="24"/>
        <v>0</v>
      </c>
      <c r="AG86" s="165">
        <f t="shared" si="24"/>
        <v>0</v>
      </c>
      <c r="AH86" s="165">
        <f t="shared" si="24"/>
        <v>0</v>
      </c>
      <c r="AI86" s="165">
        <f t="shared" si="24"/>
        <v>0</v>
      </c>
      <c r="AJ86" s="165">
        <f t="shared" si="24"/>
        <v>0</v>
      </c>
      <c r="AK86" s="165">
        <f t="shared" si="24"/>
        <v>0</v>
      </c>
    </row>
    <row r="87" spans="1:37" x14ac:dyDescent="0.35">
      <c r="A87" s="332" t="s">
        <v>320</v>
      </c>
      <c r="B87" s="333">
        <f>COUNTIFS(ANNOUNCEMENTS!$J$2:$J$180,$A$83,ANNOUNCEMENTS!$Z$2:$Z$180,B$83,ANNOUNCEMENTS!$F$2:$F$180,$A87)+
COUNTIFS(ANNOUNCEMENTS!$J$2:$J$180,$A$83,ANNOUNCEMENTS!$AB$2:$AB$180,B$83,ANNOUNCEMENTS!$F$2:$F$180,$A87)+
COUNTIFS(ANNOUNCEMENTS!$J$2:$J$180,$A$83,ANNOUNCEMENTS!$AD$2:$AD$180,B$83,ANNOUNCEMENTS!$F$2:$F$180,$A87)</f>
        <v>0</v>
      </c>
      <c r="C87" s="333">
        <f>COUNTIFS(ANNOUNCEMENTS!$J$2:$J$180,$A$83,ANNOUNCEMENTS!$Z$2:$Z$180,C$83,ANNOUNCEMENTS!$F$2:$F$180,$A87)+
COUNTIFS(ANNOUNCEMENTS!$J$2:$J$180,$A$83,ANNOUNCEMENTS!$AB$2:$AB$180,C$83,ANNOUNCEMENTS!$F$2:$F$180,$A87)+
COUNTIFS(ANNOUNCEMENTS!$J$2:$J$180,$A$83,ANNOUNCEMENTS!$AD$2:$AD$180,C$83,ANNOUNCEMENTS!$F$2:$F$180,$A87)</f>
        <v>0</v>
      </c>
      <c r="D87" s="333">
        <f>COUNTIFS(ANNOUNCEMENTS!$J$2:$J$180,$A$83,ANNOUNCEMENTS!$Z$2:$Z$180,D$83,ANNOUNCEMENTS!$F$2:$F$180,$A87)+
COUNTIFS(ANNOUNCEMENTS!$J$2:$J$180,$A$83,ANNOUNCEMENTS!$AB$2:$AB$180,D$83,ANNOUNCEMENTS!$F$2:$F$180,$A87)+
COUNTIFS(ANNOUNCEMENTS!$J$2:$J$180,$A$83,ANNOUNCEMENTS!$AD$2:$AD$180,D$83,ANNOUNCEMENTS!$F$2:$F$180,$A87)</f>
        <v>3</v>
      </c>
      <c r="E87" s="333">
        <f>COUNTIFS(ANNOUNCEMENTS!$J$2:$J$180,$A$83,ANNOUNCEMENTS!$Z$2:$Z$180,E$83,ANNOUNCEMENTS!$F$2:$F$180,$A87)+
COUNTIFS(ANNOUNCEMENTS!$J$2:$J$180,$A$83,ANNOUNCEMENTS!$AB$2:$AB$180,E$83,ANNOUNCEMENTS!$F$2:$F$180,$A87)+
COUNTIFS(ANNOUNCEMENTS!$J$2:$J$180,$A$83,ANNOUNCEMENTS!$AD$2:$AD$180,E$83,ANNOUNCEMENTS!$F$2:$F$180,$A87)</f>
        <v>0</v>
      </c>
      <c r="F87" s="333">
        <f>COUNTIFS(ANNOUNCEMENTS!$J$2:$J$180,$A$83,ANNOUNCEMENTS!$Z$2:$Z$180,F$83,ANNOUNCEMENTS!$F$2:$F$180,$A87)+
COUNTIFS(ANNOUNCEMENTS!$J$2:$J$180,$A$83,ANNOUNCEMENTS!$AB$2:$AB$180,F$83,ANNOUNCEMENTS!$F$2:$F$180,$A87)+
COUNTIFS(ANNOUNCEMENTS!$J$2:$J$180,$A$83,ANNOUNCEMENTS!$AD$2:$AD$180,F$83,ANNOUNCEMENTS!$F$2:$F$180,$A87)</f>
        <v>0</v>
      </c>
      <c r="G87" s="333">
        <f>COUNTIFS(ANNOUNCEMENTS!$J$2:$J$180,$A$83,ANNOUNCEMENTS!$Z$2:$Z$180,G$83,ANNOUNCEMENTS!$F$2:$F$180,$A87)+
COUNTIFS(ANNOUNCEMENTS!$J$2:$J$180,$A$83,ANNOUNCEMENTS!$AB$2:$AB$180,G$83,ANNOUNCEMENTS!$F$2:$F$180,$A87)+
COUNTIFS(ANNOUNCEMENTS!$J$2:$J$180,$A$83,ANNOUNCEMENTS!$AD$2:$AD$180,G$83,ANNOUNCEMENTS!$F$2:$F$180,$A87)</f>
        <v>0</v>
      </c>
      <c r="H87" s="333">
        <f>COUNTIFS(ANNOUNCEMENTS!$J$2:$J$180,$A$83,ANNOUNCEMENTS!$Z$2:$Z$180,H$83,ANNOUNCEMENTS!$F$2:$F$180,$A87)+
COUNTIFS(ANNOUNCEMENTS!$J$2:$J$180,$A$83,ANNOUNCEMENTS!$AB$2:$AB$180,H$83,ANNOUNCEMENTS!$F$2:$F$180,$A87)+
COUNTIFS(ANNOUNCEMENTS!$J$2:$J$180,$A$83,ANNOUNCEMENTS!$AD$2:$AD$180,H$83,ANNOUNCEMENTS!$F$2:$F$180,$A87)</f>
        <v>0</v>
      </c>
      <c r="I87" s="333">
        <f>COUNTIFS(ANNOUNCEMENTS!$J$2:$J$180,$A$83,ANNOUNCEMENTS!$Z$2:$Z$180,I$83,ANNOUNCEMENTS!$F$2:$F$180,$A87)+
COUNTIFS(ANNOUNCEMENTS!$J$2:$J$180,$A$83,ANNOUNCEMENTS!$AB$2:$AB$180,I$83,ANNOUNCEMENTS!$F$2:$F$180,$A87)+
COUNTIFS(ANNOUNCEMENTS!$J$2:$J$180,$A$83,ANNOUNCEMENTS!$AD$2:$AD$180,I$83,ANNOUNCEMENTS!$F$2:$F$180,$A87)</f>
        <v>0</v>
      </c>
      <c r="J87" s="333">
        <f>COUNTIFS(ANNOUNCEMENTS!$J$2:$J$180,$A$83,ANNOUNCEMENTS!$Z$2:$Z$180,J$83,ANNOUNCEMENTS!$F$2:$F$180,$A87)+
COUNTIFS(ANNOUNCEMENTS!$J$2:$J$180,$A$83,ANNOUNCEMENTS!$AB$2:$AB$180,J$83,ANNOUNCEMENTS!$F$2:$F$180,$A87)+
COUNTIFS(ANNOUNCEMENTS!$J$2:$J$180,$A$83,ANNOUNCEMENTS!$AD$2:$AD$180,J$83,ANNOUNCEMENTS!$F$2:$F$180,$A87)</f>
        <v>0</v>
      </c>
      <c r="K87" s="197">
        <f>SUM(B87:J87)</f>
        <v>3</v>
      </c>
      <c r="L87" s="332" t="s">
        <v>320</v>
      </c>
      <c r="M87" s="333">
        <f>COUNTIFS(ANNOUNCEMENTS!$J$2:$J$180,$A$83,ANNOUNCEMENTS!$W$2:$W$180,M$83,ANNOUNCEMENTS!$F$2:$F$180,$A87)</f>
        <v>0</v>
      </c>
      <c r="N87" s="333">
        <f>COUNTIFS(ANNOUNCEMENTS!$J$2:$J$180,$A$83,ANNOUNCEMENTS!$W$2:$W$180,N$83,ANNOUNCEMENTS!$F$2:$F$180,$A87)</f>
        <v>2</v>
      </c>
      <c r="O87" s="333">
        <f>COUNTIFS(ANNOUNCEMENTS!$J$2:$J$180,$A$83,ANNOUNCEMENTS!$W$2:$W$180,O$83,ANNOUNCEMENTS!$F$2:$F$180,$A87)</f>
        <v>0</v>
      </c>
      <c r="P87" s="333">
        <f>COUNTIFS(ANNOUNCEMENTS!$J$2:$J$180,$A$83,ANNOUNCEMENTS!$W$2:$W$180,P$83,ANNOUNCEMENTS!$F$2:$F$180,$A87)</f>
        <v>1</v>
      </c>
      <c r="Q87" s="333">
        <f>COUNTIFS(ANNOUNCEMENTS!$J$2:$J$180,$A$83,ANNOUNCEMENTS!$W$2:$W$180,Q$83,ANNOUNCEMENTS!$F$2:$F$180,$A87)</f>
        <v>0</v>
      </c>
      <c r="R87" s="333">
        <f>COUNTIFS(ANNOUNCEMENTS!$J$2:$J$180,$A$83,ANNOUNCEMENTS!$W$2:$W$180,R$83,ANNOUNCEMENTS!$F$2:$F$180,$A87)</f>
        <v>0</v>
      </c>
      <c r="S87" s="333">
        <f>COUNTIFS(ANNOUNCEMENTS!$J$2:$J$180,$A$83,ANNOUNCEMENTS!$W$2:$W$180,S$83,ANNOUNCEMENTS!$F$2:$F$180,$A87)</f>
        <v>0</v>
      </c>
      <c r="T87" s="197">
        <f>SUM(M87:S87)</f>
        <v>3</v>
      </c>
      <c r="U87" s="332" t="s">
        <v>320</v>
      </c>
      <c r="V87" s="165">
        <f t="shared" si="23"/>
        <v>0</v>
      </c>
      <c r="W87" s="165">
        <f t="shared" si="23"/>
        <v>0</v>
      </c>
      <c r="X87" s="165">
        <f t="shared" si="23"/>
        <v>1</v>
      </c>
      <c r="Y87" s="165">
        <f t="shared" si="23"/>
        <v>0</v>
      </c>
      <c r="Z87" s="165">
        <f t="shared" si="23"/>
        <v>0</v>
      </c>
      <c r="AA87" s="165">
        <f t="shared" si="23"/>
        <v>0</v>
      </c>
      <c r="AB87" s="165">
        <f t="shared" si="23"/>
        <v>0</v>
      </c>
      <c r="AC87" s="165">
        <f t="shared" si="23"/>
        <v>0</v>
      </c>
      <c r="AD87" s="165">
        <f t="shared" si="23"/>
        <v>0</v>
      </c>
      <c r="AE87" s="165">
        <f t="shared" si="24"/>
        <v>0</v>
      </c>
      <c r="AF87" s="165">
        <f t="shared" si="24"/>
        <v>0.66666666666666663</v>
      </c>
      <c r="AG87" s="165">
        <f t="shared" si="24"/>
        <v>0</v>
      </c>
      <c r="AH87" s="165">
        <f t="shared" si="24"/>
        <v>0.33333333333333331</v>
      </c>
      <c r="AI87" s="165">
        <f t="shared" si="24"/>
        <v>0</v>
      </c>
      <c r="AJ87" s="165">
        <f t="shared" si="24"/>
        <v>0</v>
      </c>
      <c r="AK87" s="165">
        <f t="shared" si="24"/>
        <v>0</v>
      </c>
    </row>
    <row r="88" spans="1:37" ht="15" thickBot="1" x14ac:dyDescent="0.4">
      <c r="A88" s="297" t="s">
        <v>2084</v>
      </c>
      <c r="B88" s="330">
        <f t="shared" ref="B88:J88" si="25">SUM(B84:B87)</f>
        <v>2</v>
      </c>
      <c r="C88" s="330">
        <f t="shared" si="25"/>
        <v>0</v>
      </c>
      <c r="D88" s="330">
        <f t="shared" si="25"/>
        <v>20</v>
      </c>
      <c r="E88" s="330">
        <f t="shared" si="25"/>
        <v>1</v>
      </c>
      <c r="F88" s="330">
        <f t="shared" si="25"/>
        <v>1</v>
      </c>
      <c r="G88" s="330">
        <f t="shared" si="25"/>
        <v>4</v>
      </c>
      <c r="H88" s="330">
        <f t="shared" si="25"/>
        <v>0</v>
      </c>
      <c r="I88" s="330">
        <f t="shared" si="25"/>
        <v>1</v>
      </c>
      <c r="J88" s="330">
        <f t="shared" si="25"/>
        <v>0</v>
      </c>
      <c r="K88" s="198">
        <f>SUM(B84:J87)</f>
        <v>29</v>
      </c>
      <c r="L88" s="297" t="s">
        <v>2084</v>
      </c>
      <c r="M88" s="330">
        <f t="shared" ref="M88:S88" si="26">SUM(M84:M87)</f>
        <v>1</v>
      </c>
      <c r="N88" s="330">
        <f t="shared" si="26"/>
        <v>18</v>
      </c>
      <c r="O88" s="330">
        <f t="shared" si="26"/>
        <v>1</v>
      </c>
      <c r="P88" s="330">
        <f t="shared" si="26"/>
        <v>4</v>
      </c>
      <c r="Q88" s="330">
        <f t="shared" si="26"/>
        <v>1</v>
      </c>
      <c r="R88" s="330">
        <f t="shared" si="26"/>
        <v>2</v>
      </c>
      <c r="S88" s="330">
        <f t="shared" si="26"/>
        <v>0</v>
      </c>
      <c r="T88" s="198">
        <f>SUM(M84:S87)</f>
        <v>27</v>
      </c>
      <c r="U88" s="297"/>
      <c r="V88" s="331"/>
      <c r="W88" s="331"/>
      <c r="X88" s="331"/>
      <c r="Y88" s="331"/>
      <c r="Z88" s="331"/>
      <c r="AA88" s="331"/>
      <c r="AB88" s="331"/>
      <c r="AC88" s="331"/>
      <c r="AD88" s="331"/>
      <c r="AE88" s="330"/>
      <c r="AF88" s="330"/>
      <c r="AG88" s="330"/>
      <c r="AH88" s="330"/>
      <c r="AI88" s="330"/>
      <c r="AJ88" s="330"/>
      <c r="AK88" s="330"/>
    </row>
    <row r="89" spans="1:37" ht="15" thickTop="1" x14ac:dyDescent="0.35">
      <c r="A89" s="297" t="s">
        <v>2167</v>
      </c>
      <c r="B89" s="162">
        <f t="shared" ref="B89:J89" si="27">B88/SUM($B$88:$J$88)</f>
        <v>6.8965517241379309E-2</v>
      </c>
      <c r="C89" s="162">
        <f t="shared" si="27"/>
        <v>0</v>
      </c>
      <c r="D89" s="162">
        <f t="shared" si="27"/>
        <v>0.68965517241379315</v>
      </c>
      <c r="E89" s="162">
        <f t="shared" si="27"/>
        <v>3.4482758620689655E-2</v>
      </c>
      <c r="F89" s="162">
        <f t="shared" si="27"/>
        <v>3.4482758620689655E-2</v>
      </c>
      <c r="G89" s="162">
        <f t="shared" si="27"/>
        <v>0.13793103448275862</v>
      </c>
      <c r="H89" s="162">
        <f t="shared" si="27"/>
        <v>0</v>
      </c>
      <c r="I89" s="162">
        <f t="shared" si="27"/>
        <v>3.4482758620689655E-2</v>
      </c>
      <c r="J89" s="162">
        <f t="shared" si="27"/>
        <v>0</v>
      </c>
      <c r="L89" s="297" t="s">
        <v>2167</v>
      </c>
      <c r="M89" s="163">
        <f t="shared" ref="M89:S89" si="28">M88/SUM($M$88:$S$88)</f>
        <v>3.7037037037037035E-2</v>
      </c>
      <c r="N89" s="163">
        <f t="shared" si="28"/>
        <v>0.66666666666666663</v>
      </c>
      <c r="O89" s="163">
        <f t="shared" si="28"/>
        <v>3.7037037037037035E-2</v>
      </c>
      <c r="P89" s="163">
        <f t="shared" si="28"/>
        <v>0.14814814814814814</v>
      </c>
      <c r="Q89" s="163">
        <f t="shared" si="28"/>
        <v>3.7037037037037035E-2</v>
      </c>
      <c r="R89" s="163">
        <f t="shared" si="28"/>
        <v>7.407407407407407E-2</v>
      </c>
      <c r="S89" s="163">
        <f t="shared" si="28"/>
        <v>0</v>
      </c>
      <c r="U89" s="297"/>
      <c r="V89" s="162"/>
      <c r="W89" s="162"/>
      <c r="X89" s="162"/>
      <c r="Y89" s="162"/>
      <c r="Z89" s="162"/>
      <c r="AA89" s="162"/>
      <c r="AB89" s="162"/>
      <c r="AC89" s="162"/>
      <c r="AD89" s="162"/>
      <c r="AE89" s="161"/>
      <c r="AF89" s="161"/>
      <c r="AG89" s="161"/>
      <c r="AH89" s="161"/>
      <c r="AI89" s="161"/>
      <c r="AJ89" s="161"/>
      <c r="AK89" s="161"/>
    </row>
    <row r="90" spans="1:37" x14ac:dyDescent="0.35">
      <c r="A90" s="329" t="s">
        <v>2223</v>
      </c>
      <c r="B90" s="327">
        <f>D89+F89</f>
        <v>0.72413793103448276</v>
      </c>
      <c r="K90" s="21">
        <f>K58+K68+K78+K88</f>
        <v>193</v>
      </c>
      <c r="L90" s="329" t="s">
        <v>2226</v>
      </c>
      <c r="M90" s="327">
        <f>SUM(M89:O89)</f>
        <v>0.7407407407407407</v>
      </c>
      <c r="O90" s="327"/>
    </row>
    <row r="91" spans="1:37" x14ac:dyDescent="0.35">
      <c r="A91" s="329" t="s">
        <v>2222</v>
      </c>
      <c r="B91" s="327">
        <f>B89+J89+C89</f>
        <v>6.8965517241379309E-2</v>
      </c>
      <c r="L91" s="329" t="s">
        <v>2224</v>
      </c>
      <c r="M91" s="327">
        <f>SUM(R89:S89)</f>
        <v>7.407407407407407E-2</v>
      </c>
      <c r="O91" s="327"/>
    </row>
    <row r="92" spans="1:37" x14ac:dyDescent="0.35">
      <c r="A92" s="411"/>
      <c r="B92" s="327"/>
      <c r="L92" s="329"/>
      <c r="M92" s="327"/>
      <c r="O92" s="327"/>
    </row>
    <row r="93" spans="1:37" x14ac:dyDescent="0.35">
      <c r="A93" s="322" t="s">
        <v>1200</v>
      </c>
      <c r="B93" s="336" t="str" cm="1">
        <f t="array" ref="B93:J93">TRANSPOSE(_xlfn.UNIQUE(ANNOUNCEMENTS!Z2:Z180))</f>
        <v>Joint D&amp;D</v>
      </c>
      <c r="C93" s="336" t="str">
        <v>Joint Production</v>
      </c>
      <c r="D93" s="336" t="str">
        <v>Joint Service Agreement</v>
      </c>
      <c r="E93" s="336" t="str">
        <v>Other</v>
      </c>
      <c r="F93" s="336" t="str">
        <v>Supply Partnership (extended)</v>
      </c>
      <c r="G93" s="335" t="str">
        <v>Research &amp; Collaboration</v>
      </c>
      <c r="H93" s="335" t="str">
        <v>Licensing</v>
      </c>
      <c r="I93" s="335" t="str">
        <v>Marketing Agreement</v>
      </c>
      <c r="J93" s="335" t="str">
        <v>Supply Partnership (traditional)</v>
      </c>
      <c r="K93" s="197"/>
      <c r="L93" s="322" t="s">
        <v>273</v>
      </c>
      <c r="M93" s="334" t="str" cm="1">
        <f t="array" ref="M93:S93">TRANSPOSE(_xlfn._xlws.SORT(_xlfn.ANCHORARRAY(BP16),1))</f>
        <v>1. Informal Agreement</v>
      </c>
      <c r="N93" s="334" t="str">
        <v>2.1. Short term Alliance (no exclusivity / previous experience)</v>
      </c>
      <c r="O93" s="334" t="str">
        <v xml:space="preserve">2.2. Renewed Alliance </v>
      </c>
      <c r="P93" s="334" t="str">
        <v>2.3. Long term Alliance</v>
      </c>
      <c r="Q93" s="334" t="str">
        <v>2.4. Exclusive Alliance</v>
      </c>
      <c r="R93" s="334" t="str">
        <v>3. Strategic Partnership</v>
      </c>
      <c r="S93" s="334" t="str">
        <v>4. Joint Venture</v>
      </c>
      <c r="T93" s="197"/>
      <c r="U93" s="322" t="s">
        <v>2359</v>
      </c>
      <c r="V93" s="336" t="str" cm="1">
        <f t="array" ref="V93:AD93">TRANSPOSE(_xlfn.UNIQUE(ANNOUNCEMENTS!Z2:Z180))</f>
        <v>Joint D&amp;D</v>
      </c>
      <c r="W93" s="336" t="str">
        <v>Joint Production</v>
      </c>
      <c r="X93" s="336" t="str">
        <v>Joint Service Agreement</v>
      </c>
      <c r="Y93" s="336" t="str">
        <v>Other</v>
      </c>
      <c r="Z93" s="336" t="str">
        <v>Supply Partnership (extended)</v>
      </c>
      <c r="AA93" s="335" t="str">
        <v>Research &amp; Collaboration</v>
      </c>
      <c r="AB93" s="335" t="str">
        <v>Licensing</v>
      </c>
      <c r="AC93" s="335" t="str">
        <v>Marketing Agreement</v>
      </c>
      <c r="AD93" s="335" t="str">
        <v>Supply Partnership (traditional)</v>
      </c>
      <c r="AE93" s="334" t="str" cm="1">
        <f t="array" ref="AE93:AK93">TRANSPOSE(_xlfn._xlws.SORT(_xlfn.ANCHORARRAY(BP16),1))</f>
        <v>1. Informal Agreement</v>
      </c>
      <c r="AF93" s="334" t="str">
        <v>2.1. Short term Alliance (no exclusivity / previous experience)</v>
      </c>
      <c r="AG93" s="334" t="str">
        <v xml:space="preserve">2.2. Renewed Alliance </v>
      </c>
      <c r="AH93" s="334" t="str">
        <v>2.3. Long term Alliance</v>
      </c>
      <c r="AI93" s="334" t="str">
        <v>2.4. Exclusive Alliance</v>
      </c>
      <c r="AJ93" s="334" t="str">
        <v>3. Strategic Partnership</v>
      </c>
      <c r="AK93" s="334" t="str">
        <v>4. Joint Venture</v>
      </c>
    </row>
    <row r="94" spans="1:37" x14ac:dyDescent="0.35">
      <c r="A94" s="332" t="s">
        <v>286</v>
      </c>
      <c r="B94" s="333">
        <f>COUNTIFS(ANNOUNCEMENTS!$J$2:$J$180,$A$93,ANNOUNCEMENTS!$Z$2:$Z$180,B$93,ANNOUNCEMENTS!$F$2:$F$180,$A94)+
COUNTIFS(ANNOUNCEMENTS!$J$2:$J$180,$A$93,ANNOUNCEMENTS!$AB$2:$AB$180,B$93,ANNOUNCEMENTS!$F$2:$F$180,$A94)+
COUNTIFS(ANNOUNCEMENTS!$J$2:$J$180,$A$93,ANNOUNCEMENTS!$AD$2:$AD$180,B$93,ANNOUNCEMENTS!$F$2:$F$180,$A94)</f>
        <v>5</v>
      </c>
      <c r="C94" s="333">
        <f>COUNTIFS(ANNOUNCEMENTS!$J$2:$J$180,$A$93,ANNOUNCEMENTS!$Z$2:$Z$180,C$93,ANNOUNCEMENTS!$F$2:$F$180,$A94)+
COUNTIFS(ANNOUNCEMENTS!$J$2:$J$180,$A$93,ANNOUNCEMENTS!$AB$2:$AB$180,C$93,ANNOUNCEMENTS!$F$2:$F$180,$A94)+
COUNTIFS(ANNOUNCEMENTS!$J$2:$J$180,$A$93,ANNOUNCEMENTS!$AD$2:$AD$180,C$93,ANNOUNCEMENTS!$F$2:$F$180,$A94)</f>
        <v>0</v>
      </c>
      <c r="D94" s="333">
        <f>COUNTIFS(ANNOUNCEMENTS!$J$2:$J$180,$A$93,ANNOUNCEMENTS!$Z$2:$Z$180,D$93,ANNOUNCEMENTS!$F$2:$F$180,$A94)+
COUNTIFS(ANNOUNCEMENTS!$J$2:$J$180,$A$93,ANNOUNCEMENTS!$AB$2:$AB$180,D$93,ANNOUNCEMENTS!$F$2:$F$180,$A94)+
COUNTIFS(ANNOUNCEMENTS!$J$2:$J$180,$A$93,ANNOUNCEMENTS!$AD$2:$AD$180,D$93,ANNOUNCEMENTS!$F$2:$F$180,$A94)</f>
        <v>0</v>
      </c>
      <c r="E94" s="333">
        <f>COUNTIFS(ANNOUNCEMENTS!$J$2:$J$180,$A$93,ANNOUNCEMENTS!$Z$2:$Z$180,E$93,ANNOUNCEMENTS!$F$2:$F$180,$A94)+
COUNTIFS(ANNOUNCEMENTS!$J$2:$J$180,$A$93,ANNOUNCEMENTS!$AB$2:$AB$180,E$93,ANNOUNCEMENTS!$F$2:$F$180,$A94)+
COUNTIFS(ANNOUNCEMENTS!$J$2:$J$180,$A$93,ANNOUNCEMENTS!$AD$2:$AD$180,E$93,ANNOUNCEMENTS!$F$2:$F$180,$A94)</f>
        <v>2</v>
      </c>
      <c r="F94" s="333">
        <f>COUNTIFS(ANNOUNCEMENTS!$J$2:$J$180,$A$93,ANNOUNCEMENTS!$Z$2:$Z$180,F$93,ANNOUNCEMENTS!$F$2:$F$180,$A94)+
COUNTIFS(ANNOUNCEMENTS!$J$2:$J$180,$A$93,ANNOUNCEMENTS!$AB$2:$AB$180,F$93,ANNOUNCEMENTS!$F$2:$F$180,$A94)+
COUNTIFS(ANNOUNCEMENTS!$J$2:$J$180,$A$93,ANNOUNCEMENTS!$AD$2:$AD$180,F$93,ANNOUNCEMENTS!$F$2:$F$180,$A94)</f>
        <v>0</v>
      </c>
      <c r="G94" s="333">
        <f>COUNTIFS(ANNOUNCEMENTS!$J$2:$J$180,$A$93,ANNOUNCEMENTS!$Z$2:$Z$180,G$93,ANNOUNCEMENTS!$F$2:$F$180,$A94)+
COUNTIFS(ANNOUNCEMENTS!$J$2:$J$180,$A$93,ANNOUNCEMENTS!$AB$2:$AB$180,G$93,ANNOUNCEMENTS!$F$2:$F$180,$A94)+
COUNTIFS(ANNOUNCEMENTS!$J$2:$J$180,$A$93,ANNOUNCEMENTS!$AD$2:$AD$180,G$93,ANNOUNCEMENTS!$F$2:$F$180,$A94)</f>
        <v>1</v>
      </c>
      <c r="H94" s="333">
        <f>COUNTIFS(ANNOUNCEMENTS!$J$2:$J$180,$A$93,ANNOUNCEMENTS!$Z$2:$Z$180,H$93,ANNOUNCEMENTS!$F$2:$F$180,$A94)+
COUNTIFS(ANNOUNCEMENTS!$J$2:$J$180,$A$93,ANNOUNCEMENTS!$AB$2:$AB$180,H$93,ANNOUNCEMENTS!$F$2:$F$180,$A94)+
COUNTIFS(ANNOUNCEMENTS!$J$2:$J$180,$A$93,ANNOUNCEMENTS!$AD$2:$AD$180,H$93,ANNOUNCEMENTS!$F$2:$F$180,$A94)</f>
        <v>0</v>
      </c>
      <c r="I94" s="333">
        <f>COUNTIFS(ANNOUNCEMENTS!$J$2:$J$180,$A$93,ANNOUNCEMENTS!$Z$2:$Z$180,I$93,ANNOUNCEMENTS!$F$2:$F$180,$A94)+
COUNTIFS(ANNOUNCEMENTS!$J$2:$J$180,$A$93,ANNOUNCEMENTS!$AB$2:$AB$180,I$93,ANNOUNCEMENTS!$F$2:$F$180,$A94)+
COUNTIFS(ANNOUNCEMENTS!$J$2:$J$180,$A$93,ANNOUNCEMENTS!$AD$2:$AD$180,I$93,ANNOUNCEMENTS!$F$2:$F$180,$A94)</f>
        <v>1</v>
      </c>
      <c r="J94" s="333">
        <f>COUNTIFS(ANNOUNCEMENTS!$J$2:$J$180,$A$93,ANNOUNCEMENTS!$Z$2:$Z$180,J$93,ANNOUNCEMENTS!$F$2:$F$180,$A94)+
COUNTIFS(ANNOUNCEMENTS!$J$2:$J$180,$A$93,ANNOUNCEMENTS!$AB$2:$AB$180,J$93,ANNOUNCEMENTS!$F$2:$F$180,$A94)+
COUNTIFS(ANNOUNCEMENTS!$J$2:$J$180,$A$93,ANNOUNCEMENTS!$AD$2:$AD$180,J$93,ANNOUNCEMENTS!$F$2:$F$180,$A94)</f>
        <v>4</v>
      </c>
      <c r="K94" s="197">
        <f>SUM(B94:J94)</f>
        <v>13</v>
      </c>
      <c r="L94" s="332" t="s">
        <v>286</v>
      </c>
      <c r="M94" s="333">
        <f>COUNTIFS(ANNOUNCEMENTS!$J$2:$J$180,$A$93,ANNOUNCEMENTS!$W$2:$W$180,M$83,ANNOUNCEMENTS!$F$2:$F$180,$A94)</f>
        <v>2</v>
      </c>
      <c r="N94" s="333">
        <f>COUNTIFS(ANNOUNCEMENTS!$J$2:$J$180,$A$93,ANNOUNCEMENTS!$W$2:$W$180,N$83,ANNOUNCEMENTS!$F$2:$F$180,$A94)</f>
        <v>5</v>
      </c>
      <c r="O94" s="333">
        <f>COUNTIFS(ANNOUNCEMENTS!$J$2:$J$180,$A$93,ANNOUNCEMENTS!$W$2:$W$180,O$83,ANNOUNCEMENTS!$F$2:$F$180,$A94)</f>
        <v>1</v>
      </c>
      <c r="P94" s="333">
        <f>COUNTIFS(ANNOUNCEMENTS!$J$2:$J$180,$A$93,ANNOUNCEMENTS!$W$2:$W$180,P$83,ANNOUNCEMENTS!$F$2:$F$180,$A94)</f>
        <v>4</v>
      </c>
      <c r="Q94" s="333">
        <f>COUNTIFS(ANNOUNCEMENTS!$J$2:$J$180,$A$93,ANNOUNCEMENTS!$W$2:$W$180,Q$83,ANNOUNCEMENTS!$F$2:$F$180,$A94)</f>
        <v>0</v>
      </c>
      <c r="R94" s="333">
        <f>COUNTIFS(ANNOUNCEMENTS!$J$2:$J$180,$A$93,ANNOUNCEMENTS!$W$2:$W$180,R$83,ANNOUNCEMENTS!$F$2:$F$180,$A94)</f>
        <v>1</v>
      </c>
      <c r="S94" s="333">
        <f>COUNTIFS(ANNOUNCEMENTS!$J$2:$J$180,$A$93,ANNOUNCEMENTS!$W$2:$W$180,S$83,ANNOUNCEMENTS!$F$2:$F$180,$A94)</f>
        <v>0</v>
      </c>
      <c r="T94" s="197">
        <f>SUM(M94:S94)</f>
        <v>13</v>
      </c>
      <c r="U94" s="332" t="s">
        <v>286</v>
      </c>
      <c r="V94" s="165">
        <f t="shared" ref="V94:V95" si="29">IF(ISERROR(B94/SUM($B94:$J94)),0,B94/SUM($B94:$J94))</f>
        <v>0.38461538461538464</v>
      </c>
      <c r="W94" s="165">
        <f t="shared" ref="W94:W95" si="30">IF(ISERROR(C94/SUM($B94:$J94)),0,C94/SUM($B94:$J94))</f>
        <v>0</v>
      </c>
      <c r="X94" s="165">
        <f t="shared" ref="X94:X95" si="31">IF(ISERROR(D94/SUM($B94:$J94)),0,D94/SUM($B94:$J94))</f>
        <v>0</v>
      </c>
      <c r="Y94" s="165">
        <f t="shared" ref="Y94:Y95" si="32">IF(ISERROR(E94/SUM($B94:$J94)),0,E94/SUM($B94:$J94))</f>
        <v>0.15384615384615385</v>
      </c>
      <c r="Z94" s="165">
        <f t="shared" ref="Z94:Z95" si="33">IF(ISERROR(F94/SUM($B94:$J94)),0,F94/SUM($B94:$J94))</f>
        <v>0</v>
      </c>
      <c r="AA94" s="165">
        <f t="shared" ref="AA94:AA95" si="34">IF(ISERROR(G94/SUM($B94:$J94)),0,G94/SUM($B94:$J94))</f>
        <v>7.6923076923076927E-2</v>
      </c>
      <c r="AB94" s="165">
        <f t="shared" ref="AB94:AB95" si="35">IF(ISERROR(H94/SUM($B94:$J94)),0,H94/SUM($B94:$J94))</f>
        <v>0</v>
      </c>
      <c r="AC94" s="165">
        <f t="shared" ref="AC94:AC95" si="36">IF(ISERROR(I94/SUM($B94:$J94)),0,I94/SUM($B94:$J94))</f>
        <v>7.6923076923076927E-2</v>
      </c>
      <c r="AD94" s="165">
        <f t="shared" ref="AD94:AD95" si="37">IF(ISERROR(J94/SUM($B94:$J94)),0,J94/SUM($B94:$J94))</f>
        <v>0.30769230769230771</v>
      </c>
      <c r="AE94" s="165">
        <f t="shared" ref="AE94:AE95" si="38">IF(ISERROR(M94/SUM($M94:$S94)),0,M94/SUM($M94:$S94))</f>
        <v>0.15384615384615385</v>
      </c>
      <c r="AF94" s="165">
        <f t="shared" ref="AF94:AF95" si="39">IF(ISERROR(N94/SUM($M94:$S94)),0,N94/SUM($M94:$S94))</f>
        <v>0.38461538461538464</v>
      </c>
      <c r="AG94" s="165">
        <f t="shared" ref="AG94:AG95" si="40">IF(ISERROR(O94/SUM($M94:$S94)),0,O94/SUM($M94:$S94))</f>
        <v>7.6923076923076927E-2</v>
      </c>
      <c r="AH94" s="165">
        <f t="shared" ref="AH94:AH95" si="41">IF(ISERROR(P94/SUM($M94:$S94)),0,P94/SUM($M94:$S94))</f>
        <v>0.30769230769230771</v>
      </c>
      <c r="AI94" s="165">
        <f t="shared" ref="AI94:AI95" si="42">IF(ISERROR(Q94/SUM($M94:$S94)),0,Q94/SUM($M94:$S94))</f>
        <v>0</v>
      </c>
      <c r="AJ94" s="165">
        <f t="shared" ref="AJ94:AJ95" si="43">IF(ISERROR(R94/SUM($M94:$S94)),0,R94/SUM($M94:$S94))</f>
        <v>7.6923076923076927E-2</v>
      </c>
      <c r="AK94" s="165">
        <f t="shared" ref="AK94:AK95" si="44">IF(ISERROR(S94/SUM($M94:$S94)),0,S94/SUM($M94:$S94))</f>
        <v>0</v>
      </c>
    </row>
    <row r="95" spans="1:37" x14ac:dyDescent="0.35">
      <c r="A95" s="332" t="s">
        <v>309</v>
      </c>
      <c r="B95" s="333">
        <f>COUNTIFS(ANNOUNCEMENTS!$J$2:$J$180,$A$93,ANNOUNCEMENTS!$Z$2:$Z$180,B$93,ANNOUNCEMENTS!$F$2:$F$180,$A95)+
COUNTIFS(ANNOUNCEMENTS!$J$2:$J$180,$A$93,ANNOUNCEMENTS!$AB$2:$AB$180,B$93,ANNOUNCEMENTS!$F$2:$F$180,$A95)+
COUNTIFS(ANNOUNCEMENTS!$J$2:$J$180,$A$93,ANNOUNCEMENTS!$AD$2:$AD$180,B$93,ANNOUNCEMENTS!$F$2:$F$180,$A95)</f>
        <v>0</v>
      </c>
      <c r="C95" s="333">
        <f>COUNTIFS(ANNOUNCEMENTS!$J$2:$J$180,$A$93,ANNOUNCEMENTS!$Z$2:$Z$180,C$93,ANNOUNCEMENTS!$F$2:$F$180,$A95)+
COUNTIFS(ANNOUNCEMENTS!$J$2:$J$180,$A$93,ANNOUNCEMENTS!$AB$2:$AB$180,C$93,ANNOUNCEMENTS!$F$2:$F$180,$A95)+
COUNTIFS(ANNOUNCEMENTS!$J$2:$J$180,$A$93,ANNOUNCEMENTS!$AD$2:$AD$180,C$93,ANNOUNCEMENTS!$F$2:$F$180,$A95)</f>
        <v>0</v>
      </c>
      <c r="D95" s="333">
        <f>COUNTIFS(ANNOUNCEMENTS!$J$2:$J$180,$A$93,ANNOUNCEMENTS!$Z$2:$Z$180,D$93,ANNOUNCEMENTS!$F$2:$F$180,$A95)+
COUNTIFS(ANNOUNCEMENTS!$J$2:$J$180,$A$93,ANNOUNCEMENTS!$AB$2:$AB$180,D$93,ANNOUNCEMENTS!$F$2:$F$180,$A95)+
COUNTIFS(ANNOUNCEMENTS!$J$2:$J$180,$A$93,ANNOUNCEMENTS!$AD$2:$AD$180,D$93,ANNOUNCEMENTS!$F$2:$F$180,$A95)</f>
        <v>0</v>
      </c>
      <c r="E95" s="333">
        <f>COUNTIFS(ANNOUNCEMENTS!$J$2:$J$180,$A$93,ANNOUNCEMENTS!$Z$2:$Z$180,E$93,ANNOUNCEMENTS!$F$2:$F$180,$A95)+
COUNTIFS(ANNOUNCEMENTS!$J$2:$J$180,$A$93,ANNOUNCEMENTS!$AB$2:$AB$180,E$93,ANNOUNCEMENTS!$F$2:$F$180,$A95)+
COUNTIFS(ANNOUNCEMENTS!$J$2:$J$180,$A$93,ANNOUNCEMENTS!$AD$2:$AD$180,E$93,ANNOUNCEMENTS!$F$2:$F$180,$A95)</f>
        <v>0</v>
      </c>
      <c r="F95" s="333">
        <f>COUNTIFS(ANNOUNCEMENTS!$J$2:$J$180,$A$93,ANNOUNCEMENTS!$Z$2:$Z$180,F$93,ANNOUNCEMENTS!$F$2:$F$180,$A95)+
COUNTIFS(ANNOUNCEMENTS!$J$2:$J$180,$A$93,ANNOUNCEMENTS!$AB$2:$AB$180,F$93,ANNOUNCEMENTS!$F$2:$F$180,$A95)+
COUNTIFS(ANNOUNCEMENTS!$J$2:$J$180,$A$93,ANNOUNCEMENTS!$AD$2:$AD$180,F$93,ANNOUNCEMENTS!$F$2:$F$180,$A95)</f>
        <v>0</v>
      </c>
      <c r="G95" s="333">
        <f>COUNTIFS(ANNOUNCEMENTS!$J$2:$J$180,$A$93,ANNOUNCEMENTS!$Z$2:$Z$180,G$93,ANNOUNCEMENTS!$F$2:$F$180,$A95)+
COUNTIFS(ANNOUNCEMENTS!$J$2:$J$180,$A$93,ANNOUNCEMENTS!$AB$2:$AB$180,G$93,ANNOUNCEMENTS!$F$2:$F$180,$A95)+
COUNTIFS(ANNOUNCEMENTS!$J$2:$J$180,$A$93,ANNOUNCEMENTS!$AD$2:$AD$180,G$93,ANNOUNCEMENTS!$F$2:$F$180,$A95)</f>
        <v>1</v>
      </c>
      <c r="H95" s="333">
        <f>COUNTIFS(ANNOUNCEMENTS!$J$2:$J$180,$A$93,ANNOUNCEMENTS!$Z$2:$Z$180,H$93,ANNOUNCEMENTS!$F$2:$F$180,$A95)+
COUNTIFS(ANNOUNCEMENTS!$J$2:$J$180,$A$93,ANNOUNCEMENTS!$AB$2:$AB$180,H$93,ANNOUNCEMENTS!$F$2:$F$180,$A95)+
COUNTIFS(ANNOUNCEMENTS!$J$2:$J$180,$A$93,ANNOUNCEMENTS!$AD$2:$AD$180,H$93,ANNOUNCEMENTS!$F$2:$F$180,$A95)</f>
        <v>0</v>
      </c>
      <c r="I95" s="333">
        <f>COUNTIFS(ANNOUNCEMENTS!$J$2:$J$180,$A$93,ANNOUNCEMENTS!$Z$2:$Z$180,I$93,ANNOUNCEMENTS!$F$2:$F$180,$A95)+
COUNTIFS(ANNOUNCEMENTS!$J$2:$J$180,$A$93,ANNOUNCEMENTS!$AB$2:$AB$180,I$93,ANNOUNCEMENTS!$F$2:$F$180,$A95)+
COUNTIFS(ANNOUNCEMENTS!$J$2:$J$180,$A$93,ANNOUNCEMENTS!$AD$2:$AD$180,I$93,ANNOUNCEMENTS!$F$2:$F$180,$A95)</f>
        <v>1</v>
      </c>
      <c r="J95" s="333">
        <f>COUNTIFS(ANNOUNCEMENTS!$J$2:$J$180,$A$93,ANNOUNCEMENTS!$Z$2:$Z$180,J$93,ANNOUNCEMENTS!$F$2:$F$180,$A95)+
COUNTIFS(ANNOUNCEMENTS!$J$2:$J$180,$A$93,ANNOUNCEMENTS!$AB$2:$AB$180,J$93,ANNOUNCEMENTS!$F$2:$F$180,$A95)+
COUNTIFS(ANNOUNCEMENTS!$J$2:$J$180,$A$93,ANNOUNCEMENTS!$AD$2:$AD$180,J$93,ANNOUNCEMENTS!$F$2:$F$180,$A95)</f>
        <v>1</v>
      </c>
      <c r="K95" s="197">
        <f>SUM(B95:J95)</f>
        <v>3</v>
      </c>
      <c r="L95" s="332" t="s">
        <v>309</v>
      </c>
      <c r="M95" s="333">
        <f>COUNTIFS(ANNOUNCEMENTS!$J$2:$J$180,$A$93,ANNOUNCEMENTS!$W$2:$W$180,M$83,ANNOUNCEMENTS!$F$2:$F$180,$A95)</f>
        <v>1</v>
      </c>
      <c r="N95" s="333">
        <f>COUNTIFS(ANNOUNCEMENTS!$J$2:$J$180,$A$93,ANNOUNCEMENTS!$W$2:$W$180,N$83,ANNOUNCEMENTS!$F$2:$F$180,$A95)</f>
        <v>1</v>
      </c>
      <c r="O95" s="333">
        <f>COUNTIFS(ANNOUNCEMENTS!$J$2:$J$180,$A$93,ANNOUNCEMENTS!$W$2:$W$180,O$83,ANNOUNCEMENTS!$F$2:$F$180,$A95)</f>
        <v>0</v>
      </c>
      <c r="P95" s="333">
        <f>COUNTIFS(ANNOUNCEMENTS!$J$2:$J$180,$A$93,ANNOUNCEMENTS!$W$2:$W$180,P$83,ANNOUNCEMENTS!$F$2:$F$180,$A95)</f>
        <v>0</v>
      </c>
      <c r="Q95" s="333">
        <f>COUNTIFS(ANNOUNCEMENTS!$J$2:$J$180,$A$93,ANNOUNCEMENTS!$W$2:$W$180,Q$83,ANNOUNCEMENTS!$F$2:$F$180,$A95)</f>
        <v>0</v>
      </c>
      <c r="R95" s="333">
        <f>COUNTIFS(ANNOUNCEMENTS!$J$2:$J$180,$A$93,ANNOUNCEMENTS!$W$2:$W$180,R$83,ANNOUNCEMENTS!$F$2:$F$180,$A95)</f>
        <v>0</v>
      </c>
      <c r="S95" s="333">
        <f>COUNTIFS(ANNOUNCEMENTS!$J$2:$J$180,$A$93,ANNOUNCEMENTS!$W$2:$W$180,S$83,ANNOUNCEMENTS!$F$2:$F$180,$A95)</f>
        <v>0</v>
      </c>
      <c r="T95" s="197">
        <f>SUM(M95:S95)</f>
        <v>2</v>
      </c>
      <c r="U95" s="332" t="s">
        <v>309</v>
      </c>
      <c r="V95" s="165">
        <f t="shared" si="29"/>
        <v>0</v>
      </c>
      <c r="W95" s="165">
        <f t="shared" si="30"/>
        <v>0</v>
      </c>
      <c r="X95" s="165">
        <f t="shared" si="31"/>
        <v>0</v>
      </c>
      <c r="Y95" s="165">
        <f t="shared" si="32"/>
        <v>0</v>
      </c>
      <c r="Z95" s="165">
        <f t="shared" si="33"/>
        <v>0</v>
      </c>
      <c r="AA95" s="165">
        <f t="shared" si="34"/>
        <v>0.33333333333333331</v>
      </c>
      <c r="AB95" s="165">
        <f t="shared" si="35"/>
        <v>0</v>
      </c>
      <c r="AC95" s="165">
        <f t="shared" si="36"/>
        <v>0.33333333333333331</v>
      </c>
      <c r="AD95" s="165">
        <f t="shared" si="37"/>
        <v>0.33333333333333331</v>
      </c>
      <c r="AE95" s="165">
        <f t="shared" si="38"/>
        <v>0.5</v>
      </c>
      <c r="AF95" s="165">
        <f t="shared" si="39"/>
        <v>0.5</v>
      </c>
      <c r="AG95" s="165">
        <f t="shared" si="40"/>
        <v>0</v>
      </c>
      <c r="AH95" s="165">
        <f t="shared" si="41"/>
        <v>0</v>
      </c>
      <c r="AI95" s="165">
        <f t="shared" si="42"/>
        <v>0</v>
      </c>
      <c r="AJ95" s="165">
        <f t="shared" si="43"/>
        <v>0</v>
      </c>
      <c r="AK95" s="165">
        <f t="shared" si="44"/>
        <v>0</v>
      </c>
    </row>
    <row r="96" spans="1:37" ht="15" thickBot="1" x14ac:dyDescent="0.4">
      <c r="A96" s="297" t="s">
        <v>2084</v>
      </c>
      <c r="B96" s="330">
        <f t="shared" ref="B96:J96" si="45">SUM(B94:B95)</f>
        <v>5</v>
      </c>
      <c r="C96" s="330">
        <f t="shared" si="45"/>
        <v>0</v>
      </c>
      <c r="D96" s="330">
        <f t="shared" si="45"/>
        <v>0</v>
      </c>
      <c r="E96" s="330">
        <f t="shared" si="45"/>
        <v>2</v>
      </c>
      <c r="F96" s="330">
        <f t="shared" si="45"/>
        <v>0</v>
      </c>
      <c r="G96" s="330">
        <f t="shared" si="45"/>
        <v>2</v>
      </c>
      <c r="H96" s="330">
        <f t="shared" si="45"/>
        <v>0</v>
      </c>
      <c r="I96" s="330">
        <f t="shared" si="45"/>
        <v>2</v>
      </c>
      <c r="J96" s="330">
        <f t="shared" si="45"/>
        <v>5</v>
      </c>
      <c r="K96" s="198">
        <f>SUM(B94:J95)</f>
        <v>16</v>
      </c>
      <c r="L96" s="297" t="s">
        <v>2084</v>
      </c>
      <c r="M96" s="330">
        <f t="shared" ref="M96:S96" si="46">SUM(M94:M95)</f>
        <v>3</v>
      </c>
      <c r="N96" s="330">
        <f t="shared" si="46"/>
        <v>6</v>
      </c>
      <c r="O96" s="330">
        <f t="shared" si="46"/>
        <v>1</v>
      </c>
      <c r="P96" s="330">
        <f t="shared" si="46"/>
        <v>4</v>
      </c>
      <c r="Q96" s="330">
        <f t="shared" si="46"/>
        <v>0</v>
      </c>
      <c r="R96" s="330">
        <f t="shared" si="46"/>
        <v>1</v>
      </c>
      <c r="S96" s="330">
        <f t="shared" si="46"/>
        <v>0</v>
      </c>
      <c r="T96" s="198">
        <f>SUM(M94:S95)</f>
        <v>15</v>
      </c>
      <c r="U96" s="297"/>
      <c r="V96" s="331"/>
      <c r="W96" s="331"/>
      <c r="X96" s="331"/>
      <c r="Y96" s="331"/>
      <c r="Z96" s="331"/>
      <c r="AA96" s="331"/>
      <c r="AB96" s="331"/>
      <c r="AC96" s="331"/>
      <c r="AD96" s="331"/>
      <c r="AE96" s="330"/>
      <c r="AF96" s="330"/>
      <c r="AG96" s="330"/>
      <c r="AH96" s="330"/>
      <c r="AI96" s="330"/>
      <c r="AJ96" s="330"/>
      <c r="AK96" s="330"/>
    </row>
    <row r="97" spans="1:37" ht="15" thickTop="1" x14ac:dyDescent="0.35">
      <c r="A97" s="297" t="s">
        <v>2167</v>
      </c>
      <c r="B97" s="162">
        <f>B96/SUM($B$96:$J$96)</f>
        <v>0.3125</v>
      </c>
      <c r="C97" s="162">
        <f t="shared" ref="C97:J97" si="47">C96/SUM($B$96:$J$96)</f>
        <v>0</v>
      </c>
      <c r="D97" s="162">
        <f t="shared" si="47"/>
        <v>0</v>
      </c>
      <c r="E97" s="162">
        <f t="shared" si="47"/>
        <v>0.125</v>
      </c>
      <c r="F97" s="162">
        <f t="shared" si="47"/>
        <v>0</v>
      </c>
      <c r="G97" s="162">
        <f t="shared" si="47"/>
        <v>0.125</v>
      </c>
      <c r="H97" s="162">
        <f t="shared" si="47"/>
        <v>0</v>
      </c>
      <c r="I97" s="162">
        <f t="shared" si="47"/>
        <v>0.125</v>
      </c>
      <c r="J97" s="162">
        <f t="shared" si="47"/>
        <v>0.3125</v>
      </c>
      <c r="L97" s="297" t="s">
        <v>2167</v>
      </c>
      <c r="M97" s="163">
        <f>M96/SUM($M$96:$S$96)</f>
        <v>0.2</v>
      </c>
      <c r="N97" s="163">
        <f t="shared" ref="N97:S97" si="48">N96/SUM($M$96:$S$96)</f>
        <v>0.4</v>
      </c>
      <c r="O97" s="163">
        <f t="shared" si="48"/>
        <v>6.6666666666666666E-2</v>
      </c>
      <c r="P97" s="163">
        <f t="shared" si="48"/>
        <v>0.26666666666666666</v>
      </c>
      <c r="Q97" s="163">
        <f t="shared" si="48"/>
        <v>0</v>
      </c>
      <c r="R97" s="163">
        <f t="shared" si="48"/>
        <v>6.6666666666666666E-2</v>
      </c>
      <c r="S97" s="163">
        <f t="shared" si="48"/>
        <v>0</v>
      </c>
      <c r="U97" s="297"/>
      <c r="V97" s="162"/>
      <c r="W97" s="162"/>
      <c r="X97" s="162"/>
      <c r="Y97" s="162"/>
      <c r="Z97" s="162"/>
      <c r="AA97" s="162"/>
      <c r="AB97" s="162"/>
      <c r="AC97" s="162"/>
      <c r="AD97" s="162"/>
      <c r="AE97" s="161"/>
      <c r="AF97" s="161"/>
      <c r="AG97" s="161"/>
      <c r="AH97" s="161"/>
      <c r="AI97" s="161"/>
      <c r="AJ97" s="161"/>
      <c r="AK97" s="161"/>
    </row>
    <row r="98" spans="1:37" x14ac:dyDescent="0.35">
      <c r="A98" s="329" t="s">
        <v>2223</v>
      </c>
      <c r="B98" s="327">
        <f>D97+F97</f>
        <v>0</v>
      </c>
      <c r="K98" s="21">
        <f>K68+K78+K88+K96</f>
        <v>141</v>
      </c>
      <c r="L98" s="329" t="s">
        <v>2226</v>
      </c>
      <c r="M98" s="327">
        <f>SUM(M97:O97)</f>
        <v>0.66666666666666674</v>
      </c>
      <c r="O98" s="327"/>
    </row>
    <row r="99" spans="1:37" x14ac:dyDescent="0.35">
      <c r="A99" s="329" t="s">
        <v>2222</v>
      </c>
      <c r="B99" s="327">
        <f>B97+J97+C97</f>
        <v>0.625</v>
      </c>
      <c r="L99" s="329" t="s">
        <v>2224</v>
      </c>
      <c r="M99" s="327">
        <f>SUM(R97:S97)</f>
        <v>6.6666666666666666E-2</v>
      </c>
      <c r="O99" s="327"/>
    </row>
    <row r="100" spans="1:37" x14ac:dyDescent="0.35">
      <c r="O100" s="327"/>
    </row>
    <row r="101" spans="1:37" x14ac:dyDescent="0.35">
      <c r="O101" s="327"/>
    </row>
    <row r="102" spans="1:37" x14ac:dyDescent="0.35">
      <c r="O102" s="327"/>
    </row>
    <row r="103" spans="1:37" x14ac:dyDescent="0.35">
      <c r="O103" s="327"/>
    </row>
    <row r="104" spans="1:37" x14ac:dyDescent="0.35">
      <c r="O104" s="327"/>
    </row>
    <row r="105" spans="1:37" x14ac:dyDescent="0.35">
      <c r="O105" s="327"/>
    </row>
    <row r="106" spans="1:37" x14ac:dyDescent="0.35">
      <c r="A106" s="410" t="s">
        <v>2358</v>
      </c>
      <c r="B106" s="21">
        <f t="shared" ref="B106:J106" si="49">B58+B78+B88</f>
        <v>41</v>
      </c>
      <c r="C106" s="21">
        <f t="shared" si="49"/>
        <v>7</v>
      </c>
      <c r="D106" s="21">
        <f t="shared" si="49"/>
        <v>45</v>
      </c>
      <c r="E106" s="21">
        <f t="shared" si="49"/>
        <v>8</v>
      </c>
      <c r="F106" s="21">
        <f t="shared" si="49"/>
        <v>21</v>
      </c>
      <c r="G106" s="21">
        <f t="shared" si="49"/>
        <v>23</v>
      </c>
      <c r="H106" s="21">
        <f t="shared" si="49"/>
        <v>3</v>
      </c>
      <c r="I106" s="21">
        <f t="shared" si="49"/>
        <v>4</v>
      </c>
      <c r="J106" s="21">
        <f t="shared" si="49"/>
        <v>10</v>
      </c>
      <c r="O106" s="327"/>
    </row>
    <row r="107" spans="1:37" x14ac:dyDescent="0.35">
      <c r="O107" s="327"/>
    </row>
    <row r="108" spans="1:37" x14ac:dyDescent="0.35">
      <c r="A108" s="290" t="s">
        <v>2239</v>
      </c>
      <c r="B108" s="290"/>
      <c r="C108" s="93"/>
      <c r="D108" s="290"/>
      <c r="E108" s="290"/>
      <c r="F108" s="290" t="s">
        <v>2240</v>
      </c>
      <c r="K108" s="290" t="s">
        <v>2256</v>
      </c>
      <c r="M108" s="290" t="s">
        <v>2257</v>
      </c>
      <c r="O108" s="290" t="s">
        <v>2049</v>
      </c>
      <c r="P108" s="297" t="s">
        <v>2258</v>
      </c>
    </row>
    <row r="109" spans="1:37" x14ac:dyDescent="0.35">
      <c r="H109" s="287"/>
      <c r="R109" s="327"/>
    </row>
    <row r="110" spans="1:37" x14ac:dyDescent="0.35">
      <c r="B110" s="21" t="s">
        <v>2227</v>
      </c>
      <c r="C110" s="287" t="s">
        <v>2230</v>
      </c>
      <c r="D110" s="297" t="s">
        <v>2100</v>
      </c>
      <c r="G110" s="21" t="s">
        <v>2227</v>
      </c>
      <c r="H110" s="287" t="s">
        <v>2230</v>
      </c>
      <c r="R110" s="327"/>
    </row>
    <row r="111" spans="1:37" x14ac:dyDescent="0.35">
      <c r="A111" s="322" t="s">
        <v>372</v>
      </c>
      <c r="B111" s="21">
        <f>D58+F58</f>
        <v>19</v>
      </c>
      <c r="C111" s="287">
        <f>K58-B111</f>
        <v>49</v>
      </c>
      <c r="D111" s="290">
        <f>B111+C111</f>
        <v>68</v>
      </c>
      <c r="F111" s="322" t="s">
        <v>372</v>
      </c>
      <c r="G111" s="319">
        <f t="shared" ref="G111:H114" si="50">($D111*B$115)/$D$115</f>
        <v>25.720207253886009</v>
      </c>
      <c r="H111" s="319">
        <f t="shared" si="50"/>
        <v>42.279792746113991</v>
      </c>
      <c r="K111" s="319">
        <f t="shared" ref="K111:L114" si="51">(B111-G111)^2/G111</f>
        <v>1.7558639823308126</v>
      </c>
      <c r="L111" s="319">
        <f t="shared" si="51"/>
        <v>1.0681505892512442</v>
      </c>
      <c r="R111" s="327"/>
    </row>
    <row r="112" spans="1:37" x14ac:dyDescent="0.35">
      <c r="A112" s="322" t="s">
        <v>341</v>
      </c>
      <c r="B112" s="21">
        <f>D68+F68</f>
        <v>7</v>
      </c>
      <c r="C112" s="287">
        <f>K68-B112</f>
        <v>24</v>
      </c>
      <c r="D112" s="290">
        <f>B112+C112</f>
        <v>31</v>
      </c>
      <c r="F112" s="322" t="s">
        <v>341</v>
      </c>
      <c r="G112" s="319">
        <f t="shared" si="50"/>
        <v>11.72538860103627</v>
      </c>
      <c r="H112" s="319">
        <f t="shared" si="50"/>
        <v>19.274611398963732</v>
      </c>
      <c r="K112" s="319">
        <f t="shared" si="51"/>
        <v>1.9043545754065747</v>
      </c>
      <c r="L112" s="319">
        <f t="shared" si="51"/>
        <v>1.1584823667056656</v>
      </c>
      <c r="R112" s="327"/>
    </row>
    <row r="113" spans="1:25" x14ac:dyDescent="0.35">
      <c r="A113" s="322" t="s">
        <v>405</v>
      </c>
      <c r="B113" s="21">
        <f>D78+F78</f>
        <v>26</v>
      </c>
      <c r="C113" s="287">
        <f>K78-B113</f>
        <v>39</v>
      </c>
      <c r="D113" s="290">
        <f>B113+C113</f>
        <v>65</v>
      </c>
      <c r="F113" s="322" t="s">
        <v>405</v>
      </c>
      <c r="G113" s="319">
        <f t="shared" si="50"/>
        <v>24.585492227979273</v>
      </c>
      <c r="H113" s="319">
        <f t="shared" si="50"/>
        <v>40.414507772020727</v>
      </c>
      <c r="K113" s="319">
        <f t="shared" si="51"/>
        <v>8.1382638938178903E-2</v>
      </c>
      <c r="L113" s="319">
        <f t="shared" si="51"/>
        <v>4.9507772020725489E-2</v>
      </c>
      <c r="R113" s="327"/>
    </row>
    <row r="114" spans="1:25" x14ac:dyDescent="0.35">
      <c r="A114" s="322" t="s">
        <v>273</v>
      </c>
      <c r="B114" s="21">
        <f>D88+F88</f>
        <v>21</v>
      </c>
      <c r="C114" s="287">
        <f>K88-B114</f>
        <v>8</v>
      </c>
      <c r="D114" s="290">
        <f>B114+C114</f>
        <v>29</v>
      </c>
      <c r="F114" s="322" t="s">
        <v>273</v>
      </c>
      <c r="G114" s="319">
        <f t="shared" si="50"/>
        <v>10.968911917098445</v>
      </c>
      <c r="H114" s="319">
        <f t="shared" si="50"/>
        <v>18.031088082901555</v>
      </c>
      <c r="K114" s="319">
        <f t="shared" si="51"/>
        <v>9.1734466360403459</v>
      </c>
      <c r="L114" s="319">
        <f t="shared" si="51"/>
        <v>5.5805133702578766</v>
      </c>
      <c r="M114" s="328">
        <f>SUM(K111:L114)</f>
        <v>20.771701930951426</v>
      </c>
      <c r="O114" s="21">
        <f>(COUNTA(G111:G114)-1)*(COUNTA(G111:H111)-1)</f>
        <v>3</v>
      </c>
      <c r="P114" s="21">
        <f>_xlfn.CHISQ.DIST.RT(M114,O114)</f>
        <v>1.1741694877214932E-4</v>
      </c>
      <c r="R114" s="327"/>
    </row>
    <row r="115" spans="1:25" ht="15" thickBot="1" x14ac:dyDescent="0.4">
      <c r="A115" s="322" t="s">
        <v>2100</v>
      </c>
      <c r="B115" s="290">
        <f>SUM(B111:B114)</f>
        <v>73</v>
      </c>
      <c r="C115" s="290">
        <f>SUM(C111:C114)</f>
        <v>120</v>
      </c>
      <c r="D115" s="324">
        <f>SUM(B111:C114)</f>
        <v>193</v>
      </c>
      <c r="G115" s="319"/>
      <c r="H115" s="325"/>
    </row>
    <row r="116" spans="1:25" ht="15" thickTop="1" x14ac:dyDescent="0.35">
      <c r="D116" s="290"/>
      <c r="G116" s="319"/>
      <c r="H116" s="325"/>
    </row>
    <row r="117" spans="1:25" x14ac:dyDescent="0.35">
      <c r="B117" s="297" t="s">
        <v>2246</v>
      </c>
      <c r="C117" s="21" t="s">
        <v>2231</v>
      </c>
      <c r="D117" s="290"/>
      <c r="G117" s="319" t="s">
        <v>2227</v>
      </c>
      <c r="H117" s="319" t="s">
        <v>2231</v>
      </c>
    </row>
    <row r="118" spans="1:25" x14ac:dyDescent="0.35">
      <c r="A118" s="322" t="s">
        <v>372</v>
      </c>
      <c r="B118" s="21">
        <f>B58+C58+J58</f>
        <v>28</v>
      </c>
      <c r="C118" s="21">
        <f>K58-B118</f>
        <v>40</v>
      </c>
      <c r="D118" s="290">
        <f>B118+C118</f>
        <v>68</v>
      </c>
      <c r="F118" s="322" t="s">
        <v>372</v>
      </c>
      <c r="G118" s="319">
        <f t="shared" ref="G118:H121" si="52">($D118*B$122)/$D$122</f>
        <v>26.072538860103627</v>
      </c>
      <c r="H118" s="319">
        <f t="shared" si="52"/>
        <v>41.927461139896373</v>
      </c>
      <c r="K118" s="319">
        <f t="shared" ref="K118:L121" si="53">(B118-G118)^2/G118</f>
        <v>0.1424911653500498</v>
      </c>
      <c r="L118" s="319">
        <f t="shared" si="53"/>
        <v>8.8607951562215848E-2</v>
      </c>
    </row>
    <row r="119" spans="1:25" x14ac:dyDescent="0.35">
      <c r="A119" s="322" t="s">
        <v>341</v>
      </c>
      <c r="B119" s="21">
        <f>B68+C68+J68</f>
        <v>16</v>
      </c>
      <c r="C119" s="21">
        <f>K68-B119</f>
        <v>15</v>
      </c>
      <c r="D119" s="290">
        <f>B119+C119</f>
        <v>31</v>
      </c>
      <c r="F119" s="322" t="s">
        <v>341</v>
      </c>
      <c r="G119" s="319">
        <f t="shared" si="52"/>
        <v>11.8860103626943</v>
      </c>
      <c r="H119" s="319">
        <f t="shared" si="52"/>
        <v>19.1139896373057</v>
      </c>
      <c r="K119" s="319">
        <f t="shared" si="53"/>
        <v>1.4239353844902904</v>
      </c>
      <c r="L119" s="319">
        <f t="shared" si="53"/>
        <v>0.88547242396875203</v>
      </c>
    </row>
    <row r="120" spans="1:25" x14ac:dyDescent="0.35">
      <c r="A120" s="322" t="s">
        <v>405</v>
      </c>
      <c r="B120" s="21">
        <f>B78+C78+J78</f>
        <v>28</v>
      </c>
      <c r="C120" s="21">
        <f>K78-B120</f>
        <v>37</v>
      </c>
      <c r="D120" s="290">
        <f>B120+C120</f>
        <v>65</v>
      </c>
      <c r="F120" s="322" t="s">
        <v>405</v>
      </c>
      <c r="G120" s="319">
        <f t="shared" si="52"/>
        <v>24.922279792746114</v>
      </c>
      <c r="H120" s="319">
        <f t="shared" si="52"/>
        <v>40.077720207253883</v>
      </c>
      <c r="K120" s="319">
        <f t="shared" si="53"/>
        <v>0.38007605054237181</v>
      </c>
      <c r="L120" s="319">
        <f t="shared" si="53"/>
        <v>0.23634981294231475</v>
      </c>
    </row>
    <row r="121" spans="1:25" s="297" customFormat="1" x14ac:dyDescent="0.35">
      <c r="A121" s="322" t="s">
        <v>273</v>
      </c>
      <c r="B121" s="21">
        <f>B88+C88+J88</f>
        <v>2</v>
      </c>
      <c r="C121" s="21">
        <f>K88-B121</f>
        <v>27</v>
      </c>
      <c r="D121" s="290">
        <f>B121+C121</f>
        <v>29</v>
      </c>
      <c r="F121" s="322" t="s">
        <v>273</v>
      </c>
      <c r="G121" s="319">
        <f t="shared" si="52"/>
        <v>11.119170984455959</v>
      </c>
      <c r="H121" s="319">
        <f t="shared" si="52"/>
        <v>17.880829015544041</v>
      </c>
      <c r="K121" s="319">
        <f t="shared" si="53"/>
        <v>7.4789100338501804</v>
      </c>
      <c r="L121" s="319">
        <f t="shared" si="53"/>
        <v>4.6507507773522132</v>
      </c>
      <c r="M121" s="319">
        <f>SUM(K118:L121)</f>
        <v>15.286593600058389</v>
      </c>
      <c r="O121" s="21">
        <f>(COUNTA(G118:G121)-1)*(COUNTA(G118:H118)-1)</f>
        <v>3</v>
      </c>
      <c r="P121" s="21">
        <f>_xlfn.CHISQ.DIST.RT(M121,O121)</f>
        <v>1.587413146687693E-3</v>
      </c>
    </row>
    <row r="122" spans="1:25" ht="15" thickBot="1" x14ac:dyDescent="0.4">
      <c r="B122" s="290">
        <f>SUM(B118:B121)</f>
        <v>74</v>
      </c>
      <c r="C122" s="290">
        <f>SUM(C118:C121)</f>
        <v>119</v>
      </c>
      <c r="D122" s="324">
        <f>SUM(B118:C121)</f>
        <v>193</v>
      </c>
      <c r="G122" s="319"/>
      <c r="H122" s="319"/>
      <c r="P122" s="297"/>
    </row>
    <row r="123" spans="1:25" ht="15" thickTop="1" x14ac:dyDescent="0.35">
      <c r="C123" s="21"/>
      <c r="D123" s="290"/>
      <c r="G123" s="319"/>
      <c r="H123" s="319"/>
      <c r="P123" s="319"/>
      <c r="Q123" s="319"/>
      <c r="R123" s="319"/>
      <c r="S123" s="319"/>
      <c r="T123" s="319"/>
      <c r="U123" s="319"/>
      <c r="V123" s="319"/>
      <c r="W123" s="319"/>
      <c r="X123" s="319"/>
      <c r="Y123" s="319"/>
    </row>
    <row r="124" spans="1:25" x14ac:dyDescent="0.35">
      <c r="D124" s="290"/>
      <c r="G124" s="319"/>
      <c r="H124" s="325"/>
      <c r="P124" s="319"/>
      <c r="Q124" s="319"/>
      <c r="R124" s="319"/>
      <c r="S124" s="319"/>
      <c r="T124" s="319"/>
      <c r="U124" s="319"/>
      <c r="V124" s="319"/>
      <c r="W124" s="319"/>
      <c r="X124" s="319"/>
      <c r="Y124" s="319"/>
    </row>
    <row r="125" spans="1:25" x14ac:dyDescent="0.35">
      <c r="B125" s="297" t="s">
        <v>2237</v>
      </c>
      <c r="C125" s="297" t="s">
        <v>2238</v>
      </c>
      <c r="D125" s="290"/>
      <c r="G125" s="326" t="s">
        <v>2237</v>
      </c>
      <c r="H125" s="326" t="s">
        <v>2238</v>
      </c>
      <c r="P125" s="319"/>
      <c r="Q125" s="319"/>
      <c r="R125" s="319"/>
      <c r="S125" s="319"/>
      <c r="T125" s="319"/>
      <c r="U125" s="319"/>
      <c r="V125" s="319"/>
      <c r="W125" s="319"/>
      <c r="X125" s="319"/>
      <c r="Y125" s="319"/>
    </row>
    <row r="126" spans="1:25" x14ac:dyDescent="0.35">
      <c r="A126" s="322" t="s">
        <v>372</v>
      </c>
      <c r="B126" s="21">
        <f>SUM(P58:S58)</f>
        <v>17</v>
      </c>
      <c r="C126" s="21">
        <f>T58-B126</f>
        <v>42</v>
      </c>
      <c r="D126" s="290">
        <f>B126+C126</f>
        <v>59</v>
      </c>
      <c r="F126" s="322" t="s">
        <v>372</v>
      </c>
      <c r="G126" s="319">
        <f t="shared" ref="G126:H129" si="54">($D126*B$130)/$D$130</f>
        <v>19.786585365853657</v>
      </c>
      <c r="H126" s="319">
        <f t="shared" si="54"/>
        <v>39.213414634146339</v>
      </c>
      <c r="K126" s="319">
        <f t="shared" ref="K126:L129" si="55">(B126-G126)^2/G126</f>
        <v>0.39244052764102338</v>
      </c>
      <c r="L126" s="319">
        <f t="shared" si="55"/>
        <v>0.19802044972712238</v>
      </c>
    </row>
    <row r="127" spans="1:25" x14ac:dyDescent="0.35">
      <c r="A127" s="322" t="s">
        <v>341</v>
      </c>
      <c r="B127" s="21">
        <f>SUM(P68:S68)</f>
        <v>9</v>
      </c>
      <c r="C127" s="21">
        <f>T68-B127</f>
        <v>15</v>
      </c>
      <c r="D127" s="290">
        <f>B127+C127</f>
        <v>24</v>
      </c>
      <c r="F127" s="322" t="s">
        <v>341</v>
      </c>
      <c r="G127" s="319">
        <f t="shared" si="54"/>
        <v>8.0487804878048781</v>
      </c>
      <c r="H127" s="319">
        <f t="shared" si="54"/>
        <v>15.951219512195122</v>
      </c>
      <c r="K127" s="319">
        <f t="shared" si="55"/>
        <v>0.11241685144124168</v>
      </c>
      <c r="L127" s="319">
        <f t="shared" si="55"/>
        <v>5.6724099351085251E-2</v>
      </c>
    </row>
    <row r="128" spans="1:25" x14ac:dyDescent="0.35">
      <c r="A128" s="322" t="s">
        <v>405</v>
      </c>
      <c r="B128" s="21">
        <f>SUM(P78:S78)</f>
        <v>22</v>
      </c>
      <c r="C128" s="21">
        <f>T78-B128</f>
        <v>32</v>
      </c>
      <c r="D128" s="290">
        <f>B128+C128</f>
        <v>54</v>
      </c>
      <c r="F128" s="322" t="s">
        <v>405</v>
      </c>
      <c r="G128" s="319">
        <f t="shared" si="54"/>
        <v>18.109756097560975</v>
      </c>
      <c r="H128" s="319">
        <f t="shared" si="54"/>
        <v>35.890243902439025</v>
      </c>
      <c r="K128" s="319">
        <f t="shared" si="55"/>
        <v>0.83568202348690168</v>
      </c>
      <c r="L128" s="319">
        <f t="shared" si="55"/>
        <v>0.42167441552091367</v>
      </c>
    </row>
    <row r="129" spans="1:25" x14ac:dyDescent="0.35">
      <c r="A129" s="322" t="s">
        <v>273</v>
      </c>
      <c r="B129" s="21">
        <f>SUM(P88:S88)</f>
        <v>7</v>
      </c>
      <c r="C129" s="21">
        <f>T88-B129</f>
        <v>20</v>
      </c>
      <c r="D129" s="290">
        <f>B129+C129</f>
        <v>27</v>
      </c>
      <c r="F129" s="322" t="s">
        <v>273</v>
      </c>
      <c r="G129" s="319">
        <f t="shared" si="54"/>
        <v>9.0548780487804876</v>
      </c>
      <c r="H129" s="319">
        <f t="shared" si="54"/>
        <v>17.945121951219512</v>
      </c>
      <c r="K129" s="319">
        <f t="shared" si="55"/>
        <v>0.46632586022829919</v>
      </c>
      <c r="L129" s="319">
        <f t="shared" si="55"/>
        <v>0.23530203956473811</v>
      </c>
      <c r="M129" s="319">
        <f>SUM(K126:L129)</f>
        <v>2.7185862669613252</v>
      </c>
      <c r="O129" s="21">
        <f>(COUNTA(G126:G129)-1)*(COUNTA(G126:H126)-1)</f>
        <v>3</v>
      </c>
      <c r="P129" s="21">
        <f>_xlfn.CHISQ.DIST.RT(M129,O129)</f>
        <v>0.43707798805903042</v>
      </c>
    </row>
    <row r="130" spans="1:25" ht="15" thickBot="1" x14ac:dyDescent="0.4">
      <c r="B130" s="290">
        <f>SUM(B126:B129)</f>
        <v>55</v>
      </c>
      <c r="C130" s="290">
        <f>SUM(C126:C129)</f>
        <v>109</v>
      </c>
      <c r="D130" s="324">
        <f>SUM(B126:C129)</f>
        <v>164</v>
      </c>
      <c r="G130" s="319"/>
      <c r="H130" s="325"/>
    </row>
    <row r="131" spans="1:25" ht="15" thickTop="1" x14ac:dyDescent="0.35">
      <c r="C131" s="21"/>
      <c r="D131" s="290"/>
      <c r="G131" s="319"/>
      <c r="H131" s="319"/>
    </row>
    <row r="132" spans="1:25" s="297" customFormat="1" x14ac:dyDescent="0.35">
      <c r="A132" s="21"/>
      <c r="B132" s="21" t="s">
        <v>2229</v>
      </c>
      <c r="C132" s="21" t="s">
        <v>2232</v>
      </c>
      <c r="D132" s="290"/>
      <c r="E132" s="21"/>
      <c r="F132" s="21"/>
      <c r="G132" s="319" t="s">
        <v>2229</v>
      </c>
      <c r="H132" s="319" t="s">
        <v>2232</v>
      </c>
      <c r="I132" s="21"/>
      <c r="J132" s="21"/>
    </row>
    <row r="133" spans="1:25" x14ac:dyDescent="0.35">
      <c r="A133" s="322" t="s">
        <v>372</v>
      </c>
      <c r="B133" s="21">
        <f>R58+S58</f>
        <v>2</v>
      </c>
      <c r="C133" s="21">
        <f>T58-B133</f>
        <v>57</v>
      </c>
      <c r="D133" s="290">
        <f>B133+C133</f>
        <v>59</v>
      </c>
      <c r="F133" s="322" t="s">
        <v>372</v>
      </c>
      <c r="G133" s="319">
        <f t="shared" ref="G133:H136" si="56">($D133*B$137)/$D$137</f>
        <v>5.0365853658536581</v>
      </c>
      <c r="H133" s="319">
        <f t="shared" si="56"/>
        <v>53.963414634146339</v>
      </c>
      <c r="K133" s="319">
        <f t="shared" ref="K133:L136" si="57">(B133-G133)^2/G133</f>
        <v>1.8307742278391304</v>
      </c>
      <c r="L133" s="319">
        <f t="shared" si="57"/>
        <v>0.17087226126498578</v>
      </c>
      <c r="P133" s="297"/>
    </row>
    <row r="134" spans="1:25" x14ac:dyDescent="0.35">
      <c r="A134" s="322" t="s">
        <v>341</v>
      </c>
      <c r="B134" s="21">
        <f>R68+S68</f>
        <v>4</v>
      </c>
      <c r="C134" s="21">
        <f>T68-B134</f>
        <v>20</v>
      </c>
      <c r="D134" s="290">
        <f>B134+C134</f>
        <v>24</v>
      </c>
      <c r="F134" s="322" t="s">
        <v>341</v>
      </c>
      <c r="G134" s="319">
        <f t="shared" si="56"/>
        <v>2.0487804878048781</v>
      </c>
      <c r="H134" s="319">
        <f t="shared" si="56"/>
        <v>21.951219512195124</v>
      </c>
      <c r="K134" s="319">
        <f t="shared" si="57"/>
        <v>1.8583042973286874</v>
      </c>
      <c r="L134" s="319">
        <f t="shared" si="57"/>
        <v>0.17344173441734448</v>
      </c>
      <c r="P134" s="319"/>
      <c r="Q134" s="319"/>
      <c r="R134" s="319"/>
      <c r="S134" s="319"/>
      <c r="T134" s="319"/>
      <c r="U134" s="319"/>
      <c r="V134" s="319"/>
      <c r="W134" s="319"/>
      <c r="X134" s="319"/>
      <c r="Y134" s="319"/>
    </row>
    <row r="135" spans="1:25" x14ac:dyDescent="0.35">
      <c r="A135" s="322" t="s">
        <v>405</v>
      </c>
      <c r="B135" s="21">
        <f>R78+S78</f>
        <v>6</v>
      </c>
      <c r="C135" s="21">
        <f>T78-B135</f>
        <v>48</v>
      </c>
      <c r="D135" s="290">
        <f>B135+C135</f>
        <v>54</v>
      </c>
      <c r="F135" s="322" t="s">
        <v>405</v>
      </c>
      <c r="G135" s="319">
        <f t="shared" si="56"/>
        <v>4.6097560975609753</v>
      </c>
      <c r="H135" s="319">
        <f t="shared" si="56"/>
        <v>49.390243902439025</v>
      </c>
      <c r="K135" s="319">
        <f t="shared" si="57"/>
        <v>0.41927990708478541</v>
      </c>
      <c r="L135" s="319">
        <f t="shared" si="57"/>
        <v>3.9132791327913301E-2</v>
      </c>
      <c r="P135" s="319"/>
      <c r="Q135" s="319"/>
      <c r="R135" s="319"/>
      <c r="S135" s="319"/>
      <c r="T135" s="319"/>
      <c r="U135" s="319"/>
      <c r="V135" s="319"/>
      <c r="W135" s="319"/>
      <c r="X135" s="319"/>
      <c r="Y135" s="319"/>
    </row>
    <row r="136" spans="1:25" x14ac:dyDescent="0.35">
      <c r="A136" s="322" t="s">
        <v>273</v>
      </c>
      <c r="B136" s="21">
        <f>R88+S88</f>
        <v>2</v>
      </c>
      <c r="C136" s="21">
        <f>T88-B136</f>
        <v>25</v>
      </c>
      <c r="D136" s="290">
        <f>B136+C136</f>
        <v>27</v>
      </c>
      <c r="F136" s="322" t="s">
        <v>273</v>
      </c>
      <c r="G136" s="319">
        <f t="shared" si="56"/>
        <v>2.3048780487804876</v>
      </c>
      <c r="H136" s="319">
        <f t="shared" si="56"/>
        <v>24.695121951219512</v>
      </c>
      <c r="K136" s="319">
        <f t="shared" si="57"/>
        <v>4.0327784230223207E-2</v>
      </c>
      <c r="L136" s="319">
        <f t="shared" si="57"/>
        <v>3.7639265281541661E-3</v>
      </c>
      <c r="M136" s="319">
        <f>SUM(K133:L136)</f>
        <v>4.5358969300212237</v>
      </c>
      <c r="O136" s="21">
        <f>(COUNTA(G133:G136)-1)*(COUNTA(G133:H133)-1)</f>
        <v>3</v>
      </c>
      <c r="P136" s="21">
        <f>_xlfn.CHISQ.DIST.RT(M136,O136)</f>
        <v>0.20911062555589738</v>
      </c>
      <c r="Q136" s="319"/>
      <c r="R136" s="319"/>
      <c r="S136" s="319"/>
      <c r="T136" s="319"/>
      <c r="U136" s="319"/>
      <c r="V136" s="319"/>
      <c r="W136" s="319"/>
      <c r="X136" s="319"/>
      <c r="Y136" s="319"/>
    </row>
    <row r="137" spans="1:25" ht="15" thickBot="1" x14ac:dyDescent="0.4">
      <c r="B137" s="290">
        <f>SUM(B133:B136)</f>
        <v>14</v>
      </c>
      <c r="C137" s="290">
        <f>SUM(C133:C136)</f>
        <v>150</v>
      </c>
      <c r="D137" s="324">
        <f>SUM(B133:C136)</f>
        <v>164</v>
      </c>
      <c r="M137" s="319"/>
      <c r="N137" s="319"/>
      <c r="O137" s="319"/>
      <c r="P137" s="319"/>
      <c r="Q137" s="319"/>
      <c r="R137" s="319"/>
      <c r="S137" s="319"/>
      <c r="T137" s="319"/>
      <c r="U137" s="319"/>
      <c r="V137" s="319"/>
    </row>
    <row r="138" spans="1:25" ht="15" thickTop="1" x14ac:dyDescent="0.35">
      <c r="K138" s="323"/>
    </row>
    <row r="140" spans="1:25" s="297" customFormat="1" x14ac:dyDescent="0.35"/>
    <row r="141" spans="1:25" s="297" customFormat="1" x14ac:dyDescent="0.35"/>
    <row r="142" spans="1:25" s="297" customFormat="1" x14ac:dyDescent="0.35"/>
    <row r="143" spans="1:25" x14ac:dyDescent="0.35">
      <c r="B143" s="297" t="s">
        <v>286</v>
      </c>
      <c r="C143" s="297" t="s">
        <v>309</v>
      </c>
      <c r="D143" s="297" t="s">
        <v>331</v>
      </c>
      <c r="E143" s="297" t="s">
        <v>320</v>
      </c>
      <c r="F143" s="297"/>
      <c r="G143" s="297"/>
    </row>
    <row r="144" spans="1:25" x14ac:dyDescent="0.35">
      <c r="A144" s="322" t="s">
        <v>372</v>
      </c>
      <c r="B144" s="297">
        <f t="shared" ref="B144:E147" si="58">COUNTIFS($C$160:$C$214,$A144,$M$160:$M$214,B$143)</f>
        <v>6</v>
      </c>
      <c r="C144" s="297">
        <f t="shared" si="58"/>
        <v>5</v>
      </c>
      <c r="D144" s="297">
        <f t="shared" si="58"/>
        <v>4</v>
      </c>
      <c r="E144" s="297">
        <f t="shared" si="58"/>
        <v>1</v>
      </c>
      <c r="F144" s="297"/>
      <c r="G144" s="321">
        <f>B144/SUM($B$144:$E$144)</f>
        <v>0.375</v>
      </c>
      <c r="H144" s="321">
        <f>C144/SUM($B$144:$E$144)</f>
        <v>0.3125</v>
      </c>
      <c r="I144" s="321">
        <f>D144/SUM($B$144:$E$144)</f>
        <v>0.25</v>
      </c>
      <c r="J144" s="321">
        <f>E144/SUM($B$144:$E$144)</f>
        <v>6.25E-2</v>
      </c>
    </row>
    <row r="145" spans="1:51" x14ac:dyDescent="0.35">
      <c r="A145" s="322" t="s">
        <v>341</v>
      </c>
      <c r="B145" s="297">
        <f t="shared" si="58"/>
        <v>6</v>
      </c>
      <c r="C145" s="297">
        <f t="shared" si="58"/>
        <v>0</v>
      </c>
      <c r="D145" s="297">
        <f t="shared" si="58"/>
        <v>0</v>
      </c>
      <c r="E145" s="297">
        <f t="shared" si="58"/>
        <v>2</v>
      </c>
      <c r="F145" s="297"/>
      <c r="G145" s="321">
        <f>B145/SUM($B$145:$E$145)</f>
        <v>0.75</v>
      </c>
      <c r="H145" s="321">
        <f>C145/SUM($B$145:$E$145)</f>
        <v>0</v>
      </c>
      <c r="I145" s="321">
        <f>D145/SUM($B$145:$E$145)</f>
        <v>0</v>
      </c>
      <c r="J145" s="321">
        <f>E145/SUM($B$145:$E$145)</f>
        <v>0.25</v>
      </c>
    </row>
    <row r="146" spans="1:51" x14ac:dyDescent="0.35">
      <c r="A146" s="322" t="s">
        <v>405</v>
      </c>
      <c r="B146" s="297">
        <f t="shared" si="58"/>
        <v>9</v>
      </c>
      <c r="C146" s="297">
        <f t="shared" si="58"/>
        <v>2</v>
      </c>
      <c r="D146" s="297">
        <f t="shared" si="58"/>
        <v>0</v>
      </c>
      <c r="E146" s="297">
        <f t="shared" si="58"/>
        <v>1</v>
      </c>
      <c r="F146" s="297"/>
      <c r="G146" s="321">
        <f>B146/SUM($B$146:$E$146)</f>
        <v>0.75</v>
      </c>
      <c r="H146" s="321">
        <f>C146/SUM($B$146:$E$146)</f>
        <v>0.16666666666666666</v>
      </c>
      <c r="I146" s="321">
        <f>D146/SUM($B$146:$E$146)</f>
        <v>0</v>
      </c>
      <c r="J146" s="321">
        <f>E146/SUM($B$146:$E$146)</f>
        <v>8.3333333333333329E-2</v>
      </c>
    </row>
    <row r="147" spans="1:51" x14ac:dyDescent="0.35">
      <c r="A147" s="322" t="s">
        <v>273</v>
      </c>
      <c r="B147" s="297">
        <f t="shared" si="58"/>
        <v>5</v>
      </c>
      <c r="C147" s="297">
        <f t="shared" si="58"/>
        <v>6</v>
      </c>
      <c r="D147" s="297">
        <f t="shared" si="58"/>
        <v>0</v>
      </c>
      <c r="E147" s="297">
        <f t="shared" si="58"/>
        <v>2</v>
      </c>
      <c r="G147" s="321">
        <f>B147/SUM($B$147:$E$147)</f>
        <v>0.38461538461538464</v>
      </c>
      <c r="H147" s="321">
        <f>C147/SUM($B$147:$E$147)</f>
        <v>0.46153846153846156</v>
      </c>
      <c r="I147" s="321">
        <f>D147/SUM($B$147:$E$147)</f>
        <v>0</v>
      </c>
      <c r="J147" s="321">
        <f>E147/SUM($B$147:$E$147)</f>
        <v>0.15384615384615385</v>
      </c>
    </row>
    <row r="149" spans="1:51" x14ac:dyDescent="0.35">
      <c r="B149" s="409">
        <f>SUM(B144:B147)/SUM($B$144:$E$147)</f>
        <v>0.53061224489795922</v>
      </c>
      <c r="C149" s="409">
        <f t="shared" ref="C149:E149" si="59">SUM(C144:C147)/SUM($B$144:$E$147)</f>
        <v>0.26530612244897961</v>
      </c>
      <c r="D149" s="409">
        <f t="shared" si="59"/>
        <v>8.1632653061224483E-2</v>
      </c>
      <c r="E149" s="409">
        <f t="shared" si="59"/>
        <v>0.12244897959183673</v>
      </c>
    </row>
    <row r="151" spans="1:51" x14ac:dyDescent="0.35">
      <c r="E151" s="21">
        <v>5</v>
      </c>
    </row>
    <row r="152" spans="1:51" x14ac:dyDescent="0.35">
      <c r="E152" s="21">
        <v>5</v>
      </c>
      <c r="M152" s="319"/>
    </row>
    <row r="153" spans="1:51" x14ac:dyDescent="0.35">
      <c r="A153" s="320"/>
      <c r="B153" s="297"/>
      <c r="C153" s="297"/>
      <c r="D153" s="297"/>
      <c r="E153" s="297">
        <v>3</v>
      </c>
      <c r="F153" s="297"/>
      <c r="G153" s="297"/>
      <c r="H153" s="297"/>
      <c r="I153" s="297"/>
      <c r="J153" s="297"/>
      <c r="K153" s="297"/>
      <c r="L153" s="297"/>
      <c r="M153" s="319"/>
      <c r="N153" s="319"/>
      <c r="O153" s="319"/>
      <c r="P153" s="319"/>
      <c r="Q153" s="319"/>
      <c r="R153" s="319"/>
      <c r="S153" s="319"/>
      <c r="T153" s="319"/>
      <c r="U153" s="319"/>
      <c r="V153" s="297"/>
      <c r="W153" s="297"/>
    </row>
    <row r="154" spans="1:51" x14ac:dyDescent="0.35">
      <c r="A154" s="320"/>
      <c r="B154" s="297"/>
      <c r="C154" s="297"/>
      <c r="D154" s="297"/>
      <c r="E154" s="297">
        <v>1</v>
      </c>
      <c r="F154" s="297"/>
      <c r="G154" s="297"/>
      <c r="H154" s="297"/>
      <c r="I154" s="297"/>
      <c r="J154" s="297"/>
      <c r="K154" s="297"/>
      <c r="L154" s="297"/>
      <c r="M154" s="319"/>
      <c r="N154" s="319"/>
      <c r="O154" s="319"/>
      <c r="P154" s="319"/>
      <c r="Q154" s="319"/>
      <c r="R154" s="319"/>
      <c r="S154" s="319"/>
      <c r="T154" s="319"/>
      <c r="U154" s="319"/>
      <c r="V154" s="297"/>
      <c r="W154" s="297"/>
    </row>
    <row r="155" spans="1:51" x14ac:dyDescent="0.35">
      <c r="A155" s="297"/>
      <c r="B155" s="297"/>
      <c r="C155" s="297"/>
      <c r="D155" s="297"/>
      <c r="E155" s="297"/>
      <c r="F155" s="297"/>
      <c r="G155" s="297"/>
      <c r="H155" s="297"/>
      <c r="I155" s="297"/>
      <c r="J155" s="297"/>
      <c r="K155" s="297"/>
      <c r="L155" s="297"/>
      <c r="M155" s="297"/>
      <c r="N155" s="297"/>
      <c r="O155" s="297"/>
      <c r="P155" s="297"/>
      <c r="Q155" s="297"/>
      <c r="R155" s="297"/>
      <c r="S155" s="297"/>
      <c r="T155" s="297"/>
      <c r="U155" s="297"/>
      <c r="V155" s="297"/>
      <c r="W155" s="297"/>
    </row>
    <row r="157" spans="1:51" x14ac:dyDescent="0.35">
      <c r="E157" s="297"/>
    </row>
    <row r="158" spans="1:51" ht="26" x14ac:dyDescent="0.6">
      <c r="A158" s="318" t="s">
        <v>2147</v>
      </c>
      <c r="B158" s="297" t="s">
        <v>2148</v>
      </c>
      <c r="X158" s="297"/>
      <c r="Y158" s="297"/>
      <c r="Z158" s="297"/>
      <c r="AA158" s="297"/>
      <c r="AB158" s="297"/>
      <c r="AC158" s="297"/>
      <c r="AX158" s="158"/>
    </row>
    <row r="159" spans="1:51" ht="104.5" customHeight="1" thickBot="1" x14ac:dyDescent="0.4">
      <c r="A159" s="83" t="s">
        <v>2086</v>
      </c>
      <c r="B159" s="83" t="s">
        <v>1943</v>
      </c>
      <c r="C159" s="83" t="s">
        <v>1990</v>
      </c>
      <c r="D159" s="83" t="s">
        <v>2169</v>
      </c>
      <c r="E159" s="85" t="s">
        <v>2157</v>
      </c>
      <c r="F159" s="84" t="s">
        <v>2081</v>
      </c>
      <c r="G159" s="85" t="s">
        <v>2310</v>
      </c>
      <c r="H159" s="377" t="s">
        <v>2314</v>
      </c>
      <c r="I159" s="85" t="s">
        <v>2311</v>
      </c>
      <c r="J159" s="317" t="s">
        <v>2315</v>
      </c>
      <c r="K159" s="85" t="s">
        <v>2312</v>
      </c>
      <c r="L159" s="317" t="s">
        <v>2313</v>
      </c>
      <c r="M159" s="85" t="s">
        <v>1946</v>
      </c>
      <c r="N159" s="88" t="str">
        <f>CBIMPORT!AM1</f>
        <v>Patents</v>
      </c>
      <c r="O159" s="174" t="str">
        <f>H37</f>
        <v>Joint D&amp;D</v>
      </c>
      <c r="P159" s="174" t="str">
        <f>I37</f>
        <v>Joint Production</v>
      </c>
      <c r="Q159" s="174" t="str">
        <f>J37</f>
        <v>Joint Service Agreement</v>
      </c>
      <c r="R159" s="174" t="str">
        <f>K37</f>
        <v>Other</v>
      </c>
      <c r="S159" s="174" t="str">
        <f>L37</f>
        <v>Supply Partnership (extended)</v>
      </c>
      <c r="T159" s="174" t="str">
        <f>M37</f>
        <v>Research &amp; Collaboration</v>
      </c>
      <c r="U159" s="174" t="str">
        <f>N37</f>
        <v>Licensing</v>
      </c>
      <c r="V159" s="174" t="str">
        <f>O37</f>
        <v>Marketing Agreement</v>
      </c>
      <c r="W159" s="174" t="str">
        <f>P37</f>
        <v>Supply Partnership (traditional)</v>
      </c>
      <c r="X159" s="175" t="str" cm="1">
        <f t="array" ref="X159:AD159">TRANSPOSE(_xlfn.UNIQUE(E38:E44))</f>
        <v>1. Informal Agreement</v>
      </c>
      <c r="Y159" s="175" t="str">
        <v>2.1. Short term Alliance (no exclusivity / previous experience)</v>
      </c>
      <c r="Z159" s="175" t="str">
        <v xml:space="preserve">2.2. Renewed Alliance </v>
      </c>
      <c r="AA159" s="175" t="str">
        <v>2.3. Long term Alliance</v>
      </c>
      <c r="AB159" s="175" t="str">
        <v>2.4. Exclusive Alliance</v>
      </c>
      <c r="AC159" s="175" t="str">
        <v>3. Strategic Partnership</v>
      </c>
      <c r="AD159" s="175" t="str">
        <v>4. Joint Venture</v>
      </c>
      <c r="AE159" s="191" t="s">
        <v>2096</v>
      </c>
      <c r="AF159" s="191" t="s">
        <v>2097</v>
      </c>
      <c r="AG159" s="191" t="s">
        <v>2098</v>
      </c>
      <c r="AH159" s="191" t="s">
        <v>2099</v>
      </c>
      <c r="AI159" s="84" t="s">
        <v>2247</v>
      </c>
      <c r="AJ159" s="84" t="s">
        <v>2248</v>
      </c>
      <c r="AK159" s="84" t="s">
        <v>2249</v>
      </c>
      <c r="AL159" s="84" t="s">
        <v>2228</v>
      </c>
      <c r="AM159" s="191" t="str">
        <f t="shared" ref="AM159" si="60">D159</f>
        <v>Announcements</v>
      </c>
      <c r="AN159" s="191" t="str">
        <f t="shared" ref="AN159" si="61">F159</f>
        <v>...of which public</v>
      </c>
      <c r="AO159" s="191" t="str">
        <f>CBIMPORT!AL1</f>
        <v>IPO Status P(Public = 1; Private = 0)</v>
      </c>
      <c r="AP159" s="176" t="s">
        <v>2024</v>
      </c>
      <c r="AQ159" s="176" t="s">
        <v>2054</v>
      </c>
      <c r="AR159" s="158"/>
      <c r="AS159" s="158"/>
      <c r="AT159" s="158"/>
      <c r="AU159" s="158"/>
      <c r="AV159" s="158"/>
      <c r="AW159" s="158"/>
      <c r="AX159" s="158"/>
      <c r="AY159" s="158"/>
    </row>
    <row r="160" spans="1:51" x14ac:dyDescent="0.35">
      <c r="A160" s="303" t="s">
        <v>2172</v>
      </c>
      <c r="B160" s="315" t="str">
        <f t="shared" ref="B160:B191" si="62">LEFT(A160,SEARCH("-",A160)-1)</f>
        <v>2getthere</v>
      </c>
      <c r="C160" s="316" t="str">
        <f t="shared" ref="C160:C191" si="63">RIGHT(A160,LEN(A160)-SEARCH("-",A160))</f>
        <v>Ridepooling</v>
      </c>
      <c r="D160" s="313">
        <f>COUNTIFS(ANNOUNCEMENTS!$E$2:$E$180,$B160,ANNOUNCEMENTS!$J$2:$J$180,$C160)</f>
        <v>5</v>
      </c>
      <c r="E160" s="312" t="str" cm="1">
        <f t="array" ref="E160">_xlfn.ARRAYTOTEXT(
IF(D160&gt;0,_xlfn._xlws.FILTER(CHOOSE({1},
ANNOUNCEMENTS!$K$1:$K$180),
(ANNOUNCEMENTS!$E$1:$E$180=B160)*((ANNOUNCEMENTS!$J$1:$J$180=$C160)))))</f>
        <v>SLTN; Benteler; SMRT; United Technical Services; SMRT</v>
      </c>
      <c r="F160" s="306">
        <f t="shared" ref="F160:F201" si="64">L259</f>
        <v>0</v>
      </c>
      <c r="G160" s="310" t="str" cm="1">
        <f t="array" ref="G160">_xlfn.XLOOKUP($A160,'Industries all mentioned partne'!$A$2:$A$58,_xlfn.XLOOKUP(G$159,'Industries all mentioned partne'!$A$2:$DM$2,'Industries all mentioned partne'!$A$2:$DM$58))</f>
        <v>Transport Operator</v>
      </c>
      <c r="H160" s="91" cm="1">
        <f t="array" ref="H160">_xlfn.XLOOKUP($A160,'Industries all mentioned partne'!$A$2:$A$58,_xlfn.XLOOKUP(H$159,'Industries all mentioned partne'!$A$2:$DM$2,'Industries all mentioned partne'!$A$2:$DM$58))</f>
        <v>0.4</v>
      </c>
      <c r="I160" s="310" t="str" cm="1">
        <f t="array" ref="I160">_xlfn.XLOOKUP($A160,'Industries all mentioned partne'!$A$2:$A$58,_xlfn.XLOOKUP(I$159,'Industries all mentioned partne'!$A$2:$DM$2,'Industries all mentioned partne'!$A$2:$DM$58))</f>
        <v>Automotive Supplier</v>
      </c>
      <c r="J160" s="91" cm="1">
        <f t="array" ref="J160">_xlfn.XLOOKUP($A160,'Industries all mentioned partne'!$A$2:$A$58,_xlfn.XLOOKUP(J$159,'Industries all mentioned partne'!$A$2:$DM$2,'Industries all mentioned partne'!$A$2:$DM$58))</f>
        <v>0.2</v>
      </c>
      <c r="K160" s="310" t="str" cm="1">
        <f t="array" ref="K160">_xlfn.XLOOKUP($A160,'Industries all mentioned partne'!$A$2:$A$58,_xlfn.XLOOKUP(K$159,'Industries all mentioned partne'!$A$2:$DM$2,'Industries all mentioned partne'!$A$2:$DM$58))</f>
        <v>Automotive Supplier</v>
      </c>
      <c r="L160" s="91" cm="1">
        <f t="array" ref="L160">_xlfn.XLOOKUP($A160,'Industries all mentioned partne'!$A$2:$A$58,_xlfn.XLOOKUP(L$159,'Industries all mentioned partne'!$A$2:$DM$2,'Industries all mentioned partne'!$A$2:$DM$58))</f>
        <v>0.2</v>
      </c>
      <c r="M160" s="311" t="str" cm="1">
        <f t="array" ref="M160">_xlfn.XLOOKUP($M$159,CBIMPORT!$A$1:$AN$1,_xlfn.XLOOKUP(B160,CBIMPORT!$A$1:$A$171,CBIMPORT!$A$1:$AN$171))</f>
        <v>L2</v>
      </c>
      <c r="N160" s="309" t="str" cm="1">
        <f t="array" ref="N160">_xlfn.XLOOKUP(N$159,CBIMPORT!$A$1:$AM$1,_xlfn.XLOOKUP($B160,CBIMPORT!$A$1:$A$40,CBIMPORT!$A$1:$AM$40))</f>
        <v>n.a.</v>
      </c>
      <c r="O160" s="21">
        <f>COUNTIFS(ANNOUNCEMENTS!$E$2:$E$180,$B160,ANNOUNCEMENTS!$Z$2:$Z$180,O$159,ANNOUNCEMENTS!$J$2:$J$180,$C160)+
COUNTIFS(ANNOUNCEMENTS!$E$2:$E$180,$B160,ANNOUNCEMENTS!$AB$2:$AB$180,O$159,ANNOUNCEMENTS!$J$2:$J$180,$C160)+
COUNTIFS(ANNOUNCEMENTS!$E$2:$E$180,$B160,ANNOUNCEMENTS!$AD$2:$AD$180,O$159,ANNOUNCEMENTS!$J$2:$J$180,$C160)</f>
        <v>1</v>
      </c>
      <c r="P160" s="21">
        <f>COUNTIFS(ANNOUNCEMENTS!$E$2:$E$180,$B160,ANNOUNCEMENTS!$Z$2:$Z$180,P$159,ANNOUNCEMENTS!$J$2:$J$180,$C160)+
COUNTIFS(ANNOUNCEMENTS!$E$2:$E$180,$B160,ANNOUNCEMENTS!$AB$2:$AB$180,P$159,ANNOUNCEMENTS!$J$2:$J$180,$C160)+
COUNTIFS(ANNOUNCEMENTS!$E$2:$E$180,$B160,ANNOUNCEMENTS!$AD$2:$AD$180,P$159,ANNOUNCEMENTS!$J$2:$J$180,$C160)</f>
        <v>1</v>
      </c>
      <c r="Q160" s="21">
        <f>COUNTIFS(ANNOUNCEMENTS!$E$2:$E$180,$B160,ANNOUNCEMENTS!$Z$2:$Z$180,Q$159,ANNOUNCEMENTS!$J$2:$J$180,$C160)+
COUNTIFS(ANNOUNCEMENTS!$E$2:$E$180,$B160,ANNOUNCEMENTS!$AB$2:$AB$180,Q$159,ANNOUNCEMENTS!$J$2:$J$180,$C160)+
COUNTIFS(ANNOUNCEMENTS!$E$2:$E$180,$B160,ANNOUNCEMENTS!$AD$2:$AD$180,Q$159,ANNOUNCEMENTS!$J$2:$J$180,$C160)</f>
        <v>2</v>
      </c>
      <c r="R160" s="21">
        <f>COUNTIFS(ANNOUNCEMENTS!$E$2:$E$180,$B160,ANNOUNCEMENTS!$Z$2:$Z$180,R$159,ANNOUNCEMENTS!$J$2:$J$180,$C160)+
COUNTIFS(ANNOUNCEMENTS!$E$2:$E$180,$B160,ANNOUNCEMENTS!$AB$2:$AB$180,R$159,ANNOUNCEMENTS!$J$2:$J$180,$C160)+
COUNTIFS(ANNOUNCEMENTS!$E$2:$E$180,$B160,ANNOUNCEMENTS!$AD$2:$AD$180,R$159,ANNOUNCEMENTS!$J$2:$J$180,$C160)</f>
        <v>1</v>
      </c>
      <c r="S160" s="21">
        <f>COUNTIFS(ANNOUNCEMENTS!$E$2:$E$180,$B160,ANNOUNCEMENTS!$Z$2:$Z$180,S$159,ANNOUNCEMENTS!$J$2:$J$180,$C160)+
COUNTIFS(ANNOUNCEMENTS!$E$2:$E$180,$B160,ANNOUNCEMENTS!$AB$2:$AB$180,S$159,ANNOUNCEMENTS!$J$2:$J$180,$C160)+
COUNTIFS(ANNOUNCEMENTS!$E$2:$E$180,$B160,ANNOUNCEMENTS!$AD$2:$AD$180,S$159,ANNOUNCEMENTS!$J$2:$J$180,$C160)</f>
        <v>0</v>
      </c>
      <c r="T160" s="21">
        <f>COUNTIFS(ANNOUNCEMENTS!$E$2:$E$180,$B160,ANNOUNCEMENTS!$Z$2:$Z$180,T$159,ANNOUNCEMENTS!$J$2:$J$180,$C160)+
COUNTIFS(ANNOUNCEMENTS!$E$2:$E$180,$B160,ANNOUNCEMENTS!$AB$2:$AB$180,T$159,ANNOUNCEMENTS!$J$2:$J$180,$C160)+
COUNTIFS(ANNOUNCEMENTS!$E$2:$E$180,$B160,ANNOUNCEMENTS!$AD$2:$AD$180,T$159,ANNOUNCEMENTS!$J$2:$J$180,$C160)</f>
        <v>0</v>
      </c>
      <c r="U160" s="21">
        <f>COUNTIFS(ANNOUNCEMENTS!$E$2:$E$180,$B160,ANNOUNCEMENTS!$Z$2:$Z$180,U$159,ANNOUNCEMENTS!$J$2:$J$180,$C160)+
COUNTIFS(ANNOUNCEMENTS!$E$2:$E$180,$B160,ANNOUNCEMENTS!$AB$2:$AB$180,U$159,ANNOUNCEMENTS!$J$2:$J$180,$C160)+
COUNTIFS(ANNOUNCEMENTS!$E$2:$E$180,$B160,ANNOUNCEMENTS!$AD$2:$AD$180,U$159,ANNOUNCEMENTS!$J$2:$J$180,$C160)</f>
        <v>0</v>
      </c>
      <c r="V160" s="21">
        <f>COUNTIFS(ANNOUNCEMENTS!$E$2:$E$180,$B160,ANNOUNCEMENTS!$Z$2:$Z$180,V$159,ANNOUNCEMENTS!$J$2:$J$180,$C160)+
COUNTIFS(ANNOUNCEMENTS!$E$2:$E$180,$B160,ANNOUNCEMENTS!$AB$2:$AB$180,V$159,ANNOUNCEMENTS!$J$2:$J$180,$C160)+
COUNTIFS(ANNOUNCEMENTS!$E$2:$E$180,$B160,ANNOUNCEMENTS!$AD$2:$AD$180,V$159,ANNOUNCEMENTS!$J$2:$J$180,$C160)</f>
        <v>0</v>
      </c>
      <c r="W160" s="21">
        <f>COUNTIFS(ANNOUNCEMENTS!$E$2:$E$180,$B160,ANNOUNCEMENTS!$Z$2:$Z$180,W$159,ANNOUNCEMENTS!$J$2:$J$180,$C160)+
COUNTIFS(ANNOUNCEMENTS!$E$2:$E$180,$B160,ANNOUNCEMENTS!$AB$2:$AB$180,W$159,ANNOUNCEMENTS!$J$2:$J$180,$C160)+
COUNTIFS(ANNOUNCEMENTS!$E$2:$E$180,$B160,ANNOUNCEMENTS!$AD$2:$AD$180,W$159,ANNOUNCEMENTS!$J$2:$J$180,$C160)</f>
        <v>0</v>
      </c>
      <c r="X160" s="21">
        <f>COUNTIFS(ANNOUNCEMENTS!$E$2:$E$180,$B160,ANNOUNCEMENTS!$W$2:$W$180,X$159,ANNOUNCEMENTS!$J$2:$J$180,$C160)</f>
        <v>0</v>
      </c>
      <c r="Y160" s="21">
        <f>COUNTIFS(ANNOUNCEMENTS!$E$2:$E$180,$B160,ANNOUNCEMENTS!$W$2:$W$180,Y$159,ANNOUNCEMENTS!$J$2:$J$180,$C160)</f>
        <v>0</v>
      </c>
      <c r="Z160" s="21">
        <f>COUNTIFS(ANNOUNCEMENTS!$E$2:$E$180,$B160,ANNOUNCEMENTS!$W$2:$W$180,Z$159,ANNOUNCEMENTS!$J$2:$J$180,$C160)</f>
        <v>2</v>
      </c>
      <c r="AA160" s="21">
        <f>COUNTIFS(ANNOUNCEMENTS!$E$2:$E$180,$B160,ANNOUNCEMENTS!$W$2:$W$180,AA$159,ANNOUNCEMENTS!$J$2:$J$180,$C160)</f>
        <v>0</v>
      </c>
      <c r="AB160" s="21">
        <f>COUNTIFS(ANNOUNCEMENTS!$E$2:$E$180,$B160,ANNOUNCEMENTS!$W$2:$W$180,AB$159,ANNOUNCEMENTS!$J$2:$J$180,$C160)</f>
        <v>1</v>
      </c>
      <c r="AC160" s="21">
        <f>COUNTIFS(ANNOUNCEMENTS!$E$2:$E$180,$B160,ANNOUNCEMENTS!$W$2:$W$180,AC$159,ANNOUNCEMENTS!$J$2:$J$180,$C160)</f>
        <v>1</v>
      </c>
      <c r="AD160" s="21">
        <f>COUNTIFS(ANNOUNCEMENTS!$E$2:$E$180,$B160,ANNOUNCEMENTS!$W$2:$W$180,AD$159,ANNOUNCEMENTS!$J$2:$J$180,$C160)</f>
        <v>1</v>
      </c>
      <c r="AE160" s="311">
        <f t="shared" ref="AE160:AE191" si="65">IF($M160="L1",1,0)</f>
        <v>0</v>
      </c>
      <c r="AF160" s="311">
        <f t="shared" ref="AF160:AF191" si="66">IF($M160="L2",1,0)</f>
        <v>1</v>
      </c>
      <c r="AG160" s="311">
        <f t="shared" ref="AG160:AG191" si="67">IF($M160="L3",1,0)</f>
        <v>0</v>
      </c>
      <c r="AH160" s="311">
        <f t="shared" ref="AH160:AH191" si="68">IF($M160="L4",1,0)</f>
        <v>0</v>
      </c>
      <c r="AI160" s="21">
        <f>COUNTIFS(ANNOUNCEMENTS!$E$2:$E$180,B160,ANNOUNCEMENTS!$Z$2:$Z$180,$J$37,ANNOUNCEMENTS!$J$2:$J$180,C160)+
COUNTIFS(ANNOUNCEMENTS!$E$2:$E$180,B160,ANNOUNCEMENTS!$Z$2:$Z$180,$L$37,ANNOUNCEMENTS!$J$2:$J$180,C160)+
COUNTIFS(ANNOUNCEMENTS!$E$2:$E$180,B160,ANNOUNCEMENTS!$AB$2:$AB$180,$J$37,ANNOUNCEMENTS!$J$2:$J$180,C160)+
COUNTIFS(ANNOUNCEMENTS!$E$2:$E$180,B160,ANNOUNCEMENTS!$AB$2:$AB$180,$L$37,ANNOUNCEMENTS!$J$2:$J$180,C160)+
COUNTIFS(ANNOUNCEMENTS!$E$2:$E$180,B160,ANNOUNCEMENTS!$AD$2:$AD$180,$J$37,ANNOUNCEMENTS!$J$2:$J$180,C160)+
COUNTIFS(ANNOUNCEMENTS!$E$2:$E$180,B160,ANNOUNCEMENTS!$AD$2:$AD$180,$L$37,ANNOUNCEMENTS!$J$2:$J$180,C160)</f>
        <v>2</v>
      </c>
      <c r="AJ160" s="21">
        <f>COUNTIFS(ANNOUNCEMENTS!$E$2:$E$180,B160,ANNOUNCEMENTS!$Z$2:$Z$180,$H$37,ANNOUNCEMENTS!$J$2:$J$180,C160)+
COUNTIFS(ANNOUNCEMENTS!$E$2:$E$180,B160,ANNOUNCEMENTS!$Z$2:$Z$180,$I$37,ANNOUNCEMENTS!$J$2:$J$180,C160)+
COUNTIFS(ANNOUNCEMENTS!$E$2:$E$180,B160,ANNOUNCEMENTS!$Z$2:$Z$180,$P$37,ANNOUNCEMENTS!$J$2:$J$180,C160)+
COUNTIFS(ANNOUNCEMENTS!$E$2:$E$180,B160,ANNOUNCEMENTS!$AB$2:$AB$180,$H$37,ANNOUNCEMENTS!$J$2:$J$180,C160)+
COUNTIFS(ANNOUNCEMENTS!$E$2:$E$180,B160,ANNOUNCEMENTS!$AB$2:$AB$180,$I$37,ANNOUNCEMENTS!$J$2:$J$180,C160)+
COUNTIFS(ANNOUNCEMENTS!$E$2:$E$180,B160,ANNOUNCEMENTS!$AB$2:$AB$180,$P$37,ANNOUNCEMENTS!$J$2:$J$180,C160)+
COUNTIFS(ANNOUNCEMENTS!$E$2:$E$180,B160,ANNOUNCEMENTS!$AD$2:$AD$180,$H$37,ANNOUNCEMENTS!$J$2:$J$180,C160)+
COUNTIFS(ANNOUNCEMENTS!$E$2:$E$180,B160,ANNOUNCEMENTS!$AD$2:$AD$180,$I$37,ANNOUNCEMENTS!$J$2:$J$180,C160)+
COUNTIFS(ANNOUNCEMENTS!$E$2:$E$180,B160,ANNOUNCEMENTS!$AD$2:$AD$180,$P$37,ANNOUNCEMENTS!$J$2:$J$180,C160)</f>
        <v>2</v>
      </c>
      <c r="AK160" s="310" cm="1">
        <f t="array" ref="AK160">SUM(COUNTIFS(ANNOUNCEMENTS!$E$2:$E$180,B160,ANNOUNCEMENTS!$W$2:$W$180,$E$38:$E$40,ANNOUNCEMENTS!$J$2:$J$180,C160))</f>
        <v>2</v>
      </c>
      <c r="AL160" s="21" cm="1">
        <f t="array" ref="AL160">SUM(COUNTIFS(ANNOUNCEMENTS!$E$2:$E$180,B160,ANNOUNCEMENTS!$W$2:$W$180,$E$43:$E$44,ANNOUNCEMENTS!$J$2:$J$180,C160))</f>
        <v>2</v>
      </c>
      <c r="AM160" s="21">
        <f t="shared" ref="AM160:AM191" si="69">D160</f>
        <v>5</v>
      </c>
      <c r="AN160" s="21">
        <f t="shared" ref="AN160:AN191" si="70">F160</f>
        <v>0</v>
      </c>
      <c r="AO160" s="309" cm="1">
        <f t="array" ref="AO160">_xlfn.XLOOKUP(AO$159,CBIMPORT!$A$1:$AM$1,_xlfn.XLOOKUP($B160,CBIMPORT!$A$1:$A$40,CBIMPORT!$A$1:$AM$40))</f>
        <v>0</v>
      </c>
      <c r="AP160" s="308" cm="1">
        <f t="array" ref="AP160">_xlfn.XLOOKUP(AP$159,CBIMPORT!$A$1:$AM$1,_xlfn.XLOOKUP($B160,CBIMPORT!$A$1:$A$40,CBIMPORT!$A$1:$AM$40))</f>
        <v>60</v>
      </c>
      <c r="AQ160" s="307" t="str" cm="1">
        <f t="array" ref="AQ160">_xlfn.XLOOKUP(AQ$159,CBIMPORT!$A$1:$AM$1,_xlfn.XLOOKUP($B160,CBIMPORT!$A$1:$A$40,CBIMPORT!$A$1:$AM$40))</f>
        <v>n.a.</v>
      </c>
    </row>
    <row r="161" spans="1:60" x14ac:dyDescent="0.35">
      <c r="A161" s="303" t="s">
        <v>2173</v>
      </c>
      <c r="B161" s="315" t="str">
        <f t="shared" si="62"/>
        <v>ADASTEC</v>
      </c>
      <c r="C161" s="314" t="str">
        <f t="shared" si="63"/>
        <v>Ridepooling</v>
      </c>
      <c r="D161" s="313">
        <f>COUNTIFS(ANNOUNCEMENTS!$E$2:$E$180,$B161,ANNOUNCEMENTS!$J$2:$J$180,$C161)</f>
        <v>2</v>
      </c>
      <c r="E161" s="312" t="str" cm="1">
        <f t="array" ref="E161">_xlfn.ARRAYTOTEXT(
IF(D161&gt;0,_xlfn._xlws.FILTER(CHOOSE({1},
ANNOUNCEMENTS!$K$1:$K$180),
(ANNOUNCEMENTS!$E$1:$E$180=B161)*((ANNOUNCEMENTS!$J$1:$J$180=$C161)))))</f>
        <v>Vicinity Motor Corp.; Vicinity Motor Corp.</v>
      </c>
      <c r="F161" s="306">
        <f t="shared" si="64"/>
        <v>0</v>
      </c>
      <c r="G161" s="310" t="str" cm="1">
        <f t="array" ref="G161">_xlfn.XLOOKUP($A161,'Industries all mentioned partne'!$A$2:$A$58,_xlfn.XLOOKUP(G$159,'Industries all mentioned partne'!$A$2:$DM$2,'Industries all mentioned partne'!$A$2:$DM$58))</f>
        <v>OEM Commercial Vehicles</v>
      </c>
      <c r="H161" s="91" cm="1">
        <f t="array" ref="H161">_xlfn.XLOOKUP($A161,'Industries all mentioned partne'!$A$2:$A$58,_xlfn.XLOOKUP(H$159,'Industries all mentioned partne'!$A$2:$DM$2,'Industries all mentioned partne'!$A$2:$DM$58))</f>
        <v>1</v>
      </c>
      <c r="I161" s="310" t="str" cm="1">
        <f t="array" ref="I161">_xlfn.XLOOKUP($A161,'Industries all mentioned partne'!$A$2:$A$58,_xlfn.XLOOKUP(I$159,'Industries all mentioned partne'!$A$2:$DM$2,'Industries all mentioned partne'!$A$2:$DM$58))</f>
        <v/>
      </c>
      <c r="J161" s="91" t="str" cm="1">
        <f t="array" ref="J161">_xlfn.XLOOKUP($A161,'Industries all mentioned partne'!$A$2:$A$58,_xlfn.XLOOKUP(J$159,'Industries all mentioned partne'!$A$2:$DM$2,'Industries all mentioned partne'!$A$2:$DM$58))</f>
        <v/>
      </c>
      <c r="K161" s="310" t="str" cm="1">
        <f t="array" ref="K161">_xlfn.XLOOKUP($A161,'Industries all mentioned partne'!$A$2:$A$58,_xlfn.XLOOKUP(K$159,'Industries all mentioned partne'!$A$2:$DM$2,'Industries all mentioned partne'!$A$2:$DM$58))</f>
        <v/>
      </c>
      <c r="L161" s="91" t="str" cm="1">
        <f t="array" ref="L161">_xlfn.XLOOKUP($A161,'Industries all mentioned partne'!$A$2:$A$58,_xlfn.XLOOKUP(L$159,'Industries all mentioned partne'!$A$2:$DM$2,'Industries all mentioned partne'!$A$2:$DM$58))</f>
        <v/>
      </c>
      <c r="M161" s="311" t="str" cm="1">
        <f t="array" ref="M161">_xlfn.XLOOKUP($M$159,CBIMPORT!$A$1:$AN$1,_xlfn.XLOOKUP(B161,CBIMPORT!$A$1:$A$171,CBIMPORT!$A$1:$AN$171))</f>
        <v>L1</v>
      </c>
      <c r="N161" s="309" t="str" cm="1">
        <f t="array" ref="N161">_xlfn.XLOOKUP(N$159,CBIMPORT!$A$1:$AM$1,_xlfn.XLOOKUP($B161,CBIMPORT!$A$1:$A$40,CBIMPORT!$A$1:$AM$40))</f>
        <v>n.a.</v>
      </c>
      <c r="O161" s="21">
        <f>COUNTIFS(ANNOUNCEMENTS!$E$2:$E$180,$B161,ANNOUNCEMENTS!$Z$2:$Z$180,O$159,ANNOUNCEMENTS!$J$2:$J$180,$C161)+
COUNTIFS(ANNOUNCEMENTS!$E$2:$E$180,$B161,ANNOUNCEMENTS!$AB$2:$AB$180,O$159,ANNOUNCEMENTS!$J$2:$J$180,$C161)+
COUNTIFS(ANNOUNCEMENTS!$E$2:$E$180,$B161,ANNOUNCEMENTS!$AD$2:$AD$180,O$159,ANNOUNCEMENTS!$J$2:$J$180,$C161)</f>
        <v>2</v>
      </c>
      <c r="P161" s="21">
        <f>COUNTIFS(ANNOUNCEMENTS!$E$2:$E$180,$B161,ANNOUNCEMENTS!$Z$2:$Z$180,P$159,ANNOUNCEMENTS!$J$2:$J$180,$C161)+
COUNTIFS(ANNOUNCEMENTS!$E$2:$E$180,$B161,ANNOUNCEMENTS!$AB$2:$AB$180,P$159,ANNOUNCEMENTS!$J$2:$J$180,$C161)+
COUNTIFS(ANNOUNCEMENTS!$E$2:$E$180,$B161,ANNOUNCEMENTS!$AD$2:$AD$180,P$159,ANNOUNCEMENTS!$J$2:$J$180,$C161)</f>
        <v>0</v>
      </c>
      <c r="Q161" s="21">
        <f>COUNTIFS(ANNOUNCEMENTS!$E$2:$E$180,$B161,ANNOUNCEMENTS!$Z$2:$Z$180,Q$159,ANNOUNCEMENTS!$J$2:$J$180,$C161)+
COUNTIFS(ANNOUNCEMENTS!$E$2:$E$180,$B161,ANNOUNCEMENTS!$AB$2:$AB$180,Q$159,ANNOUNCEMENTS!$J$2:$J$180,$C161)+
COUNTIFS(ANNOUNCEMENTS!$E$2:$E$180,$B161,ANNOUNCEMENTS!$AD$2:$AD$180,Q$159,ANNOUNCEMENTS!$J$2:$J$180,$C161)</f>
        <v>0</v>
      </c>
      <c r="R161" s="21">
        <f>COUNTIFS(ANNOUNCEMENTS!$E$2:$E$180,$B161,ANNOUNCEMENTS!$Z$2:$Z$180,R$159,ANNOUNCEMENTS!$J$2:$J$180,$C161)+
COUNTIFS(ANNOUNCEMENTS!$E$2:$E$180,$B161,ANNOUNCEMENTS!$AB$2:$AB$180,R$159,ANNOUNCEMENTS!$J$2:$J$180,$C161)+
COUNTIFS(ANNOUNCEMENTS!$E$2:$E$180,$B161,ANNOUNCEMENTS!$AD$2:$AD$180,R$159,ANNOUNCEMENTS!$J$2:$J$180,$C161)</f>
        <v>0</v>
      </c>
      <c r="S161" s="21">
        <f>COUNTIFS(ANNOUNCEMENTS!$E$2:$E$180,$B161,ANNOUNCEMENTS!$Z$2:$Z$180,S$159,ANNOUNCEMENTS!$J$2:$J$180,$C161)+
COUNTIFS(ANNOUNCEMENTS!$E$2:$E$180,$B161,ANNOUNCEMENTS!$AB$2:$AB$180,S$159,ANNOUNCEMENTS!$J$2:$J$180,$C161)+
COUNTIFS(ANNOUNCEMENTS!$E$2:$E$180,$B161,ANNOUNCEMENTS!$AD$2:$AD$180,S$159,ANNOUNCEMENTS!$J$2:$J$180,$C161)</f>
        <v>0</v>
      </c>
      <c r="T161" s="21">
        <f>COUNTIFS(ANNOUNCEMENTS!$E$2:$E$180,$B161,ANNOUNCEMENTS!$Z$2:$Z$180,T$159,ANNOUNCEMENTS!$J$2:$J$180,$C161)+
COUNTIFS(ANNOUNCEMENTS!$E$2:$E$180,$B161,ANNOUNCEMENTS!$AB$2:$AB$180,T$159,ANNOUNCEMENTS!$J$2:$J$180,$C161)+
COUNTIFS(ANNOUNCEMENTS!$E$2:$E$180,$B161,ANNOUNCEMENTS!$AD$2:$AD$180,T$159,ANNOUNCEMENTS!$J$2:$J$180,$C161)</f>
        <v>0</v>
      </c>
      <c r="U161" s="21">
        <f>COUNTIFS(ANNOUNCEMENTS!$E$2:$E$180,$B161,ANNOUNCEMENTS!$Z$2:$Z$180,U$159,ANNOUNCEMENTS!$J$2:$J$180,$C161)+
COUNTIFS(ANNOUNCEMENTS!$E$2:$E$180,$B161,ANNOUNCEMENTS!$AB$2:$AB$180,U$159,ANNOUNCEMENTS!$J$2:$J$180,$C161)+
COUNTIFS(ANNOUNCEMENTS!$E$2:$E$180,$B161,ANNOUNCEMENTS!$AD$2:$AD$180,U$159,ANNOUNCEMENTS!$J$2:$J$180,$C161)</f>
        <v>0</v>
      </c>
      <c r="V161" s="21">
        <f>COUNTIFS(ANNOUNCEMENTS!$E$2:$E$180,$B161,ANNOUNCEMENTS!$Z$2:$Z$180,V$159,ANNOUNCEMENTS!$J$2:$J$180,$C161)+
COUNTIFS(ANNOUNCEMENTS!$E$2:$E$180,$B161,ANNOUNCEMENTS!$AB$2:$AB$180,V$159,ANNOUNCEMENTS!$J$2:$J$180,$C161)+
COUNTIFS(ANNOUNCEMENTS!$E$2:$E$180,$B161,ANNOUNCEMENTS!$AD$2:$AD$180,V$159,ANNOUNCEMENTS!$J$2:$J$180,$C161)</f>
        <v>0</v>
      </c>
      <c r="W161" s="21">
        <f>COUNTIFS(ANNOUNCEMENTS!$E$2:$E$180,$B161,ANNOUNCEMENTS!$Z$2:$Z$180,W$159,ANNOUNCEMENTS!$J$2:$J$180,$C161)+
COUNTIFS(ANNOUNCEMENTS!$E$2:$E$180,$B161,ANNOUNCEMENTS!$AB$2:$AB$180,W$159,ANNOUNCEMENTS!$J$2:$J$180,$C161)+
COUNTIFS(ANNOUNCEMENTS!$E$2:$E$180,$B161,ANNOUNCEMENTS!$AD$2:$AD$180,W$159,ANNOUNCEMENTS!$J$2:$J$180,$C161)</f>
        <v>0</v>
      </c>
      <c r="X161" s="21">
        <f>COUNTIFS(ANNOUNCEMENTS!$E$2:$E$180,$B161,ANNOUNCEMENTS!$W$2:$W$180,X$159,ANNOUNCEMENTS!$J$2:$J$180,$C161)</f>
        <v>0</v>
      </c>
      <c r="Y161" s="21">
        <f>COUNTIFS(ANNOUNCEMENTS!$E$2:$E$180,$B161,ANNOUNCEMENTS!$W$2:$W$180,Y$159,ANNOUNCEMENTS!$J$2:$J$180,$C161)</f>
        <v>2</v>
      </c>
      <c r="Z161" s="21">
        <f>COUNTIFS(ANNOUNCEMENTS!$E$2:$E$180,$B161,ANNOUNCEMENTS!$W$2:$W$180,Z$159,ANNOUNCEMENTS!$J$2:$J$180,$C161)</f>
        <v>0</v>
      </c>
      <c r="AA161" s="21">
        <f>COUNTIFS(ANNOUNCEMENTS!$E$2:$E$180,$B161,ANNOUNCEMENTS!$W$2:$W$180,AA$159,ANNOUNCEMENTS!$J$2:$J$180,$C161)</f>
        <v>0</v>
      </c>
      <c r="AB161" s="21">
        <f>COUNTIFS(ANNOUNCEMENTS!$E$2:$E$180,$B161,ANNOUNCEMENTS!$W$2:$W$180,AB$159,ANNOUNCEMENTS!$J$2:$J$180,$C161)</f>
        <v>0</v>
      </c>
      <c r="AC161" s="21">
        <f>COUNTIFS(ANNOUNCEMENTS!$E$2:$E$180,$B161,ANNOUNCEMENTS!$W$2:$W$180,AC$159,ANNOUNCEMENTS!$J$2:$J$180,$C161)</f>
        <v>0</v>
      </c>
      <c r="AD161" s="21">
        <f>COUNTIFS(ANNOUNCEMENTS!$E$2:$E$180,$B161,ANNOUNCEMENTS!$W$2:$W$180,AD$159,ANNOUNCEMENTS!$J$2:$J$180,$C161)</f>
        <v>0</v>
      </c>
      <c r="AE161" s="311">
        <f t="shared" si="65"/>
        <v>1</v>
      </c>
      <c r="AF161" s="311">
        <f t="shared" si="66"/>
        <v>0</v>
      </c>
      <c r="AG161" s="311">
        <f t="shared" si="67"/>
        <v>0</v>
      </c>
      <c r="AH161" s="311">
        <f t="shared" si="68"/>
        <v>0</v>
      </c>
      <c r="AI161" s="21">
        <f>COUNTIFS(ANNOUNCEMENTS!$E$2:$E$180,B161,ANNOUNCEMENTS!$Z$2:$Z$180,$J$37,ANNOUNCEMENTS!$J$2:$J$180,C161)+
COUNTIFS(ANNOUNCEMENTS!$E$2:$E$180,B161,ANNOUNCEMENTS!$Z$2:$Z$180,$L$37,ANNOUNCEMENTS!$J$2:$J$180,C161)+
COUNTIFS(ANNOUNCEMENTS!$E$2:$E$180,B161,ANNOUNCEMENTS!$AB$2:$AB$180,$J$37,ANNOUNCEMENTS!$J$2:$J$180,C161)+
COUNTIFS(ANNOUNCEMENTS!$E$2:$E$180,B161,ANNOUNCEMENTS!$AB$2:$AB$180,$L$37,ANNOUNCEMENTS!$J$2:$J$180,C161)+
COUNTIFS(ANNOUNCEMENTS!$E$2:$E$180,B161,ANNOUNCEMENTS!$AD$2:$AD$180,$J$37,ANNOUNCEMENTS!$J$2:$J$180,C161)+
COUNTIFS(ANNOUNCEMENTS!$E$2:$E$180,B161,ANNOUNCEMENTS!$AD$2:$AD$180,$L$37,ANNOUNCEMENTS!$J$2:$J$180,C161)</f>
        <v>0</v>
      </c>
      <c r="AJ161" s="21">
        <f>COUNTIFS(ANNOUNCEMENTS!$E$2:$E$180,B161,ANNOUNCEMENTS!$Z$2:$Z$180,$H$37,ANNOUNCEMENTS!$J$2:$J$180,C161)+
COUNTIFS(ANNOUNCEMENTS!$E$2:$E$180,B161,ANNOUNCEMENTS!$Z$2:$Z$180,$I$37,ANNOUNCEMENTS!$J$2:$J$180,C161)+
COUNTIFS(ANNOUNCEMENTS!$E$2:$E$180,B161,ANNOUNCEMENTS!$Z$2:$Z$180,$P$37,ANNOUNCEMENTS!$J$2:$J$180,C161)+
COUNTIFS(ANNOUNCEMENTS!$E$2:$E$180,B161,ANNOUNCEMENTS!$AB$2:$AB$180,$H$37,ANNOUNCEMENTS!$J$2:$J$180,C161)+
COUNTIFS(ANNOUNCEMENTS!$E$2:$E$180,B161,ANNOUNCEMENTS!$AB$2:$AB$180,$I$37,ANNOUNCEMENTS!$J$2:$J$180,C161)+
COUNTIFS(ANNOUNCEMENTS!$E$2:$E$180,B161,ANNOUNCEMENTS!$AB$2:$AB$180,$P$37,ANNOUNCEMENTS!$J$2:$J$180,C161)+
COUNTIFS(ANNOUNCEMENTS!$E$2:$E$180,B161,ANNOUNCEMENTS!$AD$2:$AD$180,$H$37,ANNOUNCEMENTS!$J$2:$J$180,C161)+
COUNTIFS(ANNOUNCEMENTS!$E$2:$E$180,B161,ANNOUNCEMENTS!$AD$2:$AD$180,$I$37,ANNOUNCEMENTS!$J$2:$J$180,C161)+
COUNTIFS(ANNOUNCEMENTS!$E$2:$E$180,B161,ANNOUNCEMENTS!$AD$2:$AD$180,$P$37,ANNOUNCEMENTS!$J$2:$J$180,C161)</f>
        <v>2</v>
      </c>
      <c r="AK161" s="310" cm="1">
        <f t="array" ref="AK161">SUM(COUNTIFS(ANNOUNCEMENTS!$E$2:$E$180,B161,ANNOUNCEMENTS!$W$2:$W$180,$E$38:$E$40,ANNOUNCEMENTS!$J$2:$J$180,C161))</f>
        <v>2</v>
      </c>
      <c r="AL161" s="21" cm="1">
        <f t="array" ref="AL161">SUM(COUNTIFS(ANNOUNCEMENTS!$E$2:$E$180,B161,ANNOUNCEMENTS!$W$2:$W$180,$E$43:$E$44,ANNOUNCEMENTS!$J$2:$J$180,C161))</f>
        <v>0</v>
      </c>
      <c r="AM161" s="21">
        <f t="shared" si="69"/>
        <v>2</v>
      </c>
      <c r="AN161" s="21">
        <f t="shared" si="70"/>
        <v>0</v>
      </c>
      <c r="AO161" s="309" cm="1">
        <f t="array" ref="AO161">_xlfn.XLOOKUP(AO$159,CBIMPORT!$A$1:$AM$1,_xlfn.XLOOKUP($B161,CBIMPORT!$A$1:$A$40,CBIMPORT!$A$1:$AM$40))</f>
        <v>0</v>
      </c>
      <c r="AP161" s="308" cm="1">
        <f t="array" ref="AP161">_xlfn.XLOOKUP(AP$159,CBIMPORT!$A$1:$AM$1,_xlfn.XLOOKUP($B161,CBIMPORT!$A$1:$A$40,CBIMPORT!$A$1:$AM$40))</f>
        <v>75</v>
      </c>
      <c r="AQ161" s="307" cm="1">
        <f t="array" ref="AQ161">_xlfn.XLOOKUP(AQ$159,CBIMPORT!$A$1:$AM$1,_xlfn.XLOOKUP($B161,CBIMPORT!$A$1:$A$40,CBIMPORT!$A$1:$AM$40))</f>
        <v>4.75</v>
      </c>
    </row>
    <row r="162" spans="1:60" x14ac:dyDescent="0.35">
      <c r="A162" s="303" t="s">
        <v>2174</v>
      </c>
      <c r="B162" s="315" t="str">
        <f t="shared" si="62"/>
        <v>Aurora</v>
      </c>
      <c r="C162" s="314" t="str">
        <f t="shared" si="63"/>
        <v>Trucking</v>
      </c>
      <c r="D162" s="313">
        <f>COUNTIFS(ANNOUNCEMENTS!$E$2:$E$180,$B162,ANNOUNCEMENTS!$J$2:$J$180,$C162)</f>
        <v>4</v>
      </c>
      <c r="E162" s="312" t="str" cm="1">
        <f t="array" ref="E162">_xlfn.ARRAYTOTEXT(
IF(D162&gt;0,_xlfn._xlws.FILTER(CHOOSE({1},
ANNOUNCEMENTS!$K$1:$K$180),
(ANNOUNCEMENTS!$E$1:$E$180=B162)*((ANNOUNCEMENTS!$J$1:$J$180=$C162)))))</f>
        <v>Continental; Hirschbach; Covenant; U.S. Xpress</v>
      </c>
      <c r="F162" s="306">
        <f t="shared" si="64"/>
        <v>2</v>
      </c>
      <c r="G162" s="310" t="str" cm="1">
        <f t="array" ref="G162">_xlfn.XLOOKUP($A162,'Industries all mentioned partne'!$A$2:$A$58,_xlfn.XLOOKUP(G$159,'Industries all mentioned partne'!$A$2:$DM$2,'Industries all mentioned partne'!$A$2:$DM$58))</f>
        <v>Logistics</v>
      </c>
      <c r="H162" s="91" cm="1">
        <f t="array" ref="H162">_xlfn.XLOOKUP($A162,'Industries all mentioned partne'!$A$2:$A$58,_xlfn.XLOOKUP(H$159,'Industries all mentioned partne'!$A$2:$DM$2,'Industries all mentioned partne'!$A$2:$DM$58))</f>
        <v>0.75</v>
      </c>
      <c r="I162" s="310" t="str" cm="1">
        <f t="array" ref="I162">_xlfn.XLOOKUP($A162,'Industries all mentioned partne'!$A$2:$A$58,_xlfn.XLOOKUP(I$159,'Industries all mentioned partne'!$A$2:$DM$2,'Industries all mentioned partne'!$A$2:$DM$58))</f>
        <v>Automotive Supplier</v>
      </c>
      <c r="J162" s="91" cm="1">
        <f t="array" ref="J162">_xlfn.XLOOKUP($A162,'Industries all mentioned partne'!$A$2:$A$58,_xlfn.XLOOKUP(J$159,'Industries all mentioned partne'!$A$2:$DM$2,'Industries all mentioned partne'!$A$2:$DM$58))</f>
        <v>0.25</v>
      </c>
      <c r="K162" s="310" t="str" cm="1">
        <f t="array" ref="K162">_xlfn.XLOOKUP($A162,'Industries all mentioned partne'!$A$2:$A$58,_xlfn.XLOOKUP(K$159,'Industries all mentioned partne'!$A$2:$DM$2,'Industries all mentioned partne'!$A$2:$DM$58))</f>
        <v/>
      </c>
      <c r="L162" s="91" t="str" cm="1">
        <f t="array" ref="L162">_xlfn.XLOOKUP($A162,'Industries all mentioned partne'!$A$2:$A$58,_xlfn.XLOOKUP(L$159,'Industries all mentioned partne'!$A$2:$DM$2,'Industries all mentioned partne'!$A$2:$DM$58))</f>
        <v/>
      </c>
      <c r="M162" s="311" t="str" cm="1">
        <f t="array" ref="M162">_xlfn.XLOOKUP($M$159,CBIMPORT!$A$1:$AN$1,_xlfn.XLOOKUP(B162,CBIMPORT!$A$1:$A$171,CBIMPORT!$A$1:$AN$171))</f>
        <v>L1</v>
      </c>
      <c r="N162" s="309" cm="1">
        <f t="array" ref="N162">_xlfn.XLOOKUP(N$159,CBIMPORT!$A$1:$AM$1,_xlfn.XLOOKUP($B162,CBIMPORT!$A$1:$A$40,CBIMPORT!$A$1:$AM$40))</f>
        <v>164</v>
      </c>
      <c r="O162" s="21">
        <f>COUNTIFS(ANNOUNCEMENTS!$E$2:$E$180,$B162,ANNOUNCEMENTS!$Z$2:$Z$180,O$159,ANNOUNCEMENTS!$J$2:$J$180,$C162)+
COUNTIFS(ANNOUNCEMENTS!$E$2:$E$180,$B162,ANNOUNCEMENTS!$AB$2:$AB$180,O$159,ANNOUNCEMENTS!$J$2:$J$180,$C162)+
COUNTIFS(ANNOUNCEMENTS!$E$2:$E$180,$B162,ANNOUNCEMENTS!$AD$2:$AD$180,O$159,ANNOUNCEMENTS!$J$2:$J$180,$C162)</f>
        <v>1</v>
      </c>
      <c r="P162" s="21">
        <f>COUNTIFS(ANNOUNCEMENTS!$E$2:$E$180,$B162,ANNOUNCEMENTS!$Z$2:$Z$180,P$159,ANNOUNCEMENTS!$J$2:$J$180,$C162)+
COUNTIFS(ANNOUNCEMENTS!$E$2:$E$180,$B162,ANNOUNCEMENTS!$AB$2:$AB$180,P$159,ANNOUNCEMENTS!$J$2:$J$180,$C162)+
COUNTIFS(ANNOUNCEMENTS!$E$2:$E$180,$B162,ANNOUNCEMENTS!$AD$2:$AD$180,P$159,ANNOUNCEMENTS!$J$2:$J$180,$C162)</f>
        <v>1</v>
      </c>
      <c r="Q162" s="21">
        <f>COUNTIFS(ANNOUNCEMENTS!$E$2:$E$180,$B162,ANNOUNCEMENTS!$Z$2:$Z$180,Q$159,ANNOUNCEMENTS!$J$2:$J$180,$C162)+
COUNTIFS(ANNOUNCEMENTS!$E$2:$E$180,$B162,ANNOUNCEMENTS!$AB$2:$AB$180,Q$159,ANNOUNCEMENTS!$J$2:$J$180,$C162)+
COUNTIFS(ANNOUNCEMENTS!$E$2:$E$180,$B162,ANNOUNCEMENTS!$AD$2:$AD$180,Q$159,ANNOUNCEMENTS!$J$2:$J$180,$C162)</f>
        <v>0</v>
      </c>
      <c r="R162" s="21">
        <f>COUNTIFS(ANNOUNCEMENTS!$E$2:$E$180,$B162,ANNOUNCEMENTS!$Z$2:$Z$180,R$159,ANNOUNCEMENTS!$J$2:$J$180,$C162)+
COUNTIFS(ANNOUNCEMENTS!$E$2:$E$180,$B162,ANNOUNCEMENTS!$AB$2:$AB$180,R$159,ANNOUNCEMENTS!$J$2:$J$180,$C162)+
COUNTIFS(ANNOUNCEMENTS!$E$2:$E$180,$B162,ANNOUNCEMENTS!$AD$2:$AD$180,R$159,ANNOUNCEMENTS!$J$2:$J$180,$C162)</f>
        <v>0</v>
      </c>
      <c r="S162" s="21">
        <f>COUNTIFS(ANNOUNCEMENTS!$E$2:$E$180,$B162,ANNOUNCEMENTS!$Z$2:$Z$180,S$159,ANNOUNCEMENTS!$J$2:$J$180,$C162)+
COUNTIFS(ANNOUNCEMENTS!$E$2:$E$180,$B162,ANNOUNCEMENTS!$AB$2:$AB$180,S$159,ANNOUNCEMENTS!$J$2:$J$180,$C162)+
COUNTIFS(ANNOUNCEMENTS!$E$2:$E$180,$B162,ANNOUNCEMENTS!$AD$2:$AD$180,S$159,ANNOUNCEMENTS!$J$2:$J$180,$C162)</f>
        <v>3</v>
      </c>
      <c r="T162" s="21">
        <f>COUNTIFS(ANNOUNCEMENTS!$E$2:$E$180,$B162,ANNOUNCEMENTS!$Z$2:$Z$180,T$159,ANNOUNCEMENTS!$J$2:$J$180,$C162)+
COUNTIFS(ANNOUNCEMENTS!$E$2:$E$180,$B162,ANNOUNCEMENTS!$AB$2:$AB$180,T$159,ANNOUNCEMENTS!$J$2:$J$180,$C162)+
COUNTIFS(ANNOUNCEMENTS!$E$2:$E$180,$B162,ANNOUNCEMENTS!$AD$2:$AD$180,T$159,ANNOUNCEMENTS!$J$2:$J$180,$C162)</f>
        <v>0</v>
      </c>
      <c r="U162" s="21">
        <f>COUNTIFS(ANNOUNCEMENTS!$E$2:$E$180,$B162,ANNOUNCEMENTS!$Z$2:$Z$180,U$159,ANNOUNCEMENTS!$J$2:$J$180,$C162)+
COUNTIFS(ANNOUNCEMENTS!$E$2:$E$180,$B162,ANNOUNCEMENTS!$AB$2:$AB$180,U$159,ANNOUNCEMENTS!$J$2:$J$180,$C162)+
COUNTIFS(ANNOUNCEMENTS!$E$2:$E$180,$B162,ANNOUNCEMENTS!$AD$2:$AD$180,U$159,ANNOUNCEMENTS!$J$2:$J$180,$C162)</f>
        <v>0</v>
      </c>
      <c r="V162" s="21">
        <f>COUNTIFS(ANNOUNCEMENTS!$E$2:$E$180,$B162,ANNOUNCEMENTS!$Z$2:$Z$180,V$159,ANNOUNCEMENTS!$J$2:$J$180,$C162)+
COUNTIFS(ANNOUNCEMENTS!$E$2:$E$180,$B162,ANNOUNCEMENTS!$AB$2:$AB$180,V$159,ANNOUNCEMENTS!$J$2:$J$180,$C162)+
COUNTIFS(ANNOUNCEMENTS!$E$2:$E$180,$B162,ANNOUNCEMENTS!$AD$2:$AD$180,V$159,ANNOUNCEMENTS!$J$2:$J$180,$C162)</f>
        <v>0</v>
      </c>
      <c r="W162" s="21">
        <f>COUNTIFS(ANNOUNCEMENTS!$E$2:$E$180,$B162,ANNOUNCEMENTS!$Z$2:$Z$180,W$159,ANNOUNCEMENTS!$J$2:$J$180,$C162)+
COUNTIFS(ANNOUNCEMENTS!$E$2:$E$180,$B162,ANNOUNCEMENTS!$AB$2:$AB$180,W$159,ANNOUNCEMENTS!$J$2:$J$180,$C162)+
COUNTIFS(ANNOUNCEMENTS!$E$2:$E$180,$B162,ANNOUNCEMENTS!$AD$2:$AD$180,W$159,ANNOUNCEMENTS!$J$2:$J$180,$C162)</f>
        <v>0</v>
      </c>
      <c r="X162" s="21">
        <f>COUNTIFS(ANNOUNCEMENTS!$E$2:$E$180,$B162,ANNOUNCEMENTS!$W$2:$W$180,X$159,ANNOUNCEMENTS!$J$2:$J$180,$C162)</f>
        <v>0</v>
      </c>
      <c r="Y162" s="21">
        <f>COUNTIFS(ANNOUNCEMENTS!$E$2:$E$180,$B162,ANNOUNCEMENTS!$W$2:$W$180,Y$159,ANNOUNCEMENTS!$J$2:$J$180,$C162)</f>
        <v>3</v>
      </c>
      <c r="Z162" s="21">
        <f>COUNTIFS(ANNOUNCEMENTS!$E$2:$E$180,$B162,ANNOUNCEMENTS!$W$2:$W$180,Z$159,ANNOUNCEMENTS!$J$2:$J$180,$C162)</f>
        <v>0</v>
      </c>
      <c r="AA162" s="21">
        <f>COUNTIFS(ANNOUNCEMENTS!$E$2:$E$180,$B162,ANNOUNCEMENTS!$W$2:$W$180,AA$159,ANNOUNCEMENTS!$J$2:$J$180,$C162)</f>
        <v>1</v>
      </c>
      <c r="AB162" s="21">
        <f>COUNTIFS(ANNOUNCEMENTS!$E$2:$E$180,$B162,ANNOUNCEMENTS!$W$2:$W$180,AB$159,ANNOUNCEMENTS!$J$2:$J$180,$C162)</f>
        <v>0</v>
      </c>
      <c r="AC162" s="21">
        <f>COUNTIFS(ANNOUNCEMENTS!$E$2:$E$180,$B162,ANNOUNCEMENTS!$W$2:$W$180,AC$159,ANNOUNCEMENTS!$J$2:$J$180,$C162)</f>
        <v>0</v>
      </c>
      <c r="AD162" s="21">
        <f>COUNTIFS(ANNOUNCEMENTS!$E$2:$E$180,$B162,ANNOUNCEMENTS!$W$2:$W$180,AD$159,ANNOUNCEMENTS!$J$2:$J$180,$C162)</f>
        <v>0</v>
      </c>
      <c r="AE162" s="311">
        <f t="shared" si="65"/>
        <v>1</v>
      </c>
      <c r="AF162" s="311">
        <f t="shared" si="66"/>
        <v>0</v>
      </c>
      <c r="AG162" s="311">
        <f t="shared" si="67"/>
        <v>0</v>
      </c>
      <c r="AH162" s="311">
        <f t="shared" si="68"/>
        <v>0</v>
      </c>
      <c r="AI162" s="21">
        <f>COUNTIFS(ANNOUNCEMENTS!$E$2:$E$180,B162,ANNOUNCEMENTS!$Z$2:$Z$180,$J$37,ANNOUNCEMENTS!$J$2:$J$180,C162)+
COUNTIFS(ANNOUNCEMENTS!$E$2:$E$180,B162,ANNOUNCEMENTS!$Z$2:$Z$180,$L$37,ANNOUNCEMENTS!$J$2:$J$180,C162)+
COUNTIFS(ANNOUNCEMENTS!$E$2:$E$180,B162,ANNOUNCEMENTS!$AB$2:$AB$180,$J$37,ANNOUNCEMENTS!$J$2:$J$180,C162)+
COUNTIFS(ANNOUNCEMENTS!$E$2:$E$180,B162,ANNOUNCEMENTS!$AB$2:$AB$180,$L$37,ANNOUNCEMENTS!$J$2:$J$180,C162)+
COUNTIFS(ANNOUNCEMENTS!$E$2:$E$180,B162,ANNOUNCEMENTS!$AD$2:$AD$180,$J$37,ANNOUNCEMENTS!$J$2:$J$180,C162)+
COUNTIFS(ANNOUNCEMENTS!$E$2:$E$180,B162,ANNOUNCEMENTS!$AD$2:$AD$180,$L$37,ANNOUNCEMENTS!$J$2:$J$180,C162)</f>
        <v>3</v>
      </c>
      <c r="AJ162" s="21">
        <f>COUNTIFS(ANNOUNCEMENTS!$E$2:$E$180,B162,ANNOUNCEMENTS!$Z$2:$Z$180,$H$37,ANNOUNCEMENTS!$J$2:$J$180,C162)+
COUNTIFS(ANNOUNCEMENTS!$E$2:$E$180,B162,ANNOUNCEMENTS!$Z$2:$Z$180,$I$37,ANNOUNCEMENTS!$J$2:$J$180,C162)+
COUNTIFS(ANNOUNCEMENTS!$E$2:$E$180,B162,ANNOUNCEMENTS!$Z$2:$Z$180,$P$37,ANNOUNCEMENTS!$J$2:$J$180,C162)+
COUNTIFS(ANNOUNCEMENTS!$E$2:$E$180,B162,ANNOUNCEMENTS!$AB$2:$AB$180,$H$37,ANNOUNCEMENTS!$J$2:$J$180,C162)+
COUNTIFS(ANNOUNCEMENTS!$E$2:$E$180,B162,ANNOUNCEMENTS!$AB$2:$AB$180,$I$37,ANNOUNCEMENTS!$J$2:$J$180,C162)+
COUNTIFS(ANNOUNCEMENTS!$E$2:$E$180,B162,ANNOUNCEMENTS!$AB$2:$AB$180,$P$37,ANNOUNCEMENTS!$J$2:$J$180,C162)+
COUNTIFS(ANNOUNCEMENTS!$E$2:$E$180,B162,ANNOUNCEMENTS!$AD$2:$AD$180,$H$37,ANNOUNCEMENTS!$J$2:$J$180,C162)+
COUNTIFS(ANNOUNCEMENTS!$E$2:$E$180,B162,ANNOUNCEMENTS!$AD$2:$AD$180,$I$37,ANNOUNCEMENTS!$J$2:$J$180,C162)+
COUNTIFS(ANNOUNCEMENTS!$E$2:$E$180,B162,ANNOUNCEMENTS!$AD$2:$AD$180,$P$37,ANNOUNCEMENTS!$J$2:$J$180,C162)</f>
        <v>2</v>
      </c>
      <c r="AK162" s="310" cm="1">
        <f t="array" ref="AK162">SUM(COUNTIFS(ANNOUNCEMENTS!$E$2:$E$180,B162,ANNOUNCEMENTS!$W$2:$W$180,$E$38:$E$40,ANNOUNCEMENTS!$J$2:$J$180,C162))</f>
        <v>3</v>
      </c>
      <c r="AL162" s="21" cm="1">
        <f t="array" ref="AL162">SUM(COUNTIFS(ANNOUNCEMENTS!$E$2:$E$180,B162,ANNOUNCEMENTS!$W$2:$W$180,$E$43:$E$44,ANNOUNCEMENTS!$J$2:$J$180,C162))</f>
        <v>0</v>
      </c>
      <c r="AM162" s="21">
        <f t="shared" si="69"/>
        <v>4</v>
      </c>
      <c r="AN162" s="21">
        <f t="shared" si="70"/>
        <v>2</v>
      </c>
      <c r="AO162" s="309" cm="1">
        <f t="array" ref="AO162">_xlfn.XLOOKUP(AO$159,CBIMPORT!$A$1:$AM$1,_xlfn.XLOOKUP($B162,CBIMPORT!$A$1:$A$40,CBIMPORT!$A$1:$AM$40))</f>
        <v>1</v>
      </c>
      <c r="AP162" s="308" cm="1">
        <f t="array" ref="AP162">_xlfn.XLOOKUP(AP$159,CBIMPORT!$A$1:$AM$1,_xlfn.XLOOKUP($B162,CBIMPORT!$A$1:$A$40,CBIMPORT!$A$1:$AM$40))</f>
        <v>1700</v>
      </c>
      <c r="AQ162" s="307" cm="1">
        <f t="array" ref="AQ162">_xlfn.XLOOKUP(AQ$159,CBIMPORT!$A$1:$AM$1,_xlfn.XLOOKUP($B162,CBIMPORT!$A$1:$A$40,CBIMPORT!$A$1:$AM$40))</f>
        <v>3710</v>
      </c>
    </row>
    <row r="163" spans="1:60" x14ac:dyDescent="0.35">
      <c r="A163" s="303" t="s">
        <v>2175</v>
      </c>
      <c r="B163" s="315" t="str">
        <f t="shared" si="62"/>
        <v>Beep</v>
      </c>
      <c r="C163" s="314" t="str">
        <f t="shared" si="63"/>
        <v>Ridepooling</v>
      </c>
      <c r="D163" s="313">
        <f>COUNTIFS(ANNOUNCEMENTS!$E$2:$E$180,$B163,ANNOUNCEMENTS!$J$2:$J$180,$C163)</f>
        <v>4</v>
      </c>
      <c r="E163" s="312" t="str" cm="1">
        <f t="array" ref="E163">_xlfn.ARRAYTOTEXT(
IF(D163&gt;0,_xlfn._xlws.FILTER(CHOOSE({1},
ANNOUNCEMENTS!$K$1:$K$180),
(ANNOUNCEMENTS!$E$1:$E$180=B163)*((ANNOUNCEMENTS!$J$1:$J$180=$C163)))))</f>
        <v>North Carolina Department of Transportation; Contra Costa Transportation Authority; ZF; Oxa</v>
      </c>
      <c r="F163" s="306">
        <f t="shared" si="64"/>
        <v>0</v>
      </c>
      <c r="G163" s="310" t="str" cm="1">
        <f t="array" ref="G163">_xlfn.XLOOKUP($A163,'Industries all mentioned partne'!$A$2:$A$58,_xlfn.XLOOKUP(G$159,'Industries all mentioned partne'!$A$2:$DM$2,'Industries all mentioned partne'!$A$2:$DM$58))</f>
        <v>Autonomous Vehicles</v>
      </c>
      <c r="H163" s="91" cm="1">
        <f t="array" ref="H163">_xlfn.XLOOKUP($A163,'Industries all mentioned partne'!$A$2:$A$58,_xlfn.XLOOKUP(H$159,'Industries all mentioned partne'!$A$2:$DM$2,'Industries all mentioned partne'!$A$2:$DM$58))</f>
        <v>0.5</v>
      </c>
      <c r="I163" s="310" t="str" cm="1">
        <f t="array" ref="I163">_xlfn.XLOOKUP($A163,'Industries all mentioned partne'!$A$2:$A$58,_xlfn.XLOOKUP(I$159,'Industries all mentioned partne'!$A$2:$DM$2,'Industries all mentioned partne'!$A$2:$DM$58))</f>
        <v>Autonomous Vehicles</v>
      </c>
      <c r="J163" s="91" cm="1">
        <f t="array" ref="J163">_xlfn.XLOOKUP($A163,'Industries all mentioned partne'!$A$2:$A$58,_xlfn.XLOOKUP(J$159,'Industries all mentioned partne'!$A$2:$DM$2,'Industries all mentioned partne'!$A$2:$DM$58))</f>
        <v>0.5</v>
      </c>
      <c r="K163" s="310" t="str" cm="1">
        <f t="array" ref="K163">_xlfn.XLOOKUP($A163,'Industries all mentioned partne'!$A$2:$A$58,_xlfn.XLOOKUP(K$159,'Industries all mentioned partne'!$A$2:$DM$2,'Industries all mentioned partne'!$A$2:$DM$58))</f>
        <v/>
      </c>
      <c r="L163" s="91" t="str" cm="1">
        <f t="array" ref="L163">_xlfn.XLOOKUP($A163,'Industries all mentioned partne'!$A$2:$A$58,_xlfn.XLOOKUP(L$159,'Industries all mentioned partne'!$A$2:$DM$2,'Industries all mentioned partne'!$A$2:$DM$58))</f>
        <v/>
      </c>
      <c r="M163" s="311" t="str" cm="1">
        <f t="array" ref="M163">_xlfn.XLOOKUP($M$159,CBIMPORT!$A$1:$AN$1,_xlfn.XLOOKUP(B163,CBIMPORT!$A$1:$A$171,CBIMPORT!$A$1:$AN$171))</f>
        <v>L3</v>
      </c>
      <c r="N163" s="309" t="str" cm="1">
        <f t="array" ref="N163">_xlfn.XLOOKUP(N$159,CBIMPORT!$A$1:$AM$1,_xlfn.XLOOKUP($B163,CBIMPORT!$A$1:$A$40,CBIMPORT!$A$1:$AM$40))</f>
        <v>n.a.</v>
      </c>
      <c r="O163" s="21">
        <f>COUNTIFS(ANNOUNCEMENTS!$E$2:$E$180,$B163,ANNOUNCEMENTS!$Z$2:$Z$180,O$159,ANNOUNCEMENTS!$J$2:$J$180,$C163)+
COUNTIFS(ANNOUNCEMENTS!$E$2:$E$180,$B163,ANNOUNCEMENTS!$AB$2:$AB$180,O$159,ANNOUNCEMENTS!$J$2:$J$180,$C163)+
COUNTIFS(ANNOUNCEMENTS!$E$2:$E$180,$B163,ANNOUNCEMENTS!$AD$2:$AD$180,O$159,ANNOUNCEMENTS!$J$2:$J$180,$C163)</f>
        <v>0</v>
      </c>
      <c r="P163" s="21">
        <f>COUNTIFS(ANNOUNCEMENTS!$E$2:$E$180,$B163,ANNOUNCEMENTS!$Z$2:$Z$180,P$159,ANNOUNCEMENTS!$J$2:$J$180,$C163)+
COUNTIFS(ANNOUNCEMENTS!$E$2:$E$180,$B163,ANNOUNCEMENTS!$AB$2:$AB$180,P$159,ANNOUNCEMENTS!$J$2:$J$180,$C163)+
COUNTIFS(ANNOUNCEMENTS!$E$2:$E$180,$B163,ANNOUNCEMENTS!$AD$2:$AD$180,P$159,ANNOUNCEMENTS!$J$2:$J$180,$C163)</f>
        <v>0</v>
      </c>
      <c r="Q163" s="21">
        <f>COUNTIFS(ANNOUNCEMENTS!$E$2:$E$180,$B163,ANNOUNCEMENTS!$Z$2:$Z$180,Q$159,ANNOUNCEMENTS!$J$2:$J$180,$C163)+
COUNTIFS(ANNOUNCEMENTS!$E$2:$E$180,$B163,ANNOUNCEMENTS!$AB$2:$AB$180,Q$159,ANNOUNCEMENTS!$J$2:$J$180,$C163)+
COUNTIFS(ANNOUNCEMENTS!$E$2:$E$180,$B163,ANNOUNCEMENTS!$AD$2:$AD$180,Q$159,ANNOUNCEMENTS!$J$2:$J$180,$C163)</f>
        <v>4</v>
      </c>
      <c r="R163" s="21">
        <f>COUNTIFS(ANNOUNCEMENTS!$E$2:$E$180,$B163,ANNOUNCEMENTS!$Z$2:$Z$180,R$159,ANNOUNCEMENTS!$J$2:$J$180,$C163)+
COUNTIFS(ANNOUNCEMENTS!$E$2:$E$180,$B163,ANNOUNCEMENTS!$AB$2:$AB$180,R$159,ANNOUNCEMENTS!$J$2:$J$180,$C163)+
COUNTIFS(ANNOUNCEMENTS!$E$2:$E$180,$B163,ANNOUNCEMENTS!$AD$2:$AD$180,R$159,ANNOUNCEMENTS!$J$2:$J$180,$C163)</f>
        <v>0</v>
      </c>
      <c r="S163" s="21">
        <f>COUNTIFS(ANNOUNCEMENTS!$E$2:$E$180,$B163,ANNOUNCEMENTS!$Z$2:$Z$180,S$159,ANNOUNCEMENTS!$J$2:$J$180,$C163)+
COUNTIFS(ANNOUNCEMENTS!$E$2:$E$180,$B163,ANNOUNCEMENTS!$AB$2:$AB$180,S$159,ANNOUNCEMENTS!$J$2:$J$180,$C163)+
COUNTIFS(ANNOUNCEMENTS!$E$2:$E$180,$B163,ANNOUNCEMENTS!$AD$2:$AD$180,S$159,ANNOUNCEMENTS!$J$2:$J$180,$C163)</f>
        <v>0</v>
      </c>
      <c r="T163" s="21">
        <f>COUNTIFS(ANNOUNCEMENTS!$E$2:$E$180,$B163,ANNOUNCEMENTS!$Z$2:$Z$180,T$159,ANNOUNCEMENTS!$J$2:$J$180,$C163)+
COUNTIFS(ANNOUNCEMENTS!$E$2:$E$180,$B163,ANNOUNCEMENTS!$AB$2:$AB$180,T$159,ANNOUNCEMENTS!$J$2:$J$180,$C163)+
COUNTIFS(ANNOUNCEMENTS!$E$2:$E$180,$B163,ANNOUNCEMENTS!$AD$2:$AD$180,T$159,ANNOUNCEMENTS!$J$2:$J$180,$C163)</f>
        <v>0</v>
      </c>
      <c r="U163" s="21">
        <f>COUNTIFS(ANNOUNCEMENTS!$E$2:$E$180,$B163,ANNOUNCEMENTS!$Z$2:$Z$180,U$159,ANNOUNCEMENTS!$J$2:$J$180,$C163)+
COUNTIFS(ANNOUNCEMENTS!$E$2:$E$180,$B163,ANNOUNCEMENTS!$AB$2:$AB$180,U$159,ANNOUNCEMENTS!$J$2:$J$180,$C163)+
COUNTIFS(ANNOUNCEMENTS!$E$2:$E$180,$B163,ANNOUNCEMENTS!$AD$2:$AD$180,U$159,ANNOUNCEMENTS!$J$2:$J$180,$C163)</f>
        <v>0</v>
      </c>
      <c r="V163" s="21">
        <f>COUNTIFS(ANNOUNCEMENTS!$E$2:$E$180,$B163,ANNOUNCEMENTS!$Z$2:$Z$180,V$159,ANNOUNCEMENTS!$J$2:$J$180,$C163)+
COUNTIFS(ANNOUNCEMENTS!$E$2:$E$180,$B163,ANNOUNCEMENTS!$AB$2:$AB$180,V$159,ANNOUNCEMENTS!$J$2:$J$180,$C163)+
COUNTIFS(ANNOUNCEMENTS!$E$2:$E$180,$B163,ANNOUNCEMENTS!$AD$2:$AD$180,V$159,ANNOUNCEMENTS!$J$2:$J$180,$C163)</f>
        <v>0</v>
      </c>
      <c r="W163" s="21">
        <f>COUNTIFS(ANNOUNCEMENTS!$E$2:$E$180,$B163,ANNOUNCEMENTS!$Z$2:$Z$180,W$159,ANNOUNCEMENTS!$J$2:$J$180,$C163)+
COUNTIFS(ANNOUNCEMENTS!$E$2:$E$180,$B163,ANNOUNCEMENTS!$AB$2:$AB$180,W$159,ANNOUNCEMENTS!$J$2:$J$180,$C163)+
COUNTIFS(ANNOUNCEMENTS!$E$2:$E$180,$B163,ANNOUNCEMENTS!$AD$2:$AD$180,W$159,ANNOUNCEMENTS!$J$2:$J$180,$C163)</f>
        <v>0</v>
      </c>
      <c r="X163" s="21">
        <f>COUNTIFS(ANNOUNCEMENTS!$E$2:$E$180,$B163,ANNOUNCEMENTS!$W$2:$W$180,X$159,ANNOUNCEMENTS!$J$2:$J$180,$C163)</f>
        <v>0</v>
      </c>
      <c r="Y163" s="21">
        <f>COUNTIFS(ANNOUNCEMENTS!$E$2:$E$180,$B163,ANNOUNCEMENTS!$W$2:$W$180,Y$159,ANNOUNCEMENTS!$J$2:$J$180,$C163)</f>
        <v>2</v>
      </c>
      <c r="Z163" s="21">
        <f>COUNTIFS(ANNOUNCEMENTS!$E$2:$E$180,$B163,ANNOUNCEMENTS!$W$2:$W$180,Z$159,ANNOUNCEMENTS!$J$2:$J$180,$C163)</f>
        <v>0</v>
      </c>
      <c r="AA163" s="21">
        <f>COUNTIFS(ANNOUNCEMENTS!$E$2:$E$180,$B163,ANNOUNCEMENTS!$W$2:$W$180,AA$159,ANNOUNCEMENTS!$J$2:$J$180,$C163)</f>
        <v>2</v>
      </c>
      <c r="AB163" s="21">
        <f>COUNTIFS(ANNOUNCEMENTS!$E$2:$E$180,$B163,ANNOUNCEMENTS!$W$2:$W$180,AB$159,ANNOUNCEMENTS!$J$2:$J$180,$C163)</f>
        <v>0</v>
      </c>
      <c r="AC163" s="21">
        <f>COUNTIFS(ANNOUNCEMENTS!$E$2:$E$180,$B163,ANNOUNCEMENTS!$W$2:$W$180,AC$159,ANNOUNCEMENTS!$J$2:$J$180,$C163)</f>
        <v>0</v>
      </c>
      <c r="AD163" s="21">
        <f>COUNTIFS(ANNOUNCEMENTS!$E$2:$E$180,$B163,ANNOUNCEMENTS!$W$2:$W$180,AD$159,ANNOUNCEMENTS!$J$2:$J$180,$C163)</f>
        <v>0</v>
      </c>
      <c r="AE163" s="311">
        <f t="shared" si="65"/>
        <v>0</v>
      </c>
      <c r="AF163" s="311">
        <f t="shared" si="66"/>
        <v>0</v>
      </c>
      <c r="AG163" s="311">
        <f t="shared" si="67"/>
        <v>1</v>
      </c>
      <c r="AH163" s="311">
        <f t="shared" si="68"/>
        <v>0</v>
      </c>
      <c r="AI163" s="21">
        <f>COUNTIFS(ANNOUNCEMENTS!$E$2:$E$180,B163,ANNOUNCEMENTS!$Z$2:$Z$180,$J$37,ANNOUNCEMENTS!$J$2:$J$180,C163)+
COUNTIFS(ANNOUNCEMENTS!$E$2:$E$180,B163,ANNOUNCEMENTS!$Z$2:$Z$180,$L$37,ANNOUNCEMENTS!$J$2:$J$180,C163)+
COUNTIFS(ANNOUNCEMENTS!$E$2:$E$180,B163,ANNOUNCEMENTS!$AB$2:$AB$180,$J$37,ANNOUNCEMENTS!$J$2:$J$180,C163)+
COUNTIFS(ANNOUNCEMENTS!$E$2:$E$180,B163,ANNOUNCEMENTS!$AB$2:$AB$180,$L$37,ANNOUNCEMENTS!$J$2:$J$180,C163)+
COUNTIFS(ANNOUNCEMENTS!$E$2:$E$180,B163,ANNOUNCEMENTS!$AD$2:$AD$180,$J$37,ANNOUNCEMENTS!$J$2:$J$180,C163)+
COUNTIFS(ANNOUNCEMENTS!$E$2:$E$180,B163,ANNOUNCEMENTS!$AD$2:$AD$180,$L$37,ANNOUNCEMENTS!$J$2:$J$180,C163)</f>
        <v>4</v>
      </c>
      <c r="AJ163" s="21">
        <f>COUNTIFS(ANNOUNCEMENTS!$E$2:$E$180,B163,ANNOUNCEMENTS!$Z$2:$Z$180,$H$37,ANNOUNCEMENTS!$J$2:$J$180,C163)+
COUNTIFS(ANNOUNCEMENTS!$E$2:$E$180,B163,ANNOUNCEMENTS!$Z$2:$Z$180,$I$37,ANNOUNCEMENTS!$J$2:$J$180,C163)+
COUNTIFS(ANNOUNCEMENTS!$E$2:$E$180,B163,ANNOUNCEMENTS!$Z$2:$Z$180,$P$37,ANNOUNCEMENTS!$J$2:$J$180,C163)+
COUNTIFS(ANNOUNCEMENTS!$E$2:$E$180,B163,ANNOUNCEMENTS!$AB$2:$AB$180,$H$37,ANNOUNCEMENTS!$J$2:$J$180,C163)+
COUNTIFS(ANNOUNCEMENTS!$E$2:$E$180,B163,ANNOUNCEMENTS!$AB$2:$AB$180,$I$37,ANNOUNCEMENTS!$J$2:$J$180,C163)+
COUNTIFS(ANNOUNCEMENTS!$E$2:$E$180,B163,ANNOUNCEMENTS!$AB$2:$AB$180,$P$37,ANNOUNCEMENTS!$J$2:$J$180,C163)+
COUNTIFS(ANNOUNCEMENTS!$E$2:$E$180,B163,ANNOUNCEMENTS!$AD$2:$AD$180,$H$37,ANNOUNCEMENTS!$J$2:$J$180,C163)+
COUNTIFS(ANNOUNCEMENTS!$E$2:$E$180,B163,ANNOUNCEMENTS!$AD$2:$AD$180,$I$37,ANNOUNCEMENTS!$J$2:$J$180,C163)+
COUNTIFS(ANNOUNCEMENTS!$E$2:$E$180,B163,ANNOUNCEMENTS!$AD$2:$AD$180,$P$37,ANNOUNCEMENTS!$J$2:$J$180,C163)</f>
        <v>0</v>
      </c>
      <c r="AK163" s="310" cm="1">
        <f t="array" ref="AK163">SUM(COUNTIFS(ANNOUNCEMENTS!$E$2:$E$180,B163,ANNOUNCEMENTS!$W$2:$W$180,$E$38:$E$40,ANNOUNCEMENTS!$J$2:$J$180,C163))</f>
        <v>2</v>
      </c>
      <c r="AL163" s="21" cm="1">
        <f t="array" ref="AL163">SUM(COUNTIFS(ANNOUNCEMENTS!$E$2:$E$180,B163,ANNOUNCEMENTS!$W$2:$W$180,$E$43:$E$44,ANNOUNCEMENTS!$J$2:$J$180,C163))</f>
        <v>0</v>
      </c>
      <c r="AM163" s="21">
        <f t="shared" si="69"/>
        <v>4</v>
      </c>
      <c r="AN163" s="21">
        <f t="shared" si="70"/>
        <v>0</v>
      </c>
      <c r="AO163" s="309" cm="1">
        <f t="array" ref="AO163">_xlfn.XLOOKUP(AO$159,CBIMPORT!$A$1:$AM$1,_xlfn.XLOOKUP($B163,CBIMPORT!$A$1:$A$40,CBIMPORT!$A$1:$AM$40))</f>
        <v>0</v>
      </c>
      <c r="AP163" s="308" cm="1">
        <f t="array" ref="AP163">_xlfn.XLOOKUP(AP$159,CBIMPORT!$A$1:$AM$1,_xlfn.XLOOKUP($B163,CBIMPORT!$A$1:$A$40,CBIMPORT!$A$1:$AM$40))</f>
        <v>50</v>
      </c>
      <c r="AQ163" s="307" cm="1">
        <f t="array" ref="AQ163">_xlfn.XLOOKUP(AQ$159,CBIMPORT!$A$1:$AM$1,_xlfn.XLOOKUP($B163,CBIMPORT!$A$1:$A$40,CBIMPORT!$A$1:$AM$40))</f>
        <v>45</v>
      </c>
    </row>
    <row r="164" spans="1:60" s="290" customFormat="1" x14ac:dyDescent="0.35">
      <c r="A164" s="303" t="s">
        <v>2176</v>
      </c>
      <c r="B164" s="315" t="str">
        <f t="shared" si="62"/>
        <v>Bolt</v>
      </c>
      <c r="C164" s="314" t="str">
        <f t="shared" si="63"/>
        <v>Last-Mile</v>
      </c>
      <c r="D164" s="313">
        <f>COUNTIFS(ANNOUNCEMENTS!$E$2:$E$180,$B164,ANNOUNCEMENTS!$J$2:$J$180,$C164)</f>
        <v>1</v>
      </c>
      <c r="E164" s="312" t="str" cm="1">
        <f t="array" ref="E164">_xlfn.ARRAYTOTEXT(
IF(D164&gt;0,_xlfn._xlws.FILTER(CHOOSE({1},
ANNOUNCEMENTS!$K$1:$K$180),
(ANNOUNCEMENTS!$E$1:$E$180=B164)*((ANNOUNCEMENTS!$J$1:$J$180=$C164)))))</f>
        <v>Starship Technologies</v>
      </c>
      <c r="F164" s="306">
        <f t="shared" si="64"/>
        <v>0</v>
      </c>
      <c r="G164" s="310" t="str" cm="1">
        <f t="array" ref="G164">_xlfn.XLOOKUP($A164,'Industries all mentioned partne'!$A$2:$A$58,_xlfn.XLOOKUP(G$159,'Industries all mentioned partne'!$A$2:$DM$2,'Industries all mentioned partne'!$A$2:$DM$58))</f>
        <v>Autonomous Vehicles</v>
      </c>
      <c r="H164" s="91" cm="1">
        <f t="array" ref="H164">_xlfn.XLOOKUP($A164,'Industries all mentioned partne'!$A$2:$A$58,_xlfn.XLOOKUP(H$159,'Industries all mentioned partne'!$A$2:$DM$2,'Industries all mentioned partne'!$A$2:$DM$58))</f>
        <v>1</v>
      </c>
      <c r="I164" s="310" t="str" cm="1">
        <f t="array" ref="I164">_xlfn.XLOOKUP($A164,'Industries all mentioned partne'!$A$2:$A$58,_xlfn.XLOOKUP(I$159,'Industries all mentioned partne'!$A$2:$DM$2,'Industries all mentioned partne'!$A$2:$DM$58))</f>
        <v/>
      </c>
      <c r="J164" s="91" t="str" cm="1">
        <f t="array" ref="J164">_xlfn.XLOOKUP($A164,'Industries all mentioned partne'!$A$2:$A$58,_xlfn.XLOOKUP(J$159,'Industries all mentioned partne'!$A$2:$DM$2,'Industries all mentioned partne'!$A$2:$DM$58))</f>
        <v/>
      </c>
      <c r="K164" s="310" t="str" cm="1">
        <f t="array" ref="K164">_xlfn.XLOOKUP($A164,'Industries all mentioned partne'!$A$2:$A$58,_xlfn.XLOOKUP(K$159,'Industries all mentioned partne'!$A$2:$DM$2,'Industries all mentioned partne'!$A$2:$DM$58))</f>
        <v/>
      </c>
      <c r="L164" s="91" t="str" cm="1">
        <f t="array" ref="L164">_xlfn.XLOOKUP($A164,'Industries all mentioned partne'!$A$2:$A$58,_xlfn.XLOOKUP(L$159,'Industries all mentioned partne'!$A$2:$DM$2,'Industries all mentioned partne'!$A$2:$DM$58))</f>
        <v/>
      </c>
      <c r="M164" s="311" t="str" cm="1">
        <f t="array" ref="M164">_xlfn.XLOOKUP($M$159,CBIMPORT!$A$1:$AN$1,_xlfn.XLOOKUP(B164,CBIMPORT!$A$1:$A$171,CBIMPORT!$A$1:$AN$171))</f>
        <v>L4</v>
      </c>
      <c r="N164" s="309" cm="1">
        <f t="array" ref="N164">_xlfn.XLOOKUP(N$159,CBIMPORT!$A$1:$AM$1,_xlfn.XLOOKUP($B164,CBIMPORT!$A$1:$A$40,CBIMPORT!$A$1:$AM$40))</f>
        <v>3</v>
      </c>
      <c r="O164" s="21">
        <f>COUNTIFS(ANNOUNCEMENTS!$E$2:$E$180,$B164,ANNOUNCEMENTS!$Z$2:$Z$180,O$159,ANNOUNCEMENTS!$J$2:$J$180,$C164)+
COUNTIFS(ANNOUNCEMENTS!$E$2:$E$180,$B164,ANNOUNCEMENTS!$AB$2:$AB$180,O$159,ANNOUNCEMENTS!$J$2:$J$180,$C164)+
COUNTIFS(ANNOUNCEMENTS!$E$2:$E$180,$B164,ANNOUNCEMENTS!$AD$2:$AD$180,O$159,ANNOUNCEMENTS!$J$2:$J$180,$C164)</f>
        <v>0</v>
      </c>
      <c r="P164" s="21">
        <f>COUNTIFS(ANNOUNCEMENTS!$E$2:$E$180,$B164,ANNOUNCEMENTS!$Z$2:$Z$180,P$159,ANNOUNCEMENTS!$J$2:$J$180,$C164)+
COUNTIFS(ANNOUNCEMENTS!$E$2:$E$180,$B164,ANNOUNCEMENTS!$AB$2:$AB$180,P$159,ANNOUNCEMENTS!$J$2:$J$180,$C164)+
COUNTIFS(ANNOUNCEMENTS!$E$2:$E$180,$B164,ANNOUNCEMENTS!$AD$2:$AD$180,P$159,ANNOUNCEMENTS!$J$2:$J$180,$C164)</f>
        <v>0</v>
      </c>
      <c r="Q164" s="21">
        <f>COUNTIFS(ANNOUNCEMENTS!$E$2:$E$180,$B164,ANNOUNCEMENTS!$Z$2:$Z$180,Q$159,ANNOUNCEMENTS!$J$2:$J$180,$C164)+
COUNTIFS(ANNOUNCEMENTS!$E$2:$E$180,$B164,ANNOUNCEMENTS!$AB$2:$AB$180,Q$159,ANNOUNCEMENTS!$J$2:$J$180,$C164)+
COUNTIFS(ANNOUNCEMENTS!$E$2:$E$180,$B164,ANNOUNCEMENTS!$AD$2:$AD$180,Q$159,ANNOUNCEMENTS!$J$2:$J$180,$C164)</f>
        <v>1</v>
      </c>
      <c r="R164" s="21">
        <f>COUNTIFS(ANNOUNCEMENTS!$E$2:$E$180,$B164,ANNOUNCEMENTS!$Z$2:$Z$180,R$159,ANNOUNCEMENTS!$J$2:$J$180,$C164)+
COUNTIFS(ANNOUNCEMENTS!$E$2:$E$180,$B164,ANNOUNCEMENTS!$AB$2:$AB$180,R$159,ANNOUNCEMENTS!$J$2:$J$180,$C164)+
COUNTIFS(ANNOUNCEMENTS!$E$2:$E$180,$B164,ANNOUNCEMENTS!$AD$2:$AD$180,R$159,ANNOUNCEMENTS!$J$2:$J$180,$C164)</f>
        <v>0</v>
      </c>
      <c r="S164" s="21">
        <f>COUNTIFS(ANNOUNCEMENTS!$E$2:$E$180,$B164,ANNOUNCEMENTS!$Z$2:$Z$180,S$159,ANNOUNCEMENTS!$J$2:$J$180,$C164)+
COUNTIFS(ANNOUNCEMENTS!$E$2:$E$180,$B164,ANNOUNCEMENTS!$AB$2:$AB$180,S$159,ANNOUNCEMENTS!$J$2:$J$180,$C164)+
COUNTIFS(ANNOUNCEMENTS!$E$2:$E$180,$B164,ANNOUNCEMENTS!$AD$2:$AD$180,S$159,ANNOUNCEMENTS!$J$2:$J$180,$C164)</f>
        <v>0</v>
      </c>
      <c r="T164" s="21">
        <f>COUNTIFS(ANNOUNCEMENTS!$E$2:$E$180,$B164,ANNOUNCEMENTS!$Z$2:$Z$180,T$159,ANNOUNCEMENTS!$J$2:$J$180,$C164)+
COUNTIFS(ANNOUNCEMENTS!$E$2:$E$180,$B164,ANNOUNCEMENTS!$AB$2:$AB$180,T$159,ANNOUNCEMENTS!$J$2:$J$180,$C164)+
COUNTIFS(ANNOUNCEMENTS!$E$2:$E$180,$B164,ANNOUNCEMENTS!$AD$2:$AD$180,T$159,ANNOUNCEMENTS!$J$2:$J$180,$C164)</f>
        <v>0</v>
      </c>
      <c r="U164" s="21">
        <f>COUNTIFS(ANNOUNCEMENTS!$E$2:$E$180,$B164,ANNOUNCEMENTS!$Z$2:$Z$180,U$159,ANNOUNCEMENTS!$J$2:$J$180,$C164)+
COUNTIFS(ANNOUNCEMENTS!$E$2:$E$180,$B164,ANNOUNCEMENTS!$AB$2:$AB$180,U$159,ANNOUNCEMENTS!$J$2:$J$180,$C164)+
COUNTIFS(ANNOUNCEMENTS!$E$2:$E$180,$B164,ANNOUNCEMENTS!$AD$2:$AD$180,U$159,ANNOUNCEMENTS!$J$2:$J$180,$C164)</f>
        <v>0</v>
      </c>
      <c r="V164" s="21">
        <f>COUNTIFS(ANNOUNCEMENTS!$E$2:$E$180,$B164,ANNOUNCEMENTS!$Z$2:$Z$180,V$159,ANNOUNCEMENTS!$J$2:$J$180,$C164)+
COUNTIFS(ANNOUNCEMENTS!$E$2:$E$180,$B164,ANNOUNCEMENTS!$AB$2:$AB$180,V$159,ANNOUNCEMENTS!$J$2:$J$180,$C164)+
COUNTIFS(ANNOUNCEMENTS!$E$2:$E$180,$B164,ANNOUNCEMENTS!$AD$2:$AD$180,V$159,ANNOUNCEMENTS!$J$2:$J$180,$C164)</f>
        <v>0</v>
      </c>
      <c r="W164" s="21">
        <f>COUNTIFS(ANNOUNCEMENTS!$E$2:$E$180,$B164,ANNOUNCEMENTS!$Z$2:$Z$180,W$159,ANNOUNCEMENTS!$J$2:$J$180,$C164)+
COUNTIFS(ANNOUNCEMENTS!$E$2:$E$180,$B164,ANNOUNCEMENTS!$AB$2:$AB$180,W$159,ANNOUNCEMENTS!$J$2:$J$180,$C164)+
COUNTIFS(ANNOUNCEMENTS!$E$2:$E$180,$B164,ANNOUNCEMENTS!$AD$2:$AD$180,W$159,ANNOUNCEMENTS!$J$2:$J$180,$C164)</f>
        <v>0</v>
      </c>
      <c r="X164" s="21">
        <f>COUNTIFS(ANNOUNCEMENTS!$E$2:$E$180,$B164,ANNOUNCEMENTS!$W$2:$W$180,X$159,ANNOUNCEMENTS!$J$2:$J$180,$C164)</f>
        <v>0</v>
      </c>
      <c r="Y164" s="21">
        <f>COUNTIFS(ANNOUNCEMENTS!$E$2:$E$180,$B164,ANNOUNCEMENTS!$W$2:$W$180,Y$159,ANNOUNCEMENTS!$J$2:$J$180,$C164)</f>
        <v>1</v>
      </c>
      <c r="Z164" s="21">
        <f>COUNTIFS(ANNOUNCEMENTS!$E$2:$E$180,$B164,ANNOUNCEMENTS!$W$2:$W$180,Z$159,ANNOUNCEMENTS!$J$2:$J$180,$C164)</f>
        <v>0</v>
      </c>
      <c r="AA164" s="21">
        <f>COUNTIFS(ANNOUNCEMENTS!$E$2:$E$180,$B164,ANNOUNCEMENTS!$W$2:$W$180,AA$159,ANNOUNCEMENTS!$J$2:$J$180,$C164)</f>
        <v>0</v>
      </c>
      <c r="AB164" s="21">
        <f>COUNTIFS(ANNOUNCEMENTS!$E$2:$E$180,$B164,ANNOUNCEMENTS!$W$2:$W$180,AB$159,ANNOUNCEMENTS!$J$2:$J$180,$C164)</f>
        <v>0</v>
      </c>
      <c r="AC164" s="21">
        <f>COUNTIFS(ANNOUNCEMENTS!$E$2:$E$180,$B164,ANNOUNCEMENTS!$W$2:$W$180,AC$159,ANNOUNCEMENTS!$J$2:$J$180,$C164)</f>
        <v>0</v>
      </c>
      <c r="AD164" s="21">
        <f>COUNTIFS(ANNOUNCEMENTS!$E$2:$E$180,$B164,ANNOUNCEMENTS!$W$2:$W$180,AD$159,ANNOUNCEMENTS!$J$2:$J$180,$C164)</f>
        <v>0</v>
      </c>
      <c r="AE164" s="311">
        <f t="shared" si="65"/>
        <v>0</v>
      </c>
      <c r="AF164" s="311">
        <f t="shared" si="66"/>
        <v>0</v>
      </c>
      <c r="AG164" s="311">
        <f t="shared" si="67"/>
        <v>0</v>
      </c>
      <c r="AH164" s="311">
        <f t="shared" si="68"/>
        <v>1</v>
      </c>
      <c r="AI164" s="21">
        <f>COUNTIFS(ANNOUNCEMENTS!$E$2:$E$180,B164,ANNOUNCEMENTS!$Z$2:$Z$180,$J$37,ANNOUNCEMENTS!$J$2:$J$180,C164)+
COUNTIFS(ANNOUNCEMENTS!$E$2:$E$180,B164,ANNOUNCEMENTS!$Z$2:$Z$180,$L$37,ANNOUNCEMENTS!$J$2:$J$180,C164)+
COUNTIFS(ANNOUNCEMENTS!$E$2:$E$180,B164,ANNOUNCEMENTS!$AB$2:$AB$180,$J$37,ANNOUNCEMENTS!$J$2:$J$180,C164)+
COUNTIFS(ANNOUNCEMENTS!$E$2:$E$180,B164,ANNOUNCEMENTS!$AB$2:$AB$180,$L$37,ANNOUNCEMENTS!$J$2:$J$180,C164)+
COUNTIFS(ANNOUNCEMENTS!$E$2:$E$180,B164,ANNOUNCEMENTS!$AD$2:$AD$180,$J$37,ANNOUNCEMENTS!$J$2:$J$180,C164)+
COUNTIFS(ANNOUNCEMENTS!$E$2:$E$180,B164,ANNOUNCEMENTS!$AD$2:$AD$180,$L$37,ANNOUNCEMENTS!$J$2:$J$180,C164)</f>
        <v>1</v>
      </c>
      <c r="AJ164" s="21">
        <f>COUNTIFS(ANNOUNCEMENTS!$E$2:$E$180,B164,ANNOUNCEMENTS!$Z$2:$Z$180,$H$37,ANNOUNCEMENTS!$J$2:$J$180,C164)+
COUNTIFS(ANNOUNCEMENTS!$E$2:$E$180,B164,ANNOUNCEMENTS!$Z$2:$Z$180,$I$37,ANNOUNCEMENTS!$J$2:$J$180,C164)+
COUNTIFS(ANNOUNCEMENTS!$E$2:$E$180,B164,ANNOUNCEMENTS!$Z$2:$Z$180,$P$37,ANNOUNCEMENTS!$J$2:$J$180,C164)+
COUNTIFS(ANNOUNCEMENTS!$E$2:$E$180,B164,ANNOUNCEMENTS!$AB$2:$AB$180,$H$37,ANNOUNCEMENTS!$J$2:$J$180,C164)+
COUNTIFS(ANNOUNCEMENTS!$E$2:$E$180,B164,ANNOUNCEMENTS!$AB$2:$AB$180,$I$37,ANNOUNCEMENTS!$J$2:$J$180,C164)+
COUNTIFS(ANNOUNCEMENTS!$E$2:$E$180,B164,ANNOUNCEMENTS!$AB$2:$AB$180,$P$37,ANNOUNCEMENTS!$J$2:$J$180,C164)+
COUNTIFS(ANNOUNCEMENTS!$E$2:$E$180,B164,ANNOUNCEMENTS!$AD$2:$AD$180,$H$37,ANNOUNCEMENTS!$J$2:$J$180,C164)+
COUNTIFS(ANNOUNCEMENTS!$E$2:$E$180,B164,ANNOUNCEMENTS!$AD$2:$AD$180,$I$37,ANNOUNCEMENTS!$J$2:$J$180,C164)+
COUNTIFS(ANNOUNCEMENTS!$E$2:$E$180,B164,ANNOUNCEMENTS!$AD$2:$AD$180,$P$37,ANNOUNCEMENTS!$J$2:$J$180,C164)</f>
        <v>0</v>
      </c>
      <c r="AK164" s="310" cm="1">
        <f t="array" ref="AK164">SUM(COUNTIFS(ANNOUNCEMENTS!$E$2:$E$180,B164,ANNOUNCEMENTS!$W$2:$W$180,$E$38:$E$40,ANNOUNCEMENTS!$J$2:$J$180,C164))</f>
        <v>1</v>
      </c>
      <c r="AL164" s="21" cm="1">
        <f t="array" ref="AL164">SUM(COUNTIFS(ANNOUNCEMENTS!$E$2:$E$180,B164,ANNOUNCEMENTS!$W$2:$W$180,$E$43:$E$44,ANNOUNCEMENTS!$J$2:$J$180,C164))</f>
        <v>0</v>
      </c>
      <c r="AM164" s="21">
        <f t="shared" si="69"/>
        <v>1</v>
      </c>
      <c r="AN164" s="21">
        <f t="shared" si="70"/>
        <v>0</v>
      </c>
      <c r="AO164" s="309" cm="1">
        <f t="array" ref="AO164">_xlfn.XLOOKUP(AO$159,CBIMPORT!$A$1:$AM$1,_xlfn.XLOOKUP($B164,CBIMPORT!$A$1:$A$40,CBIMPORT!$A$1:$AM$40))</f>
        <v>0</v>
      </c>
      <c r="AP164" s="308" cm="1">
        <f t="array" ref="AP164">_xlfn.XLOOKUP(AP$159,CBIMPORT!$A$1:$AM$1,_xlfn.XLOOKUP($B164,CBIMPORT!$A$1:$A$40,CBIMPORT!$A$1:$AM$40))</f>
        <v>4126</v>
      </c>
      <c r="AQ164" s="307" cm="1">
        <f t="array" ref="AQ164">_xlfn.XLOOKUP(AQ$159,CBIMPORT!$A$1:$AM$1,_xlfn.XLOOKUP($B164,CBIMPORT!$A$1:$A$40,CBIMPORT!$A$1:$AM$40))</f>
        <v>2043.839702</v>
      </c>
      <c r="AR164" s="21"/>
      <c r="AS164" s="21"/>
      <c r="AT164" s="21"/>
      <c r="AU164" s="21"/>
      <c r="AV164" s="21"/>
      <c r="AW164" s="21"/>
      <c r="AX164" s="21"/>
      <c r="AY164" s="21"/>
      <c r="BG164" s="21"/>
      <c r="BH164" s="21"/>
    </row>
    <row r="165" spans="1:60" x14ac:dyDescent="0.35">
      <c r="A165" s="303" t="s">
        <v>2177</v>
      </c>
      <c r="B165" s="315" t="str">
        <f t="shared" si="62"/>
        <v>Cartken</v>
      </c>
      <c r="C165" s="314" t="str">
        <f t="shared" si="63"/>
        <v>Last-Mile</v>
      </c>
      <c r="D165" s="313">
        <f>COUNTIFS(ANNOUNCEMENTS!$E$2:$E$180,$B165,ANNOUNCEMENTS!$J$2:$J$180,$C165)</f>
        <v>2</v>
      </c>
      <c r="E165" s="312" t="str" cm="1">
        <f t="array" ref="E165">_xlfn.ARRAYTOTEXT(
IF(D165&gt;0,_xlfn._xlws.FILTER(CHOOSE({1},
ANNOUNCEMENTS!$K$1:$K$180),
(ANNOUNCEMENTS!$E$1:$E$180=B165)*((ANNOUNCEMENTS!$J$1:$J$180=$C165)))))</f>
        <v>Mitsubishi; Grubhub</v>
      </c>
      <c r="F165" s="306">
        <f t="shared" si="64"/>
        <v>1</v>
      </c>
      <c r="G165" s="310" t="str" cm="1">
        <f t="array" ref="G165">_xlfn.XLOOKUP($A165,'Industries all mentioned partne'!$A$2:$A$58,_xlfn.XLOOKUP(G$159,'Industries all mentioned partne'!$A$2:$DM$2,'Industries all mentioned partne'!$A$2:$DM$58))</f>
        <v>Delivery Service</v>
      </c>
      <c r="H165" s="91" cm="1">
        <f t="array" ref="H165">_xlfn.XLOOKUP($A165,'Industries all mentioned partne'!$A$2:$A$58,_xlfn.XLOOKUP(H$159,'Industries all mentioned partne'!$A$2:$DM$2,'Industries all mentioned partne'!$A$2:$DM$58))</f>
        <v>0.5</v>
      </c>
      <c r="I165" s="310" t="str" cm="1">
        <f t="array" ref="I165">_xlfn.XLOOKUP($A165,'Industries all mentioned partne'!$A$2:$A$58,_xlfn.XLOOKUP(I$159,'Industries all mentioned partne'!$A$2:$DM$2,'Industries all mentioned partne'!$A$2:$DM$58))</f>
        <v>Delivery Service</v>
      </c>
      <c r="J165" s="91" cm="1">
        <f t="array" ref="J165">_xlfn.XLOOKUP($A165,'Industries all mentioned partne'!$A$2:$A$58,_xlfn.XLOOKUP(J$159,'Industries all mentioned partne'!$A$2:$DM$2,'Industries all mentioned partne'!$A$2:$DM$58))</f>
        <v>0.5</v>
      </c>
      <c r="K165" s="310" t="str" cm="1">
        <f t="array" ref="K165">_xlfn.XLOOKUP($A165,'Industries all mentioned partne'!$A$2:$A$58,_xlfn.XLOOKUP(K$159,'Industries all mentioned partne'!$A$2:$DM$2,'Industries all mentioned partne'!$A$2:$DM$58))</f>
        <v/>
      </c>
      <c r="L165" s="91" t="str" cm="1">
        <f t="array" ref="L165">_xlfn.XLOOKUP($A165,'Industries all mentioned partne'!$A$2:$A$58,_xlfn.XLOOKUP(L$159,'Industries all mentioned partne'!$A$2:$DM$2,'Industries all mentioned partne'!$A$2:$DM$58))</f>
        <v/>
      </c>
      <c r="M165" s="311" t="str" cm="1">
        <f t="array" ref="M165">_xlfn.XLOOKUP($M$159,CBIMPORT!$A$1:$AN$1,_xlfn.XLOOKUP(B165,CBIMPORT!$A$1:$A$171,CBIMPORT!$A$1:$AN$171))</f>
        <v>L2</v>
      </c>
      <c r="N165" s="309" cm="1">
        <f t="array" ref="N165">_xlfn.XLOOKUP(N$159,CBIMPORT!$A$1:$AM$1,_xlfn.XLOOKUP($B165,CBIMPORT!$A$1:$A$40,CBIMPORT!$A$1:$AM$40))</f>
        <v>1</v>
      </c>
      <c r="O165" s="21">
        <f>COUNTIFS(ANNOUNCEMENTS!$E$2:$E$180,$B165,ANNOUNCEMENTS!$Z$2:$Z$180,O$159,ANNOUNCEMENTS!$J$2:$J$180,$C165)+
COUNTIFS(ANNOUNCEMENTS!$E$2:$E$180,$B165,ANNOUNCEMENTS!$AB$2:$AB$180,O$159,ANNOUNCEMENTS!$J$2:$J$180,$C165)+
COUNTIFS(ANNOUNCEMENTS!$E$2:$E$180,$B165,ANNOUNCEMENTS!$AD$2:$AD$180,O$159,ANNOUNCEMENTS!$J$2:$J$180,$C165)</f>
        <v>0</v>
      </c>
      <c r="P165" s="21">
        <f>COUNTIFS(ANNOUNCEMENTS!$E$2:$E$180,$B165,ANNOUNCEMENTS!$Z$2:$Z$180,P$159,ANNOUNCEMENTS!$J$2:$J$180,$C165)+
COUNTIFS(ANNOUNCEMENTS!$E$2:$E$180,$B165,ANNOUNCEMENTS!$AB$2:$AB$180,P$159,ANNOUNCEMENTS!$J$2:$J$180,$C165)+
COUNTIFS(ANNOUNCEMENTS!$E$2:$E$180,$B165,ANNOUNCEMENTS!$AD$2:$AD$180,P$159,ANNOUNCEMENTS!$J$2:$J$180,$C165)</f>
        <v>0</v>
      </c>
      <c r="Q165" s="21">
        <f>COUNTIFS(ANNOUNCEMENTS!$E$2:$E$180,$B165,ANNOUNCEMENTS!$Z$2:$Z$180,Q$159,ANNOUNCEMENTS!$J$2:$J$180,$C165)+
COUNTIFS(ANNOUNCEMENTS!$E$2:$E$180,$B165,ANNOUNCEMENTS!$AB$2:$AB$180,Q$159,ANNOUNCEMENTS!$J$2:$J$180,$C165)+
COUNTIFS(ANNOUNCEMENTS!$E$2:$E$180,$B165,ANNOUNCEMENTS!$AD$2:$AD$180,Q$159,ANNOUNCEMENTS!$J$2:$J$180,$C165)</f>
        <v>1</v>
      </c>
      <c r="R165" s="21">
        <f>COUNTIFS(ANNOUNCEMENTS!$E$2:$E$180,$B165,ANNOUNCEMENTS!$Z$2:$Z$180,R$159,ANNOUNCEMENTS!$J$2:$J$180,$C165)+
COUNTIFS(ANNOUNCEMENTS!$E$2:$E$180,$B165,ANNOUNCEMENTS!$AB$2:$AB$180,R$159,ANNOUNCEMENTS!$J$2:$J$180,$C165)+
COUNTIFS(ANNOUNCEMENTS!$E$2:$E$180,$B165,ANNOUNCEMENTS!$AD$2:$AD$180,R$159,ANNOUNCEMENTS!$J$2:$J$180,$C165)</f>
        <v>0</v>
      </c>
      <c r="S165" s="21">
        <f>COUNTIFS(ANNOUNCEMENTS!$E$2:$E$180,$B165,ANNOUNCEMENTS!$Z$2:$Z$180,S$159,ANNOUNCEMENTS!$J$2:$J$180,$C165)+
COUNTIFS(ANNOUNCEMENTS!$E$2:$E$180,$B165,ANNOUNCEMENTS!$AB$2:$AB$180,S$159,ANNOUNCEMENTS!$J$2:$J$180,$C165)+
COUNTIFS(ANNOUNCEMENTS!$E$2:$E$180,$B165,ANNOUNCEMENTS!$AD$2:$AD$180,S$159,ANNOUNCEMENTS!$J$2:$J$180,$C165)</f>
        <v>0</v>
      </c>
      <c r="T165" s="21">
        <f>COUNTIFS(ANNOUNCEMENTS!$E$2:$E$180,$B165,ANNOUNCEMENTS!$Z$2:$Z$180,T$159,ANNOUNCEMENTS!$J$2:$J$180,$C165)+
COUNTIFS(ANNOUNCEMENTS!$E$2:$E$180,$B165,ANNOUNCEMENTS!$AB$2:$AB$180,T$159,ANNOUNCEMENTS!$J$2:$J$180,$C165)+
COUNTIFS(ANNOUNCEMENTS!$E$2:$E$180,$B165,ANNOUNCEMENTS!$AD$2:$AD$180,T$159,ANNOUNCEMENTS!$J$2:$J$180,$C165)</f>
        <v>1</v>
      </c>
      <c r="U165" s="21">
        <f>COUNTIFS(ANNOUNCEMENTS!$E$2:$E$180,$B165,ANNOUNCEMENTS!$Z$2:$Z$180,U$159,ANNOUNCEMENTS!$J$2:$J$180,$C165)+
COUNTIFS(ANNOUNCEMENTS!$E$2:$E$180,$B165,ANNOUNCEMENTS!$AB$2:$AB$180,U$159,ANNOUNCEMENTS!$J$2:$J$180,$C165)+
COUNTIFS(ANNOUNCEMENTS!$E$2:$E$180,$B165,ANNOUNCEMENTS!$AD$2:$AD$180,U$159,ANNOUNCEMENTS!$J$2:$J$180,$C165)</f>
        <v>0</v>
      </c>
      <c r="V165" s="21">
        <f>COUNTIFS(ANNOUNCEMENTS!$E$2:$E$180,$B165,ANNOUNCEMENTS!$Z$2:$Z$180,V$159,ANNOUNCEMENTS!$J$2:$J$180,$C165)+
COUNTIFS(ANNOUNCEMENTS!$E$2:$E$180,$B165,ANNOUNCEMENTS!$AB$2:$AB$180,V$159,ANNOUNCEMENTS!$J$2:$J$180,$C165)+
COUNTIFS(ANNOUNCEMENTS!$E$2:$E$180,$B165,ANNOUNCEMENTS!$AD$2:$AD$180,V$159,ANNOUNCEMENTS!$J$2:$J$180,$C165)</f>
        <v>0</v>
      </c>
      <c r="W165" s="21">
        <f>COUNTIFS(ANNOUNCEMENTS!$E$2:$E$180,$B165,ANNOUNCEMENTS!$Z$2:$Z$180,W$159,ANNOUNCEMENTS!$J$2:$J$180,$C165)+
COUNTIFS(ANNOUNCEMENTS!$E$2:$E$180,$B165,ANNOUNCEMENTS!$AB$2:$AB$180,W$159,ANNOUNCEMENTS!$J$2:$J$180,$C165)+
COUNTIFS(ANNOUNCEMENTS!$E$2:$E$180,$B165,ANNOUNCEMENTS!$AD$2:$AD$180,W$159,ANNOUNCEMENTS!$J$2:$J$180,$C165)</f>
        <v>0</v>
      </c>
      <c r="X165" s="21">
        <f>COUNTIFS(ANNOUNCEMENTS!$E$2:$E$180,$B165,ANNOUNCEMENTS!$W$2:$W$180,X$159,ANNOUNCEMENTS!$J$2:$J$180,$C165)</f>
        <v>0</v>
      </c>
      <c r="Y165" s="21">
        <f>COUNTIFS(ANNOUNCEMENTS!$E$2:$E$180,$B165,ANNOUNCEMENTS!$W$2:$W$180,Y$159,ANNOUNCEMENTS!$J$2:$J$180,$C165)</f>
        <v>1</v>
      </c>
      <c r="Z165" s="21">
        <f>COUNTIFS(ANNOUNCEMENTS!$E$2:$E$180,$B165,ANNOUNCEMENTS!$W$2:$W$180,Z$159,ANNOUNCEMENTS!$J$2:$J$180,$C165)</f>
        <v>1</v>
      </c>
      <c r="AA165" s="21">
        <f>COUNTIFS(ANNOUNCEMENTS!$E$2:$E$180,$B165,ANNOUNCEMENTS!$W$2:$W$180,AA$159,ANNOUNCEMENTS!$J$2:$J$180,$C165)</f>
        <v>0</v>
      </c>
      <c r="AB165" s="21">
        <f>COUNTIFS(ANNOUNCEMENTS!$E$2:$E$180,$B165,ANNOUNCEMENTS!$W$2:$W$180,AB$159,ANNOUNCEMENTS!$J$2:$J$180,$C165)</f>
        <v>0</v>
      </c>
      <c r="AC165" s="21">
        <f>COUNTIFS(ANNOUNCEMENTS!$E$2:$E$180,$B165,ANNOUNCEMENTS!$W$2:$W$180,AC$159,ANNOUNCEMENTS!$J$2:$J$180,$C165)</f>
        <v>0</v>
      </c>
      <c r="AD165" s="21">
        <f>COUNTIFS(ANNOUNCEMENTS!$E$2:$E$180,$B165,ANNOUNCEMENTS!$W$2:$W$180,AD$159,ANNOUNCEMENTS!$J$2:$J$180,$C165)</f>
        <v>0</v>
      </c>
      <c r="AE165" s="311">
        <f t="shared" si="65"/>
        <v>0</v>
      </c>
      <c r="AF165" s="311">
        <f t="shared" si="66"/>
        <v>1</v>
      </c>
      <c r="AG165" s="311">
        <f t="shared" si="67"/>
        <v>0</v>
      </c>
      <c r="AH165" s="311">
        <f t="shared" si="68"/>
        <v>0</v>
      </c>
      <c r="AI165" s="21">
        <f>COUNTIFS(ANNOUNCEMENTS!$E$2:$E$180,B165,ANNOUNCEMENTS!$Z$2:$Z$180,$J$37,ANNOUNCEMENTS!$J$2:$J$180,C165)+
COUNTIFS(ANNOUNCEMENTS!$E$2:$E$180,B165,ANNOUNCEMENTS!$Z$2:$Z$180,$L$37,ANNOUNCEMENTS!$J$2:$J$180,C165)+
COUNTIFS(ANNOUNCEMENTS!$E$2:$E$180,B165,ANNOUNCEMENTS!$AB$2:$AB$180,$J$37,ANNOUNCEMENTS!$J$2:$J$180,C165)+
COUNTIFS(ANNOUNCEMENTS!$E$2:$E$180,B165,ANNOUNCEMENTS!$AB$2:$AB$180,$L$37,ANNOUNCEMENTS!$J$2:$J$180,C165)+
COUNTIFS(ANNOUNCEMENTS!$E$2:$E$180,B165,ANNOUNCEMENTS!$AD$2:$AD$180,$J$37,ANNOUNCEMENTS!$J$2:$J$180,C165)+
COUNTIFS(ANNOUNCEMENTS!$E$2:$E$180,B165,ANNOUNCEMENTS!$AD$2:$AD$180,$L$37,ANNOUNCEMENTS!$J$2:$J$180,C165)</f>
        <v>1</v>
      </c>
      <c r="AJ165" s="21">
        <f>COUNTIFS(ANNOUNCEMENTS!$E$2:$E$180,B165,ANNOUNCEMENTS!$Z$2:$Z$180,$H$37,ANNOUNCEMENTS!$J$2:$J$180,C165)+
COUNTIFS(ANNOUNCEMENTS!$E$2:$E$180,B165,ANNOUNCEMENTS!$Z$2:$Z$180,$I$37,ANNOUNCEMENTS!$J$2:$J$180,C165)+
COUNTIFS(ANNOUNCEMENTS!$E$2:$E$180,B165,ANNOUNCEMENTS!$Z$2:$Z$180,$P$37,ANNOUNCEMENTS!$J$2:$J$180,C165)+
COUNTIFS(ANNOUNCEMENTS!$E$2:$E$180,B165,ANNOUNCEMENTS!$AB$2:$AB$180,$H$37,ANNOUNCEMENTS!$J$2:$J$180,C165)+
COUNTIFS(ANNOUNCEMENTS!$E$2:$E$180,B165,ANNOUNCEMENTS!$AB$2:$AB$180,$I$37,ANNOUNCEMENTS!$J$2:$J$180,C165)+
COUNTIFS(ANNOUNCEMENTS!$E$2:$E$180,B165,ANNOUNCEMENTS!$AB$2:$AB$180,$P$37,ANNOUNCEMENTS!$J$2:$J$180,C165)+
COUNTIFS(ANNOUNCEMENTS!$E$2:$E$180,B165,ANNOUNCEMENTS!$AD$2:$AD$180,$H$37,ANNOUNCEMENTS!$J$2:$J$180,C165)+
COUNTIFS(ANNOUNCEMENTS!$E$2:$E$180,B165,ANNOUNCEMENTS!$AD$2:$AD$180,$I$37,ANNOUNCEMENTS!$J$2:$J$180,C165)+
COUNTIFS(ANNOUNCEMENTS!$E$2:$E$180,B165,ANNOUNCEMENTS!$AD$2:$AD$180,$P$37,ANNOUNCEMENTS!$J$2:$J$180,C165)</f>
        <v>0</v>
      </c>
      <c r="AK165" s="310" cm="1">
        <f t="array" ref="AK165">SUM(COUNTIFS(ANNOUNCEMENTS!$E$2:$E$180,B165,ANNOUNCEMENTS!$W$2:$W$180,$E$38:$E$40,ANNOUNCEMENTS!$J$2:$J$180,C165))</f>
        <v>2</v>
      </c>
      <c r="AL165" s="21" cm="1">
        <f t="array" ref="AL165">SUM(COUNTIFS(ANNOUNCEMENTS!$E$2:$E$180,B165,ANNOUNCEMENTS!$W$2:$W$180,$E$43:$E$44,ANNOUNCEMENTS!$J$2:$J$180,C165))</f>
        <v>0</v>
      </c>
      <c r="AM165" s="21">
        <f t="shared" si="69"/>
        <v>2</v>
      </c>
      <c r="AN165" s="21">
        <f t="shared" si="70"/>
        <v>1</v>
      </c>
      <c r="AO165" s="309" cm="1">
        <f t="array" ref="AO165">_xlfn.XLOOKUP(AO$159,CBIMPORT!$A$1:$AM$1,_xlfn.XLOOKUP($B165,CBIMPORT!$A$1:$A$40,CBIMPORT!$A$1:$AM$40))</f>
        <v>0</v>
      </c>
      <c r="AP165" s="308" cm="1">
        <f t="array" ref="AP165">_xlfn.XLOOKUP(AP$159,CBIMPORT!$A$1:$AM$1,_xlfn.XLOOKUP($B165,CBIMPORT!$A$1:$A$40,CBIMPORT!$A$1:$AM$40))</f>
        <v>30</v>
      </c>
      <c r="AQ165" s="307" t="str" cm="1">
        <f t="array" ref="AQ165">_xlfn.XLOOKUP(AQ$159,CBIMPORT!$A$1:$AM$1,_xlfn.XLOOKUP($B165,CBIMPORT!$A$1:$A$40,CBIMPORT!$A$1:$AM$40))</f>
        <v>n.a.</v>
      </c>
    </row>
    <row r="166" spans="1:60" hidden="1" x14ac:dyDescent="0.35">
      <c r="A166" s="303" t="s">
        <v>2159</v>
      </c>
      <c r="B166" s="315" t="str">
        <f t="shared" si="62"/>
        <v>Cruise</v>
      </c>
      <c r="C166" s="314" t="str">
        <f t="shared" si="63"/>
        <v>Other</v>
      </c>
      <c r="D166" s="313">
        <f>COUNTIFS(ANNOUNCEMENTS!$E$2:$E$180,$B166,ANNOUNCEMENTS!$J$2:$J$180,$C166)</f>
        <v>1</v>
      </c>
      <c r="E166" s="312" t="str" cm="1">
        <f t="array" ref="E166">_xlfn.ARRAYTOTEXT(
IF(D166&gt;0,_xlfn._xlws.FILTER(CHOOSE({1},
ANNOUNCEMENTS!$K$1:$K$180),
(ANNOUNCEMENTS!$E$1:$E$180=B166)*((ANNOUNCEMENTS!$J$1:$J$180=$C166)))))</f>
        <v>Mothers-Against-Drunk-Driving</v>
      </c>
      <c r="F166" s="306">
        <f t="shared" si="64"/>
        <v>0</v>
      </c>
      <c r="G166" s="310" t="str" cm="1">
        <f t="array" ref="G166">_xlfn.XLOOKUP($A166,'Industries all mentioned partne'!$A$2:$A$58,_xlfn.XLOOKUP(G$159,'Industries all mentioned partne'!$A$2:$DM$2,'Industries all mentioned partne'!$A$2:$DM$58))</f>
        <v>NPO</v>
      </c>
      <c r="H166" s="91" cm="1">
        <f t="array" ref="H166">_xlfn.XLOOKUP($A166,'Industries all mentioned partne'!$A$2:$A$58,_xlfn.XLOOKUP(H$159,'Industries all mentioned partne'!$A$2:$DM$2,'Industries all mentioned partne'!$A$2:$DM$58))</f>
        <v>1</v>
      </c>
      <c r="I166" s="310" t="str" cm="1">
        <f t="array" ref="I166">_xlfn.XLOOKUP($A166,'Industries all mentioned partne'!$A$2:$A$58,_xlfn.XLOOKUP(I$159,'Industries all mentioned partne'!$A$2:$DM$2,'Industries all mentioned partne'!$A$2:$DM$58))</f>
        <v/>
      </c>
      <c r="J166" s="91" t="str" cm="1">
        <f t="array" ref="J166">_xlfn.XLOOKUP($A166,'Industries all mentioned partne'!$A$2:$A$58,_xlfn.XLOOKUP(J$159,'Industries all mentioned partne'!$A$2:$DM$2,'Industries all mentioned partne'!$A$2:$DM$58))</f>
        <v/>
      </c>
      <c r="K166" s="310" t="str" cm="1">
        <f t="array" ref="K166">_xlfn.XLOOKUP($A166,'Industries all mentioned partne'!$A$2:$A$58,_xlfn.XLOOKUP(K$159,'Industries all mentioned partne'!$A$2:$DM$2,'Industries all mentioned partne'!$A$2:$DM$58))</f>
        <v/>
      </c>
      <c r="L166" s="91" t="str" cm="1">
        <f t="array" ref="L166">_xlfn.XLOOKUP($A166,'Industries all mentioned partne'!$A$2:$A$58,_xlfn.XLOOKUP(L$159,'Industries all mentioned partne'!$A$2:$DM$2,'Industries all mentioned partne'!$A$2:$DM$58))</f>
        <v/>
      </c>
      <c r="M166" s="311" t="str" cm="1">
        <f t="array" ref="M166">_xlfn.XLOOKUP($M$159,CBIMPORT!$A$1:$AN$1,_xlfn.XLOOKUP(B166,CBIMPORT!$A$1:$A$171,CBIMPORT!$A$1:$AN$171))</f>
        <v>L1</v>
      </c>
      <c r="N166" s="309" cm="1">
        <f t="array" ref="N166">_xlfn.XLOOKUP(N$159,CBIMPORT!$A$1:$AM$1,_xlfn.XLOOKUP($B166,CBIMPORT!$A$1:$A$40,CBIMPORT!$A$1:$AM$40))</f>
        <v>390</v>
      </c>
      <c r="O166" s="21">
        <f>COUNTIFS(ANNOUNCEMENTS!$E$2:$E$180,$B166,ANNOUNCEMENTS!$Z$2:$Z$180,O$159,ANNOUNCEMENTS!$J$2:$J$180,$C166)+
COUNTIFS(ANNOUNCEMENTS!$E$2:$E$180,$B166,ANNOUNCEMENTS!$AB$2:$AB$180,O$159,ANNOUNCEMENTS!$J$2:$J$180,$C166)+
COUNTIFS(ANNOUNCEMENTS!$E$2:$E$180,$B166,ANNOUNCEMENTS!$AD$2:$AD$180,O$159,ANNOUNCEMENTS!$J$2:$J$180,$C166)</f>
        <v>0</v>
      </c>
      <c r="P166" s="21">
        <f>COUNTIFS(ANNOUNCEMENTS!$E$2:$E$180,$B166,ANNOUNCEMENTS!$Z$2:$Z$180,P$159,ANNOUNCEMENTS!$J$2:$J$180,$C166)+
COUNTIFS(ANNOUNCEMENTS!$E$2:$E$180,$B166,ANNOUNCEMENTS!$AB$2:$AB$180,P$159,ANNOUNCEMENTS!$J$2:$J$180,$C166)+
COUNTIFS(ANNOUNCEMENTS!$E$2:$E$180,$B166,ANNOUNCEMENTS!$AD$2:$AD$180,P$159,ANNOUNCEMENTS!$J$2:$J$180,$C166)</f>
        <v>0</v>
      </c>
      <c r="Q166" s="21">
        <f>COUNTIFS(ANNOUNCEMENTS!$E$2:$E$180,$B166,ANNOUNCEMENTS!$Z$2:$Z$180,Q$159,ANNOUNCEMENTS!$J$2:$J$180,$C166)+
COUNTIFS(ANNOUNCEMENTS!$E$2:$E$180,$B166,ANNOUNCEMENTS!$AB$2:$AB$180,Q$159,ANNOUNCEMENTS!$J$2:$J$180,$C166)+
COUNTIFS(ANNOUNCEMENTS!$E$2:$E$180,$B166,ANNOUNCEMENTS!$AD$2:$AD$180,Q$159,ANNOUNCEMENTS!$J$2:$J$180,$C166)</f>
        <v>0</v>
      </c>
      <c r="R166" s="21">
        <f>COUNTIFS(ANNOUNCEMENTS!$E$2:$E$180,$B166,ANNOUNCEMENTS!$Z$2:$Z$180,R$159,ANNOUNCEMENTS!$J$2:$J$180,$C166)+
COUNTIFS(ANNOUNCEMENTS!$E$2:$E$180,$B166,ANNOUNCEMENTS!$AB$2:$AB$180,R$159,ANNOUNCEMENTS!$J$2:$J$180,$C166)+
COUNTIFS(ANNOUNCEMENTS!$E$2:$E$180,$B166,ANNOUNCEMENTS!$AD$2:$AD$180,R$159,ANNOUNCEMENTS!$J$2:$J$180,$C166)</f>
        <v>1</v>
      </c>
      <c r="S166" s="21">
        <f>COUNTIFS(ANNOUNCEMENTS!$E$2:$E$180,$B166,ANNOUNCEMENTS!$Z$2:$Z$180,S$159,ANNOUNCEMENTS!$J$2:$J$180,$C166)+
COUNTIFS(ANNOUNCEMENTS!$E$2:$E$180,$B166,ANNOUNCEMENTS!$AB$2:$AB$180,S$159,ANNOUNCEMENTS!$J$2:$J$180,$C166)+
COUNTIFS(ANNOUNCEMENTS!$E$2:$E$180,$B166,ANNOUNCEMENTS!$AD$2:$AD$180,S$159,ANNOUNCEMENTS!$J$2:$J$180,$C166)</f>
        <v>0</v>
      </c>
      <c r="T166" s="21">
        <f>COUNTIFS(ANNOUNCEMENTS!$E$2:$E$180,$B166,ANNOUNCEMENTS!$Z$2:$Z$180,T$159,ANNOUNCEMENTS!$J$2:$J$180,$C166)+
COUNTIFS(ANNOUNCEMENTS!$E$2:$E$180,$B166,ANNOUNCEMENTS!$AB$2:$AB$180,T$159,ANNOUNCEMENTS!$J$2:$J$180,$C166)+
COUNTIFS(ANNOUNCEMENTS!$E$2:$E$180,$B166,ANNOUNCEMENTS!$AD$2:$AD$180,T$159,ANNOUNCEMENTS!$J$2:$J$180,$C166)</f>
        <v>0</v>
      </c>
      <c r="U166" s="21">
        <f>COUNTIFS(ANNOUNCEMENTS!$E$2:$E$180,$B166,ANNOUNCEMENTS!$Z$2:$Z$180,U$159,ANNOUNCEMENTS!$J$2:$J$180,$C166)+
COUNTIFS(ANNOUNCEMENTS!$E$2:$E$180,$B166,ANNOUNCEMENTS!$AB$2:$AB$180,U$159,ANNOUNCEMENTS!$J$2:$J$180,$C166)+
COUNTIFS(ANNOUNCEMENTS!$E$2:$E$180,$B166,ANNOUNCEMENTS!$AD$2:$AD$180,U$159,ANNOUNCEMENTS!$J$2:$J$180,$C166)</f>
        <v>0</v>
      </c>
      <c r="V166" s="21">
        <f>COUNTIFS(ANNOUNCEMENTS!$E$2:$E$180,$B166,ANNOUNCEMENTS!$Z$2:$Z$180,V$159,ANNOUNCEMENTS!$J$2:$J$180,$C166)+
COUNTIFS(ANNOUNCEMENTS!$E$2:$E$180,$B166,ANNOUNCEMENTS!$AB$2:$AB$180,V$159,ANNOUNCEMENTS!$J$2:$J$180,$C166)+
COUNTIFS(ANNOUNCEMENTS!$E$2:$E$180,$B166,ANNOUNCEMENTS!$AD$2:$AD$180,V$159,ANNOUNCEMENTS!$J$2:$J$180,$C166)</f>
        <v>0</v>
      </c>
      <c r="W166" s="21">
        <f>COUNTIFS(ANNOUNCEMENTS!$E$2:$E$180,$B166,ANNOUNCEMENTS!$Z$2:$Z$180,W$159,ANNOUNCEMENTS!$J$2:$J$180,$C166)+
COUNTIFS(ANNOUNCEMENTS!$E$2:$E$180,$B166,ANNOUNCEMENTS!$AB$2:$AB$180,W$159,ANNOUNCEMENTS!$J$2:$J$180,$C166)+
COUNTIFS(ANNOUNCEMENTS!$E$2:$E$180,$B166,ANNOUNCEMENTS!$AD$2:$AD$180,W$159,ANNOUNCEMENTS!$J$2:$J$180,$C166)</f>
        <v>0</v>
      </c>
      <c r="X166" s="21">
        <f>COUNTIFS(ANNOUNCEMENTS!$E$2:$E$180,$B166,ANNOUNCEMENTS!$W$2:$W$180,X$159,ANNOUNCEMENTS!$J$2:$J$180,$C166)</f>
        <v>1</v>
      </c>
      <c r="Y166" s="21">
        <f>COUNTIFS(ANNOUNCEMENTS!$E$2:$E$180,$B166,ANNOUNCEMENTS!$W$2:$W$180,Y$159,ANNOUNCEMENTS!$J$2:$J$180,$C166)</f>
        <v>0</v>
      </c>
      <c r="Z166" s="21">
        <f>COUNTIFS(ANNOUNCEMENTS!$E$2:$E$180,$B166,ANNOUNCEMENTS!$W$2:$W$180,Z$159,ANNOUNCEMENTS!$J$2:$J$180,$C166)</f>
        <v>0</v>
      </c>
      <c r="AA166" s="21">
        <f>COUNTIFS(ANNOUNCEMENTS!$E$2:$E$180,$B166,ANNOUNCEMENTS!$W$2:$W$180,AA$159,ANNOUNCEMENTS!$J$2:$J$180,$C166)</f>
        <v>0</v>
      </c>
      <c r="AB166" s="21">
        <f>COUNTIFS(ANNOUNCEMENTS!$E$2:$E$180,$B166,ANNOUNCEMENTS!$W$2:$W$180,AB$159,ANNOUNCEMENTS!$J$2:$J$180,$C166)</f>
        <v>0</v>
      </c>
      <c r="AC166" s="21">
        <f>COUNTIFS(ANNOUNCEMENTS!$E$2:$E$180,$B166,ANNOUNCEMENTS!$W$2:$W$180,AC$159,ANNOUNCEMENTS!$J$2:$J$180,$C166)</f>
        <v>0</v>
      </c>
      <c r="AD166" s="21">
        <f>COUNTIFS(ANNOUNCEMENTS!$E$2:$E$180,$B166,ANNOUNCEMENTS!$W$2:$W$180,AD$159,ANNOUNCEMENTS!$J$2:$J$180,$C166)</f>
        <v>0</v>
      </c>
      <c r="AE166" s="311">
        <f t="shared" si="65"/>
        <v>1</v>
      </c>
      <c r="AF166" s="311">
        <f t="shared" si="66"/>
        <v>0</v>
      </c>
      <c r="AG166" s="311">
        <f t="shared" si="67"/>
        <v>0</v>
      </c>
      <c r="AH166" s="311">
        <f t="shared" si="68"/>
        <v>0</v>
      </c>
      <c r="AI166" s="21">
        <f>COUNTIFS(ANNOUNCEMENTS!$E$2:$E$180,B166,ANNOUNCEMENTS!$Z$2:$Z$180,$J$37,ANNOUNCEMENTS!$J$2:$J$180,C166)+
COUNTIFS(ANNOUNCEMENTS!$E$2:$E$180,B166,ANNOUNCEMENTS!$Z$2:$Z$180,$L$37,ANNOUNCEMENTS!$J$2:$J$180,C166)+
COUNTIFS(ANNOUNCEMENTS!$E$2:$E$180,B166,ANNOUNCEMENTS!$AB$2:$AB$180,$J$37,ANNOUNCEMENTS!$J$2:$J$180,C166)+
COUNTIFS(ANNOUNCEMENTS!$E$2:$E$180,B166,ANNOUNCEMENTS!$AB$2:$AB$180,$L$37,ANNOUNCEMENTS!$J$2:$J$180,C166)+
COUNTIFS(ANNOUNCEMENTS!$E$2:$E$180,B166,ANNOUNCEMENTS!$AD$2:$AD$180,$J$37,ANNOUNCEMENTS!$J$2:$J$180,C166)+
COUNTIFS(ANNOUNCEMENTS!$E$2:$E$180,B166,ANNOUNCEMENTS!$AD$2:$AD$180,$L$37,ANNOUNCEMENTS!$J$2:$J$180,C166)</f>
        <v>0</v>
      </c>
      <c r="AJ166" s="21">
        <f>COUNTIFS(ANNOUNCEMENTS!$E$2:$E$180,B166,ANNOUNCEMENTS!$Z$2:$Z$180,$H$37,ANNOUNCEMENTS!$J$2:$J$180,C166)+
COUNTIFS(ANNOUNCEMENTS!$E$2:$E$180,B166,ANNOUNCEMENTS!$Z$2:$Z$180,$I$37,ANNOUNCEMENTS!$J$2:$J$180,C166)+
COUNTIFS(ANNOUNCEMENTS!$E$2:$E$180,B166,ANNOUNCEMENTS!$Z$2:$Z$180,$P$37,ANNOUNCEMENTS!$J$2:$J$180,C166)+
COUNTIFS(ANNOUNCEMENTS!$E$2:$E$180,B166,ANNOUNCEMENTS!$AB$2:$AB$180,$H$37,ANNOUNCEMENTS!$J$2:$J$180,C166)+
COUNTIFS(ANNOUNCEMENTS!$E$2:$E$180,B166,ANNOUNCEMENTS!$AB$2:$AB$180,$I$37,ANNOUNCEMENTS!$J$2:$J$180,C166)+
COUNTIFS(ANNOUNCEMENTS!$E$2:$E$180,B166,ANNOUNCEMENTS!$AB$2:$AB$180,$P$37,ANNOUNCEMENTS!$J$2:$J$180,C166)+
COUNTIFS(ANNOUNCEMENTS!$E$2:$E$180,B166,ANNOUNCEMENTS!$AD$2:$AD$180,$H$37,ANNOUNCEMENTS!$J$2:$J$180,C166)+
COUNTIFS(ANNOUNCEMENTS!$E$2:$E$180,B166,ANNOUNCEMENTS!$AD$2:$AD$180,$I$37,ANNOUNCEMENTS!$J$2:$J$180,C166)+
COUNTIFS(ANNOUNCEMENTS!$E$2:$E$180,B166,ANNOUNCEMENTS!$AD$2:$AD$180,$P$37,ANNOUNCEMENTS!$J$2:$J$180,C166)</f>
        <v>0</v>
      </c>
      <c r="AK166" s="310" cm="1">
        <f t="array" ref="AK166">SUM(COUNTIFS(ANNOUNCEMENTS!$E$2:$E$180,B166,ANNOUNCEMENTS!$W$2:$W$180,$E$38:$E$40,ANNOUNCEMENTS!$J$2:$J$180,C166))</f>
        <v>1</v>
      </c>
      <c r="AL166" s="21" cm="1">
        <f t="array" ref="AL166">SUM(COUNTIFS(ANNOUNCEMENTS!$E$2:$E$180,B166,ANNOUNCEMENTS!$W$2:$W$180,$E$43:$E$44,ANNOUNCEMENTS!$J$2:$J$180,C166))</f>
        <v>0</v>
      </c>
      <c r="AM166" s="21">
        <f t="shared" si="69"/>
        <v>1</v>
      </c>
      <c r="AN166" s="21">
        <f t="shared" si="70"/>
        <v>0</v>
      </c>
      <c r="AO166" s="309" cm="1">
        <f t="array" ref="AO166">_xlfn.XLOOKUP(AO$159,CBIMPORT!$A$1:$AM$1,_xlfn.XLOOKUP($B166,CBIMPORT!$A$1:$A$40,CBIMPORT!$A$1:$AM$40))</f>
        <v>0</v>
      </c>
      <c r="AP166" s="308" cm="1">
        <f t="array" ref="AP166">_xlfn.XLOOKUP(AP$159,CBIMPORT!$A$1:$AM$1,_xlfn.XLOOKUP($B166,CBIMPORT!$A$1:$A$40,CBIMPORT!$A$1:$AM$40))</f>
        <v>3750</v>
      </c>
      <c r="AQ166" s="307" cm="1">
        <f t="array" ref="AQ166">_xlfn.XLOOKUP(AQ$159,CBIMPORT!$A$1:$AM$1,_xlfn.XLOOKUP($B166,CBIMPORT!$A$1:$A$40,CBIMPORT!$A$1:$AM$40))</f>
        <v>15118.8</v>
      </c>
    </row>
    <row r="167" spans="1:60" x14ac:dyDescent="0.35">
      <c r="A167" s="303" t="s">
        <v>2178</v>
      </c>
      <c r="B167" s="315" t="str">
        <f t="shared" si="62"/>
        <v>Cruise</v>
      </c>
      <c r="C167" s="314" t="str">
        <f t="shared" si="63"/>
        <v>Last-Mile</v>
      </c>
      <c r="D167" s="313">
        <f>COUNTIFS(ANNOUNCEMENTS!$E$2:$E$180,$B167,ANNOUNCEMENTS!$J$2:$J$180,$C167)</f>
        <v>2</v>
      </c>
      <c r="E167" s="312" t="str" cm="1">
        <f t="array" ref="E167">_xlfn.ARRAYTOTEXT(
IF(D167&gt;0,_xlfn._xlws.FILTER(CHOOSE({1},
ANNOUNCEMENTS!$K$1:$K$180),
(ANNOUNCEMENTS!$E$1:$E$180=B167)*((ANNOUNCEMENTS!$J$1:$J$180=$C167)))))</f>
        <v>Walmart; Replate</v>
      </c>
      <c r="F167" s="306">
        <f t="shared" si="64"/>
        <v>1</v>
      </c>
      <c r="G167" s="310" t="str" cm="1">
        <f t="array" ref="G167">_xlfn.XLOOKUP($A167,'Industries all mentioned partne'!$A$2:$A$58,_xlfn.XLOOKUP(G$159,'Industries all mentioned partne'!$A$2:$DM$2,'Industries all mentioned partne'!$A$2:$DM$58))</f>
        <v>Retail</v>
      </c>
      <c r="H167" s="91" cm="1">
        <f t="array" ref="H167">_xlfn.XLOOKUP($A167,'Industries all mentioned partne'!$A$2:$A$58,_xlfn.XLOOKUP(H$159,'Industries all mentioned partne'!$A$2:$DM$2,'Industries all mentioned partne'!$A$2:$DM$58))</f>
        <v>0.5</v>
      </c>
      <c r="I167" s="310" t="str" cm="1">
        <f t="array" ref="I167">_xlfn.XLOOKUP($A167,'Industries all mentioned partne'!$A$2:$A$58,_xlfn.XLOOKUP(I$159,'Industries all mentioned partne'!$A$2:$DM$2,'Industries all mentioned partne'!$A$2:$DM$58))</f>
        <v>Retail</v>
      </c>
      <c r="J167" s="91" cm="1">
        <f t="array" ref="J167">_xlfn.XLOOKUP($A167,'Industries all mentioned partne'!$A$2:$A$58,_xlfn.XLOOKUP(J$159,'Industries all mentioned partne'!$A$2:$DM$2,'Industries all mentioned partne'!$A$2:$DM$58))</f>
        <v>0.5</v>
      </c>
      <c r="K167" s="310" t="str" cm="1">
        <f t="array" ref="K167">_xlfn.XLOOKUP($A167,'Industries all mentioned partne'!$A$2:$A$58,_xlfn.XLOOKUP(K$159,'Industries all mentioned partne'!$A$2:$DM$2,'Industries all mentioned partne'!$A$2:$DM$58))</f>
        <v/>
      </c>
      <c r="L167" s="91" t="str" cm="1">
        <f t="array" ref="L167">_xlfn.XLOOKUP($A167,'Industries all mentioned partne'!$A$2:$A$58,_xlfn.XLOOKUP(L$159,'Industries all mentioned partne'!$A$2:$DM$2,'Industries all mentioned partne'!$A$2:$DM$58))</f>
        <v/>
      </c>
      <c r="M167" s="311" t="str" cm="1">
        <f t="array" ref="M167">_xlfn.XLOOKUP($M$159,CBIMPORT!$A$1:$AN$1,_xlfn.XLOOKUP(B167,CBIMPORT!$A$1:$A$171,CBIMPORT!$A$1:$AN$171))</f>
        <v>L1</v>
      </c>
      <c r="N167" s="309" cm="1">
        <f t="array" ref="N167">_xlfn.XLOOKUP(N$159,CBIMPORT!$A$1:$AM$1,_xlfn.XLOOKUP($B167,CBIMPORT!$A$1:$A$40,CBIMPORT!$A$1:$AM$40))</f>
        <v>390</v>
      </c>
      <c r="O167" s="21">
        <f>COUNTIFS(ANNOUNCEMENTS!$E$2:$E$180,$B167,ANNOUNCEMENTS!$Z$2:$Z$180,O$159,ANNOUNCEMENTS!$J$2:$J$180,$C167)+
COUNTIFS(ANNOUNCEMENTS!$E$2:$E$180,$B167,ANNOUNCEMENTS!$AB$2:$AB$180,O$159,ANNOUNCEMENTS!$J$2:$J$180,$C167)+
COUNTIFS(ANNOUNCEMENTS!$E$2:$E$180,$B167,ANNOUNCEMENTS!$AD$2:$AD$180,O$159,ANNOUNCEMENTS!$J$2:$J$180,$C167)</f>
        <v>0</v>
      </c>
      <c r="P167" s="21">
        <f>COUNTIFS(ANNOUNCEMENTS!$E$2:$E$180,$B167,ANNOUNCEMENTS!$Z$2:$Z$180,P$159,ANNOUNCEMENTS!$J$2:$J$180,$C167)+
COUNTIFS(ANNOUNCEMENTS!$E$2:$E$180,$B167,ANNOUNCEMENTS!$AB$2:$AB$180,P$159,ANNOUNCEMENTS!$J$2:$J$180,$C167)+
COUNTIFS(ANNOUNCEMENTS!$E$2:$E$180,$B167,ANNOUNCEMENTS!$AD$2:$AD$180,P$159,ANNOUNCEMENTS!$J$2:$J$180,$C167)</f>
        <v>0</v>
      </c>
      <c r="Q167" s="21">
        <f>COUNTIFS(ANNOUNCEMENTS!$E$2:$E$180,$B167,ANNOUNCEMENTS!$Z$2:$Z$180,Q$159,ANNOUNCEMENTS!$J$2:$J$180,$C167)+
COUNTIFS(ANNOUNCEMENTS!$E$2:$E$180,$B167,ANNOUNCEMENTS!$AB$2:$AB$180,Q$159,ANNOUNCEMENTS!$J$2:$J$180,$C167)+
COUNTIFS(ANNOUNCEMENTS!$E$2:$E$180,$B167,ANNOUNCEMENTS!$AD$2:$AD$180,Q$159,ANNOUNCEMENTS!$J$2:$J$180,$C167)</f>
        <v>2</v>
      </c>
      <c r="R167" s="21">
        <f>COUNTIFS(ANNOUNCEMENTS!$E$2:$E$180,$B167,ANNOUNCEMENTS!$Z$2:$Z$180,R$159,ANNOUNCEMENTS!$J$2:$J$180,$C167)+
COUNTIFS(ANNOUNCEMENTS!$E$2:$E$180,$B167,ANNOUNCEMENTS!$AB$2:$AB$180,R$159,ANNOUNCEMENTS!$J$2:$J$180,$C167)+
COUNTIFS(ANNOUNCEMENTS!$E$2:$E$180,$B167,ANNOUNCEMENTS!$AD$2:$AD$180,R$159,ANNOUNCEMENTS!$J$2:$J$180,$C167)</f>
        <v>0</v>
      </c>
      <c r="S167" s="21">
        <f>COUNTIFS(ANNOUNCEMENTS!$E$2:$E$180,$B167,ANNOUNCEMENTS!$Z$2:$Z$180,S$159,ANNOUNCEMENTS!$J$2:$J$180,$C167)+
COUNTIFS(ANNOUNCEMENTS!$E$2:$E$180,$B167,ANNOUNCEMENTS!$AB$2:$AB$180,S$159,ANNOUNCEMENTS!$J$2:$J$180,$C167)+
COUNTIFS(ANNOUNCEMENTS!$E$2:$E$180,$B167,ANNOUNCEMENTS!$AD$2:$AD$180,S$159,ANNOUNCEMENTS!$J$2:$J$180,$C167)</f>
        <v>0</v>
      </c>
      <c r="T167" s="21">
        <f>COUNTIFS(ANNOUNCEMENTS!$E$2:$E$180,$B167,ANNOUNCEMENTS!$Z$2:$Z$180,T$159,ANNOUNCEMENTS!$J$2:$J$180,$C167)+
COUNTIFS(ANNOUNCEMENTS!$E$2:$E$180,$B167,ANNOUNCEMENTS!$AB$2:$AB$180,T$159,ANNOUNCEMENTS!$J$2:$J$180,$C167)+
COUNTIFS(ANNOUNCEMENTS!$E$2:$E$180,$B167,ANNOUNCEMENTS!$AD$2:$AD$180,T$159,ANNOUNCEMENTS!$J$2:$J$180,$C167)</f>
        <v>0</v>
      </c>
      <c r="U167" s="21">
        <f>COUNTIFS(ANNOUNCEMENTS!$E$2:$E$180,$B167,ANNOUNCEMENTS!$Z$2:$Z$180,U$159,ANNOUNCEMENTS!$J$2:$J$180,$C167)+
COUNTIFS(ANNOUNCEMENTS!$E$2:$E$180,$B167,ANNOUNCEMENTS!$AB$2:$AB$180,U$159,ANNOUNCEMENTS!$J$2:$J$180,$C167)+
COUNTIFS(ANNOUNCEMENTS!$E$2:$E$180,$B167,ANNOUNCEMENTS!$AD$2:$AD$180,U$159,ANNOUNCEMENTS!$J$2:$J$180,$C167)</f>
        <v>0</v>
      </c>
      <c r="V167" s="21">
        <f>COUNTIFS(ANNOUNCEMENTS!$E$2:$E$180,$B167,ANNOUNCEMENTS!$Z$2:$Z$180,V$159,ANNOUNCEMENTS!$J$2:$J$180,$C167)+
COUNTIFS(ANNOUNCEMENTS!$E$2:$E$180,$B167,ANNOUNCEMENTS!$AB$2:$AB$180,V$159,ANNOUNCEMENTS!$J$2:$J$180,$C167)+
COUNTIFS(ANNOUNCEMENTS!$E$2:$E$180,$B167,ANNOUNCEMENTS!$AD$2:$AD$180,V$159,ANNOUNCEMENTS!$J$2:$J$180,$C167)</f>
        <v>0</v>
      </c>
      <c r="W167" s="21">
        <f>COUNTIFS(ANNOUNCEMENTS!$E$2:$E$180,$B167,ANNOUNCEMENTS!$Z$2:$Z$180,W$159,ANNOUNCEMENTS!$J$2:$J$180,$C167)+
COUNTIFS(ANNOUNCEMENTS!$E$2:$E$180,$B167,ANNOUNCEMENTS!$AB$2:$AB$180,W$159,ANNOUNCEMENTS!$J$2:$J$180,$C167)+
COUNTIFS(ANNOUNCEMENTS!$E$2:$E$180,$B167,ANNOUNCEMENTS!$AD$2:$AD$180,W$159,ANNOUNCEMENTS!$J$2:$J$180,$C167)</f>
        <v>0</v>
      </c>
      <c r="X167" s="21">
        <f>COUNTIFS(ANNOUNCEMENTS!$E$2:$E$180,$B167,ANNOUNCEMENTS!$W$2:$W$180,X$159,ANNOUNCEMENTS!$J$2:$J$180,$C167)</f>
        <v>0</v>
      </c>
      <c r="Y167" s="21">
        <f>COUNTIFS(ANNOUNCEMENTS!$E$2:$E$180,$B167,ANNOUNCEMENTS!$W$2:$W$180,Y$159,ANNOUNCEMENTS!$J$2:$J$180,$C167)</f>
        <v>2</v>
      </c>
      <c r="Z167" s="21">
        <f>COUNTIFS(ANNOUNCEMENTS!$E$2:$E$180,$B167,ANNOUNCEMENTS!$W$2:$W$180,Z$159,ANNOUNCEMENTS!$J$2:$J$180,$C167)</f>
        <v>0</v>
      </c>
      <c r="AA167" s="21">
        <f>COUNTIFS(ANNOUNCEMENTS!$E$2:$E$180,$B167,ANNOUNCEMENTS!$W$2:$W$180,AA$159,ANNOUNCEMENTS!$J$2:$J$180,$C167)</f>
        <v>0</v>
      </c>
      <c r="AB167" s="21">
        <f>COUNTIFS(ANNOUNCEMENTS!$E$2:$E$180,$B167,ANNOUNCEMENTS!$W$2:$W$180,AB$159,ANNOUNCEMENTS!$J$2:$J$180,$C167)</f>
        <v>0</v>
      </c>
      <c r="AC167" s="21">
        <f>COUNTIFS(ANNOUNCEMENTS!$E$2:$E$180,$B167,ANNOUNCEMENTS!$W$2:$W$180,AC$159,ANNOUNCEMENTS!$J$2:$J$180,$C167)</f>
        <v>0</v>
      </c>
      <c r="AD167" s="21">
        <f>COUNTIFS(ANNOUNCEMENTS!$E$2:$E$180,$B167,ANNOUNCEMENTS!$W$2:$W$180,AD$159,ANNOUNCEMENTS!$J$2:$J$180,$C167)</f>
        <v>0</v>
      </c>
      <c r="AE167" s="311">
        <f t="shared" si="65"/>
        <v>1</v>
      </c>
      <c r="AF167" s="311">
        <f t="shared" si="66"/>
        <v>0</v>
      </c>
      <c r="AG167" s="311">
        <f t="shared" si="67"/>
        <v>0</v>
      </c>
      <c r="AH167" s="311">
        <f t="shared" si="68"/>
        <v>0</v>
      </c>
      <c r="AI167" s="21">
        <f>COUNTIFS(ANNOUNCEMENTS!$E$2:$E$180,B167,ANNOUNCEMENTS!$Z$2:$Z$180,$J$37,ANNOUNCEMENTS!$J$2:$J$180,C167)+
COUNTIFS(ANNOUNCEMENTS!$E$2:$E$180,B167,ANNOUNCEMENTS!$Z$2:$Z$180,$L$37,ANNOUNCEMENTS!$J$2:$J$180,C167)+
COUNTIFS(ANNOUNCEMENTS!$E$2:$E$180,B167,ANNOUNCEMENTS!$AB$2:$AB$180,$J$37,ANNOUNCEMENTS!$J$2:$J$180,C167)+
COUNTIFS(ANNOUNCEMENTS!$E$2:$E$180,B167,ANNOUNCEMENTS!$AB$2:$AB$180,$L$37,ANNOUNCEMENTS!$J$2:$J$180,C167)+
COUNTIFS(ANNOUNCEMENTS!$E$2:$E$180,B167,ANNOUNCEMENTS!$AD$2:$AD$180,$J$37,ANNOUNCEMENTS!$J$2:$J$180,C167)+
COUNTIFS(ANNOUNCEMENTS!$E$2:$E$180,B167,ANNOUNCEMENTS!$AD$2:$AD$180,$L$37,ANNOUNCEMENTS!$J$2:$J$180,C167)</f>
        <v>2</v>
      </c>
      <c r="AJ167" s="21">
        <f>COUNTIFS(ANNOUNCEMENTS!$E$2:$E$180,B167,ANNOUNCEMENTS!$Z$2:$Z$180,$H$37,ANNOUNCEMENTS!$J$2:$J$180,C167)+
COUNTIFS(ANNOUNCEMENTS!$E$2:$E$180,B167,ANNOUNCEMENTS!$Z$2:$Z$180,$I$37,ANNOUNCEMENTS!$J$2:$J$180,C167)+
COUNTIFS(ANNOUNCEMENTS!$E$2:$E$180,B167,ANNOUNCEMENTS!$Z$2:$Z$180,$P$37,ANNOUNCEMENTS!$J$2:$J$180,C167)+
COUNTIFS(ANNOUNCEMENTS!$E$2:$E$180,B167,ANNOUNCEMENTS!$AB$2:$AB$180,$H$37,ANNOUNCEMENTS!$J$2:$J$180,C167)+
COUNTIFS(ANNOUNCEMENTS!$E$2:$E$180,B167,ANNOUNCEMENTS!$AB$2:$AB$180,$I$37,ANNOUNCEMENTS!$J$2:$J$180,C167)+
COUNTIFS(ANNOUNCEMENTS!$E$2:$E$180,B167,ANNOUNCEMENTS!$AB$2:$AB$180,$P$37,ANNOUNCEMENTS!$J$2:$J$180,C167)+
COUNTIFS(ANNOUNCEMENTS!$E$2:$E$180,B167,ANNOUNCEMENTS!$AD$2:$AD$180,$H$37,ANNOUNCEMENTS!$J$2:$J$180,C167)+
COUNTIFS(ANNOUNCEMENTS!$E$2:$E$180,B167,ANNOUNCEMENTS!$AD$2:$AD$180,$I$37,ANNOUNCEMENTS!$J$2:$J$180,C167)+
COUNTIFS(ANNOUNCEMENTS!$E$2:$E$180,B167,ANNOUNCEMENTS!$AD$2:$AD$180,$P$37,ANNOUNCEMENTS!$J$2:$J$180,C167)</f>
        <v>0</v>
      </c>
      <c r="AK167" s="310" cm="1">
        <f t="array" ref="AK167">SUM(COUNTIFS(ANNOUNCEMENTS!$E$2:$E$180,B167,ANNOUNCEMENTS!$W$2:$W$180,$E$38:$E$40,ANNOUNCEMENTS!$J$2:$J$180,C167))</f>
        <v>2</v>
      </c>
      <c r="AL167" s="21" cm="1">
        <f t="array" ref="AL167">SUM(COUNTIFS(ANNOUNCEMENTS!$E$2:$E$180,B167,ANNOUNCEMENTS!$W$2:$W$180,$E$43:$E$44,ANNOUNCEMENTS!$J$2:$J$180,C167))</f>
        <v>0</v>
      </c>
      <c r="AM167" s="21">
        <f t="shared" si="69"/>
        <v>2</v>
      </c>
      <c r="AN167" s="21">
        <f t="shared" si="70"/>
        <v>1</v>
      </c>
      <c r="AO167" s="309" cm="1">
        <f t="array" ref="AO167">_xlfn.XLOOKUP(AO$159,CBIMPORT!$A$1:$AM$1,_xlfn.XLOOKUP($B167,CBIMPORT!$A$1:$A$40,CBIMPORT!$A$1:$AM$40))</f>
        <v>0</v>
      </c>
      <c r="AP167" s="308" cm="1">
        <f t="array" ref="AP167">_xlfn.XLOOKUP(AP$159,CBIMPORT!$A$1:$AM$1,_xlfn.XLOOKUP($B167,CBIMPORT!$A$1:$A$40,CBIMPORT!$A$1:$AM$40))</f>
        <v>3750</v>
      </c>
      <c r="AQ167" s="307" cm="1">
        <f t="array" ref="AQ167">_xlfn.XLOOKUP(AQ$159,CBIMPORT!$A$1:$AM$1,_xlfn.XLOOKUP($B167,CBIMPORT!$A$1:$A$40,CBIMPORT!$A$1:$AM$40))</f>
        <v>15118.8</v>
      </c>
    </row>
    <row r="168" spans="1:60" x14ac:dyDescent="0.35">
      <c r="A168" s="303" t="s">
        <v>2179</v>
      </c>
      <c r="B168" s="315" t="str">
        <f t="shared" si="62"/>
        <v>Cruise</v>
      </c>
      <c r="C168" s="314" t="str">
        <f t="shared" si="63"/>
        <v>Ridehailing</v>
      </c>
      <c r="D168" s="313">
        <f>COUNTIFS(ANNOUNCEMENTS!$E$2:$E$180,$B168,ANNOUNCEMENTS!$J$2:$J$180,$C168)</f>
        <v>1</v>
      </c>
      <c r="E168" s="312" t="str" cm="1">
        <f t="array" ref="E168">_xlfn.ARRAYTOTEXT(
IF(D168&gt;0,_xlfn._xlws.FILTER(CHOOSE({1},
ANNOUNCEMENTS!$K$1:$K$180),
(ANNOUNCEMENTS!$E$1:$E$180=B168)*((ANNOUNCEMENTS!$J$1:$J$180=$C168)))))</f>
        <v>GM;Microsoft</v>
      </c>
      <c r="F168" s="306">
        <f t="shared" si="64"/>
        <v>0</v>
      </c>
      <c r="G168" s="310" t="str" cm="1">
        <f t="array" ref="G168">_xlfn.XLOOKUP($A168,'Industries all mentioned partne'!$A$2:$A$58,_xlfn.XLOOKUP(G$159,'Industries all mentioned partne'!$A$2:$DM$2,'Industries all mentioned partne'!$A$2:$DM$58))</f>
        <v>OEM</v>
      </c>
      <c r="H168" s="91" cm="1">
        <f t="array" ref="H168">_xlfn.XLOOKUP($A168,'Industries all mentioned partne'!$A$2:$A$58,_xlfn.XLOOKUP(H$159,'Industries all mentioned partne'!$A$2:$DM$2,'Industries all mentioned partne'!$A$2:$DM$58))</f>
        <v>0.5</v>
      </c>
      <c r="I168" s="310" t="str" cm="1">
        <f t="array" ref="I168">_xlfn.XLOOKUP($A168,'Industries all mentioned partne'!$A$2:$A$58,_xlfn.XLOOKUP(I$159,'Industries all mentioned partne'!$A$2:$DM$2,'Industries all mentioned partne'!$A$2:$DM$58))</f>
        <v>OEM</v>
      </c>
      <c r="J168" s="91" cm="1">
        <f t="array" ref="J168">_xlfn.XLOOKUP($A168,'Industries all mentioned partne'!$A$2:$A$58,_xlfn.XLOOKUP(J$159,'Industries all mentioned partne'!$A$2:$DM$2,'Industries all mentioned partne'!$A$2:$DM$58))</f>
        <v>0.5</v>
      </c>
      <c r="K168" s="310" t="str" cm="1">
        <f t="array" ref="K168">_xlfn.XLOOKUP($A168,'Industries all mentioned partne'!$A$2:$A$58,_xlfn.XLOOKUP(K$159,'Industries all mentioned partne'!$A$2:$DM$2,'Industries all mentioned partne'!$A$2:$DM$58))</f>
        <v/>
      </c>
      <c r="L168" s="91" t="str" cm="1">
        <f t="array" ref="L168">_xlfn.XLOOKUP($A168,'Industries all mentioned partne'!$A$2:$A$58,_xlfn.XLOOKUP(L$159,'Industries all mentioned partne'!$A$2:$DM$2,'Industries all mentioned partne'!$A$2:$DM$58))</f>
        <v/>
      </c>
      <c r="M168" s="311" t="str" cm="1">
        <f t="array" ref="M168">_xlfn.XLOOKUP($M$159,CBIMPORT!$A$1:$AN$1,_xlfn.XLOOKUP(B168,CBIMPORT!$A$1:$A$171,CBIMPORT!$A$1:$AN$171))</f>
        <v>L1</v>
      </c>
      <c r="N168" s="309" cm="1">
        <f t="array" ref="N168">_xlfn.XLOOKUP(N$159,CBIMPORT!$A$1:$AM$1,_xlfn.XLOOKUP($B168,CBIMPORT!$A$1:$A$40,CBIMPORT!$A$1:$AM$40))</f>
        <v>390</v>
      </c>
      <c r="O168" s="21">
        <f>COUNTIFS(ANNOUNCEMENTS!$E$2:$E$180,$B168,ANNOUNCEMENTS!$Z$2:$Z$180,O$159,ANNOUNCEMENTS!$J$2:$J$180,$C168)+
COUNTIFS(ANNOUNCEMENTS!$E$2:$E$180,$B168,ANNOUNCEMENTS!$AB$2:$AB$180,O$159,ANNOUNCEMENTS!$J$2:$J$180,$C168)+
COUNTIFS(ANNOUNCEMENTS!$E$2:$E$180,$B168,ANNOUNCEMENTS!$AD$2:$AD$180,O$159,ANNOUNCEMENTS!$J$2:$J$180,$C168)</f>
        <v>1</v>
      </c>
      <c r="P168" s="21">
        <f>COUNTIFS(ANNOUNCEMENTS!$E$2:$E$180,$B168,ANNOUNCEMENTS!$Z$2:$Z$180,P$159,ANNOUNCEMENTS!$J$2:$J$180,$C168)+
COUNTIFS(ANNOUNCEMENTS!$E$2:$E$180,$B168,ANNOUNCEMENTS!$AB$2:$AB$180,P$159,ANNOUNCEMENTS!$J$2:$J$180,$C168)+
COUNTIFS(ANNOUNCEMENTS!$E$2:$E$180,$B168,ANNOUNCEMENTS!$AD$2:$AD$180,P$159,ANNOUNCEMENTS!$J$2:$J$180,$C168)</f>
        <v>0</v>
      </c>
      <c r="Q168" s="21">
        <f>COUNTIFS(ANNOUNCEMENTS!$E$2:$E$180,$B168,ANNOUNCEMENTS!$Z$2:$Z$180,Q$159,ANNOUNCEMENTS!$J$2:$J$180,$C168)+
COUNTIFS(ANNOUNCEMENTS!$E$2:$E$180,$B168,ANNOUNCEMENTS!$AB$2:$AB$180,Q$159,ANNOUNCEMENTS!$J$2:$J$180,$C168)+
COUNTIFS(ANNOUNCEMENTS!$E$2:$E$180,$B168,ANNOUNCEMENTS!$AD$2:$AD$180,Q$159,ANNOUNCEMENTS!$J$2:$J$180,$C168)</f>
        <v>0</v>
      </c>
      <c r="R168" s="21">
        <f>COUNTIFS(ANNOUNCEMENTS!$E$2:$E$180,$B168,ANNOUNCEMENTS!$Z$2:$Z$180,R$159,ANNOUNCEMENTS!$J$2:$J$180,$C168)+
COUNTIFS(ANNOUNCEMENTS!$E$2:$E$180,$B168,ANNOUNCEMENTS!$AB$2:$AB$180,R$159,ANNOUNCEMENTS!$J$2:$J$180,$C168)+
COUNTIFS(ANNOUNCEMENTS!$E$2:$E$180,$B168,ANNOUNCEMENTS!$AD$2:$AD$180,R$159,ANNOUNCEMENTS!$J$2:$J$180,$C168)</f>
        <v>0</v>
      </c>
      <c r="S168" s="21">
        <f>COUNTIFS(ANNOUNCEMENTS!$E$2:$E$180,$B168,ANNOUNCEMENTS!$Z$2:$Z$180,S$159,ANNOUNCEMENTS!$J$2:$J$180,$C168)+
COUNTIFS(ANNOUNCEMENTS!$E$2:$E$180,$B168,ANNOUNCEMENTS!$AB$2:$AB$180,S$159,ANNOUNCEMENTS!$J$2:$J$180,$C168)+
COUNTIFS(ANNOUNCEMENTS!$E$2:$E$180,$B168,ANNOUNCEMENTS!$AD$2:$AD$180,S$159,ANNOUNCEMENTS!$J$2:$J$180,$C168)</f>
        <v>0</v>
      </c>
      <c r="T168" s="21">
        <f>COUNTIFS(ANNOUNCEMENTS!$E$2:$E$180,$B168,ANNOUNCEMENTS!$Z$2:$Z$180,T$159,ANNOUNCEMENTS!$J$2:$J$180,$C168)+
COUNTIFS(ANNOUNCEMENTS!$E$2:$E$180,$B168,ANNOUNCEMENTS!$AB$2:$AB$180,T$159,ANNOUNCEMENTS!$J$2:$J$180,$C168)+
COUNTIFS(ANNOUNCEMENTS!$E$2:$E$180,$B168,ANNOUNCEMENTS!$AD$2:$AD$180,T$159,ANNOUNCEMENTS!$J$2:$J$180,$C168)</f>
        <v>0</v>
      </c>
      <c r="U168" s="21">
        <f>COUNTIFS(ANNOUNCEMENTS!$E$2:$E$180,$B168,ANNOUNCEMENTS!$Z$2:$Z$180,U$159,ANNOUNCEMENTS!$J$2:$J$180,$C168)+
COUNTIFS(ANNOUNCEMENTS!$E$2:$E$180,$B168,ANNOUNCEMENTS!$AB$2:$AB$180,U$159,ANNOUNCEMENTS!$J$2:$J$180,$C168)+
COUNTIFS(ANNOUNCEMENTS!$E$2:$E$180,$B168,ANNOUNCEMENTS!$AD$2:$AD$180,U$159,ANNOUNCEMENTS!$J$2:$J$180,$C168)</f>
        <v>0</v>
      </c>
      <c r="V168" s="21">
        <f>COUNTIFS(ANNOUNCEMENTS!$E$2:$E$180,$B168,ANNOUNCEMENTS!$Z$2:$Z$180,V$159,ANNOUNCEMENTS!$J$2:$J$180,$C168)+
COUNTIFS(ANNOUNCEMENTS!$E$2:$E$180,$B168,ANNOUNCEMENTS!$AB$2:$AB$180,V$159,ANNOUNCEMENTS!$J$2:$J$180,$C168)+
COUNTIFS(ANNOUNCEMENTS!$E$2:$E$180,$B168,ANNOUNCEMENTS!$AD$2:$AD$180,V$159,ANNOUNCEMENTS!$J$2:$J$180,$C168)</f>
        <v>0</v>
      </c>
      <c r="W168" s="21">
        <f>COUNTIFS(ANNOUNCEMENTS!$E$2:$E$180,$B168,ANNOUNCEMENTS!$Z$2:$Z$180,W$159,ANNOUNCEMENTS!$J$2:$J$180,$C168)+
COUNTIFS(ANNOUNCEMENTS!$E$2:$E$180,$B168,ANNOUNCEMENTS!$AB$2:$AB$180,W$159,ANNOUNCEMENTS!$J$2:$J$180,$C168)+
COUNTIFS(ANNOUNCEMENTS!$E$2:$E$180,$B168,ANNOUNCEMENTS!$AD$2:$AD$180,W$159,ANNOUNCEMENTS!$J$2:$J$180,$C168)</f>
        <v>0</v>
      </c>
      <c r="X168" s="21">
        <f>COUNTIFS(ANNOUNCEMENTS!$E$2:$E$180,$B168,ANNOUNCEMENTS!$W$2:$W$180,X$159,ANNOUNCEMENTS!$J$2:$J$180,$C168)</f>
        <v>0</v>
      </c>
      <c r="Y168" s="21">
        <f>COUNTIFS(ANNOUNCEMENTS!$E$2:$E$180,$B168,ANNOUNCEMENTS!$W$2:$W$180,Y$159,ANNOUNCEMENTS!$J$2:$J$180,$C168)</f>
        <v>0</v>
      </c>
      <c r="Z168" s="21">
        <f>COUNTIFS(ANNOUNCEMENTS!$E$2:$E$180,$B168,ANNOUNCEMENTS!$W$2:$W$180,Z$159,ANNOUNCEMENTS!$J$2:$J$180,$C168)</f>
        <v>0</v>
      </c>
      <c r="AA168" s="21">
        <f>COUNTIFS(ANNOUNCEMENTS!$E$2:$E$180,$B168,ANNOUNCEMENTS!$W$2:$W$180,AA$159,ANNOUNCEMENTS!$J$2:$J$180,$C168)</f>
        <v>0</v>
      </c>
      <c r="AB168" s="21">
        <f>COUNTIFS(ANNOUNCEMENTS!$E$2:$E$180,$B168,ANNOUNCEMENTS!$W$2:$W$180,AB$159,ANNOUNCEMENTS!$J$2:$J$180,$C168)</f>
        <v>0</v>
      </c>
      <c r="AC168" s="21">
        <f>COUNTIFS(ANNOUNCEMENTS!$E$2:$E$180,$B168,ANNOUNCEMENTS!$W$2:$W$180,AC$159,ANNOUNCEMENTS!$J$2:$J$180,$C168)</f>
        <v>1</v>
      </c>
      <c r="AD168" s="21">
        <f>COUNTIFS(ANNOUNCEMENTS!$E$2:$E$180,$B168,ANNOUNCEMENTS!$W$2:$W$180,AD$159,ANNOUNCEMENTS!$J$2:$J$180,$C168)</f>
        <v>0</v>
      </c>
      <c r="AE168" s="311">
        <f t="shared" si="65"/>
        <v>1</v>
      </c>
      <c r="AF168" s="311">
        <f t="shared" si="66"/>
        <v>0</v>
      </c>
      <c r="AG168" s="311">
        <f t="shared" si="67"/>
        <v>0</v>
      </c>
      <c r="AH168" s="311">
        <f t="shared" si="68"/>
        <v>0</v>
      </c>
      <c r="AI168" s="21">
        <f>COUNTIFS(ANNOUNCEMENTS!$E$2:$E$180,B168,ANNOUNCEMENTS!$Z$2:$Z$180,$J$37,ANNOUNCEMENTS!$J$2:$J$180,C168)+
COUNTIFS(ANNOUNCEMENTS!$E$2:$E$180,B168,ANNOUNCEMENTS!$Z$2:$Z$180,$L$37,ANNOUNCEMENTS!$J$2:$J$180,C168)+
COUNTIFS(ANNOUNCEMENTS!$E$2:$E$180,B168,ANNOUNCEMENTS!$AB$2:$AB$180,$J$37,ANNOUNCEMENTS!$J$2:$J$180,C168)+
COUNTIFS(ANNOUNCEMENTS!$E$2:$E$180,B168,ANNOUNCEMENTS!$AB$2:$AB$180,$L$37,ANNOUNCEMENTS!$J$2:$J$180,C168)+
COUNTIFS(ANNOUNCEMENTS!$E$2:$E$180,B168,ANNOUNCEMENTS!$AD$2:$AD$180,$J$37,ANNOUNCEMENTS!$J$2:$J$180,C168)+
COUNTIFS(ANNOUNCEMENTS!$E$2:$E$180,B168,ANNOUNCEMENTS!$AD$2:$AD$180,$L$37,ANNOUNCEMENTS!$J$2:$J$180,C168)</f>
        <v>0</v>
      </c>
      <c r="AJ168" s="21">
        <f>COUNTIFS(ANNOUNCEMENTS!$E$2:$E$180,B168,ANNOUNCEMENTS!$Z$2:$Z$180,$H$37,ANNOUNCEMENTS!$J$2:$J$180,C168)+
COUNTIFS(ANNOUNCEMENTS!$E$2:$E$180,B168,ANNOUNCEMENTS!$Z$2:$Z$180,$I$37,ANNOUNCEMENTS!$J$2:$J$180,C168)+
COUNTIFS(ANNOUNCEMENTS!$E$2:$E$180,B168,ANNOUNCEMENTS!$Z$2:$Z$180,$P$37,ANNOUNCEMENTS!$J$2:$J$180,C168)+
COUNTIFS(ANNOUNCEMENTS!$E$2:$E$180,B168,ANNOUNCEMENTS!$AB$2:$AB$180,$H$37,ANNOUNCEMENTS!$J$2:$J$180,C168)+
COUNTIFS(ANNOUNCEMENTS!$E$2:$E$180,B168,ANNOUNCEMENTS!$AB$2:$AB$180,$I$37,ANNOUNCEMENTS!$J$2:$J$180,C168)+
COUNTIFS(ANNOUNCEMENTS!$E$2:$E$180,B168,ANNOUNCEMENTS!$AB$2:$AB$180,$P$37,ANNOUNCEMENTS!$J$2:$J$180,C168)+
COUNTIFS(ANNOUNCEMENTS!$E$2:$E$180,B168,ANNOUNCEMENTS!$AD$2:$AD$180,$H$37,ANNOUNCEMENTS!$J$2:$J$180,C168)+
COUNTIFS(ANNOUNCEMENTS!$E$2:$E$180,B168,ANNOUNCEMENTS!$AD$2:$AD$180,$I$37,ANNOUNCEMENTS!$J$2:$J$180,C168)+
COUNTIFS(ANNOUNCEMENTS!$E$2:$E$180,B168,ANNOUNCEMENTS!$AD$2:$AD$180,$P$37,ANNOUNCEMENTS!$J$2:$J$180,C168)</f>
        <v>1</v>
      </c>
      <c r="AK168" s="310" cm="1">
        <f t="array" ref="AK168">SUM(COUNTIFS(ANNOUNCEMENTS!$E$2:$E$180,B168,ANNOUNCEMENTS!$W$2:$W$180,$E$38:$E$40,ANNOUNCEMENTS!$J$2:$J$180,C168))</f>
        <v>0</v>
      </c>
      <c r="AL168" s="21" cm="1">
        <f t="array" ref="AL168">SUM(COUNTIFS(ANNOUNCEMENTS!$E$2:$E$180,B168,ANNOUNCEMENTS!$W$2:$W$180,$E$43:$E$44,ANNOUNCEMENTS!$J$2:$J$180,C168))</f>
        <v>1</v>
      </c>
      <c r="AM168" s="21">
        <f t="shared" si="69"/>
        <v>1</v>
      </c>
      <c r="AN168" s="21">
        <f t="shared" si="70"/>
        <v>0</v>
      </c>
      <c r="AO168" s="309" cm="1">
        <f t="array" ref="AO168">_xlfn.XLOOKUP(AO$159,CBIMPORT!$A$1:$AM$1,_xlfn.XLOOKUP($B168,CBIMPORT!$A$1:$A$40,CBIMPORT!$A$1:$AM$40))</f>
        <v>0</v>
      </c>
      <c r="AP168" s="308" cm="1">
        <f t="array" ref="AP168">_xlfn.XLOOKUP(AP$159,CBIMPORT!$A$1:$AM$1,_xlfn.XLOOKUP($B168,CBIMPORT!$A$1:$A$40,CBIMPORT!$A$1:$AM$40))</f>
        <v>3750</v>
      </c>
      <c r="AQ168" s="307" cm="1">
        <f t="array" ref="AQ168">_xlfn.XLOOKUP(AQ$159,CBIMPORT!$A$1:$AM$1,_xlfn.XLOOKUP($B168,CBIMPORT!$A$1:$A$40,CBIMPORT!$A$1:$AM$40))</f>
        <v>15118.8</v>
      </c>
    </row>
    <row r="169" spans="1:60" hidden="1" x14ac:dyDescent="0.35">
      <c r="A169" s="303" t="s">
        <v>2160</v>
      </c>
      <c r="B169" s="315" t="str">
        <f t="shared" si="62"/>
        <v>EasyMile</v>
      </c>
      <c r="C169" s="314" t="str">
        <f t="shared" si="63"/>
        <v>Other</v>
      </c>
      <c r="D169" s="313">
        <f>COUNTIFS(ANNOUNCEMENTS!$E$2:$E$180,$B169,ANNOUNCEMENTS!$J$2:$J$180,$C169)</f>
        <v>1</v>
      </c>
      <c r="E169" s="312" t="str" cm="1">
        <f t="array" ref="E169">_xlfn.ARRAYTOTEXT(
IF(D169&gt;0,_xlfn._xlws.FILTER(CHOOSE({1},
ANNOUNCEMENTS!$K$1:$K$180),
(ANNOUNCEMENTS!$E$1:$E$180=B169)*((ANNOUNCEMENTS!$J$1:$J$180=$C169)))))</f>
        <v/>
      </c>
      <c r="F169" s="306">
        <f t="shared" si="64"/>
        <v>0</v>
      </c>
      <c r="G169" s="376" t="s">
        <v>277</v>
      </c>
      <c r="H169" s="378" t="s">
        <v>277</v>
      </c>
      <c r="I169" s="376" t="s">
        <v>277</v>
      </c>
      <c r="J169" s="378" t="s">
        <v>277</v>
      </c>
      <c r="K169" s="376" t="s">
        <v>277</v>
      </c>
      <c r="L169" s="378" t="s">
        <v>277</v>
      </c>
      <c r="M169" s="311" t="str" cm="1">
        <f t="array" ref="M169">_xlfn.XLOOKUP($M$159,CBIMPORT!$A$1:$AN$1,_xlfn.XLOOKUP(B169,CBIMPORT!$A$1:$A$171,CBIMPORT!$A$1:$AN$171))</f>
        <v>L2</v>
      </c>
      <c r="N169" s="309" cm="1">
        <f t="array" ref="N169">_xlfn.XLOOKUP(N$159,CBIMPORT!$A$1:$AM$1,_xlfn.XLOOKUP($B169,CBIMPORT!$A$1:$A$40,CBIMPORT!$A$1:$AM$40))</f>
        <v>3</v>
      </c>
      <c r="O169" s="21">
        <f>COUNTIFS(ANNOUNCEMENTS!$E$2:$E$180,$B169,ANNOUNCEMENTS!$Z$2:$Z$180,O$159,ANNOUNCEMENTS!$J$2:$J$180,$C169)+
COUNTIFS(ANNOUNCEMENTS!$E$2:$E$180,$B169,ANNOUNCEMENTS!$AB$2:$AB$180,O$159,ANNOUNCEMENTS!$J$2:$J$180,$C169)+
COUNTIFS(ANNOUNCEMENTS!$E$2:$E$180,$B169,ANNOUNCEMENTS!$AD$2:$AD$180,O$159,ANNOUNCEMENTS!$J$2:$J$180,$C169)</f>
        <v>0</v>
      </c>
      <c r="P169" s="21">
        <f>COUNTIFS(ANNOUNCEMENTS!$E$2:$E$180,$B169,ANNOUNCEMENTS!$Z$2:$Z$180,P$159,ANNOUNCEMENTS!$J$2:$J$180,$C169)+
COUNTIFS(ANNOUNCEMENTS!$E$2:$E$180,$B169,ANNOUNCEMENTS!$AB$2:$AB$180,P$159,ANNOUNCEMENTS!$J$2:$J$180,$C169)+
COUNTIFS(ANNOUNCEMENTS!$E$2:$E$180,$B169,ANNOUNCEMENTS!$AD$2:$AD$180,P$159,ANNOUNCEMENTS!$J$2:$J$180,$C169)</f>
        <v>0</v>
      </c>
      <c r="Q169" s="21">
        <f>COUNTIFS(ANNOUNCEMENTS!$E$2:$E$180,$B169,ANNOUNCEMENTS!$Z$2:$Z$180,Q$159,ANNOUNCEMENTS!$J$2:$J$180,$C169)+
COUNTIFS(ANNOUNCEMENTS!$E$2:$E$180,$B169,ANNOUNCEMENTS!$AB$2:$AB$180,Q$159,ANNOUNCEMENTS!$J$2:$J$180,$C169)+
COUNTIFS(ANNOUNCEMENTS!$E$2:$E$180,$B169,ANNOUNCEMENTS!$AD$2:$AD$180,Q$159,ANNOUNCEMENTS!$J$2:$J$180,$C169)</f>
        <v>0</v>
      </c>
      <c r="R169" s="21">
        <f>COUNTIFS(ANNOUNCEMENTS!$E$2:$E$180,$B169,ANNOUNCEMENTS!$Z$2:$Z$180,R$159,ANNOUNCEMENTS!$J$2:$J$180,$C169)+
COUNTIFS(ANNOUNCEMENTS!$E$2:$E$180,$B169,ANNOUNCEMENTS!$AB$2:$AB$180,R$159,ANNOUNCEMENTS!$J$2:$J$180,$C169)+
COUNTIFS(ANNOUNCEMENTS!$E$2:$E$180,$B169,ANNOUNCEMENTS!$AD$2:$AD$180,R$159,ANNOUNCEMENTS!$J$2:$J$180,$C169)</f>
        <v>0</v>
      </c>
      <c r="S169" s="21">
        <f>COUNTIFS(ANNOUNCEMENTS!$E$2:$E$180,$B169,ANNOUNCEMENTS!$Z$2:$Z$180,S$159,ANNOUNCEMENTS!$J$2:$J$180,$C169)+
COUNTIFS(ANNOUNCEMENTS!$E$2:$E$180,$B169,ANNOUNCEMENTS!$AB$2:$AB$180,S$159,ANNOUNCEMENTS!$J$2:$J$180,$C169)+
COUNTIFS(ANNOUNCEMENTS!$E$2:$E$180,$B169,ANNOUNCEMENTS!$AD$2:$AD$180,S$159,ANNOUNCEMENTS!$J$2:$J$180,$C169)</f>
        <v>0</v>
      </c>
      <c r="T169" s="21">
        <f>COUNTIFS(ANNOUNCEMENTS!$E$2:$E$180,$B169,ANNOUNCEMENTS!$Z$2:$Z$180,T$159,ANNOUNCEMENTS!$J$2:$J$180,$C169)+
COUNTIFS(ANNOUNCEMENTS!$E$2:$E$180,$B169,ANNOUNCEMENTS!$AB$2:$AB$180,T$159,ANNOUNCEMENTS!$J$2:$J$180,$C169)+
COUNTIFS(ANNOUNCEMENTS!$E$2:$E$180,$B169,ANNOUNCEMENTS!$AD$2:$AD$180,T$159,ANNOUNCEMENTS!$J$2:$J$180,$C169)</f>
        <v>1</v>
      </c>
      <c r="U169" s="21">
        <f>COUNTIFS(ANNOUNCEMENTS!$E$2:$E$180,$B169,ANNOUNCEMENTS!$Z$2:$Z$180,U$159,ANNOUNCEMENTS!$J$2:$J$180,$C169)+
COUNTIFS(ANNOUNCEMENTS!$E$2:$E$180,$B169,ANNOUNCEMENTS!$AB$2:$AB$180,U$159,ANNOUNCEMENTS!$J$2:$J$180,$C169)+
COUNTIFS(ANNOUNCEMENTS!$E$2:$E$180,$B169,ANNOUNCEMENTS!$AD$2:$AD$180,U$159,ANNOUNCEMENTS!$J$2:$J$180,$C169)</f>
        <v>0</v>
      </c>
      <c r="V169" s="21">
        <f>COUNTIFS(ANNOUNCEMENTS!$E$2:$E$180,$B169,ANNOUNCEMENTS!$Z$2:$Z$180,V$159,ANNOUNCEMENTS!$J$2:$J$180,$C169)+
COUNTIFS(ANNOUNCEMENTS!$E$2:$E$180,$B169,ANNOUNCEMENTS!$AB$2:$AB$180,V$159,ANNOUNCEMENTS!$J$2:$J$180,$C169)+
COUNTIFS(ANNOUNCEMENTS!$E$2:$E$180,$B169,ANNOUNCEMENTS!$AD$2:$AD$180,V$159,ANNOUNCEMENTS!$J$2:$J$180,$C169)</f>
        <v>0</v>
      </c>
      <c r="W169" s="21">
        <f>COUNTIFS(ANNOUNCEMENTS!$E$2:$E$180,$B169,ANNOUNCEMENTS!$Z$2:$Z$180,W$159,ANNOUNCEMENTS!$J$2:$J$180,$C169)+
COUNTIFS(ANNOUNCEMENTS!$E$2:$E$180,$B169,ANNOUNCEMENTS!$AB$2:$AB$180,W$159,ANNOUNCEMENTS!$J$2:$J$180,$C169)+
COUNTIFS(ANNOUNCEMENTS!$E$2:$E$180,$B169,ANNOUNCEMENTS!$AD$2:$AD$180,W$159,ANNOUNCEMENTS!$J$2:$J$180,$C169)</f>
        <v>0</v>
      </c>
      <c r="X169" s="21">
        <f>COUNTIFS(ANNOUNCEMENTS!$E$2:$E$180,$B169,ANNOUNCEMENTS!$W$2:$W$180,X$159,ANNOUNCEMENTS!$J$2:$J$180,$C169)</f>
        <v>1</v>
      </c>
      <c r="Y169" s="21">
        <f>COUNTIFS(ANNOUNCEMENTS!$E$2:$E$180,$B169,ANNOUNCEMENTS!$W$2:$W$180,Y$159,ANNOUNCEMENTS!$J$2:$J$180,$C169)</f>
        <v>0</v>
      </c>
      <c r="Z169" s="21">
        <f>COUNTIFS(ANNOUNCEMENTS!$E$2:$E$180,$B169,ANNOUNCEMENTS!$W$2:$W$180,Z$159,ANNOUNCEMENTS!$J$2:$J$180,$C169)</f>
        <v>0</v>
      </c>
      <c r="AA169" s="21">
        <f>COUNTIFS(ANNOUNCEMENTS!$E$2:$E$180,$B169,ANNOUNCEMENTS!$W$2:$W$180,AA$159,ANNOUNCEMENTS!$J$2:$J$180,$C169)</f>
        <v>0</v>
      </c>
      <c r="AB169" s="21">
        <f>COUNTIFS(ANNOUNCEMENTS!$E$2:$E$180,$B169,ANNOUNCEMENTS!$W$2:$W$180,AB$159,ANNOUNCEMENTS!$J$2:$J$180,$C169)</f>
        <v>0</v>
      </c>
      <c r="AC169" s="21">
        <f>COUNTIFS(ANNOUNCEMENTS!$E$2:$E$180,$B169,ANNOUNCEMENTS!$W$2:$W$180,AC$159,ANNOUNCEMENTS!$J$2:$J$180,$C169)</f>
        <v>0</v>
      </c>
      <c r="AD169" s="21">
        <f>COUNTIFS(ANNOUNCEMENTS!$E$2:$E$180,$B169,ANNOUNCEMENTS!$W$2:$W$180,AD$159,ANNOUNCEMENTS!$J$2:$J$180,$C169)</f>
        <v>0</v>
      </c>
      <c r="AE169" s="311">
        <f t="shared" si="65"/>
        <v>0</v>
      </c>
      <c r="AF169" s="311">
        <f t="shared" si="66"/>
        <v>1</v>
      </c>
      <c r="AG169" s="311">
        <f t="shared" si="67"/>
        <v>0</v>
      </c>
      <c r="AH169" s="311">
        <f t="shared" si="68"/>
        <v>0</v>
      </c>
      <c r="AI169" s="21">
        <f>COUNTIFS(ANNOUNCEMENTS!$E$2:$E$180,B169,ANNOUNCEMENTS!$Z$2:$Z$180,$J$37,ANNOUNCEMENTS!$J$2:$J$180,C169)+
COUNTIFS(ANNOUNCEMENTS!$E$2:$E$180,B169,ANNOUNCEMENTS!$Z$2:$Z$180,$L$37,ANNOUNCEMENTS!$J$2:$J$180,C169)+
COUNTIFS(ANNOUNCEMENTS!$E$2:$E$180,B169,ANNOUNCEMENTS!$AB$2:$AB$180,$J$37,ANNOUNCEMENTS!$J$2:$J$180,C169)+
COUNTIFS(ANNOUNCEMENTS!$E$2:$E$180,B169,ANNOUNCEMENTS!$AB$2:$AB$180,$L$37,ANNOUNCEMENTS!$J$2:$J$180,C169)+
COUNTIFS(ANNOUNCEMENTS!$E$2:$E$180,B169,ANNOUNCEMENTS!$AD$2:$AD$180,$J$37,ANNOUNCEMENTS!$J$2:$J$180,C169)+
COUNTIFS(ANNOUNCEMENTS!$E$2:$E$180,B169,ANNOUNCEMENTS!$AD$2:$AD$180,$L$37,ANNOUNCEMENTS!$J$2:$J$180,C169)</f>
        <v>0</v>
      </c>
      <c r="AJ169" s="21">
        <f>COUNTIFS(ANNOUNCEMENTS!$E$2:$E$180,B169,ANNOUNCEMENTS!$Z$2:$Z$180,$H$37,ANNOUNCEMENTS!$J$2:$J$180,C169)+
COUNTIFS(ANNOUNCEMENTS!$E$2:$E$180,B169,ANNOUNCEMENTS!$Z$2:$Z$180,$I$37,ANNOUNCEMENTS!$J$2:$J$180,C169)+
COUNTIFS(ANNOUNCEMENTS!$E$2:$E$180,B169,ANNOUNCEMENTS!$Z$2:$Z$180,$P$37,ANNOUNCEMENTS!$J$2:$J$180,C169)+
COUNTIFS(ANNOUNCEMENTS!$E$2:$E$180,B169,ANNOUNCEMENTS!$AB$2:$AB$180,$H$37,ANNOUNCEMENTS!$J$2:$J$180,C169)+
COUNTIFS(ANNOUNCEMENTS!$E$2:$E$180,B169,ANNOUNCEMENTS!$AB$2:$AB$180,$I$37,ANNOUNCEMENTS!$J$2:$J$180,C169)+
COUNTIFS(ANNOUNCEMENTS!$E$2:$E$180,B169,ANNOUNCEMENTS!$AB$2:$AB$180,$P$37,ANNOUNCEMENTS!$J$2:$J$180,C169)+
COUNTIFS(ANNOUNCEMENTS!$E$2:$E$180,B169,ANNOUNCEMENTS!$AD$2:$AD$180,$H$37,ANNOUNCEMENTS!$J$2:$J$180,C169)+
COUNTIFS(ANNOUNCEMENTS!$E$2:$E$180,B169,ANNOUNCEMENTS!$AD$2:$AD$180,$I$37,ANNOUNCEMENTS!$J$2:$J$180,C169)+
COUNTIFS(ANNOUNCEMENTS!$E$2:$E$180,B169,ANNOUNCEMENTS!$AD$2:$AD$180,$P$37,ANNOUNCEMENTS!$J$2:$J$180,C169)</f>
        <v>0</v>
      </c>
      <c r="AK169" s="310" cm="1">
        <f t="array" ref="AK169">SUM(COUNTIFS(ANNOUNCEMENTS!$E$2:$E$180,B169,ANNOUNCEMENTS!$W$2:$W$180,$E$38:$E$40,ANNOUNCEMENTS!$J$2:$J$180,C169))</f>
        <v>1</v>
      </c>
      <c r="AL169" s="21" cm="1">
        <f t="array" ref="AL169">SUM(COUNTIFS(ANNOUNCEMENTS!$E$2:$E$180,B169,ANNOUNCEMENTS!$W$2:$W$180,$E$43:$E$44,ANNOUNCEMENTS!$J$2:$J$180,C169))</f>
        <v>0</v>
      </c>
      <c r="AM169" s="21">
        <f t="shared" si="69"/>
        <v>1</v>
      </c>
      <c r="AN169" s="21">
        <f t="shared" si="70"/>
        <v>0</v>
      </c>
      <c r="AO169" s="309" cm="1">
        <f t="array" ref="AO169">_xlfn.XLOOKUP(AO$159,CBIMPORT!$A$1:$AM$1,_xlfn.XLOOKUP($B169,CBIMPORT!$A$1:$A$40,CBIMPORT!$A$1:$AM$40))</f>
        <v>0</v>
      </c>
      <c r="AP169" s="308" cm="1">
        <f t="array" ref="AP169">_xlfn.XLOOKUP(AP$159,CBIMPORT!$A$1:$AM$1,_xlfn.XLOOKUP($B169,CBIMPORT!$A$1:$A$40,CBIMPORT!$A$1:$AM$40))</f>
        <v>250</v>
      </c>
      <c r="AQ169" s="307" cm="1">
        <f t="array" ref="AQ169">_xlfn.XLOOKUP(AQ$159,CBIMPORT!$A$1:$AM$1,_xlfn.XLOOKUP($B169,CBIMPORT!$A$1:$A$40,CBIMPORT!$A$1:$AM$40))</f>
        <v>82.516926609999999</v>
      </c>
    </row>
    <row r="170" spans="1:60" x14ac:dyDescent="0.35">
      <c r="A170" s="303" t="s">
        <v>2180</v>
      </c>
      <c r="B170" s="315" t="str">
        <f t="shared" si="62"/>
        <v>EasyMile</v>
      </c>
      <c r="C170" s="314" t="str">
        <f t="shared" si="63"/>
        <v>Ridepooling</v>
      </c>
      <c r="D170" s="313">
        <f>COUNTIFS(ANNOUNCEMENTS!$E$2:$E$180,$B170,ANNOUNCEMENTS!$J$2:$J$180,$C170)</f>
        <v>6</v>
      </c>
      <c r="E170" s="312" t="str" cm="1">
        <f t="array" ref="E170">_xlfn.ARRAYTOTEXT(
IF(D170&gt;0,_xlfn._xlws.FILTER(CHOOSE({1},
ANNOUNCEMENTS!$K$1:$K$180),
(ANNOUNCEMENTS!$E$1:$E$180=B170)*((ANNOUNCEMENTS!$J$1:$J$180=$C170)))))</f>
        <v>TrustInSoft; Continental; Sono Motors; Phoenix Motorcars; Continental;Shanghai Jiading Industrial Zone; Kalray</v>
      </c>
      <c r="F170" s="306">
        <f t="shared" si="64"/>
        <v>5</v>
      </c>
      <c r="G170" s="310" t="str" cm="1">
        <f t="array" ref="G170">_xlfn.XLOOKUP($A170,'Industries all mentioned partne'!$A$2:$A$58,_xlfn.XLOOKUP(G$159,'Industries all mentioned partne'!$A$2:$DM$2,'Industries all mentioned partne'!$A$2:$DM$58))</f>
        <v>Automotive Supplier</v>
      </c>
      <c r="H170" s="91" cm="1">
        <f t="array" ref="H170">_xlfn.XLOOKUP($A170,'Industries all mentioned partne'!$A$2:$A$58,_xlfn.XLOOKUP(H$159,'Industries all mentioned partne'!$A$2:$DM$2,'Industries all mentioned partne'!$A$2:$DM$58))</f>
        <v>0.2857142857142857</v>
      </c>
      <c r="I170" s="310" t="str" cm="1">
        <f t="array" ref="I170">_xlfn.XLOOKUP($A170,'Industries all mentioned partne'!$A$2:$A$58,_xlfn.XLOOKUP(I$159,'Industries all mentioned partne'!$A$2:$DM$2,'Industries all mentioned partne'!$A$2:$DM$58))</f>
        <v>OEM Commercial Vehicles</v>
      </c>
      <c r="J170" s="91" cm="1">
        <f t="array" ref="J170">_xlfn.XLOOKUP($A170,'Industries all mentioned partne'!$A$2:$A$58,_xlfn.XLOOKUP(J$159,'Industries all mentioned partne'!$A$2:$DM$2,'Industries all mentioned partne'!$A$2:$DM$58))</f>
        <v>0.14285714285714285</v>
      </c>
      <c r="K170" s="310" t="str" cm="1">
        <f t="array" ref="K170">_xlfn.XLOOKUP($A170,'Industries all mentioned partne'!$A$2:$A$58,_xlfn.XLOOKUP(K$159,'Industries all mentioned partne'!$A$2:$DM$2,'Industries all mentioned partne'!$A$2:$DM$58))</f>
        <v>OEM Commercial Vehicles</v>
      </c>
      <c r="L170" s="91" cm="1">
        <f t="array" ref="L170">_xlfn.XLOOKUP($A170,'Industries all mentioned partne'!$A$2:$A$58,_xlfn.XLOOKUP(L$159,'Industries all mentioned partne'!$A$2:$DM$2,'Industries all mentioned partne'!$A$2:$DM$58))</f>
        <v>0.14285714285714285</v>
      </c>
      <c r="M170" s="311" t="str" cm="1">
        <f t="array" ref="M170">_xlfn.XLOOKUP($M$159,CBIMPORT!$A$1:$AN$1,_xlfn.XLOOKUP(B170,CBIMPORT!$A$1:$A$171,CBIMPORT!$A$1:$AN$171))</f>
        <v>L2</v>
      </c>
      <c r="N170" s="309" cm="1">
        <f t="array" ref="N170">_xlfn.XLOOKUP(N$159,CBIMPORT!$A$1:$AM$1,_xlfn.XLOOKUP($B170,CBIMPORT!$A$1:$A$40,CBIMPORT!$A$1:$AM$40))</f>
        <v>3</v>
      </c>
      <c r="O170" s="21">
        <f>COUNTIFS(ANNOUNCEMENTS!$E$2:$E$180,$B170,ANNOUNCEMENTS!$Z$2:$Z$180,O$159,ANNOUNCEMENTS!$J$2:$J$180,$C170)+
COUNTIFS(ANNOUNCEMENTS!$E$2:$E$180,$B170,ANNOUNCEMENTS!$AB$2:$AB$180,O$159,ANNOUNCEMENTS!$J$2:$J$180,$C170)+
COUNTIFS(ANNOUNCEMENTS!$E$2:$E$180,$B170,ANNOUNCEMENTS!$AD$2:$AD$180,O$159,ANNOUNCEMENTS!$J$2:$J$180,$C170)</f>
        <v>2</v>
      </c>
      <c r="P170" s="21">
        <f>COUNTIFS(ANNOUNCEMENTS!$E$2:$E$180,$B170,ANNOUNCEMENTS!$Z$2:$Z$180,P$159,ANNOUNCEMENTS!$J$2:$J$180,$C170)+
COUNTIFS(ANNOUNCEMENTS!$E$2:$E$180,$B170,ANNOUNCEMENTS!$AB$2:$AB$180,P$159,ANNOUNCEMENTS!$J$2:$J$180,$C170)+
COUNTIFS(ANNOUNCEMENTS!$E$2:$E$180,$B170,ANNOUNCEMENTS!$AD$2:$AD$180,P$159,ANNOUNCEMENTS!$J$2:$J$180,$C170)</f>
        <v>0</v>
      </c>
      <c r="Q170" s="21">
        <f>COUNTIFS(ANNOUNCEMENTS!$E$2:$E$180,$B170,ANNOUNCEMENTS!$Z$2:$Z$180,Q$159,ANNOUNCEMENTS!$J$2:$J$180,$C170)+
COUNTIFS(ANNOUNCEMENTS!$E$2:$E$180,$B170,ANNOUNCEMENTS!$AB$2:$AB$180,Q$159,ANNOUNCEMENTS!$J$2:$J$180,$C170)+
COUNTIFS(ANNOUNCEMENTS!$E$2:$E$180,$B170,ANNOUNCEMENTS!$AD$2:$AD$180,Q$159,ANNOUNCEMENTS!$J$2:$J$180,$C170)</f>
        <v>0</v>
      </c>
      <c r="R170" s="21">
        <f>COUNTIFS(ANNOUNCEMENTS!$E$2:$E$180,$B170,ANNOUNCEMENTS!$Z$2:$Z$180,R$159,ANNOUNCEMENTS!$J$2:$J$180,$C170)+
COUNTIFS(ANNOUNCEMENTS!$E$2:$E$180,$B170,ANNOUNCEMENTS!$AB$2:$AB$180,R$159,ANNOUNCEMENTS!$J$2:$J$180,$C170)+
COUNTIFS(ANNOUNCEMENTS!$E$2:$E$180,$B170,ANNOUNCEMENTS!$AD$2:$AD$180,R$159,ANNOUNCEMENTS!$J$2:$J$180,$C170)</f>
        <v>0</v>
      </c>
      <c r="S170" s="21">
        <f>COUNTIFS(ANNOUNCEMENTS!$E$2:$E$180,$B170,ANNOUNCEMENTS!$Z$2:$Z$180,S$159,ANNOUNCEMENTS!$J$2:$J$180,$C170)+
COUNTIFS(ANNOUNCEMENTS!$E$2:$E$180,$B170,ANNOUNCEMENTS!$AB$2:$AB$180,S$159,ANNOUNCEMENTS!$J$2:$J$180,$C170)+
COUNTIFS(ANNOUNCEMENTS!$E$2:$E$180,$B170,ANNOUNCEMENTS!$AD$2:$AD$180,S$159,ANNOUNCEMENTS!$J$2:$J$180,$C170)</f>
        <v>0</v>
      </c>
      <c r="T170" s="21">
        <f>COUNTIFS(ANNOUNCEMENTS!$E$2:$E$180,$B170,ANNOUNCEMENTS!$Z$2:$Z$180,T$159,ANNOUNCEMENTS!$J$2:$J$180,$C170)+
COUNTIFS(ANNOUNCEMENTS!$E$2:$E$180,$B170,ANNOUNCEMENTS!$AB$2:$AB$180,T$159,ANNOUNCEMENTS!$J$2:$J$180,$C170)+
COUNTIFS(ANNOUNCEMENTS!$E$2:$E$180,$B170,ANNOUNCEMENTS!$AD$2:$AD$180,T$159,ANNOUNCEMENTS!$J$2:$J$180,$C170)</f>
        <v>1</v>
      </c>
      <c r="U170" s="21">
        <f>COUNTIFS(ANNOUNCEMENTS!$E$2:$E$180,$B170,ANNOUNCEMENTS!$Z$2:$Z$180,U$159,ANNOUNCEMENTS!$J$2:$J$180,$C170)+
COUNTIFS(ANNOUNCEMENTS!$E$2:$E$180,$B170,ANNOUNCEMENTS!$AB$2:$AB$180,U$159,ANNOUNCEMENTS!$J$2:$J$180,$C170)+
COUNTIFS(ANNOUNCEMENTS!$E$2:$E$180,$B170,ANNOUNCEMENTS!$AD$2:$AD$180,U$159,ANNOUNCEMENTS!$J$2:$J$180,$C170)</f>
        <v>1</v>
      </c>
      <c r="V170" s="21">
        <f>COUNTIFS(ANNOUNCEMENTS!$E$2:$E$180,$B170,ANNOUNCEMENTS!$Z$2:$Z$180,V$159,ANNOUNCEMENTS!$J$2:$J$180,$C170)+
COUNTIFS(ANNOUNCEMENTS!$E$2:$E$180,$B170,ANNOUNCEMENTS!$AB$2:$AB$180,V$159,ANNOUNCEMENTS!$J$2:$J$180,$C170)+
COUNTIFS(ANNOUNCEMENTS!$E$2:$E$180,$B170,ANNOUNCEMENTS!$AD$2:$AD$180,V$159,ANNOUNCEMENTS!$J$2:$J$180,$C170)</f>
        <v>1</v>
      </c>
      <c r="W170" s="21">
        <f>COUNTIFS(ANNOUNCEMENTS!$E$2:$E$180,$B170,ANNOUNCEMENTS!$Z$2:$Z$180,W$159,ANNOUNCEMENTS!$J$2:$J$180,$C170)+
COUNTIFS(ANNOUNCEMENTS!$E$2:$E$180,$B170,ANNOUNCEMENTS!$AB$2:$AB$180,W$159,ANNOUNCEMENTS!$J$2:$J$180,$C170)+
COUNTIFS(ANNOUNCEMENTS!$E$2:$E$180,$B170,ANNOUNCEMENTS!$AD$2:$AD$180,W$159,ANNOUNCEMENTS!$J$2:$J$180,$C170)</f>
        <v>1</v>
      </c>
      <c r="X170" s="21">
        <f>COUNTIFS(ANNOUNCEMENTS!$E$2:$E$180,$B170,ANNOUNCEMENTS!$W$2:$W$180,X$159,ANNOUNCEMENTS!$J$2:$J$180,$C170)</f>
        <v>2</v>
      </c>
      <c r="Y170" s="21">
        <f>COUNTIFS(ANNOUNCEMENTS!$E$2:$E$180,$B170,ANNOUNCEMENTS!$W$2:$W$180,Y$159,ANNOUNCEMENTS!$J$2:$J$180,$C170)</f>
        <v>2</v>
      </c>
      <c r="Z170" s="21">
        <f>COUNTIFS(ANNOUNCEMENTS!$E$2:$E$180,$B170,ANNOUNCEMENTS!$W$2:$W$180,Z$159,ANNOUNCEMENTS!$J$2:$J$180,$C170)</f>
        <v>2</v>
      </c>
      <c r="AA170" s="21">
        <f>COUNTIFS(ANNOUNCEMENTS!$E$2:$E$180,$B170,ANNOUNCEMENTS!$W$2:$W$180,AA$159,ANNOUNCEMENTS!$J$2:$J$180,$C170)</f>
        <v>0</v>
      </c>
      <c r="AB170" s="21">
        <f>COUNTIFS(ANNOUNCEMENTS!$E$2:$E$180,$B170,ANNOUNCEMENTS!$W$2:$W$180,AB$159,ANNOUNCEMENTS!$J$2:$J$180,$C170)</f>
        <v>0</v>
      </c>
      <c r="AC170" s="21">
        <f>COUNTIFS(ANNOUNCEMENTS!$E$2:$E$180,$B170,ANNOUNCEMENTS!$W$2:$W$180,AC$159,ANNOUNCEMENTS!$J$2:$J$180,$C170)</f>
        <v>0</v>
      </c>
      <c r="AD170" s="21">
        <f>COUNTIFS(ANNOUNCEMENTS!$E$2:$E$180,$B170,ANNOUNCEMENTS!$W$2:$W$180,AD$159,ANNOUNCEMENTS!$J$2:$J$180,$C170)</f>
        <v>0</v>
      </c>
      <c r="AE170" s="311">
        <f t="shared" si="65"/>
        <v>0</v>
      </c>
      <c r="AF170" s="311">
        <f t="shared" si="66"/>
        <v>1</v>
      </c>
      <c r="AG170" s="311">
        <f t="shared" si="67"/>
        <v>0</v>
      </c>
      <c r="AH170" s="311">
        <f t="shared" si="68"/>
        <v>0</v>
      </c>
      <c r="AI170" s="21">
        <f>COUNTIFS(ANNOUNCEMENTS!$E$2:$E$180,B170,ANNOUNCEMENTS!$Z$2:$Z$180,$J$37,ANNOUNCEMENTS!$J$2:$J$180,C170)+
COUNTIFS(ANNOUNCEMENTS!$E$2:$E$180,B170,ANNOUNCEMENTS!$Z$2:$Z$180,$L$37,ANNOUNCEMENTS!$J$2:$J$180,C170)+
COUNTIFS(ANNOUNCEMENTS!$E$2:$E$180,B170,ANNOUNCEMENTS!$AB$2:$AB$180,$J$37,ANNOUNCEMENTS!$J$2:$J$180,C170)+
COUNTIFS(ANNOUNCEMENTS!$E$2:$E$180,B170,ANNOUNCEMENTS!$AB$2:$AB$180,$L$37,ANNOUNCEMENTS!$J$2:$J$180,C170)+
COUNTIFS(ANNOUNCEMENTS!$E$2:$E$180,B170,ANNOUNCEMENTS!$AD$2:$AD$180,$J$37,ANNOUNCEMENTS!$J$2:$J$180,C170)+
COUNTIFS(ANNOUNCEMENTS!$E$2:$E$180,B170,ANNOUNCEMENTS!$AD$2:$AD$180,$L$37,ANNOUNCEMENTS!$J$2:$J$180,C170)</f>
        <v>0</v>
      </c>
      <c r="AJ170" s="21">
        <f>COUNTIFS(ANNOUNCEMENTS!$E$2:$E$180,B170,ANNOUNCEMENTS!$Z$2:$Z$180,$H$37,ANNOUNCEMENTS!$J$2:$J$180,C170)+
COUNTIFS(ANNOUNCEMENTS!$E$2:$E$180,B170,ANNOUNCEMENTS!$Z$2:$Z$180,$I$37,ANNOUNCEMENTS!$J$2:$J$180,C170)+
COUNTIFS(ANNOUNCEMENTS!$E$2:$E$180,B170,ANNOUNCEMENTS!$Z$2:$Z$180,$P$37,ANNOUNCEMENTS!$J$2:$J$180,C170)+
COUNTIFS(ANNOUNCEMENTS!$E$2:$E$180,B170,ANNOUNCEMENTS!$AB$2:$AB$180,$H$37,ANNOUNCEMENTS!$J$2:$J$180,C170)+
COUNTIFS(ANNOUNCEMENTS!$E$2:$E$180,B170,ANNOUNCEMENTS!$AB$2:$AB$180,$I$37,ANNOUNCEMENTS!$J$2:$J$180,C170)+
COUNTIFS(ANNOUNCEMENTS!$E$2:$E$180,B170,ANNOUNCEMENTS!$AB$2:$AB$180,$P$37,ANNOUNCEMENTS!$J$2:$J$180,C170)+
COUNTIFS(ANNOUNCEMENTS!$E$2:$E$180,B170,ANNOUNCEMENTS!$AD$2:$AD$180,$H$37,ANNOUNCEMENTS!$J$2:$J$180,C170)+
COUNTIFS(ANNOUNCEMENTS!$E$2:$E$180,B170,ANNOUNCEMENTS!$AD$2:$AD$180,$I$37,ANNOUNCEMENTS!$J$2:$J$180,C170)+
COUNTIFS(ANNOUNCEMENTS!$E$2:$E$180,B170,ANNOUNCEMENTS!$AD$2:$AD$180,$P$37,ANNOUNCEMENTS!$J$2:$J$180,C170)</f>
        <v>3</v>
      </c>
      <c r="AK170" s="310" cm="1">
        <f t="array" ref="AK170">SUM(COUNTIFS(ANNOUNCEMENTS!$E$2:$E$180,B170,ANNOUNCEMENTS!$W$2:$W$180,$E$38:$E$40,ANNOUNCEMENTS!$J$2:$J$180,C170))</f>
        <v>6</v>
      </c>
      <c r="AL170" s="21" cm="1">
        <f t="array" ref="AL170">SUM(COUNTIFS(ANNOUNCEMENTS!$E$2:$E$180,B170,ANNOUNCEMENTS!$W$2:$W$180,$E$43:$E$44,ANNOUNCEMENTS!$J$2:$J$180,C170))</f>
        <v>0</v>
      </c>
      <c r="AM170" s="21">
        <f t="shared" si="69"/>
        <v>6</v>
      </c>
      <c r="AN170" s="21">
        <f t="shared" si="70"/>
        <v>5</v>
      </c>
      <c r="AO170" s="309" cm="1">
        <f t="array" ref="AO170">_xlfn.XLOOKUP(AO$159,CBIMPORT!$A$1:$AM$1,_xlfn.XLOOKUP($B170,CBIMPORT!$A$1:$A$40,CBIMPORT!$A$1:$AM$40))</f>
        <v>0</v>
      </c>
      <c r="AP170" s="308" cm="1">
        <f t="array" ref="AP170">_xlfn.XLOOKUP(AP$159,CBIMPORT!$A$1:$AM$1,_xlfn.XLOOKUP($B170,CBIMPORT!$A$1:$A$40,CBIMPORT!$A$1:$AM$40))</f>
        <v>250</v>
      </c>
      <c r="AQ170" s="307" cm="1">
        <f t="array" ref="AQ170">_xlfn.XLOOKUP(AQ$159,CBIMPORT!$A$1:$AM$1,_xlfn.XLOOKUP($B170,CBIMPORT!$A$1:$A$40,CBIMPORT!$A$1:$AM$40))</f>
        <v>82.516926609999999</v>
      </c>
    </row>
    <row r="171" spans="1:60" x14ac:dyDescent="0.35">
      <c r="A171" s="303" t="s">
        <v>2181</v>
      </c>
      <c r="B171" s="315" t="str">
        <f t="shared" si="62"/>
        <v>Einride</v>
      </c>
      <c r="C171" s="314" t="str">
        <f t="shared" si="63"/>
        <v>Trucking</v>
      </c>
      <c r="D171" s="313">
        <f>COUNTIFS(ANNOUNCEMENTS!$E$2:$E$180,$B171,ANNOUNCEMENTS!$J$2:$J$180,$C171)</f>
        <v>14</v>
      </c>
      <c r="E171" s="312" t="str" cm="1">
        <f t="array" ref="E171">_xlfn.ARRAYTOTEXT(
IF(D171&gt;0,_xlfn._xlws.FILTER(CHOOSE({1},
ANNOUNCEMENTS!$K$1:$K$180),
(ANNOUNCEMENTS!$E$1:$E$180=B171)*((ANNOUNCEMENTS!$J$1:$J$180=$C171)))))</f>
        <v>Bridgestone; Ericsson;Bridgestone; SKF; Svenska Retursystem; Polarrenen; Ericsson;Telia; Oatly; Electrolux; Beyond Meat; Coca - Cola; UAE Ministry of Energy and Infrastructure; Oatly; GE Appliances; Lidl</v>
      </c>
      <c r="F171" s="306">
        <f t="shared" si="64"/>
        <v>9</v>
      </c>
      <c r="G171" s="310" t="str" cm="1">
        <f t="array" ref="G171">_xlfn.XLOOKUP($A171,'Industries all mentioned partne'!$A$2:$A$58,_xlfn.XLOOKUP(G$159,'Industries all mentioned partne'!$A$2:$DM$2,'Industries all mentioned partne'!$A$2:$DM$58))</f>
        <v>Food &amp; Beverage</v>
      </c>
      <c r="H171" s="91" cm="1">
        <f t="array" ref="H171">_xlfn.XLOOKUP($A171,'Industries all mentioned partne'!$A$2:$A$58,_xlfn.XLOOKUP(H$159,'Industries all mentioned partne'!$A$2:$DM$2,'Industries all mentioned partne'!$A$2:$DM$58))</f>
        <v>0.25</v>
      </c>
      <c r="I171" s="310" t="str" cm="1">
        <f t="array" ref="I171">_xlfn.XLOOKUP($A171,'Industries all mentioned partne'!$A$2:$A$58,_xlfn.XLOOKUP(I$159,'Industries all mentioned partne'!$A$2:$DM$2,'Industries all mentioned partne'!$A$2:$DM$58))</f>
        <v>Telecommunications</v>
      </c>
      <c r="J171" s="91" cm="1">
        <f t="array" ref="J171">_xlfn.XLOOKUP($A171,'Industries all mentioned partne'!$A$2:$A$58,_xlfn.XLOOKUP(J$159,'Industries all mentioned partne'!$A$2:$DM$2,'Industries all mentioned partne'!$A$2:$DM$58))</f>
        <v>0.1875</v>
      </c>
      <c r="K171" s="310" t="str" cm="1">
        <f t="array" ref="K171">_xlfn.XLOOKUP($A171,'Industries all mentioned partne'!$A$2:$A$58,_xlfn.XLOOKUP(K$159,'Industries all mentioned partne'!$A$2:$DM$2,'Industries all mentioned partne'!$A$2:$DM$58))</f>
        <v>Automotive Supplier</v>
      </c>
      <c r="L171" s="91" cm="1">
        <f t="array" ref="L171">_xlfn.XLOOKUP($A171,'Industries all mentioned partne'!$A$2:$A$58,_xlfn.XLOOKUP(L$159,'Industries all mentioned partne'!$A$2:$DM$2,'Industries all mentioned partne'!$A$2:$DM$58))</f>
        <v>0.125</v>
      </c>
      <c r="M171" s="311" t="str" cm="1">
        <f t="array" ref="M171">_xlfn.XLOOKUP($M$159,CBIMPORT!$A$1:$AN$1,_xlfn.XLOOKUP(B171,CBIMPORT!$A$1:$A$171,CBIMPORT!$A$1:$AN$171))</f>
        <v>L2</v>
      </c>
      <c r="N171" s="309" cm="1">
        <f t="array" ref="N171">_xlfn.XLOOKUP(N$159,CBIMPORT!$A$1:$AM$1,_xlfn.XLOOKUP($B171,CBIMPORT!$A$1:$A$40,CBIMPORT!$A$1:$AM$40))</f>
        <v>9</v>
      </c>
      <c r="O171" s="21">
        <f>COUNTIFS(ANNOUNCEMENTS!$E$2:$E$180,$B171,ANNOUNCEMENTS!$Z$2:$Z$180,O$159,ANNOUNCEMENTS!$J$2:$J$180,$C171)+
COUNTIFS(ANNOUNCEMENTS!$E$2:$E$180,$B171,ANNOUNCEMENTS!$AB$2:$AB$180,O$159,ANNOUNCEMENTS!$J$2:$J$180,$C171)+
COUNTIFS(ANNOUNCEMENTS!$E$2:$E$180,$B171,ANNOUNCEMENTS!$AD$2:$AD$180,O$159,ANNOUNCEMENTS!$J$2:$J$180,$C171)</f>
        <v>2</v>
      </c>
      <c r="P171" s="21">
        <f>COUNTIFS(ANNOUNCEMENTS!$E$2:$E$180,$B171,ANNOUNCEMENTS!$Z$2:$Z$180,P$159,ANNOUNCEMENTS!$J$2:$J$180,$C171)+
COUNTIFS(ANNOUNCEMENTS!$E$2:$E$180,$B171,ANNOUNCEMENTS!$AB$2:$AB$180,P$159,ANNOUNCEMENTS!$J$2:$J$180,$C171)+
COUNTIFS(ANNOUNCEMENTS!$E$2:$E$180,$B171,ANNOUNCEMENTS!$AD$2:$AD$180,P$159,ANNOUNCEMENTS!$J$2:$J$180,$C171)</f>
        <v>0</v>
      </c>
      <c r="Q171" s="21">
        <f>COUNTIFS(ANNOUNCEMENTS!$E$2:$E$180,$B171,ANNOUNCEMENTS!$Z$2:$Z$180,Q$159,ANNOUNCEMENTS!$J$2:$J$180,$C171)+
COUNTIFS(ANNOUNCEMENTS!$E$2:$E$180,$B171,ANNOUNCEMENTS!$AB$2:$AB$180,Q$159,ANNOUNCEMENTS!$J$2:$J$180,$C171)+
COUNTIFS(ANNOUNCEMENTS!$E$2:$E$180,$B171,ANNOUNCEMENTS!$AD$2:$AD$180,Q$159,ANNOUNCEMENTS!$J$2:$J$180,$C171)</f>
        <v>0</v>
      </c>
      <c r="R171" s="21">
        <f>COUNTIFS(ANNOUNCEMENTS!$E$2:$E$180,$B171,ANNOUNCEMENTS!$Z$2:$Z$180,R$159,ANNOUNCEMENTS!$J$2:$J$180,$C171)+
COUNTIFS(ANNOUNCEMENTS!$E$2:$E$180,$B171,ANNOUNCEMENTS!$AB$2:$AB$180,R$159,ANNOUNCEMENTS!$J$2:$J$180,$C171)+
COUNTIFS(ANNOUNCEMENTS!$E$2:$E$180,$B171,ANNOUNCEMENTS!$AD$2:$AD$180,R$159,ANNOUNCEMENTS!$J$2:$J$180,$C171)</f>
        <v>1</v>
      </c>
      <c r="S171" s="21">
        <f>COUNTIFS(ANNOUNCEMENTS!$E$2:$E$180,$B171,ANNOUNCEMENTS!$Z$2:$Z$180,S$159,ANNOUNCEMENTS!$J$2:$J$180,$C171)+
COUNTIFS(ANNOUNCEMENTS!$E$2:$E$180,$B171,ANNOUNCEMENTS!$AB$2:$AB$180,S$159,ANNOUNCEMENTS!$J$2:$J$180,$C171)+
COUNTIFS(ANNOUNCEMENTS!$E$2:$E$180,$B171,ANNOUNCEMENTS!$AD$2:$AD$180,S$159,ANNOUNCEMENTS!$J$2:$J$180,$C171)</f>
        <v>10</v>
      </c>
      <c r="T171" s="21">
        <f>COUNTIFS(ANNOUNCEMENTS!$E$2:$E$180,$B171,ANNOUNCEMENTS!$Z$2:$Z$180,T$159,ANNOUNCEMENTS!$J$2:$J$180,$C171)+
COUNTIFS(ANNOUNCEMENTS!$E$2:$E$180,$B171,ANNOUNCEMENTS!$AB$2:$AB$180,T$159,ANNOUNCEMENTS!$J$2:$J$180,$C171)+
COUNTIFS(ANNOUNCEMENTS!$E$2:$E$180,$B171,ANNOUNCEMENTS!$AD$2:$AD$180,T$159,ANNOUNCEMENTS!$J$2:$J$180,$C171)</f>
        <v>0</v>
      </c>
      <c r="U171" s="21">
        <f>COUNTIFS(ANNOUNCEMENTS!$E$2:$E$180,$B171,ANNOUNCEMENTS!$Z$2:$Z$180,U$159,ANNOUNCEMENTS!$J$2:$J$180,$C171)+
COUNTIFS(ANNOUNCEMENTS!$E$2:$E$180,$B171,ANNOUNCEMENTS!$AB$2:$AB$180,U$159,ANNOUNCEMENTS!$J$2:$J$180,$C171)+
COUNTIFS(ANNOUNCEMENTS!$E$2:$E$180,$B171,ANNOUNCEMENTS!$AD$2:$AD$180,U$159,ANNOUNCEMENTS!$J$2:$J$180,$C171)</f>
        <v>0</v>
      </c>
      <c r="V171" s="21">
        <f>COUNTIFS(ANNOUNCEMENTS!$E$2:$E$180,$B171,ANNOUNCEMENTS!$Z$2:$Z$180,V$159,ANNOUNCEMENTS!$J$2:$J$180,$C171)+
COUNTIFS(ANNOUNCEMENTS!$E$2:$E$180,$B171,ANNOUNCEMENTS!$AB$2:$AB$180,V$159,ANNOUNCEMENTS!$J$2:$J$180,$C171)+
COUNTIFS(ANNOUNCEMENTS!$E$2:$E$180,$B171,ANNOUNCEMENTS!$AD$2:$AD$180,V$159,ANNOUNCEMENTS!$J$2:$J$180,$C171)</f>
        <v>1</v>
      </c>
      <c r="W171" s="21">
        <f>COUNTIFS(ANNOUNCEMENTS!$E$2:$E$180,$B171,ANNOUNCEMENTS!$Z$2:$Z$180,W$159,ANNOUNCEMENTS!$J$2:$J$180,$C171)+
COUNTIFS(ANNOUNCEMENTS!$E$2:$E$180,$B171,ANNOUNCEMENTS!$AB$2:$AB$180,W$159,ANNOUNCEMENTS!$J$2:$J$180,$C171)+
COUNTIFS(ANNOUNCEMENTS!$E$2:$E$180,$B171,ANNOUNCEMENTS!$AD$2:$AD$180,W$159,ANNOUNCEMENTS!$J$2:$J$180,$C171)</f>
        <v>1</v>
      </c>
      <c r="X171" s="21">
        <f>COUNTIFS(ANNOUNCEMENTS!$E$2:$E$180,$B171,ANNOUNCEMENTS!$W$2:$W$180,X$159,ANNOUNCEMENTS!$J$2:$J$180,$C171)</f>
        <v>1</v>
      </c>
      <c r="Y171" s="21">
        <f>COUNTIFS(ANNOUNCEMENTS!$E$2:$E$180,$B171,ANNOUNCEMENTS!$W$2:$W$180,Y$159,ANNOUNCEMENTS!$J$2:$J$180,$C171)</f>
        <v>5</v>
      </c>
      <c r="Z171" s="21">
        <f>COUNTIFS(ANNOUNCEMENTS!$E$2:$E$180,$B171,ANNOUNCEMENTS!$W$2:$W$180,Z$159,ANNOUNCEMENTS!$J$2:$J$180,$C171)</f>
        <v>1</v>
      </c>
      <c r="AA171" s="21">
        <f>COUNTIFS(ANNOUNCEMENTS!$E$2:$E$180,$B171,ANNOUNCEMENTS!$W$2:$W$180,AA$159,ANNOUNCEMENTS!$J$2:$J$180,$C171)</f>
        <v>7</v>
      </c>
      <c r="AB171" s="21">
        <f>COUNTIFS(ANNOUNCEMENTS!$E$2:$E$180,$B171,ANNOUNCEMENTS!$W$2:$W$180,AB$159,ANNOUNCEMENTS!$J$2:$J$180,$C171)</f>
        <v>0</v>
      </c>
      <c r="AC171" s="21">
        <f>COUNTIFS(ANNOUNCEMENTS!$E$2:$E$180,$B171,ANNOUNCEMENTS!$W$2:$W$180,AC$159,ANNOUNCEMENTS!$J$2:$J$180,$C171)</f>
        <v>0</v>
      </c>
      <c r="AD171" s="21">
        <f>COUNTIFS(ANNOUNCEMENTS!$E$2:$E$180,$B171,ANNOUNCEMENTS!$W$2:$W$180,AD$159,ANNOUNCEMENTS!$J$2:$J$180,$C171)</f>
        <v>0</v>
      </c>
      <c r="AE171" s="311">
        <f t="shared" si="65"/>
        <v>0</v>
      </c>
      <c r="AF171" s="311">
        <f t="shared" si="66"/>
        <v>1</v>
      </c>
      <c r="AG171" s="311">
        <f t="shared" si="67"/>
        <v>0</v>
      </c>
      <c r="AH171" s="311">
        <f t="shared" si="68"/>
        <v>0</v>
      </c>
      <c r="AI171" s="21">
        <f>COUNTIFS(ANNOUNCEMENTS!$E$2:$E$180,B171,ANNOUNCEMENTS!$Z$2:$Z$180,$J$37,ANNOUNCEMENTS!$J$2:$J$180,C171)+
COUNTIFS(ANNOUNCEMENTS!$E$2:$E$180,B171,ANNOUNCEMENTS!$Z$2:$Z$180,$L$37,ANNOUNCEMENTS!$J$2:$J$180,C171)+
COUNTIFS(ANNOUNCEMENTS!$E$2:$E$180,B171,ANNOUNCEMENTS!$AB$2:$AB$180,$J$37,ANNOUNCEMENTS!$J$2:$J$180,C171)+
COUNTIFS(ANNOUNCEMENTS!$E$2:$E$180,B171,ANNOUNCEMENTS!$AB$2:$AB$180,$L$37,ANNOUNCEMENTS!$J$2:$J$180,C171)+
COUNTIFS(ANNOUNCEMENTS!$E$2:$E$180,B171,ANNOUNCEMENTS!$AD$2:$AD$180,$J$37,ANNOUNCEMENTS!$J$2:$J$180,C171)+
COUNTIFS(ANNOUNCEMENTS!$E$2:$E$180,B171,ANNOUNCEMENTS!$AD$2:$AD$180,$L$37,ANNOUNCEMENTS!$J$2:$J$180,C171)</f>
        <v>10</v>
      </c>
      <c r="AJ171" s="21">
        <f>COUNTIFS(ANNOUNCEMENTS!$E$2:$E$180,B171,ANNOUNCEMENTS!$Z$2:$Z$180,$H$37,ANNOUNCEMENTS!$J$2:$J$180,C171)+
COUNTIFS(ANNOUNCEMENTS!$E$2:$E$180,B171,ANNOUNCEMENTS!$Z$2:$Z$180,$I$37,ANNOUNCEMENTS!$J$2:$J$180,C171)+
COUNTIFS(ANNOUNCEMENTS!$E$2:$E$180,B171,ANNOUNCEMENTS!$Z$2:$Z$180,$P$37,ANNOUNCEMENTS!$J$2:$J$180,C171)+
COUNTIFS(ANNOUNCEMENTS!$E$2:$E$180,B171,ANNOUNCEMENTS!$AB$2:$AB$180,$H$37,ANNOUNCEMENTS!$J$2:$J$180,C171)+
COUNTIFS(ANNOUNCEMENTS!$E$2:$E$180,B171,ANNOUNCEMENTS!$AB$2:$AB$180,$I$37,ANNOUNCEMENTS!$J$2:$J$180,C171)+
COUNTIFS(ANNOUNCEMENTS!$E$2:$E$180,B171,ANNOUNCEMENTS!$AB$2:$AB$180,$P$37,ANNOUNCEMENTS!$J$2:$J$180,C171)+
COUNTIFS(ANNOUNCEMENTS!$E$2:$E$180,B171,ANNOUNCEMENTS!$AD$2:$AD$180,$H$37,ANNOUNCEMENTS!$J$2:$J$180,C171)+
COUNTIFS(ANNOUNCEMENTS!$E$2:$E$180,B171,ANNOUNCEMENTS!$AD$2:$AD$180,$I$37,ANNOUNCEMENTS!$J$2:$J$180,C171)+
COUNTIFS(ANNOUNCEMENTS!$E$2:$E$180,B171,ANNOUNCEMENTS!$AD$2:$AD$180,$P$37,ANNOUNCEMENTS!$J$2:$J$180,C171)</f>
        <v>3</v>
      </c>
      <c r="AK171" s="310" cm="1">
        <f t="array" ref="AK171">SUM(COUNTIFS(ANNOUNCEMENTS!$E$2:$E$180,B171,ANNOUNCEMENTS!$W$2:$W$180,$E$38:$E$40,ANNOUNCEMENTS!$J$2:$J$180,C171))</f>
        <v>7</v>
      </c>
      <c r="AL171" s="21" cm="1">
        <f t="array" ref="AL171">SUM(COUNTIFS(ANNOUNCEMENTS!$E$2:$E$180,B171,ANNOUNCEMENTS!$W$2:$W$180,$E$43:$E$44,ANNOUNCEMENTS!$J$2:$J$180,C171))</f>
        <v>0</v>
      </c>
      <c r="AM171" s="21">
        <f t="shared" si="69"/>
        <v>14</v>
      </c>
      <c r="AN171" s="21">
        <f t="shared" si="70"/>
        <v>9</v>
      </c>
      <c r="AO171" s="309" cm="1">
        <f t="array" ref="AO171">_xlfn.XLOOKUP(AO$159,CBIMPORT!$A$1:$AM$1,_xlfn.XLOOKUP($B171,CBIMPORT!$A$1:$A$40,CBIMPORT!$A$1:$AM$40))</f>
        <v>0</v>
      </c>
      <c r="AP171" s="308" cm="1">
        <f t="array" ref="AP171">_xlfn.XLOOKUP(AP$159,CBIMPORT!$A$1:$AM$1,_xlfn.XLOOKUP($B171,CBIMPORT!$A$1:$A$40,CBIMPORT!$A$1:$AM$40))</f>
        <v>375</v>
      </c>
      <c r="AQ171" s="307" cm="1">
        <f t="array" ref="AQ171">_xlfn.XLOOKUP(AQ$159,CBIMPORT!$A$1:$AM$1,_xlfn.XLOOKUP($B171,CBIMPORT!$A$1:$A$40,CBIMPORT!$A$1:$AM$40))</f>
        <v>652.34307000000001</v>
      </c>
    </row>
    <row r="172" spans="1:60" x14ac:dyDescent="0.35">
      <c r="A172" s="315" t="s">
        <v>2182</v>
      </c>
      <c r="B172" s="315" t="str">
        <f t="shared" si="62"/>
        <v>Gatik</v>
      </c>
      <c r="C172" s="314" t="str">
        <f t="shared" si="63"/>
        <v>Trucking</v>
      </c>
      <c r="D172" s="313">
        <f>COUNTIFS(ANNOUNCEMENTS!$E$2:$E$180,$B172,ANNOUNCEMENTS!$J$2:$J$180,$C172)</f>
        <v>7</v>
      </c>
      <c r="E172" s="312" t="str" cm="1">
        <f t="array" ref="E172">_xlfn.ARRAYTOTEXT(
IF(D172&gt;0,_xlfn._xlws.FILTER(CHOOSE({1},
ANNOUNCEMENTS!$K$1:$K$180),
(ANNOUNCEMENTS!$E$1:$E$180=B172)*((ANNOUNCEMENTS!$J$1:$J$180=$C172)))))</f>
        <v>Goodyear; Ryder; Walmart; ChargePoint; Isuzu North America; Pitney Bowes; Kroger</v>
      </c>
      <c r="F172" s="306">
        <f t="shared" si="64"/>
        <v>4</v>
      </c>
      <c r="G172" s="310" t="str" cm="1">
        <f t="array" ref="G172">_xlfn.XLOOKUP($A172,'Industries all mentioned partne'!$A$2:$A$58,_xlfn.XLOOKUP(G$159,'Industries all mentioned partne'!$A$2:$DM$2,'Industries all mentioned partne'!$A$2:$DM$58))</f>
        <v>Logistics</v>
      </c>
      <c r="H172" s="91" cm="1">
        <f t="array" ref="H172">_xlfn.XLOOKUP($A172,'Industries all mentioned partne'!$A$2:$A$58,_xlfn.XLOOKUP(H$159,'Industries all mentioned partne'!$A$2:$DM$2,'Industries all mentioned partne'!$A$2:$DM$58))</f>
        <v>0.2857142857142857</v>
      </c>
      <c r="I172" s="310" t="str" cm="1">
        <f t="array" ref="I172">_xlfn.XLOOKUP($A172,'Industries all mentioned partne'!$A$2:$A$58,_xlfn.XLOOKUP(I$159,'Industries all mentioned partne'!$A$2:$DM$2,'Industries all mentioned partne'!$A$2:$DM$58))</f>
        <v>Logistics</v>
      </c>
      <c r="J172" s="91" cm="1">
        <f t="array" ref="J172">_xlfn.XLOOKUP($A172,'Industries all mentioned partne'!$A$2:$A$58,_xlfn.XLOOKUP(J$159,'Industries all mentioned partne'!$A$2:$DM$2,'Industries all mentioned partne'!$A$2:$DM$58))</f>
        <v>0.2857142857142857</v>
      </c>
      <c r="K172" s="310" t="str" cm="1">
        <f t="array" ref="K172">_xlfn.XLOOKUP($A172,'Industries all mentioned partne'!$A$2:$A$58,_xlfn.XLOOKUP(K$159,'Industries all mentioned partne'!$A$2:$DM$2,'Industries all mentioned partne'!$A$2:$DM$58))</f>
        <v>OEM Commercial Vehicles</v>
      </c>
      <c r="L172" s="91" cm="1">
        <f t="array" ref="L172">_xlfn.XLOOKUP($A172,'Industries all mentioned partne'!$A$2:$A$58,_xlfn.XLOOKUP(L$159,'Industries all mentioned partne'!$A$2:$DM$2,'Industries all mentioned partne'!$A$2:$DM$58))</f>
        <v>0.14285714285714285</v>
      </c>
      <c r="M172" s="311" t="str" cm="1">
        <f t="array" ref="M172">_xlfn.XLOOKUP($M$159,CBIMPORT!$A$1:$AN$1,_xlfn.XLOOKUP(B172,CBIMPORT!$A$1:$A$171,CBIMPORT!$A$1:$AN$171))</f>
        <v>L1</v>
      </c>
      <c r="N172" s="309" cm="1">
        <f t="array" ref="N172">_xlfn.XLOOKUP(N$159,CBIMPORT!$A$1:$AM$1,_xlfn.XLOOKUP($B172,CBIMPORT!$A$1:$A$40,CBIMPORT!$A$1:$AM$40))</f>
        <v>27</v>
      </c>
      <c r="O172" s="21">
        <f>COUNTIFS(ANNOUNCEMENTS!$E$2:$E$180,$B172,ANNOUNCEMENTS!$Z$2:$Z$180,O$159,ANNOUNCEMENTS!$J$2:$J$180,$C172)+
COUNTIFS(ANNOUNCEMENTS!$E$2:$E$180,$B172,ANNOUNCEMENTS!$AB$2:$AB$180,O$159,ANNOUNCEMENTS!$J$2:$J$180,$C172)+
COUNTIFS(ANNOUNCEMENTS!$E$2:$E$180,$B172,ANNOUNCEMENTS!$AD$2:$AD$180,O$159,ANNOUNCEMENTS!$J$2:$J$180,$C172)</f>
        <v>3</v>
      </c>
      <c r="P172" s="21">
        <f>COUNTIFS(ANNOUNCEMENTS!$E$2:$E$180,$B172,ANNOUNCEMENTS!$Z$2:$Z$180,P$159,ANNOUNCEMENTS!$J$2:$J$180,$C172)+
COUNTIFS(ANNOUNCEMENTS!$E$2:$E$180,$B172,ANNOUNCEMENTS!$AB$2:$AB$180,P$159,ANNOUNCEMENTS!$J$2:$J$180,$C172)+
COUNTIFS(ANNOUNCEMENTS!$E$2:$E$180,$B172,ANNOUNCEMENTS!$AD$2:$AD$180,P$159,ANNOUNCEMENTS!$J$2:$J$180,$C172)</f>
        <v>0</v>
      </c>
      <c r="Q172" s="21">
        <f>COUNTIFS(ANNOUNCEMENTS!$E$2:$E$180,$B172,ANNOUNCEMENTS!$Z$2:$Z$180,Q$159,ANNOUNCEMENTS!$J$2:$J$180,$C172)+
COUNTIFS(ANNOUNCEMENTS!$E$2:$E$180,$B172,ANNOUNCEMENTS!$AB$2:$AB$180,Q$159,ANNOUNCEMENTS!$J$2:$J$180,$C172)+
COUNTIFS(ANNOUNCEMENTS!$E$2:$E$180,$B172,ANNOUNCEMENTS!$AD$2:$AD$180,Q$159,ANNOUNCEMENTS!$J$2:$J$180,$C172)</f>
        <v>2</v>
      </c>
      <c r="R172" s="21">
        <f>COUNTIFS(ANNOUNCEMENTS!$E$2:$E$180,$B172,ANNOUNCEMENTS!$Z$2:$Z$180,R$159,ANNOUNCEMENTS!$J$2:$J$180,$C172)+
COUNTIFS(ANNOUNCEMENTS!$E$2:$E$180,$B172,ANNOUNCEMENTS!$AB$2:$AB$180,R$159,ANNOUNCEMENTS!$J$2:$J$180,$C172)+
COUNTIFS(ANNOUNCEMENTS!$E$2:$E$180,$B172,ANNOUNCEMENTS!$AD$2:$AD$180,R$159,ANNOUNCEMENTS!$J$2:$J$180,$C172)</f>
        <v>2</v>
      </c>
      <c r="S172" s="21">
        <f>COUNTIFS(ANNOUNCEMENTS!$E$2:$E$180,$B172,ANNOUNCEMENTS!$Z$2:$Z$180,S$159,ANNOUNCEMENTS!$J$2:$J$180,$C172)+
COUNTIFS(ANNOUNCEMENTS!$E$2:$E$180,$B172,ANNOUNCEMENTS!$AB$2:$AB$180,S$159,ANNOUNCEMENTS!$J$2:$J$180,$C172)+
COUNTIFS(ANNOUNCEMENTS!$E$2:$E$180,$B172,ANNOUNCEMENTS!$AD$2:$AD$180,S$159,ANNOUNCEMENTS!$J$2:$J$180,$C172)</f>
        <v>1</v>
      </c>
      <c r="T172" s="21">
        <f>COUNTIFS(ANNOUNCEMENTS!$E$2:$E$180,$B172,ANNOUNCEMENTS!$Z$2:$Z$180,T$159,ANNOUNCEMENTS!$J$2:$J$180,$C172)+
COUNTIFS(ANNOUNCEMENTS!$E$2:$E$180,$B172,ANNOUNCEMENTS!$AB$2:$AB$180,T$159,ANNOUNCEMENTS!$J$2:$J$180,$C172)+
COUNTIFS(ANNOUNCEMENTS!$E$2:$E$180,$B172,ANNOUNCEMENTS!$AD$2:$AD$180,T$159,ANNOUNCEMENTS!$J$2:$J$180,$C172)</f>
        <v>0</v>
      </c>
      <c r="U172" s="21">
        <f>COUNTIFS(ANNOUNCEMENTS!$E$2:$E$180,$B172,ANNOUNCEMENTS!$Z$2:$Z$180,U$159,ANNOUNCEMENTS!$J$2:$J$180,$C172)+
COUNTIFS(ANNOUNCEMENTS!$E$2:$E$180,$B172,ANNOUNCEMENTS!$AB$2:$AB$180,U$159,ANNOUNCEMENTS!$J$2:$J$180,$C172)+
COUNTIFS(ANNOUNCEMENTS!$E$2:$E$180,$B172,ANNOUNCEMENTS!$AD$2:$AD$180,U$159,ANNOUNCEMENTS!$J$2:$J$180,$C172)</f>
        <v>0</v>
      </c>
      <c r="V172" s="21">
        <f>COUNTIFS(ANNOUNCEMENTS!$E$2:$E$180,$B172,ANNOUNCEMENTS!$Z$2:$Z$180,V$159,ANNOUNCEMENTS!$J$2:$J$180,$C172)+
COUNTIFS(ANNOUNCEMENTS!$E$2:$E$180,$B172,ANNOUNCEMENTS!$AB$2:$AB$180,V$159,ANNOUNCEMENTS!$J$2:$J$180,$C172)+
COUNTIFS(ANNOUNCEMENTS!$E$2:$E$180,$B172,ANNOUNCEMENTS!$AD$2:$AD$180,V$159,ANNOUNCEMENTS!$J$2:$J$180,$C172)</f>
        <v>0</v>
      </c>
      <c r="W172" s="21">
        <f>COUNTIFS(ANNOUNCEMENTS!$E$2:$E$180,$B172,ANNOUNCEMENTS!$Z$2:$Z$180,W$159,ANNOUNCEMENTS!$J$2:$J$180,$C172)+
COUNTIFS(ANNOUNCEMENTS!$E$2:$E$180,$B172,ANNOUNCEMENTS!$AB$2:$AB$180,W$159,ANNOUNCEMENTS!$J$2:$J$180,$C172)+
COUNTIFS(ANNOUNCEMENTS!$E$2:$E$180,$B172,ANNOUNCEMENTS!$AD$2:$AD$180,W$159,ANNOUNCEMENTS!$J$2:$J$180,$C172)</f>
        <v>2</v>
      </c>
      <c r="X172" s="21">
        <f>COUNTIFS(ANNOUNCEMENTS!$E$2:$E$180,$B172,ANNOUNCEMENTS!$W$2:$W$180,X$159,ANNOUNCEMENTS!$J$2:$J$180,$C172)</f>
        <v>1</v>
      </c>
      <c r="Y172" s="21">
        <f>COUNTIFS(ANNOUNCEMENTS!$E$2:$E$180,$B172,ANNOUNCEMENTS!$W$2:$W$180,Y$159,ANNOUNCEMENTS!$J$2:$J$180,$C172)</f>
        <v>2</v>
      </c>
      <c r="Z172" s="21">
        <f>COUNTIFS(ANNOUNCEMENTS!$E$2:$E$180,$B172,ANNOUNCEMENTS!$W$2:$W$180,Z$159,ANNOUNCEMENTS!$J$2:$J$180,$C172)</f>
        <v>0</v>
      </c>
      <c r="AA172" s="21">
        <f>COUNTIFS(ANNOUNCEMENTS!$E$2:$E$180,$B172,ANNOUNCEMENTS!$W$2:$W$180,AA$159,ANNOUNCEMENTS!$J$2:$J$180,$C172)</f>
        <v>2</v>
      </c>
      <c r="AB172" s="21">
        <f>COUNTIFS(ANNOUNCEMENTS!$E$2:$E$180,$B172,ANNOUNCEMENTS!$W$2:$W$180,AB$159,ANNOUNCEMENTS!$J$2:$J$180,$C172)</f>
        <v>0</v>
      </c>
      <c r="AC172" s="21">
        <f>COUNTIFS(ANNOUNCEMENTS!$E$2:$E$180,$B172,ANNOUNCEMENTS!$W$2:$W$180,AC$159,ANNOUNCEMENTS!$J$2:$J$180,$C172)</f>
        <v>2</v>
      </c>
      <c r="AD172" s="21">
        <f>COUNTIFS(ANNOUNCEMENTS!$E$2:$E$180,$B172,ANNOUNCEMENTS!$W$2:$W$180,AD$159,ANNOUNCEMENTS!$J$2:$J$180,$C172)</f>
        <v>0</v>
      </c>
      <c r="AE172" s="311">
        <f t="shared" si="65"/>
        <v>1</v>
      </c>
      <c r="AF172" s="311">
        <f t="shared" si="66"/>
        <v>0</v>
      </c>
      <c r="AG172" s="311">
        <f t="shared" si="67"/>
        <v>0</v>
      </c>
      <c r="AH172" s="311">
        <f t="shared" si="68"/>
        <v>0</v>
      </c>
      <c r="AI172" s="21">
        <f>COUNTIFS(ANNOUNCEMENTS!$E$2:$E$180,B172,ANNOUNCEMENTS!$Z$2:$Z$180,$J$37,ANNOUNCEMENTS!$J$2:$J$180,C172)+
COUNTIFS(ANNOUNCEMENTS!$E$2:$E$180,B172,ANNOUNCEMENTS!$Z$2:$Z$180,$L$37,ANNOUNCEMENTS!$J$2:$J$180,C172)+
COUNTIFS(ANNOUNCEMENTS!$E$2:$E$180,B172,ANNOUNCEMENTS!$AB$2:$AB$180,$J$37,ANNOUNCEMENTS!$J$2:$J$180,C172)+
COUNTIFS(ANNOUNCEMENTS!$E$2:$E$180,B172,ANNOUNCEMENTS!$AB$2:$AB$180,$L$37,ANNOUNCEMENTS!$J$2:$J$180,C172)+
COUNTIFS(ANNOUNCEMENTS!$E$2:$E$180,B172,ANNOUNCEMENTS!$AD$2:$AD$180,$J$37,ANNOUNCEMENTS!$J$2:$J$180,C172)+
COUNTIFS(ANNOUNCEMENTS!$E$2:$E$180,B172,ANNOUNCEMENTS!$AD$2:$AD$180,$L$37,ANNOUNCEMENTS!$J$2:$J$180,C172)</f>
        <v>3</v>
      </c>
      <c r="AJ172" s="21">
        <f>COUNTIFS(ANNOUNCEMENTS!$E$2:$E$180,B172,ANNOUNCEMENTS!$Z$2:$Z$180,$H$37,ANNOUNCEMENTS!$J$2:$J$180,C172)+
COUNTIFS(ANNOUNCEMENTS!$E$2:$E$180,B172,ANNOUNCEMENTS!$Z$2:$Z$180,$I$37,ANNOUNCEMENTS!$J$2:$J$180,C172)+
COUNTIFS(ANNOUNCEMENTS!$E$2:$E$180,B172,ANNOUNCEMENTS!$Z$2:$Z$180,$P$37,ANNOUNCEMENTS!$J$2:$J$180,C172)+
COUNTIFS(ANNOUNCEMENTS!$E$2:$E$180,B172,ANNOUNCEMENTS!$AB$2:$AB$180,$H$37,ANNOUNCEMENTS!$J$2:$J$180,C172)+
COUNTIFS(ANNOUNCEMENTS!$E$2:$E$180,B172,ANNOUNCEMENTS!$AB$2:$AB$180,$I$37,ANNOUNCEMENTS!$J$2:$J$180,C172)+
COUNTIFS(ANNOUNCEMENTS!$E$2:$E$180,B172,ANNOUNCEMENTS!$AB$2:$AB$180,$P$37,ANNOUNCEMENTS!$J$2:$J$180,C172)+
COUNTIFS(ANNOUNCEMENTS!$E$2:$E$180,B172,ANNOUNCEMENTS!$AD$2:$AD$180,$H$37,ANNOUNCEMENTS!$J$2:$J$180,C172)+
COUNTIFS(ANNOUNCEMENTS!$E$2:$E$180,B172,ANNOUNCEMENTS!$AD$2:$AD$180,$I$37,ANNOUNCEMENTS!$J$2:$J$180,C172)+
COUNTIFS(ANNOUNCEMENTS!$E$2:$E$180,B172,ANNOUNCEMENTS!$AD$2:$AD$180,$P$37,ANNOUNCEMENTS!$J$2:$J$180,C172)</f>
        <v>5</v>
      </c>
      <c r="AK172" s="310" cm="1">
        <f t="array" ref="AK172">SUM(COUNTIFS(ANNOUNCEMENTS!$E$2:$E$180,B172,ANNOUNCEMENTS!$W$2:$W$180,$E$38:$E$40,ANNOUNCEMENTS!$J$2:$J$180,C172))</f>
        <v>3</v>
      </c>
      <c r="AL172" s="21" cm="1">
        <f t="array" ref="AL172">SUM(COUNTIFS(ANNOUNCEMENTS!$E$2:$E$180,B172,ANNOUNCEMENTS!$W$2:$W$180,$E$43:$E$44,ANNOUNCEMENTS!$J$2:$J$180,C172))</f>
        <v>2</v>
      </c>
      <c r="AM172" s="21">
        <f t="shared" si="69"/>
        <v>7</v>
      </c>
      <c r="AN172" s="21">
        <f t="shared" si="70"/>
        <v>4</v>
      </c>
      <c r="AO172" s="309" cm="1">
        <f t="array" ref="AO172">_xlfn.XLOOKUP(AO$159,CBIMPORT!$A$1:$AM$1,_xlfn.XLOOKUP($B172,CBIMPORT!$A$1:$A$40,CBIMPORT!$A$1:$AM$40))</f>
        <v>0</v>
      </c>
      <c r="AP172" s="308" cm="1">
        <f t="array" ref="AP172">_xlfn.XLOOKUP(AP$159,CBIMPORT!$A$1:$AM$1,_xlfn.XLOOKUP($B172,CBIMPORT!$A$1:$A$40,CBIMPORT!$A$1:$AM$40))</f>
        <v>120</v>
      </c>
      <c r="AQ172" s="307" cm="1">
        <f t="array" ref="AQ172">_xlfn.XLOOKUP(AQ$159,CBIMPORT!$A$1:$AM$1,_xlfn.XLOOKUP($B172,CBIMPORT!$A$1:$A$40,CBIMPORT!$A$1:$AM$40))</f>
        <v>122.857843</v>
      </c>
    </row>
    <row r="173" spans="1:60" x14ac:dyDescent="0.35">
      <c r="A173" s="303" t="s">
        <v>2183</v>
      </c>
      <c r="B173" s="315" t="str">
        <f t="shared" si="62"/>
        <v>Ioki</v>
      </c>
      <c r="C173" s="314" t="str">
        <f t="shared" si="63"/>
        <v>Ridepooling</v>
      </c>
      <c r="D173" s="313">
        <f>COUNTIFS(ANNOUNCEMENTS!$E$2:$E$180,$B173,ANNOUNCEMENTS!$J$2:$J$180,$C173)</f>
        <v>2</v>
      </c>
      <c r="E173" s="312" t="str" cm="1">
        <f t="array" ref="E173">_xlfn.ARRAYTOTEXT(
IF(D173&gt;0,_xlfn._xlws.FILTER(CHOOSE({1},
ANNOUNCEMENTS!$K$1:$K$180),
(ANNOUNCEMENTS!$E$1:$E$180=B173)*((ANNOUNCEMENTS!$J$1:$J$180=$C173)))))</f>
        <v>Deutsche Bahn;Berliner Verkehrsbetriebe; MINGA</v>
      </c>
      <c r="F173" s="306">
        <f t="shared" si="64"/>
        <v>0</v>
      </c>
      <c r="G173" s="310" t="str" cm="1">
        <f t="array" ref="G173">_xlfn.XLOOKUP($A173,'Industries all mentioned partne'!$A$2:$A$58,_xlfn.XLOOKUP(G$159,'Industries all mentioned partne'!$A$2:$DM$2,'Industries all mentioned partne'!$A$2:$DM$58))</f>
        <v>Transport Operator</v>
      </c>
      <c r="H173" s="91" cm="1">
        <f t="array" ref="H173">_xlfn.XLOOKUP($A173,'Industries all mentioned partne'!$A$2:$A$58,_xlfn.XLOOKUP(H$159,'Industries all mentioned partne'!$A$2:$DM$2,'Industries all mentioned partne'!$A$2:$DM$58))</f>
        <v>0.66666666666666663</v>
      </c>
      <c r="I173" s="310" t="str" cm="1">
        <f t="array" ref="I173">_xlfn.XLOOKUP($A173,'Industries all mentioned partne'!$A$2:$A$58,_xlfn.XLOOKUP(I$159,'Industries all mentioned partne'!$A$2:$DM$2,'Industries all mentioned partne'!$A$2:$DM$58))</f>
        <v>Mobility Project</v>
      </c>
      <c r="J173" s="91" cm="1">
        <f t="array" ref="J173">_xlfn.XLOOKUP($A173,'Industries all mentioned partne'!$A$2:$A$58,_xlfn.XLOOKUP(J$159,'Industries all mentioned partne'!$A$2:$DM$2,'Industries all mentioned partne'!$A$2:$DM$58))</f>
        <v>0.33333333333333331</v>
      </c>
      <c r="K173" s="310" t="str" cm="1">
        <f t="array" ref="K173">_xlfn.XLOOKUP($A173,'Industries all mentioned partne'!$A$2:$A$58,_xlfn.XLOOKUP(K$159,'Industries all mentioned partne'!$A$2:$DM$2,'Industries all mentioned partne'!$A$2:$DM$58))</f>
        <v/>
      </c>
      <c r="L173" s="91" t="str" cm="1">
        <f t="array" ref="L173">_xlfn.XLOOKUP($A173,'Industries all mentioned partne'!$A$2:$A$58,_xlfn.XLOOKUP(L$159,'Industries all mentioned partne'!$A$2:$DM$2,'Industries all mentioned partne'!$A$2:$DM$58))</f>
        <v/>
      </c>
      <c r="M173" s="311" t="str" cm="1">
        <f t="array" ref="M173">_xlfn.XLOOKUP($M$159,CBIMPORT!$A$1:$AN$1,_xlfn.XLOOKUP(B173,CBIMPORT!$A$1:$A$171,CBIMPORT!$A$1:$AN$171))</f>
        <v>L4</v>
      </c>
      <c r="N173" s="309" t="str" cm="1">
        <f t="array" ref="N173">_xlfn.XLOOKUP(N$159,CBIMPORT!$A$1:$AM$1,_xlfn.XLOOKUP($B173,CBIMPORT!$A$1:$A$40,CBIMPORT!$A$1:$AM$40))</f>
        <v>n.a.</v>
      </c>
      <c r="O173" s="21">
        <f>COUNTIFS(ANNOUNCEMENTS!$E$2:$E$180,$B173,ANNOUNCEMENTS!$Z$2:$Z$180,O$159,ANNOUNCEMENTS!$J$2:$J$180,$C173)+
COUNTIFS(ANNOUNCEMENTS!$E$2:$E$180,$B173,ANNOUNCEMENTS!$AB$2:$AB$180,O$159,ANNOUNCEMENTS!$J$2:$J$180,$C173)+
COUNTIFS(ANNOUNCEMENTS!$E$2:$E$180,$B173,ANNOUNCEMENTS!$AD$2:$AD$180,O$159,ANNOUNCEMENTS!$J$2:$J$180,$C173)</f>
        <v>1</v>
      </c>
      <c r="P173" s="21">
        <f>COUNTIFS(ANNOUNCEMENTS!$E$2:$E$180,$B173,ANNOUNCEMENTS!$Z$2:$Z$180,P$159,ANNOUNCEMENTS!$J$2:$J$180,$C173)+
COUNTIFS(ANNOUNCEMENTS!$E$2:$E$180,$B173,ANNOUNCEMENTS!$AB$2:$AB$180,P$159,ANNOUNCEMENTS!$J$2:$J$180,$C173)+
COUNTIFS(ANNOUNCEMENTS!$E$2:$E$180,$B173,ANNOUNCEMENTS!$AD$2:$AD$180,P$159,ANNOUNCEMENTS!$J$2:$J$180,$C173)</f>
        <v>0</v>
      </c>
      <c r="Q173" s="21">
        <f>COUNTIFS(ANNOUNCEMENTS!$E$2:$E$180,$B173,ANNOUNCEMENTS!$Z$2:$Z$180,Q$159,ANNOUNCEMENTS!$J$2:$J$180,$C173)+
COUNTIFS(ANNOUNCEMENTS!$E$2:$E$180,$B173,ANNOUNCEMENTS!$AB$2:$AB$180,Q$159,ANNOUNCEMENTS!$J$2:$J$180,$C173)+
COUNTIFS(ANNOUNCEMENTS!$E$2:$E$180,$B173,ANNOUNCEMENTS!$AD$2:$AD$180,Q$159,ANNOUNCEMENTS!$J$2:$J$180,$C173)</f>
        <v>1</v>
      </c>
      <c r="R173" s="21">
        <f>COUNTIFS(ANNOUNCEMENTS!$E$2:$E$180,$B173,ANNOUNCEMENTS!$Z$2:$Z$180,R$159,ANNOUNCEMENTS!$J$2:$J$180,$C173)+
COUNTIFS(ANNOUNCEMENTS!$E$2:$E$180,$B173,ANNOUNCEMENTS!$AB$2:$AB$180,R$159,ANNOUNCEMENTS!$J$2:$J$180,$C173)+
COUNTIFS(ANNOUNCEMENTS!$E$2:$E$180,$B173,ANNOUNCEMENTS!$AD$2:$AD$180,R$159,ANNOUNCEMENTS!$J$2:$J$180,$C173)</f>
        <v>0</v>
      </c>
      <c r="S173" s="21">
        <f>COUNTIFS(ANNOUNCEMENTS!$E$2:$E$180,$B173,ANNOUNCEMENTS!$Z$2:$Z$180,S$159,ANNOUNCEMENTS!$J$2:$J$180,$C173)+
COUNTIFS(ANNOUNCEMENTS!$E$2:$E$180,$B173,ANNOUNCEMENTS!$AB$2:$AB$180,S$159,ANNOUNCEMENTS!$J$2:$J$180,$C173)+
COUNTIFS(ANNOUNCEMENTS!$E$2:$E$180,$B173,ANNOUNCEMENTS!$AD$2:$AD$180,S$159,ANNOUNCEMENTS!$J$2:$J$180,$C173)</f>
        <v>0</v>
      </c>
      <c r="T173" s="21">
        <f>COUNTIFS(ANNOUNCEMENTS!$E$2:$E$180,$B173,ANNOUNCEMENTS!$Z$2:$Z$180,T$159,ANNOUNCEMENTS!$J$2:$J$180,$C173)+
COUNTIFS(ANNOUNCEMENTS!$E$2:$E$180,$B173,ANNOUNCEMENTS!$AB$2:$AB$180,T$159,ANNOUNCEMENTS!$J$2:$J$180,$C173)+
COUNTIFS(ANNOUNCEMENTS!$E$2:$E$180,$B173,ANNOUNCEMENTS!$AD$2:$AD$180,T$159,ANNOUNCEMENTS!$J$2:$J$180,$C173)</f>
        <v>0</v>
      </c>
      <c r="U173" s="21">
        <f>COUNTIFS(ANNOUNCEMENTS!$E$2:$E$180,$B173,ANNOUNCEMENTS!$Z$2:$Z$180,U$159,ANNOUNCEMENTS!$J$2:$J$180,$C173)+
COUNTIFS(ANNOUNCEMENTS!$E$2:$E$180,$B173,ANNOUNCEMENTS!$AB$2:$AB$180,U$159,ANNOUNCEMENTS!$J$2:$J$180,$C173)+
COUNTIFS(ANNOUNCEMENTS!$E$2:$E$180,$B173,ANNOUNCEMENTS!$AD$2:$AD$180,U$159,ANNOUNCEMENTS!$J$2:$J$180,$C173)</f>
        <v>0</v>
      </c>
      <c r="V173" s="21">
        <f>COUNTIFS(ANNOUNCEMENTS!$E$2:$E$180,$B173,ANNOUNCEMENTS!$Z$2:$Z$180,V$159,ANNOUNCEMENTS!$J$2:$J$180,$C173)+
COUNTIFS(ANNOUNCEMENTS!$E$2:$E$180,$B173,ANNOUNCEMENTS!$AB$2:$AB$180,V$159,ANNOUNCEMENTS!$J$2:$J$180,$C173)+
COUNTIFS(ANNOUNCEMENTS!$E$2:$E$180,$B173,ANNOUNCEMENTS!$AD$2:$AD$180,V$159,ANNOUNCEMENTS!$J$2:$J$180,$C173)</f>
        <v>0</v>
      </c>
      <c r="W173" s="21">
        <f>COUNTIFS(ANNOUNCEMENTS!$E$2:$E$180,$B173,ANNOUNCEMENTS!$Z$2:$Z$180,W$159,ANNOUNCEMENTS!$J$2:$J$180,$C173)+
COUNTIFS(ANNOUNCEMENTS!$E$2:$E$180,$B173,ANNOUNCEMENTS!$AB$2:$AB$180,W$159,ANNOUNCEMENTS!$J$2:$J$180,$C173)+
COUNTIFS(ANNOUNCEMENTS!$E$2:$E$180,$B173,ANNOUNCEMENTS!$AD$2:$AD$180,W$159,ANNOUNCEMENTS!$J$2:$J$180,$C173)</f>
        <v>0</v>
      </c>
      <c r="X173" s="21">
        <f>COUNTIFS(ANNOUNCEMENTS!$E$2:$E$180,$B173,ANNOUNCEMENTS!$W$2:$W$180,X$159,ANNOUNCEMENTS!$J$2:$J$180,$C173)</f>
        <v>0</v>
      </c>
      <c r="Y173" s="21">
        <f>COUNTIFS(ANNOUNCEMENTS!$E$2:$E$180,$B173,ANNOUNCEMENTS!$W$2:$W$180,Y$159,ANNOUNCEMENTS!$J$2:$J$180,$C173)</f>
        <v>2</v>
      </c>
      <c r="Z173" s="21">
        <f>COUNTIFS(ANNOUNCEMENTS!$E$2:$E$180,$B173,ANNOUNCEMENTS!$W$2:$W$180,Z$159,ANNOUNCEMENTS!$J$2:$J$180,$C173)</f>
        <v>0</v>
      </c>
      <c r="AA173" s="21">
        <f>COUNTIFS(ANNOUNCEMENTS!$E$2:$E$180,$B173,ANNOUNCEMENTS!$W$2:$W$180,AA$159,ANNOUNCEMENTS!$J$2:$J$180,$C173)</f>
        <v>0</v>
      </c>
      <c r="AB173" s="21">
        <f>COUNTIFS(ANNOUNCEMENTS!$E$2:$E$180,$B173,ANNOUNCEMENTS!$W$2:$W$180,AB$159,ANNOUNCEMENTS!$J$2:$J$180,$C173)</f>
        <v>0</v>
      </c>
      <c r="AC173" s="21">
        <f>COUNTIFS(ANNOUNCEMENTS!$E$2:$E$180,$B173,ANNOUNCEMENTS!$W$2:$W$180,AC$159,ANNOUNCEMENTS!$J$2:$J$180,$C173)</f>
        <v>0</v>
      </c>
      <c r="AD173" s="21">
        <f>COUNTIFS(ANNOUNCEMENTS!$E$2:$E$180,$B173,ANNOUNCEMENTS!$W$2:$W$180,AD$159,ANNOUNCEMENTS!$J$2:$J$180,$C173)</f>
        <v>0</v>
      </c>
      <c r="AE173" s="311">
        <f t="shared" si="65"/>
        <v>0</v>
      </c>
      <c r="AF173" s="311">
        <f t="shared" si="66"/>
        <v>0</v>
      </c>
      <c r="AG173" s="311">
        <f t="shared" si="67"/>
        <v>0</v>
      </c>
      <c r="AH173" s="311">
        <f t="shared" si="68"/>
        <v>1</v>
      </c>
      <c r="AI173" s="21">
        <f>COUNTIFS(ANNOUNCEMENTS!$E$2:$E$180,B173,ANNOUNCEMENTS!$Z$2:$Z$180,$J$37,ANNOUNCEMENTS!$J$2:$J$180,C173)+
COUNTIFS(ANNOUNCEMENTS!$E$2:$E$180,B173,ANNOUNCEMENTS!$Z$2:$Z$180,$L$37,ANNOUNCEMENTS!$J$2:$J$180,C173)+
COUNTIFS(ANNOUNCEMENTS!$E$2:$E$180,B173,ANNOUNCEMENTS!$AB$2:$AB$180,$J$37,ANNOUNCEMENTS!$J$2:$J$180,C173)+
COUNTIFS(ANNOUNCEMENTS!$E$2:$E$180,B173,ANNOUNCEMENTS!$AB$2:$AB$180,$L$37,ANNOUNCEMENTS!$J$2:$J$180,C173)+
COUNTIFS(ANNOUNCEMENTS!$E$2:$E$180,B173,ANNOUNCEMENTS!$AD$2:$AD$180,$J$37,ANNOUNCEMENTS!$J$2:$J$180,C173)+
COUNTIFS(ANNOUNCEMENTS!$E$2:$E$180,B173,ANNOUNCEMENTS!$AD$2:$AD$180,$L$37,ANNOUNCEMENTS!$J$2:$J$180,C173)</f>
        <v>1</v>
      </c>
      <c r="AJ173" s="21">
        <f>COUNTIFS(ANNOUNCEMENTS!$E$2:$E$180,B173,ANNOUNCEMENTS!$Z$2:$Z$180,$H$37,ANNOUNCEMENTS!$J$2:$J$180,C173)+
COUNTIFS(ANNOUNCEMENTS!$E$2:$E$180,B173,ANNOUNCEMENTS!$Z$2:$Z$180,$I$37,ANNOUNCEMENTS!$J$2:$J$180,C173)+
COUNTIFS(ANNOUNCEMENTS!$E$2:$E$180,B173,ANNOUNCEMENTS!$Z$2:$Z$180,$P$37,ANNOUNCEMENTS!$J$2:$J$180,C173)+
COUNTIFS(ANNOUNCEMENTS!$E$2:$E$180,B173,ANNOUNCEMENTS!$AB$2:$AB$180,$H$37,ANNOUNCEMENTS!$J$2:$J$180,C173)+
COUNTIFS(ANNOUNCEMENTS!$E$2:$E$180,B173,ANNOUNCEMENTS!$AB$2:$AB$180,$I$37,ANNOUNCEMENTS!$J$2:$J$180,C173)+
COUNTIFS(ANNOUNCEMENTS!$E$2:$E$180,B173,ANNOUNCEMENTS!$AB$2:$AB$180,$P$37,ANNOUNCEMENTS!$J$2:$J$180,C173)+
COUNTIFS(ANNOUNCEMENTS!$E$2:$E$180,B173,ANNOUNCEMENTS!$AD$2:$AD$180,$H$37,ANNOUNCEMENTS!$J$2:$J$180,C173)+
COUNTIFS(ANNOUNCEMENTS!$E$2:$E$180,B173,ANNOUNCEMENTS!$AD$2:$AD$180,$I$37,ANNOUNCEMENTS!$J$2:$J$180,C173)+
COUNTIFS(ANNOUNCEMENTS!$E$2:$E$180,B173,ANNOUNCEMENTS!$AD$2:$AD$180,$P$37,ANNOUNCEMENTS!$J$2:$J$180,C173)</f>
        <v>1</v>
      </c>
      <c r="AK173" s="310" cm="1">
        <f t="array" ref="AK173">SUM(COUNTIFS(ANNOUNCEMENTS!$E$2:$E$180,B173,ANNOUNCEMENTS!$W$2:$W$180,$E$38:$E$40,ANNOUNCEMENTS!$J$2:$J$180,C173))</f>
        <v>2</v>
      </c>
      <c r="AL173" s="21" cm="1">
        <f t="array" ref="AL173">SUM(COUNTIFS(ANNOUNCEMENTS!$E$2:$E$180,B173,ANNOUNCEMENTS!$W$2:$W$180,$E$43:$E$44,ANNOUNCEMENTS!$J$2:$J$180,C173))</f>
        <v>0</v>
      </c>
      <c r="AM173" s="21">
        <f t="shared" si="69"/>
        <v>2</v>
      </c>
      <c r="AN173" s="21">
        <f t="shared" si="70"/>
        <v>0</v>
      </c>
      <c r="AO173" s="309" cm="1">
        <f t="array" ref="AO173">_xlfn.XLOOKUP(AO$159,CBIMPORT!$A$1:$AM$1,_xlfn.XLOOKUP($B173,CBIMPORT!$A$1:$A$40,CBIMPORT!$A$1:$AM$40))</f>
        <v>0</v>
      </c>
      <c r="AP173" s="308" cm="1">
        <f t="array" ref="AP173">_xlfn.XLOOKUP(AP$159,CBIMPORT!$A$1:$AM$1,_xlfn.XLOOKUP($B173,CBIMPORT!$A$1:$A$40,CBIMPORT!$A$1:$AM$40))</f>
        <v>180</v>
      </c>
      <c r="AQ173" s="307" t="str" cm="1">
        <f t="array" ref="AQ173">_xlfn.XLOOKUP(AQ$159,CBIMPORT!$A$1:$AM$1,_xlfn.XLOOKUP($B173,CBIMPORT!$A$1:$A$40,CBIMPORT!$A$1:$AM$40))</f>
        <v>n.a.</v>
      </c>
    </row>
    <row r="174" spans="1:60" x14ac:dyDescent="0.35">
      <c r="A174" s="303" t="s">
        <v>2184</v>
      </c>
      <c r="B174" s="315" t="str">
        <f t="shared" si="62"/>
        <v>Kiwibot</v>
      </c>
      <c r="C174" s="314" t="str">
        <f t="shared" si="63"/>
        <v>Last-Mile</v>
      </c>
      <c r="D174" s="313">
        <f>COUNTIFS(ANNOUNCEMENTS!$E$2:$E$180,$B174,ANNOUNCEMENTS!$J$2:$J$180,$C174)</f>
        <v>3</v>
      </c>
      <c r="E174" s="312" t="str" cm="1">
        <f t="array" ref="E174">_xlfn.ARRAYTOTEXT(
IF(D174&gt;0,_xlfn._xlws.FILTER(CHOOSE({1},
ANNOUNCEMENTS!$K$1:$K$180),
(ANNOUNCEMENTS!$E$1:$E$180=B174)*((ANNOUNCEMENTS!$J$1:$J$180=$C174)))))</f>
        <v>Aramex; Grubhub; kineo</v>
      </c>
      <c r="F174" s="306">
        <f t="shared" si="64"/>
        <v>1</v>
      </c>
      <c r="G174" s="310" t="str" cm="1">
        <f t="array" ref="G174">_xlfn.XLOOKUP($A174,'Industries all mentioned partne'!$A$2:$A$58,_xlfn.XLOOKUP(G$159,'Industries all mentioned partne'!$A$2:$DM$2,'Industries all mentioned partne'!$A$2:$DM$58))</f>
        <v>Delivery Service</v>
      </c>
      <c r="H174" s="91" cm="1">
        <f t="array" ref="H174">_xlfn.XLOOKUP($A174,'Industries all mentioned partne'!$A$2:$A$58,_xlfn.XLOOKUP(H$159,'Industries all mentioned partne'!$A$2:$DM$2,'Industries all mentioned partne'!$A$2:$DM$58))</f>
        <v>0.33333333333333331</v>
      </c>
      <c r="I174" s="310" t="str" cm="1">
        <f t="array" ref="I174">_xlfn.XLOOKUP($A174,'Industries all mentioned partne'!$A$2:$A$58,_xlfn.XLOOKUP(I$159,'Industries all mentioned partne'!$A$2:$DM$2,'Industries all mentioned partne'!$A$2:$DM$58))</f>
        <v>Delivery Service</v>
      </c>
      <c r="J174" s="91" cm="1">
        <f t="array" ref="J174">_xlfn.XLOOKUP($A174,'Industries all mentioned partne'!$A$2:$A$58,_xlfn.XLOOKUP(J$159,'Industries all mentioned partne'!$A$2:$DM$2,'Industries all mentioned partne'!$A$2:$DM$58))</f>
        <v>0.33333333333333331</v>
      </c>
      <c r="K174" s="310" t="str" cm="1">
        <f t="array" ref="K174">_xlfn.XLOOKUP($A174,'Industries all mentioned partne'!$A$2:$A$58,_xlfn.XLOOKUP(K$159,'Industries all mentioned partne'!$A$2:$DM$2,'Industries all mentioned partne'!$A$2:$DM$58))</f>
        <v>Delivery Service</v>
      </c>
      <c r="L174" s="91" cm="1">
        <f t="array" ref="L174">_xlfn.XLOOKUP($A174,'Industries all mentioned partne'!$A$2:$A$58,_xlfn.XLOOKUP(L$159,'Industries all mentioned partne'!$A$2:$DM$2,'Industries all mentioned partne'!$A$2:$DM$58))</f>
        <v>0.33333333333333331</v>
      </c>
      <c r="M174" s="311" t="str" cm="1">
        <f t="array" ref="M174">_xlfn.XLOOKUP($M$159,CBIMPORT!$A$1:$AN$1,_xlfn.XLOOKUP(B174,CBIMPORT!$A$1:$A$171,CBIMPORT!$A$1:$AN$171))</f>
        <v>L2</v>
      </c>
      <c r="N174" s="309" t="str" cm="1">
        <f t="array" ref="N174">_xlfn.XLOOKUP(N$159,CBIMPORT!$A$1:$AM$1,_xlfn.XLOOKUP($B174,CBIMPORT!$A$1:$A$40,CBIMPORT!$A$1:$AM$40))</f>
        <v>n.a.</v>
      </c>
      <c r="O174" s="21">
        <f>COUNTIFS(ANNOUNCEMENTS!$E$2:$E$180,$B174,ANNOUNCEMENTS!$Z$2:$Z$180,O$159,ANNOUNCEMENTS!$J$2:$J$180,$C174)+
COUNTIFS(ANNOUNCEMENTS!$E$2:$E$180,$B174,ANNOUNCEMENTS!$AB$2:$AB$180,O$159,ANNOUNCEMENTS!$J$2:$J$180,$C174)+
COUNTIFS(ANNOUNCEMENTS!$E$2:$E$180,$B174,ANNOUNCEMENTS!$AD$2:$AD$180,O$159,ANNOUNCEMENTS!$J$2:$J$180,$C174)</f>
        <v>0</v>
      </c>
      <c r="P174" s="21">
        <f>COUNTIFS(ANNOUNCEMENTS!$E$2:$E$180,$B174,ANNOUNCEMENTS!$Z$2:$Z$180,P$159,ANNOUNCEMENTS!$J$2:$J$180,$C174)+
COUNTIFS(ANNOUNCEMENTS!$E$2:$E$180,$B174,ANNOUNCEMENTS!$AB$2:$AB$180,P$159,ANNOUNCEMENTS!$J$2:$J$180,$C174)+
COUNTIFS(ANNOUNCEMENTS!$E$2:$E$180,$B174,ANNOUNCEMENTS!$AD$2:$AD$180,P$159,ANNOUNCEMENTS!$J$2:$J$180,$C174)</f>
        <v>0</v>
      </c>
      <c r="Q174" s="21">
        <f>COUNTIFS(ANNOUNCEMENTS!$E$2:$E$180,$B174,ANNOUNCEMENTS!$Z$2:$Z$180,Q$159,ANNOUNCEMENTS!$J$2:$J$180,$C174)+
COUNTIFS(ANNOUNCEMENTS!$E$2:$E$180,$B174,ANNOUNCEMENTS!$AB$2:$AB$180,Q$159,ANNOUNCEMENTS!$J$2:$J$180,$C174)+
COUNTIFS(ANNOUNCEMENTS!$E$2:$E$180,$B174,ANNOUNCEMENTS!$AD$2:$AD$180,Q$159,ANNOUNCEMENTS!$J$2:$J$180,$C174)</f>
        <v>2</v>
      </c>
      <c r="R174" s="21">
        <f>COUNTIFS(ANNOUNCEMENTS!$E$2:$E$180,$B174,ANNOUNCEMENTS!$Z$2:$Z$180,R$159,ANNOUNCEMENTS!$J$2:$J$180,$C174)+
COUNTIFS(ANNOUNCEMENTS!$E$2:$E$180,$B174,ANNOUNCEMENTS!$AB$2:$AB$180,R$159,ANNOUNCEMENTS!$J$2:$J$180,$C174)+
COUNTIFS(ANNOUNCEMENTS!$E$2:$E$180,$B174,ANNOUNCEMENTS!$AD$2:$AD$180,R$159,ANNOUNCEMENTS!$J$2:$J$180,$C174)</f>
        <v>1</v>
      </c>
      <c r="S174" s="21">
        <f>COUNTIFS(ANNOUNCEMENTS!$E$2:$E$180,$B174,ANNOUNCEMENTS!$Z$2:$Z$180,S$159,ANNOUNCEMENTS!$J$2:$J$180,$C174)+
COUNTIFS(ANNOUNCEMENTS!$E$2:$E$180,$B174,ANNOUNCEMENTS!$AB$2:$AB$180,S$159,ANNOUNCEMENTS!$J$2:$J$180,$C174)+
COUNTIFS(ANNOUNCEMENTS!$E$2:$E$180,$B174,ANNOUNCEMENTS!$AD$2:$AD$180,S$159,ANNOUNCEMENTS!$J$2:$J$180,$C174)</f>
        <v>0</v>
      </c>
      <c r="T174" s="21">
        <f>COUNTIFS(ANNOUNCEMENTS!$E$2:$E$180,$B174,ANNOUNCEMENTS!$Z$2:$Z$180,T$159,ANNOUNCEMENTS!$J$2:$J$180,$C174)+
COUNTIFS(ANNOUNCEMENTS!$E$2:$E$180,$B174,ANNOUNCEMENTS!$AB$2:$AB$180,T$159,ANNOUNCEMENTS!$J$2:$J$180,$C174)+
COUNTIFS(ANNOUNCEMENTS!$E$2:$E$180,$B174,ANNOUNCEMENTS!$AD$2:$AD$180,T$159,ANNOUNCEMENTS!$J$2:$J$180,$C174)</f>
        <v>0</v>
      </c>
      <c r="U174" s="21">
        <f>COUNTIFS(ANNOUNCEMENTS!$E$2:$E$180,$B174,ANNOUNCEMENTS!$Z$2:$Z$180,U$159,ANNOUNCEMENTS!$J$2:$J$180,$C174)+
COUNTIFS(ANNOUNCEMENTS!$E$2:$E$180,$B174,ANNOUNCEMENTS!$AB$2:$AB$180,U$159,ANNOUNCEMENTS!$J$2:$J$180,$C174)+
COUNTIFS(ANNOUNCEMENTS!$E$2:$E$180,$B174,ANNOUNCEMENTS!$AD$2:$AD$180,U$159,ANNOUNCEMENTS!$J$2:$J$180,$C174)</f>
        <v>0</v>
      </c>
      <c r="V174" s="21">
        <f>COUNTIFS(ANNOUNCEMENTS!$E$2:$E$180,$B174,ANNOUNCEMENTS!$Z$2:$Z$180,V$159,ANNOUNCEMENTS!$J$2:$J$180,$C174)+
COUNTIFS(ANNOUNCEMENTS!$E$2:$E$180,$B174,ANNOUNCEMENTS!$AB$2:$AB$180,V$159,ANNOUNCEMENTS!$J$2:$J$180,$C174)+
COUNTIFS(ANNOUNCEMENTS!$E$2:$E$180,$B174,ANNOUNCEMENTS!$AD$2:$AD$180,V$159,ANNOUNCEMENTS!$J$2:$J$180,$C174)</f>
        <v>0</v>
      </c>
      <c r="W174" s="21">
        <f>COUNTIFS(ANNOUNCEMENTS!$E$2:$E$180,$B174,ANNOUNCEMENTS!$Z$2:$Z$180,W$159,ANNOUNCEMENTS!$J$2:$J$180,$C174)+
COUNTIFS(ANNOUNCEMENTS!$E$2:$E$180,$B174,ANNOUNCEMENTS!$AB$2:$AB$180,W$159,ANNOUNCEMENTS!$J$2:$J$180,$C174)+
COUNTIFS(ANNOUNCEMENTS!$E$2:$E$180,$B174,ANNOUNCEMENTS!$AD$2:$AD$180,W$159,ANNOUNCEMENTS!$J$2:$J$180,$C174)</f>
        <v>0</v>
      </c>
      <c r="X174" s="21">
        <f>COUNTIFS(ANNOUNCEMENTS!$E$2:$E$180,$B174,ANNOUNCEMENTS!$W$2:$W$180,X$159,ANNOUNCEMENTS!$J$2:$J$180,$C174)</f>
        <v>0</v>
      </c>
      <c r="Y174" s="21">
        <f>COUNTIFS(ANNOUNCEMENTS!$E$2:$E$180,$B174,ANNOUNCEMENTS!$W$2:$W$180,Y$159,ANNOUNCEMENTS!$J$2:$J$180,$C174)</f>
        <v>2</v>
      </c>
      <c r="Z174" s="21">
        <f>COUNTIFS(ANNOUNCEMENTS!$E$2:$E$180,$B174,ANNOUNCEMENTS!$W$2:$W$180,Z$159,ANNOUNCEMENTS!$J$2:$J$180,$C174)</f>
        <v>0</v>
      </c>
      <c r="AA174" s="21">
        <f>COUNTIFS(ANNOUNCEMENTS!$E$2:$E$180,$B174,ANNOUNCEMENTS!$W$2:$W$180,AA$159,ANNOUNCEMENTS!$J$2:$J$180,$C174)</f>
        <v>0</v>
      </c>
      <c r="AB174" s="21">
        <f>COUNTIFS(ANNOUNCEMENTS!$E$2:$E$180,$B174,ANNOUNCEMENTS!$W$2:$W$180,AB$159,ANNOUNCEMENTS!$J$2:$J$180,$C174)</f>
        <v>0</v>
      </c>
      <c r="AC174" s="21">
        <f>COUNTIFS(ANNOUNCEMENTS!$E$2:$E$180,$B174,ANNOUNCEMENTS!$W$2:$W$180,AC$159,ANNOUNCEMENTS!$J$2:$J$180,$C174)</f>
        <v>1</v>
      </c>
      <c r="AD174" s="21">
        <f>COUNTIFS(ANNOUNCEMENTS!$E$2:$E$180,$B174,ANNOUNCEMENTS!$W$2:$W$180,AD$159,ANNOUNCEMENTS!$J$2:$J$180,$C174)</f>
        <v>0</v>
      </c>
      <c r="AE174" s="311">
        <f t="shared" si="65"/>
        <v>0</v>
      </c>
      <c r="AF174" s="311">
        <f t="shared" si="66"/>
        <v>1</v>
      </c>
      <c r="AG174" s="311">
        <f t="shared" si="67"/>
        <v>0</v>
      </c>
      <c r="AH174" s="311">
        <f t="shared" si="68"/>
        <v>0</v>
      </c>
      <c r="AI174" s="21">
        <f>COUNTIFS(ANNOUNCEMENTS!$E$2:$E$180,B174,ANNOUNCEMENTS!$Z$2:$Z$180,$J$37,ANNOUNCEMENTS!$J$2:$J$180,C174)+
COUNTIFS(ANNOUNCEMENTS!$E$2:$E$180,B174,ANNOUNCEMENTS!$Z$2:$Z$180,$L$37,ANNOUNCEMENTS!$J$2:$J$180,C174)+
COUNTIFS(ANNOUNCEMENTS!$E$2:$E$180,B174,ANNOUNCEMENTS!$AB$2:$AB$180,$J$37,ANNOUNCEMENTS!$J$2:$J$180,C174)+
COUNTIFS(ANNOUNCEMENTS!$E$2:$E$180,B174,ANNOUNCEMENTS!$AB$2:$AB$180,$L$37,ANNOUNCEMENTS!$J$2:$J$180,C174)+
COUNTIFS(ANNOUNCEMENTS!$E$2:$E$180,B174,ANNOUNCEMENTS!$AD$2:$AD$180,$J$37,ANNOUNCEMENTS!$J$2:$J$180,C174)+
COUNTIFS(ANNOUNCEMENTS!$E$2:$E$180,B174,ANNOUNCEMENTS!$AD$2:$AD$180,$L$37,ANNOUNCEMENTS!$J$2:$J$180,C174)</f>
        <v>2</v>
      </c>
      <c r="AJ174" s="21">
        <f>COUNTIFS(ANNOUNCEMENTS!$E$2:$E$180,B174,ANNOUNCEMENTS!$Z$2:$Z$180,$H$37,ANNOUNCEMENTS!$J$2:$J$180,C174)+
COUNTIFS(ANNOUNCEMENTS!$E$2:$E$180,B174,ANNOUNCEMENTS!$Z$2:$Z$180,$I$37,ANNOUNCEMENTS!$J$2:$J$180,C174)+
COUNTIFS(ANNOUNCEMENTS!$E$2:$E$180,B174,ANNOUNCEMENTS!$Z$2:$Z$180,$P$37,ANNOUNCEMENTS!$J$2:$J$180,C174)+
COUNTIFS(ANNOUNCEMENTS!$E$2:$E$180,B174,ANNOUNCEMENTS!$AB$2:$AB$180,$H$37,ANNOUNCEMENTS!$J$2:$J$180,C174)+
COUNTIFS(ANNOUNCEMENTS!$E$2:$E$180,B174,ANNOUNCEMENTS!$AB$2:$AB$180,$I$37,ANNOUNCEMENTS!$J$2:$J$180,C174)+
COUNTIFS(ANNOUNCEMENTS!$E$2:$E$180,B174,ANNOUNCEMENTS!$AB$2:$AB$180,$P$37,ANNOUNCEMENTS!$J$2:$J$180,C174)+
COUNTIFS(ANNOUNCEMENTS!$E$2:$E$180,B174,ANNOUNCEMENTS!$AD$2:$AD$180,$H$37,ANNOUNCEMENTS!$J$2:$J$180,C174)+
COUNTIFS(ANNOUNCEMENTS!$E$2:$E$180,B174,ANNOUNCEMENTS!$AD$2:$AD$180,$I$37,ANNOUNCEMENTS!$J$2:$J$180,C174)+
COUNTIFS(ANNOUNCEMENTS!$E$2:$E$180,B174,ANNOUNCEMENTS!$AD$2:$AD$180,$P$37,ANNOUNCEMENTS!$J$2:$J$180,C174)</f>
        <v>0</v>
      </c>
      <c r="AK174" s="310" cm="1">
        <f t="array" ref="AK174">SUM(COUNTIFS(ANNOUNCEMENTS!$E$2:$E$180,B174,ANNOUNCEMENTS!$W$2:$W$180,$E$38:$E$40,ANNOUNCEMENTS!$J$2:$J$180,C174))</f>
        <v>2</v>
      </c>
      <c r="AL174" s="21" cm="1">
        <f t="array" ref="AL174">SUM(COUNTIFS(ANNOUNCEMENTS!$E$2:$E$180,B174,ANNOUNCEMENTS!$W$2:$W$180,$E$43:$E$44,ANNOUNCEMENTS!$J$2:$J$180,C174))</f>
        <v>1</v>
      </c>
      <c r="AM174" s="21">
        <f t="shared" si="69"/>
        <v>3</v>
      </c>
      <c r="AN174" s="21">
        <f t="shared" si="70"/>
        <v>1</v>
      </c>
      <c r="AO174" s="309" cm="1">
        <f t="array" ref="AO174">_xlfn.XLOOKUP(AO$159,CBIMPORT!$A$1:$AM$1,_xlfn.XLOOKUP($B174,CBIMPORT!$A$1:$A$40,CBIMPORT!$A$1:$AM$40))</f>
        <v>0</v>
      </c>
      <c r="AP174" s="308" cm="1">
        <f t="array" ref="AP174">_xlfn.XLOOKUP(AP$159,CBIMPORT!$A$1:$AM$1,_xlfn.XLOOKUP($B174,CBIMPORT!$A$1:$A$40,CBIMPORT!$A$1:$AM$40))</f>
        <v>175</v>
      </c>
      <c r="AQ174" s="307" cm="1">
        <f t="array" ref="AQ174">_xlfn.XLOOKUP(AQ$159,CBIMPORT!$A$1:$AM$1,_xlfn.XLOOKUP($B174,CBIMPORT!$A$1:$A$40,CBIMPORT!$A$1:$AM$40))</f>
        <v>30.083497999999999</v>
      </c>
    </row>
    <row r="175" spans="1:60" x14ac:dyDescent="0.35">
      <c r="A175" s="303" t="s">
        <v>2185</v>
      </c>
      <c r="B175" s="315" t="str">
        <f t="shared" si="62"/>
        <v>Kodiak</v>
      </c>
      <c r="C175" s="314" t="str">
        <f t="shared" si="63"/>
        <v>Trucking</v>
      </c>
      <c r="D175" s="313">
        <f>COUNTIFS(ANNOUNCEMENTS!$E$2:$E$180,$B175,ANNOUNCEMENTS!$J$2:$J$180,$C175)</f>
        <v>2</v>
      </c>
      <c r="E175" s="312" t="str" cm="1">
        <f t="array" ref="E175">_xlfn.ARRAYTOTEXT(
IF(D175&gt;0,_xlfn._xlws.FILTER(CHOOSE({1},
ANNOUNCEMENTS!$K$1:$K$180),
(ANNOUNCEMENTS!$E$1:$E$180=B175)*((ANNOUNCEMENTS!$J$1:$J$180=$C175)))))</f>
        <v>Ten Roads Express; Werner</v>
      </c>
      <c r="F175" s="306">
        <f t="shared" si="64"/>
        <v>1</v>
      </c>
      <c r="G175" s="310" t="str" cm="1">
        <f t="array" ref="G175">_xlfn.XLOOKUP($A175,'Industries all mentioned partne'!$A$2:$A$58,_xlfn.XLOOKUP(G$159,'Industries all mentioned partne'!$A$2:$DM$2,'Industries all mentioned partne'!$A$2:$DM$58))</f>
        <v>Logistics</v>
      </c>
      <c r="H175" s="91" cm="1">
        <f t="array" ref="H175">_xlfn.XLOOKUP($A175,'Industries all mentioned partne'!$A$2:$A$58,_xlfn.XLOOKUP(H$159,'Industries all mentioned partne'!$A$2:$DM$2,'Industries all mentioned partne'!$A$2:$DM$58))</f>
        <v>1</v>
      </c>
      <c r="I175" s="310" t="str" cm="1">
        <f t="array" ref="I175">_xlfn.XLOOKUP($A175,'Industries all mentioned partne'!$A$2:$A$58,_xlfn.XLOOKUP(I$159,'Industries all mentioned partne'!$A$2:$DM$2,'Industries all mentioned partne'!$A$2:$DM$58))</f>
        <v/>
      </c>
      <c r="J175" s="91" t="str" cm="1">
        <f t="array" ref="J175">_xlfn.XLOOKUP($A175,'Industries all mentioned partne'!$A$2:$A$58,_xlfn.XLOOKUP(J$159,'Industries all mentioned partne'!$A$2:$DM$2,'Industries all mentioned partne'!$A$2:$DM$58))</f>
        <v/>
      </c>
      <c r="K175" s="310" t="str" cm="1">
        <f t="array" ref="K175">_xlfn.XLOOKUP($A175,'Industries all mentioned partne'!$A$2:$A$58,_xlfn.XLOOKUP(K$159,'Industries all mentioned partne'!$A$2:$DM$2,'Industries all mentioned partne'!$A$2:$DM$58))</f>
        <v/>
      </c>
      <c r="L175" s="91" t="str" cm="1">
        <f t="array" ref="L175">_xlfn.XLOOKUP($A175,'Industries all mentioned partne'!$A$2:$A$58,_xlfn.XLOOKUP(L$159,'Industries all mentioned partne'!$A$2:$DM$2,'Industries all mentioned partne'!$A$2:$DM$58))</f>
        <v/>
      </c>
      <c r="M175" s="311" t="str" cm="1">
        <f t="array" ref="M175">_xlfn.XLOOKUP($M$159,CBIMPORT!$A$1:$AN$1,_xlfn.XLOOKUP(B175,CBIMPORT!$A$1:$A$171,CBIMPORT!$A$1:$AN$171))</f>
        <v>L1</v>
      </c>
      <c r="N175" s="309" cm="1">
        <f t="array" ref="N175">_xlfn.XLOOKUP(N$159,CBIMPORT!$A$1:$AM$1,_xlfn.XLOOKUP($B175,CBIMPORT!$A$1:$A$40,CBIMPORT!$A$1:$AM$40))</f>
        <v>4</v>
      </c>
      <c r="O175" s="21">
        <f>COUNTIFS(ANNOUNCEMENTS!$E$2:$E$180,$B175,ANNOUNCEMENTS!$Z$2:$Z$180,O$159,ANNOUNCEMENTS!$J$2:$J$180,$C175)+
COUNTIFS(ANNOUNCEMENTS!$E$2:$E$180,$B175,ANNOUNCEMENTS!$AB$2:$AB$180,O$159,ANNOUNCEMENTS!$J$2:$J$180,$C175)+
COUNTIFS(ANNOUNCEMENTS!$E$2:$E$180,$B175,ANNOUNCEMENTS!$AD$2:$AD$180,O$159,ANNOUNCEMENTS!$J$2:$J$180,$C175)</f>
        <v>1</v>
      </c>
      <c r="P175" s="21">
        <f>COUNTIFS(ANNOUNCEMENTS!$E$2:$E$180,$B175,ANNOUNCEMENTS!$Z$2:$Z$180,P$159,ANNOUNCEMENTS!$J$2:$J$180,$C175)+
COUNTIFS(ANNOUNCEMENTS!$E$2:$E$180,$B175,ANNOUNCEMENTS!$AB$2:$AB$180,P$159,ANNOUNCEMENTS!$J$2:$J$180,$C175)+
COUNTIFS(ANNOUNCEMENTS!$E$2:$E$180,$B175,ANNOUNCEMENTS!$AD$2:$AD$180,P$159,ANNOUNCEMENTS!$J$2:$J$180,$C175)</f>
        <v>0</v>
      </c>
      <c r="Q175" s="21">
        <f>COUNTIFS(ANNOUNCEMENTS!$E$2:$E$180,$B175,ANNOUNCEMENTS!$Z$2:$Z$180,Q$159,ANNOUNCEMENTS!$J$2:$J$180,$C175)+
COUNTIFS(ANNOUNCEMENTS!$E$2:$E$180,$B175,ANNOUNCEMENTS!$AB$2:$AB$180,Q$159,ANNOUNCEMENTS!$J$2:$J$180,$C175)+
COUNTIFS(ANNOUNCEMENTS!$E$2:$E$180,$B175,ANNOUNCEMENTS!$AD$2:$AD$180,Q$159,ANNOUNCEMENTS!$J$2:$J$180,$C175)</f>
        <v>0</v>
      </c>
      <c r="R175" s="21">
        <f>COUNTIFS(ANNOUNCEMENTS!$E$2:$E$180,$B175,ANNOUNCEMENTS!$Z$2:$Z$180,R$159,ANNOUNCEMENTS!$J$2:$J$180,$C175)+
COUNTIFS(ANNOUNCEMENTS!$E$2:$E$180,$B175,ANNOUNCEMENTS!$AB$2:$AB$180,R$159,ANNOUNCEMENTS!$J$2:$J$180,$C175)+
COUNTIFS(ANNOUNCEMENTS!$E$2:$E$180,$B175,ANNOUNCEMENTS!$AD$2:$AD$180,R$159,ANNOUNCEMENTS!$J$2:$J$180,$C175)</f>
        <v>0</v>
      </c>
      <c r="S175" s="21">
        <f>COUNTIFS(ANNOUNCEMENTS!$E$2:$E$180,$B175,ANNOUNCEMENTS!$Z$2:$Z$180,S$159,ANNOUNCEMENTS!$J$2:$J$180,$C175)+
COUNTIFS(ANNOUNCEMENTS!$E$2:$E$180,$B175,ANNOUNCEMENTS!$AB$2:$AB$180,S$159,ANNOUNCEMENTS!$J$2:$J$180,$C175)+
COUNTIFS(ANNOUNCEMENTS!$E$2:$E$180,$B175,ANNOUNCEMENTS!$AD$2:$AD$180,S$159,ANNOUNCEMENTS!$J$2:$J$180,$C175)</f>
        <v>1</v>
      </c>
      <c r="T175" s="21">
        <f>COUNTIFS(ANNOUNCEMENTS!$E$2:$E$180,$B175,ANNOUNCEMENTS!$Z$2:$Z$180,T$159,ANNOUNCEMENTS!$J$2:$J$180,$C175)+
COUNTIFS(ANNOUNCEMENTS!$E$2:$E$180,$B175,ANNOUNCEMENTS!$AB$2:$AB$180,T$159,ANNOUNCEMENTS!$J$2:$J$180,$C175)+
COUNTIFS(ANNOUNCEMENTS!$E$2:$E$180,$B175,ANNOUNCEMENTS!$AD$2:$AD$180,T$159,ANNOUNCEMENTS!$J$2:$J$180,$C175)</f>
        <v>0</v>
      </c>
      <c r="U175" s="21">
        <f>COUNTIFS(ANNOUNCEMENTS!$E$2:$E$180,$B175,ANNOUNCEMENTS!$Z$2:$Z$180,U$159,ANNOUNCEMENTS!$J$2:$J$180,$C175)+
COUNTIFS(ANNOUNCEMENTS!$E$2:$E$180,$B175,ANNOUNCEMENTS!$AB$2:$AB$180,U$159,ANNOUNCEMENTS!$J$2:$J$180,$C175)+
COUNTIFS(ANNOUNCEMENTS!$E$2:$E$180,$B175,ANNOUNCEMENTS!$AD$2:$AD$180,U$159,ANNOUNCEMENTS!$J$2:$J$180,$C175)</f>
        <v>0</v>
      </c>
      <c r="V175" s="21">
        <f>COUNTIFS(ANNOUNCEMENTS!$E$2:$E$180,$B175,ANNOUNCEMENTS!$Z$2:$Z$180,V$159,ANNOUNCEMENTS!$J$2:$J$180,$C175)+
COUNTIFS(ANNOUNCEMENTS!$E$2:$E$180,$B175,ANNOUNCEMENTS!$AB$2:$AB$180,V$159,ANNOUNCEMENTS!$J$2:$J$180,$C175)+
COUNTIFS(ANNOUNCEMENTS!$E$2:$E$180,$B175,ANNOUNCEMENTS!$AD$2:$AD$180,V$159,ANNOUNCEMENTS!$J$2:$J$180,$C175)</f>
        <v>0</v>
      </c>
      <c r="W175" s="21">
        <f>COUNTIFS(ANNOUNCEMENTS!$E$2:$E$180,$B175,ANNOUNCEMENTS!$Z$2:$Z$180,W$159,ANNOUNCEMENTS!$J$2:$J$180,$C175)+
COUNTIFS(ANNOUNCEMENTS!$E$2:$E$180,$B175,ANNOUNCEMENTS!$AB$2:$AB$180,W$159,ANNOUNCEMENTS!$J$2:$J$180,$C175)+
COUNTIFS(ANNOUNCEMENTS!$E$2:$E$180,$B175,ANNOUNCEMENTS!$AD$2:$AD$180,W$159,ANNOUNCEMENTS!$J$2:$J$180,$C175)</f>
        <v>0</v>
      </c>
      <c r="X175" s="21">
        <f>COUNTIFS(ANNOUNCEMENTS!$E$2:$E$180,$B175,ANNOUNCEMENTS!$W$2:$W$180,X$159,ANNOUNCEMENTS!$J$2:$J$180,$C175)</f>
        <v>0</v>
      </c>
      <c r="Y175" s="21">
        <f>COUNTIFS(ANNOUNCEMENTS!$E$2:$E$180,$B175,ANNOUNCEMENTS!$W$2:$W$180,Y$159,ANNOUNCEMENTS!$J$2:$J$180,$C175)</f>
        <v>2</v>
      </c>
      <c r="Z175" s="21">
        <f>COUNTIFS(ANNOUNCEMENTS!$E$2:$E$180,$B175,ANNOUNCEMENTS!$W$2:$W$180,Z$159,ANNOUNCEMENTS!$J$2:$J$180,$C175)</f>
        <v>0</v>
      </c>
      <c r="AA175" s="21">
        <f>COUNTIFS(ANNOUNCEMENTS!$E$2:$E$180,$B175,ANNOUNCEMENTS!$W$2:$W$180,AA$159,ANNOUNCEMENTS!$J$2:$J$180,$C175)</f>
        <v>0</v>
      </c>
      <c r="AB175" s="21">
        <f>COUNTIFS(ANNOUNCEMENTS!$E$2:$E$180,$B175,ANNOUNCEMENTS!$W$2:$W$180,AB$159,ANNOUNCEMENTS!$J$2:$J$180,$C175)</f>
        <v>0</v>
      </c>
      <c r="AC175" s="21">
        <f>COUNTIFS(ANNOUNCEMENTS!$E$2:$E$180,$B175,ANNOUNCEMENTS!$W$2:$W$180,AC$159,ANNOUNCEMENTS!$J$2:$J$180,$C175)</f>
        <v>0</v>
      </c>
      <c r="AD175" s="21">
        <f>COUNTIFS(ANNOUNCEMENTS!$E$2:$E$180,$B175,ANNOUNCEMENTS!$W$2:$W$180,AD$159,ANNOUNCEMENTS!$J$2:$J$180,$C175)</f>
        <v>0</v>
      </c>
      <c r="AE175" s="311">
        <f t="shared" si="65"/>
        <v>1</v>
      </c>
      <c r="AF175" s="311">
        <f t="shared" si="66"/>
        <v>0</v>
      </c>
      <c r="AG175" s="311">
        <f t="shared" si="67"/>
        <v>0</v>
      </c>
      <c r="AH175" s="311">
        <f t="shared" si="68"/>
        <v>0</v>
      </c>
      <c r="AI175" s="21">
        <f>COUNTIFS(ANNOUNCEMENTS!$E$2:$E$180,B175,ANNOUNCEMENTS!$Z$2:$Z$180,$J$37,ANNOUNCEMENTS!$J$2:$J$180,C175)+
COUNTIFS(ANNOUNCEMENTS!$E$2:$E$180,B175,ANNOUNCEMENTS!$Z$2:$Z$180,$L$37,ANNOUNCEMENTS!$J$2:$J$180,C175)+
COUNTIFS(ANNOUNCEMENTS!$E$2:$E$180,B175,ANNOUNCEMENTS!$AB$2:$AB$180,$J$37,ANNOUNCEMENTS!$J$2:$J$180,C175)+
COUNTIFS(ANNOUNCEMENTS!$E$2:$E$180,B175,ANNOUNCEMENTS!$AB$2:$AB$180,$L$37,ANNOUNCEMENTS!$J$2:$J$180,C175)+
COUNTIFS(ANNOUNCEMENTS!$E$2:$E$180,B175,ANNOUNCEMENTS!$AD$2:$AD$180,$J$37,ANNOUNCEMENTS!$J$2:$J$180,C175)+
COUNTIFS(ANNOUNCEMENTS!$E$2:$E$180,B175,ANNOUNCEMENTS!$AD$2:$AD$180,$L$37,ANNOUNCEMENTS!$J$2:$J$180,C175)</f>
        <v>1</v>
      </c>
      <c r="AJ175" s="21">
        <f>COUNTIFS(ANNOUNCEMENTS!$E$2:$E$180,B175,ANNOUNCEMENTS!$Z$2:$Z$180,$H$37,ANNOUNCEMENTS!$J$2:$J$180,C175)+
COUNTIFS(ANNOUNCEMENTS!$E$2:$E$180,B175,ANNOUNCEMENTS!$Z$2:$Z$180,$I$37,ANNOUNCEMENTS!$J$2:$J$180,C175)+
COUNTIFS(ANNOUNCEMENTS!$E$2:$E$180,B175,ANNOUNCEMENTS!$Z$2:$Z$180,$P$37,ANNOUNCEMENTS!$J$2:$J$180,C175)+
COUNTIFS(ANNOUNCEMENTS!$E$2:$E$180,B175,ANNOUNCEMENTS!$AB$2:$AB$180,$H$37,ANNOUNCEMENTS!$J$2:$J$180,C175)+
COUNTIFS(ANNOUNCEMENTS!$E$2:$E$180,B175,ANNOUNCEMENTS!$AB$2:$AB$180,$I$37,ANNOUNCEMENTS!$J$2:$J$180,C175)+
COUNTIFS(ANNOUNCEMENTS!$E$2:$E$180,B175,ANNOUNCEMENTS!$AB$2:$AB$180,$P$37,ANNOUNCEMENTS!$J$2:$J$180,C175)+
COUNTIFS(ANNOUNCEMENTS!$E$2:$E$180,B175,ANNOUNCEMENTS!$AD$2:$AD$180,$H$37,ANNOUNCEMENTS!$J$2:$J$180,C175)+
COUNTIFS(ANNOUNCEMENTS!$E$2:$E$180,B175,ANNOUNCEMENTS!$AD$2:$AD$180,$I$37,ANNOUNCEMENTS!$J$2:$J$180,C175)+
COUNTIFS(ANNOUNCEMENTS!$E$2:$E$180,B175,ANNOUNCEMENTS!$AD$2:$AD$180,$P$37,ANNOUNCEMENTS!$J$2:$J$180,C175)</f>
        <v>1</v>
      </c>
      <c r="AK175" s="310" cm="1">
        <f t="array" ref="AK175">SUM(COUNTIFS(ANNOUNCEMENTS!$E$2:$E$180,B175,ANNOUNCEMENTS!$W$2:$W$180,$E$38:$E$40,ANNOUNCEMENTS!$J$2:$J$180,C175))</f>
        <v>2</v>
      </c>
      <c r="AL175" s="21" cm="1">
        <f t="array" ref="AL175">SUM(COUNTIFS(ANNOUNCEMENTS!$E$2:$E$180,B175,ANNOUNCEMENTS!$W$2:$W$180,$E$43:$E$44,ANNOUNCEMENTS!$J$2:$J$180,C175))</f>
        <v>0</v>
      </c>
      <c r="AM175" s="21">
        <f t="shared" si="69"/>
        <v>2</v>
      </c>
      <c r="AN175" s="21">
        <f t="shared" si="70"/>
        <v>1</v>
      </c>
      <c r="AO175" s="309" cm="1">
        <f t="array" ref="AO175">_xlfn.XLOOKUP(AO$159,CBIMPORT!$A$1:$AM$1,_xlfn.XLOOKUP($B175,CBIMPORT!$A$1:$A$40,CBIMPORT!$A$1:$AM$40))</f>
        <v>0</v>
      </c>
      <c r="AP175" s="308" cm="1">
        <f t="array" ref="AP175">_xlfn.XLOOKUP(AP$159,CBIMPORT!$A$1:$AM$1,_xlfn.XLOOKUP($B175,CBIMPORT!$A$1:$A$40,CBIMPORT!$A$1:$AM$40))</f>
        <v>250</v>
      </c>
      <c r="AQ175" s="307" cm="1">
        <f t="array" ref="AQ175">_xlfn.XLOOKUP(AQ$159,CBIMPORT!$A$1:$AM$1,_xlfn.XLOOKUP($B175,CBIMPORT!$A$1:$A$40,CBIMPORT!$A$1:$AM$40))</f>
        <v>319.89999999999998</v>
      </c>
    </row>
    <row r="176" spans="1:60" x14ac:dyDescent="0.35">
      <c r="A176" s="303" t="s">
        <v>2186</v>
      </c>
      <c r="B176" s="315" t="str">
        <f t="shared" si="62"/>
        <v>May Mobility</v>
      </c>
      <c r="C176" s="314" t="str">
        <f t="shared" si="63"/>
        <v>Ridehailing</v>
      </c>
      <c r="D176" s="313">
        <f>COUNTIFS(ANNOUNCEMENTS!$E$2:$E$180,$B176,ANNOUNCEMENTS!$J$2:$J$180,$C176)</f>
        <v>5</v>
      </c>
      <c r="E176" s="312" t="str" cm="1">
        <f t="array" ref="E176">_xlfn.ARRAYTOTEXT(
IF(D176&gt;0,_xlfn._xlws.FILTER(CHOOSE({1},
ANNOUNCEMENTS!$K$1:$K$180),
(ANNOUNCEMENTS!$E$1:$E$180=B176)*((ANNOUNCEMENTS!$J$1:$J$180=$C176)))))</f>
        <v>Bridgestone; Stantec; Spare; Moovit; Liftango</v>
      </c>
      <c r="F176" s="306">
        <f t="shared" si="64"/>
        <v>2</v>
      </c>
      <c r="G176" s="310" t="str" cm="1">
        <f t="array" ref="G176">_xlfn.XLOOKUP($A176,'Industries all mentioned partne'!$A$2:$A$58,_xlfn.XLOOKUP(G$159,'Industries all mentioned partne'!$A$2:$DM$2,'Industries all mentioned partne'!$A$2:$DM$58))</f>
        <v>Mobility Services Booking</v>
      </c>
      <c r="H176" s="91" cm="1">
        <f t="array" ref="H176">_xlfn.XLOOKUP($A176,'Industries all mentioned partne'!$A$2:$A$58,_xlfn.XLOOKUP(H$159,'Industries all mentioned partne'!$A$2:$DM$2,'Industries all mentioned partne'!$A$2:$DM$58))</f>
        <v>0.4</v>
      </c>
      <c r="I176" s="310" t="str" cm="1">
        <f t="array" ref="I176">_xlfn.XLOOKUP($A176,'Industries all mentioned partne'!$A$2:$A$58,_xlfn.XLOOKUP(I$159,'Industries all mentioned partne'!$A$2:$DM$2,'Industries all mentioned partne'!$A$2:$DM$58))</f>
        <v>Automotive Supplier</v>
      </c>
      <c r="J176" s="91" cm="1">
        <f t="array" ref="J176">_xlfn.XLOOKUP($A176,'Industries all mentioned partne'!$A$2:$A$58,_xlfn.XLOOKUP(J$159,'Industries all mentioned partne'!$A$2:$DM$2,'Industries all mentioned partne'!$A$2:$DM$58))</f>
        <v>0.2</v>
      </c>
      <c r="K176" s="310" t="str" cm="1">
        <f t="array" ref="K176">_xlfn.XLOOKUP($A176,'Industries all mentioned partne'!$A$2:$A$58,_xlfn.XLOOKUP(K$159,'Industries all mentioned partne'!$A$2:$DM$2,'Industries all mentioned partne'!$A$2:$DM$58))</f>
        <v>Automotive Supplier</v>
      </c>
      <c r="L176" s="91" cm="1">
        <f t="array" ref="L176">_xlfn.XLOOKUP($A176,'Industries all mentioned partne'!$A$2:$A$58,_xlfn.XLOOKUP(L$159,'Industries all mentioned partne'!$A$2:$DM$2,'Industries all mentioned partne'!$A$2:$DM$58))</f>
        <v>0.2</v>
      </c>
      <c r="M176" s="311" t="str" cm="1">
        <f t="array" ref="M176">_xlfn.XLOOKUP($M$159,CBIMPORT!$A$1:$AN$1,_xlfn.XLOOKUP(B176,CBIMPORT!$A$1:$A$171,CBIMPORT!$A$1:$AN$171))</f>
        <v>L1</v>
      </c>
      <c r="N176" s="309" cm="1">
        <f t="array" ref="N176">_xlfn.XLOOKUP(N$159,CBIMPORT!$A$1:$AM$1,_xlfn.XLOOKUP($B176,CBIMPORT!$A$1:$A$40,CBIMPORT!$A$1:$AM$40))</f>
        <v>32</v>
      </c>
      <c r="O176" s="21">
        <f>COUNTIFS(ANNOUNCEMENTS!$E$2:$E$180,$B176,ANNOUNCEMENTS!$Z$2:$Z$180,O$159,ANNOUNCEMENTS!$J$2:$J$180,$C176)+
COUNTIFS(ANNOUNCEMENTS!$E$2:$E$180,$B176,ANNOUNCEMENTS!$AB$2:$AB$180,O$159,ANNOUNCEMENTS!$J$2:$J$180,$C176)+
COUNTIFS(ANNOUNCEMENTS!$E$2:$E$180,$B176,ANNOUNCEMENTS!$AD$2:$AD$180,O$159,ANNOUNCEMENTS!$J$2:$J$180,$C176)</f>
        <v>2</v>
      </c>
      <c r="P176" s="21">
        <f>COUNTIFS(ANNOUNCEMENTS!$E$2:$E$180,$B176,ANNOUNCEMENTS!$Z$2:$Z$180,P$159,ANNOUNCEMENTS!$J$2:$J$180,$C176)+
COUNTIFS(ANNOUNCEMENTS!$E$2:$E$180,$B176,ANNOUNCEMENTS!$AB$2:$AB$180,P$159,ANNOUNCEMENTS!$J$2:$J$180,$C176)+
COUNTIFS(ANNOUNCEMENTS!$E$2:$E$180,$B176,ANNOUNCEMENTS!$AD$2:$AD$180,P$159,ANNOUNCEMENTS!$J$2:$J$180,$C176)</f>
        <v>0</v>
      </c>
      <c r="Q176" s="21">
        <f>COUNTIFS(ANNOUNCEMENTS!$E$2:$E$180,$B176,ANNOUNCEMENTS!$Z$2:$Z$180,Q$159,ANNOUNCEMENTS!$J$2:$J$180,$C176)+
COUNTIFS(ANNOUNCEMENTS!$E$2:$E$180,$B176,ANNOUNCEMENTS!$AB$2:$AB$180,Q$159,ANNOUNCEMENTS!$J$2:$J$180,$C176)+
COUNTIFS(ANNOUNCEMENTS!$E$2:$E$180,$B176,ANNOUNCEMENTS!$AD$2:$AD$180,Q$159,ANNOUNCEMENTS!$J$2:$J$180,$C176)</f>
        <v>3</v>
      </c>
      <c r="R176" s="21">
        <f>COUNTIFS(ANNOUNCEMENTS!$E$2:$E$180,$B176,ANNOUNCEMENTS!$Z$2:$Z$180,R$159,ANNOUNCEMENTS!$J$2:$J$180,$C176)+
COUNTIFS(ANNOUNCEMENTS!$E$2:$E$180,$B176,ANNOUNCEMENTS!$AB$2:$AB$180,R$159,ANNOUNCEMENTS!$J$2:$J$180,$C176)+
COUNTIFS(ANNOUNCEMENTS!$E$2:$E$180,$B176,ANNOUNCEMENTS!$AD$2:$AD$180,R$159,ANNOUNCEMENTS!$J$2:$J$180,$C176)</f>
        <v>0</v>
      </c>
      <c r="S176" s="21">
        <f>COUNTIFS(ANNOUNCEMENTS!$E$2:$E$180,$B176,ANNOUNCEMENTS!$Z$2:$Z$180,S$159,ANNOUNCEMENTS!$J$2:$J$180,$C176)+
COUNTIFS(ANNOUNCEMENTS!$E$2:$E$180,$B176,ANNOUNCEMENTS!$AB$2:$AB$180,S$159,ANNOUNCEMENTS!$J$2:$J$180,$C176)+
COUNTIFS(ANNOUNCEMENTS!$E$2:$E$180,$B176,ANNOUNCEMENTS!$AD$2:$AD$180,S$159,ANNOUNCEMENTS!$J$2:$J$180,$C176)</f>
        <v>0</v>
      </c>
      <c r="T176" s="21">
        <f>COUNTIFS(ANNOUNCEMENTS!$E$2:$E$180,$B176,ANNOUNCEMENTS!$Z$2:$Z$180,T$159,ANNOUNCEMENTS!$J$2:$J$180,$C176)+
COUNTIFS(ANNOUNCEMENTS!$E$2:$E$180,$B176,ANNOUNCEMENTS!$AB$2:$AB$180,T$159,ANNOUNCEMENTS!$J$2:$J$180,$C176)+
COUNTIFS(ANNOUNCEMENTS!$E$2:$E$180,$B176,ANNOUNCEMENTS!$AD$2:$AD$180,T$159,ANNOUNCEMENTS!$J$2:$J$180,$C176)</f>
        <v>1</v>
      </c>
      <c r="U176" s="21">
        <f>COUNTIFS(ANNOUNCEMENTS!$E$2:$E$180,$B176,ANNOUNCEMENTS!$Z$2:$Z$180,U$159,ANNOUNCEMENTS!$J$2:$J$180,$C176)+
COUNTIFS(ANNOUNCEMENTS!$E$2:$E$180,$B176,ANNOUNCEMENTS!$AB$2:$AB$180,U$159,ANNOUNCEMENTS!$J$2:$J$180,$C176)+
COUNTIFS(ANNOUNCEMENTS!$E$2:$E$180,$B176,ANNOUNCEMENTS!$AD$2:$AD$180,U$159,ANNOUNCEMENTS!$J$2:$J$180,$C176)</f>
        <v>0</v>
      </c>
      <c r="V176" s="21">
        <f>COUNTIFS(ANNOUNCEMENTS!$E$2:$E$180,$B176,ANNOUNCEMENTS!$Z$2:$Z$180,V$159,ANNOUNCEMENTS!$J$2:$J$180,$C176)+
COUNTIFS(ANNOUNCEMENTS!$E$2:$E$180,$B176,ANNOUNCEMENTS!$AB$2:$AB$180,V$159,ANNOUNCEMENTS!$J$2:$J$180,$C176)+
COUNTIFS(ANNOUNCEMENTS!$E$2:$E$180,$B176,ANNOUNCEMENTS!$AD$2:$AD$180,V$159,ANNOUNCEMENTS!$J$2:$J$180,$C176)</f>
        <v>0</v>
      </c>
      <c r="W176" s="21">
        <f>COUNTIFS(ANNOUNCEMENTS!$E$2:$E$180,$B176,ANNOUNCEMENTS!$Z$2:$Z$180,W$159,ANNOUNCEMENTS!$J$2:$J$180,$C176)+
COUNTIFS(ANNOUNCEMENTS!$E$2:$E$180,$B176,ANNOUNCEMENTS!$AB$2:$AB$180,W$159,ANNOUNCEMENTS!$J$2:$J$180,$C176)+
COUNTIFS(ANNOUNCEMENTS!$E$2:$E$180,$B176,ANNOUNCEMENTS!$AD$2:$AD$180,W$159,ANNOUNCEMENTS!$J$2:$J$180,$C176)</f>
        <v>0</v>
      </c>
      <c r="X176" s="21">
        <f>COUNTIFS(ANNOUNCEMENTS!$E$2:$E$180,$B176,ANNOUNCEMENTS!$W$2:$W$180,X$159,ANNOUNCEMENTS!$J$2:$J$180,$C176)</f>
        <v>0</v>
      </c>
      <c r="Y176" s="21">
        <f>COUNTIFS(ANNOUNCEMENTS!$E$2:$E$180,$B176,ANNOUNCEMENTS!$W$2:$W$180,Y$159,ANNOUNCEMENTS!$J$2:$J$180,$C176)</f>
        <v>4</v>
      </c>
      <c r="Z176" s="21">
        <f>COUNTIFS(ANNOUNCEMENTS!$E$2:$E$180,$B176,ANNOUNCEMENTS!$W$2:$W$180,Z$159,ANNOUNCEMENTS!$J$2:$J$180,$C176)</f>
        <v>0</v>
      </c>
      <c r="AA176" s="21">
        <f>COUNTIFS(ANNOUNCEMENTS!$E$2:$E$180,$B176,ANNOUNCEMENTS!$W$2:$W$180,AA$159,ANNOUNCEMENTS!$J$2:$J$180,$C176)</f>
        <v>0</v>
      </c>
      <c r="AB176" s="21">
        <f>COUNTIFS(ANNOUNCEMENTS!$E$2:$E$180,$B176,ANNOUNCEMENTS!$W$2:$W$180,AB$159,ANNOUNCEMENTS!$J$2:$J$180,$C176)</f>
        <v>0</v>
      </c>
      <c r="AC176" s="21">
        <f>COUNTIFS(ANNOUNCEMENTS!$E$2:$E$180,$B176,ANNOUNCEMENTS!$W$2:$W$180,AC$159,ANNOUNCEMENTS!$J$2:$J$180,$C176)</f>
        <v>1</v>
      </c>
      <c r="AD176" s="21">
        <f>COUNTIFS(ANNOUNCEMENTS!$E$2:$E$180,$B176,ANNOUNCEMENTS!$W$2:$W$180,AD$159,ANNOUNCEMENTS!$J$2:$J$180,$C176)</f>
        <v>0</v>
      </c>
      <c r="AE176" s="311">
        <f t="shared" si="65"/>
        <v>1</v>
      </c>
      <c r="AF176" s="311">
        <f t="shared" si="66"/>
        <v>0</v>
      </c>
      <c r="AG176" s="311">
        <f t="shared" si="67"/>
        <v>0</v>
      </c>
      <c r="AH176" s="311">
        <f t="shared" si="68"/>
        <v>0</v>
      </c>
      <c r="AI176" s="21">
        <f>COUNTIFS(ANNOUNCEMENTS!$E$2:$E$180,B176,ANNOUNCEMENTS!$Z$2:$Z$180,$J$37,ANNOUNCEMENTS!$J$2:$J$180,C176)+
COUNTIFS(ANNOUNCEMENTS!$E$2:$E$180,B176,ANNOUNCEMENTS!$Z$2:$Z$180,$L$37,ANNOUNCEMENTS!$J$2:$J$180,C176)+
COUNTIFS(ANNOUNCEMENTS!$E$2:$E$180,B176,ANNOUNCEMENTS!$AB$2:$AB$180,$J$37,ANNOUNCEMENTS!$J$2:$J$180,C176)+
COUNTIFS(ANNOUNCEMENTS!$E$2:$E$180,B176,ANNOUNCEMENTS!$AB$2:$AB$180,$L$37,ANNOUNCEMENTS!$J$2:$J$180,C176)+
COUNTIFS(ANNOUNCEMENTS!$E$2:$E$180,B176,ANNOUNCEMENTS!$AD$2:$AD$180,$J$37,ANNOUNCEMENTS!$J$2:$J$180,C176)+
COUNTIFS(ANNOUNCEMENTS!$E$2:$E$180,B176,ANNOUNCEMENTS!$AD$2:$AD$180,$L$37,ANNOUNCEMENTS!$J$2:$J$180,C176)</f>
        <v>3</v>
      </c>
      <c r="AJ176" s="21">
        <f>COUNTIFS(ANNOUNCEMENTS!$E$2:$E$180,B176,ANNOUNCEMENTS!$Z$2:$Z$180,$H$37,ANNOUNCEMENTS!$J$2:$J$180,C176)+
COUNTIFS(ANNOUNCEMENTS!$E$2:$E$180,B176,ANNOUNCEMENTS!$Z$2:$Z$180,$I$37,ANNOUNCEMENTS!$J$2:$J$180,C176)+
COUNTIFS(ANNOUNCEMENTS!$E$2:$E$180,B176,ANNOUNCEMENTS!$Z$2:$Z$180,$P$37,ANNOUNCEMENTS!$J$2:$J$180,C176)+
COUNTIFS(ANNOUNCEMENTS!$E$2:$E$180,B176,ANNOUNCEMENTS!$AB$2:$AB$180,$H$37,ANNOUNCEMENTS!$J$2:$J$180,C176)+
COUNTIFS(ANNOUNCEMENTS!$E$2:$E$180,B176,ANNOUNCEMENTS!$AB$2:$AB$180,$I$37,ANNOUNCEMENTS!$J$2:$J$180,C176)+
COUNTIFS(ANNOUNCEMENTS!$E$2:$E$180,B176,ANNOUNCEMENTS!$AB$2:$AB$180,$P$37,ANNOUNCEMENTS!$J$2:$J$180,C176)+
COUNTIFS(ANNOUNCEMENTS!$E$2:$E$180,B176,ANNOUNCEMENTS!$AD$2:$AD$180,$H$37,ANNOUNCEMENTS!$J$2:$J$180,C176)+
COUNTIFS(ANNOUNCEMENTS!$E$2:$E$180,B176,ANNOUNCEMENTS!$AD$2:$AD$180,$I$37,ANNOUNCEMENTS!$J$2:$J$180,C176)+
COUNTIFS(ANNOUNCEMENTS!$E$2:$E$180,B176,ANNOUNCEMENTS!$AD$2:$AD$180,$P$37,ANNOUNCEMENTS!$J$2:$J$180,C176)</f>
        <v>2</v>
      </c>
      <c r="AK176" s="310" cm="1">
        <f t="array" ref="AK176">SUM(COUNTIFS(ANNOUNCEMENTS!$E$2:$E$180,B176,ANNOUNCEMENTS!$W$2:$W$180,$E$38:$E$40,ANNOUNCEMENTS!$J$2:$J$180,C176))</f>
        <v>4</v>
      </c>
      <c r="AL176" s="21" cm="1">
        <f t="array" ref="AL176">SUM(COUNTIFS(ANNOUNCEMENTS!$E$2:$E$180,B176,ANNOUNCEMENTS!$W$2:$W$180,$E$43:$E$44,ANNOUNCEMENTS!$J$2:$J$180,C176))</f>
        <v>1</v>
      </c>
      <c r="AM176" s="21">
        <f t="shared" si="69"/>
        <v>5</v>
      </c>
      <c r="AN176" s="21">
        <f t="shared" si="70"/>
        <v>2</v>
      </c>
      <c r="AO176" s="309" cm="1">
        <f t="array" ref="AO176">_xlfn.XLOOKUP(AO$159,CBIMPORT!$A$1:$AM$1,_xlfn.XLOOKUP($B176,CBIMPORT!$A$1:$A$40,CBIMPORT!$A$1:$AM$40))</f>
        <v>0</v>
      </c>
      <c r="AP176" s="308" cm="1">
        <f t="array" ref="AP176">_xlfn.XLOOKUP(AP$159,CBIMPORT!$A$1:$AM$1,_xlfn.XLOOKUP($B176,CBIMPORT!$A$1:$A$40,CBIMPORT!$A$1:$AM$40))</f>
        <v>250</v>
      </c>
      <c r="AQ176" s="307" cm="1">
        <f t="array" ref="AQ176">_xlfn.XLOOKUP(AQ$159,CBIMPORT!$A$1:$AM$1,_xlfn.XLOOKUP($B176,CBIMPORT!$A$1:$A$40,CBIMPORT!$A$1:$AM$40))</f>
        <v>302.62</v>
      </c>
    </row>
    <row r="177" spans="1:43" x14ac:dyDescent="0.35">
      <c r="A177" s="21" t="s">
        <v>2308</v>
      </c>
      <c r="B177" s="315" t="str">
        <f t="shared" si="62"/>
        <v>May Mobility</v>
      </c>
      <c r="C177" s="314" t="str">
        <f t="shared" si="63"/>
        <v>Ridepooling</v>
      </c>
      <c r="D177" s="313">
        <f>COUNTIFS(ANNOUNCEMENTS!$E$2:$E$180,$B177,ANNOUNCEMENTS!$J$2:$J$180,$C177)</f>
        <v>1</v>
      </c>
      <c r="E177" s="312" t="str" cm="1">
        <f t="array" ref="E177">_xlfn.ARRAYTOTEXT(
IF(D177&gt;0,_xlfn._xlws.FILTER(CHOOSE({1},
ANNOUNCEMENTS!$K$1:$K$180),
(ANNOUNCEMENTS!$E$1:$E$180=B177)*((ANNOUNCEMENTS!$J$1:$J$180=$C177)))))</f>
        <v>Via</v>
      </c>
      <c r="F177" s="306">
        <f t="shared" si="64"/>
        <v>0</v>
      </c>
      <c r="G177" s="310" t="str" cm="1">
        <f t="array" ref="G177">_xlfn.XLOOKUP($A177,'Industries all mentioned partne'!$A$2:$A$58,_xlfn.XLOOKUP(G$159,'Industries all mentioned partne'!$A$2:$DM$2,'Industries all mentioned partne'!$A$2:$DM$58))</f>
        <v>Transport Operator</v>
      </c>
      <c r="H177" s="91" cm="1">
        <f t="array" ref="H177">_xlfn.XLOOKUP($A177,'Industries all mentioned partne'!$A$2:$A$58,_xlfn.XLOOKUP(H$159,'Industries all mentioned partne'!$A$2:$DM$2,'Industries all mentioned partne'!$A$2:$DM$58))</f>
        <v>1</v>
      </c>
      <c r="I177" s="310" t="str" cm="1">
        <f t="array" ref="I177">_xlfn.XLOOKUP($A177,'Industries all mentioned partne'!$A$2:$A$58,_xlfn.XLOOKUP(I$159,'Industries all mentioned partne'!$A$2:$DM$2,'Industries all mentioned partne'!$A$2:$DM$58))</f>
        <v/>
      </c>
      <c r="J177" s="91" t="str" cm="1">
        <f t="array" ref="J177">_xlfn.XLOOKUP($A177,'Industries all mentioned partne'!$A$2:$A$58,_xlfn.XLOOKUP(J$159,'Industries all mentioned partne'!$A$2:$DM$2,'Industries all mentioned partne'!$A$2:$DM$58))</f>
        <v/>
      </c>
      <c r="K177" s="310" t="str" cm="1">
        <f t="array" ref="K177">_xlfn.XLOOKUP($A177,'Industries all mentioned partne'!$A$2:$A$58,_xlfn.XLOOKUP(K$159,'Industries all mentioned partne'!$A$2:$DM$2,'Industries all mentioned partne'!$A$2:$DM$58))</f>
        <v/>
      </c>
      <c r="L177" s="91" t="str" cm="1">
        <f t="array" ref="L177">_xlfn.XLOOKUP($A177,'Industries all mentioned partne'!$A$2:$A$58,_xlfn.XLOOKUP(L$159,'Industries all mentioned partne'!$A$2:$DM$2,'Industries all mentioned partne'!$A$2:$DM$58))</f>
        <v/>
      </c>
      <c r="M177" s="311" t="str" cm="1">
        <f t="array" ref="M177">_xlfn.XLOOKUP($M$159,CBIMPORT!$A$1:$AN$1,_xlfn.XLOOKUP(B177,CBIMPORT!$A$1:$A$171,CBIMPORT!$A$1:$AN$171))</f>
        <v>L1</v>
      </c>
      <c r="N177" s="309" cm="1">
        <f t="array" ref="N177">_xlfn.XLOOKUP(N$159,CBIMPORT!$A$1:$AM$1,_xlfn.XLOOKUP($B177,CBIMPORT!$A$1:$A$40,CBIMPORT!$A$1:$AM$40))</f>
        <v>32</v>
      </c>
      <c r="O177" s="21">
        <f>COUNTIFS(ANNOUNCEMENTS!$E$2:$E$180,$B177,ANNOUNCEMENTS!$Z$2:$Z$180,O$159,ANNOUNCEMENTS!$J$2:$J$180,$C177)+
COUNTIFS(ANNOUNCEMENTS!$E$2:$E$180,$B177,ANNOUNCEMENTS!$AB$2:$AB$180,O$159,ANNOUNCEMENTS!$J$2:$J$180,$C177)+
COUNTIFS(ANNOUNCEMENTS!$E$2:$E$180,$B177,ANNOUNCEMENTS!$AD$2:$AD$180,O$159,ANNOUNCEMENTS!$J$2:$J$180,$C177)</f>
        <v>0</v>
      </c>
      <c r="P177" s="21">
        <f>COUNTIFS(ANNOUNCEMENTS!$E$2:$E$180,$B177,ANNOUNCEMENTS!$Z$2:$Z$180,P$159,ANNOUNCEMENTS!$J$2:$J$180,$C177)+
COUNTIFS(ANNOUNCEMENTS!$E$2:$E$180,$B177,ANNOUNCEMENTS!$AB$2:$AB$180,P$159,ANNOUNCEMENTS!$J$2:$J$180,$C177)+
COUNTIFS(ANNOUNCEMENTS!$E$2:$E$180,$B177,ANNOUNCEMENTS!$AD$2:$AD$180,P$159,ANNOUNCEMENTS!$J$2:$J$180,$C177)</f>
        <v>0</v>
      </c>
      <c r="Q177" s="21">
        <f>COUNTIFS(ANNOUNCEMENTS!$E$2:$E$180,$B177,ANNOUNCEMENTS!$Z$2:$Z$180,Q$159,ANNOUNCEMENTS!$J$2:$J$180,$C177)+
COUNTIFS(ANNOUNCEMENTS!$E$2:$E$180,$B177,ANNOUNCEMENTS!$AB$2:$AB$180,Q$159,ANNOUNCEMENTS!$J$2:$J$180,$C177)+
COUNTIFS(ANNOUNCEMENTS!$E$2:$E$180,$B177,ANNOUNCEMENTS!$AD$2:$AD$180,Q$159,ANNOUNCEMENTS!$J$2:$J$180,$C177)</f>
        <v>1</v>
      </c>
      <c r="R177" s="21">
        <f>COUNTIFS(ANNOUNCEMENTS!$E$2:$E$180,$B177,ANNOUNCEMENTS!$Z$2:$Z$180,R$159,ANNOUNCEMENTS!$J$2:$J$180,$C177)+
COUNTIFS(ANNOUNCEMENTS!$E$2:$E$180,$B177,ANNOUNCEMENTS!$AB$2:$AB$180,R$159,ANNOUNCEMENTS!$J$2:$J$180,$C177)+
COUNTIFS(ANNOUNCEMENTS!$E$2:$E$180,$B177,ANNOUNCEMENTS!$AD$2:$AD$180,R$159,ANNOUNCEMENTS!$J$2:$J$180,$C177)</f>
        <v>0</v>
      </c>
      <c r="S177" s="21">
        <f>COUNTIFS(ANNOUNCEMENTS!$E$2:$E$180,$B177,ANNOUNCEMENTS!$Z$2:$Z$180,S$159,ANNOUNCEMENTS!$J$2:$J$180,$C177)+
COUNTIFS(ANNOUNCEMENTS!$E$2:$E$180,$B177,ANNOUNCEMENTS!$AB$2:$AB$180,S$159,ANNOUNCEMENTS!$J$2:$J$180,$C177)+
COUNTIFS(ANNOUNCEMENTS!$E$2:$E$180,$B177,ANNOUNCEMENTS!$AD$2:$AD$180,S$159,ANNOUNCEMENTS!$J$2:$J$180,$C177)</f>
        <v>0</v>
      </c>
      <c r="T177" s="21">
        <f>COUNTIFS(ANNOUNCEMENTS!$E$2:$E$180,$B177,ANNOUNCEMENTS!$Z$2:$Z$180,T$159,ANNOUNCEMENTS!$J$2:$J$180,$C177)+
COUNTIFS(ANNOUNCEMENTS!$E$2:$E$180,$B177,ANNOUNCEMENTS!$AB$2:$AB$180,T$159,ANNOUNCEMENTS!$J$2:$J$180,$C177)+
COUNTIFS(ANNOUNCEMENTS!$E$2:$E$180,$B177,ANNOUNCEMENTS!$AD$2:$AD$180,T$159,ANNOUNCEMENTS!$J$2:$J$180,$C177)</f>
        <v>0</v>
      </c>
      <c r="U177" s="21">
        <f>COUNTIFS(ANNOUNCEMENTS!$E$2:$E$180,$B177,ANNOUNCEMENTS!$Z$2:$Z$180,U$159,ANNOUNCEMENTS!$J$2:$J$180,$C177)+
COUNTIFS(ANNOUNCEMENTS!$E$2:$E$180,$B177,ANNOUNCEMENTS!$AB$2:$AB$180,U$159,ANNOUNCEMENTS!$J$2:$J$180,$C177)+
COUNTIFS(ANNOUNCEMENTS!$E$2:$E$180,$B177,ANNOUNCEMENTS!$AD$2:$AD$180,U$159,ANNOUNCEMENTS!$J$2:$J$180,$C177)</f>
        <v>0</v>
      </c>
      <c r="V177" s="21">
        <f>COUNTIFS(ANNOUNCEMENTS!$E$2:$E$180,$B177,ANNOUNCEMENTS!$Z$2:$Z$180,V$159,ANNOUNCEMENTS!$J$2:$J$180,$C177)+
COUNTIFS(ANNOUNCEMENTS!$E$2:$E$180,$B177,ANNOUNCEMENTS!$AB$2:$AB$180,V$159,ANNOUNCEMENTS!$J$2:$J$180,$C177)+
COUNTIFS(ANNOUNCEMENTS!$E$2:$E$180,$B177,ANNOUNCEMENTS!$AD$2:$AD$180,V$159,ANNOUNCEMENTS!$J$2:$J$180,$C177)</f>
        <v>0</v>
      </c>
      <c r="W177" s="21">
        <f>COUNTIFS(ANNOUNCEMENTS!$E$2:$E$180,$B177,ANNOUNCEMENTS!$Z$2:$Z$180,W$159,ANNOUNCEMENTS!$J$2:$J$180,$C177)+
COUNTIFS(ANNOUNCEMENTS!$E$2:$E$180,$B177,ANNOUNCEMENTS!$AB$2:$AB$180,W$159,ANNOUNCEMENTS!$J$2:$J$180,$C177)+
COUNTIFS(ANNOUNCEMENTS!$E$2:$E$180,$B177,ANNOUNCEMENTS!$AD$2:$AD$180,W$159,ANNOUNCEMENTS!$J$2:$J$180,$C177)</f>
        <v>0</v>
      </c>
      <c r="X177" s="21">
        <f>COUNTIFS(ANNOUNCEMENTS!$E$2:$E$180,$B177,ANNOUNCEMENTS!$Z$2:$Z$180,V$159,ANNOUNCEMENTS!$J$2:$J$180,$C177)+
COUNTIFS(ANNOUNCEMENTS!$E$2:$E$180,$B177,ANNOUNCEMENTS!$AB$2:$AB$180,V$159,ANNOUNCEMENTS!$J$2:$J$180,$C177)+
COUNTIFS(ANNOUNCEMENTS!$E$2:$E$180,$B177,ANNOUNCEMENTS!$AD$2:$AD$180,V$159,ANNOUNCEMENTS!$J$2:$J$180,$C177)</f>
        <v>0</v>
      </c>
      <c r="Y177" s="21">
        <f>COUNTIFS(ANNOUNCEMENTS!$E$2:$E$180,$B177,ANNOUNCEMENTS!$Z$2:$Z$180,W$159,ANNOUNCEMENTS!$J$2:$J$180,$C177)+
COUNTIFS(ANNOUNCEMENTS!$E$2:$E$180,$B177,ANNOUNCEMENTS!$AB$2:$AB$180,W$159,ANNOUNCEMENTS!$J$2:$J$180,$C177)+
COUNTIFS(ANNOUNCEMENTS!$E$2:$E$180,$B177,ANNOUNCEMENTS!$AD$2:$AD$180,W$159,ANNOUNCEMENTS!$J$2:$J$180,$C177)</f>
        <v>0</v>
      </c>
      <c r="Z177" s="21">
        <f>COUNTIFS(ANNOUNCEMENTS!$E$2:$E$180,$B177,ANNOUNCEMENTS!$W$2:$W$180,X$159,ANNOUNCEMENTS!$J$2:$J$180,$C177)</f>
        <v>0</v>
      </c>
      <c r="AA177" s="21">
        <f>COUNTIFS(ANNOUNCEMENTS!$E$2:$E$180,$B177,ANNOUNCEMENTS!$W$2:$W$180,Y$159,ANNOUNCEMENTS!$J$2:$J$180,$C177)</f>
        <v>0</v>
      </c>
      <c r="AB177" s="21">
        <f>COUNTIFS(ANNOUNCEMENTS!$E$2:$E$180,$B177,ANNOUNCEMENTS!$W$2:$W$180,Z$159,ANNOUNCEMENTS!$J$2:$J$180,$C177)</f>
        <v>0</v>
      </c>
      <c r="AC177" s="21">
        <f>COUNTIFS(ANNOUNCEMENTS!$E$2:$E$180,$B177,ANNOUNCEMENTS!$W$2:$W$180,AA$159,ANNOUNCEMENTS!$J$2:$J$180,$C177)</f>
        <v>1</v>
      </c>
      <c r="AD177" s="21">
        <f>COUNTIFS(ANNOUNCEMENTS!$E$2:$E$180,$B177,ANNOUNCEMENTS!$W$2:$W$180,AB$159,ANNOUNCEMENTS!$J$2:$J$180,$C177)</f>
        <v>0</v>
      </c>
      <c r="AE177" s="311">
        <f t="shared" si="65"/>
        <v>1</v>
      </c>
      <c r="AF177" s="311">
        <f t="shared" si="66"/>
        <v>0</v>
      </c>
      <c r="AG177" s="311">
        <f t="shared" si="67"/>
        <v>0</v>
      </c>
      <c r="AH177" s="311">
        <f t="shared" si="68"/>
        <v>0</v>
      </c>
      <c r="AI177" s="21">
        <f>COUNTIFS(ANNOUNCEMENTS!$E$2:$E$180,B177,ANNOUNCEMENTS!$Z$2:$Z$180,$J$37,ANNOUNCEMENTS!$J$2:$J$180,C177)+
COUNTIFS(ANNOUNCEMENTS!$E$2:$E$180,B177,ANNOUNCEMENTS!$Z$2:$Z$180,$L$37,ANNOUNCEMENTS!$J$2:$J$180,C177)+
COUNTIFS(ANNOUNCEMENTS!$E$2:$E$180,B177,ANNOUNCEMENTS!$AB$2:$AB$180,$J$37,ANNOUNCEMENTS!$J$2:$J$180,C177)+
COUNTIFS(ANNOUNCEMENTS!$E$2:$E$180,B177,ANNOUNCEMENTS!$AB$2:$AB$180,$L$37,ANNOUNCEMENTS!$J$2:$J$180,C177)+
COUNTIFS(ANNOUNCEMENTS!$E$2:$E$180,B177,ANNOUNCEMENTS!$AD$2:$AD$180,$J$37,ANNOUNCEMENTS!$J$2:$J$180,C177)+
COUNTIFS(ANNOUNCEMENTS!$E$2:$E$180,B177,ANNOUNCEMENTS!$AD$2:$AD$180,$L$37,ANNOUNCEMENTS!$J$2:$J$180,C177)</f>
        <v>1</v>
      </c>
      <c r="AJ177" s="21">
        <f>COUNTIFS(ANNOUNCEMENTS!$E$2:$E$180,B177,ANNOUNCEMENTS!$Z$2:$Z$180,$H$37,ANNOUNCEMENTS!$J$2:$J$180,C177)+
COUNTIFS(ANNOUNCEMENTS!$E$2:$E$180,B177,ANNOUNCEMENTS!$Z$2:$Z$180,$I$37,ANNOUNCEMENTS!$J$2:$J$180,C177)+
COUNTIFS(ANNOUNCEMENTS!$E$2:$E$180,B177,ANNOUNCEMENTS!$Z$2:$Z$180,$P$37,ANNOUNCEMENTS!$J$2:$J$180,C177)+
COUNTIFS(ANNOUNCEMENTS!$E$2:$E$180,B177,ANNOUNCEMENTS!$AB$2:$AB$180,$H$37,ANNOUNCEMENTS!$J$2:$J$180,C177)+
COUNTIFS(ANNOUNCEMENTS!$E$2:$E$180,B177,ANNOUNCEMENTS!$AB$2:$AB$180,$I$37,ANNOUNCEMENTS!$J$2:$J$180,C177)+
COUNTIFS(ANNOUNCEMENTS!$E$2:$E$180,B177,ANNOUNCEMENTS!$AB$2:$AB$180,$P$37,ANNOUNCEMENTS!$J$2:$J$180,C177)+
COUNTIFS(ANNOUNCEMENTS!$E$2:$E$180,B177,ANNOUNCEMENTS!$AD$2:$AD$180,$H$37,ANNOUNCEMENTS!$J$2:$J$180,C177)+
COUNTIFS(ANNOUNCEMENTS!$E$2:$E$180,B177,ANNOUNCEMENTS!$AD$2:$AD$180,$I$37,ANNOUNCEMENTS!$J$2:$J$180,C177)+
COUNTIFS(ANNOUNCEMENTS!$E$2:$E$180,B177,ANNOUNCEMENTS!$AD$2:$AD$180,$P$37,ANNOUNCEMENTS!$J$2:$J$180,C177)</f>
        <v>0</v>
      </c>
      <c r="AK177" s="310" cm="1">
        <f t="array" ref="AK177">SUM(COUNTIFS(ANNOUNCEMENTS!$E$2:$E$180,B177,ANNOUNCEMENTS!$W$2:$W$180,$E$38:$E$40,ANNOUNCEMENTS!$J$2:$J$180,C177))</f>
        <v>0</v>
      </c>
      <c r="AL177" s="21" cm="1">
        <f t="array" ref="AL177">SUM(COUNTIFS(ANNOUNCEMENTS!$E$2:$E$180,B177,ANNOUNCEMENTS!$W$2:$W$180,$E$43:$E$44,ANNOUNCEMENTS!$J$2:$J$180,C177))</f>
        <v>0</v>
      </c>
      <c r="AM177" s="21">
        <f t="shared" si="69"/>
        <v>1</v>
      </c>
      <c r="AN177" s="21">
        <f t="shared" si="70"/>
        <v>0</v>
      </c>
      <c r="AO177" s="309" cm="1">
        <f t="array" ref="AO177">_xlfn.XLOOKUP(AO$159,CBIMPORT!$A$1:$AM$1,_xlfn.XLOOKUP($B177,CBIMPORT!$A$1:$A$40,CBIMPORT!$A$1:$AM$40))</f>
        <v>0</v>
      </c>
      <c r="AP177" s="308" cm="1">
        <f t="array" ref="AP177">_xlfn.XLOOKUP(AP$159,CBIMPORT!$A$1:$AM$1,_xlfn.XLOOKUP($B177,CBIMPORT!$A$1:$A$40,CBIMPORT!$A$1:$AM$40))</f>
        <v>250</v>
      </c>
      <c r="AQ177" s="307" cm="1">
        <f t="array" ref="AQ177">_xlfn.XLOOKUP(AQ$159,CBIMPORT!$A$1:$AM$1,_xlfn.XLOOKUP($B177,CBIMPORT!$A$1:$A$40,CBIMPORT!$A$1:$AM$40))</f>
        <v>302.62</v>
      </c>
    </row>
    <row r="178" spans="1:43" x14ac:dyDescent="0.35">
      <c r="A178" s="303" t="s">
        <v>2187</v>
      </c>
      <c r="B178" s="315" t="str">
        <f t="shared" si="62"/>
        <v>Perrone Robotics</v>
      </c>
      <c r="C178" s="314" t="str">
        <f t="shared" si="63"/>
        <v>Ridepooling</v>
      </c>
      <c r="D178" s="313">
        <f>COUNTIFS(ANNOUNCEMENTS!$E$2:$E$180,$B178,ANNOUNCEMENTS!$J$2:$J$180,$C178)</f>
        <v>16</v>
      </c>
      <c r="E178" s="312" t="str" cm="1">
        <f t="array" ref="E178">_xlfn.ARRAYTOTEXT(
IF(D178&gt;0,_xlfn._xlws.FILTER(CHOOSE({1},
ANNOUNCEMENTS!$K$1:$K$180),
(ANNOUNCEMENTS!$E$1:$E$180=B178)*((ANNOUNCEMENTS!$J$1:$J$180=$C178)))))</f>
        <v>Mission Secure; Global Finance Group; Western Reserve Transit Authority;GreenPower; SAE; Tropos Technologies; Tropos Technologies; Greenpower; Guident; Lightning eMotors; University of California; Sustainability Partners; Rampini; Tropos Technologies; GreenPower;JTA; UVA Foundation; E Charger Systems</v>
      </c>
      <c r="F178" s="306">
        <f t="shared" si="64"/>
        <v>4</v>
      </c>
      <c r="G178" s="310" t="str" cm="1">
        <f t="array" ref="G178">_xlfn.XLOOKUP($A178,'Industries all mentioned partne'!$A$2:$A$58,_xlfn.XLOOKUP(G$159,'Industries all mentioned partne'!$A$2:$DM$2,'Industries all mentioned partne'!$A$2:$DM$58))</f>
        <v>OEM Commercial Vehicles</v>
      </c>
      <c r="H178" s="91" cm="1">
        <f t="array" ref="H178">_xlfn.XLOOKUP($A178,'Industries all mentioned partne'!$A$2:$A$58,_xlfn.XLOOKUP(H$159,'Industries all mentioned partne'!$A$2:$DM$2,'Industries all mentioned partne'!$A$2:$DM$58))</f>
        <v>0.35294117647058826</v>
      </c>
      <c r="I178" s="310" t="str" cm="1">
        <f t="array" ref="I178">_xlfn.XLOOKUP($A178,'Industries all mentioned partne'!$A$2:$A$58,_xlfn.XLOOKUP(I$159,'Industries all mentioned partne'!$A$2:$DM$2,'Industries all mentioned partne'!$A$2:$DM$58))</f>
        <v>Financial Services</v>
      </c>
      <c r="J178" s="91" cm="1">
        <f t="array" ref="J178">_xlfn.XLOOKUP($A178,'Industries all mentioned partne'!$A$2:$A$58,_xlfn.XLOOKUP(J$159,'Industries all mentioned partne'!$A$2:$DM$2,'Industries all mentioned partne'!$A$2:$DM$58))</f>
        <v>0.17647058823529413</v>
      </c>
      <c r="K178" s="310" t="str" cm="1">
        <f t="array" ref="K178">_xlfn.XLOOKUP($A178,'Industries all mentioned partne'!$A$2:$A$58,_xlfn.XLOOKUP(K$159,'Industries all mentioned partne'!$A$2:$DM$2,'Industries all mentioned partne'!$A$2:$DM$58))</f>
        <v>Transportation Authority</v>
      </c>
      <c r="L178" s="91" cm="1">
        <f t="array" ref="L178">_xlfn.XLOOKUP($A178,'Industries all mentioned partne'!$A$2:$A$58,_xlfn.XLOOKUP(L$159,'Industries all mentioned partne'!$A$2:$DM$2,'Industries all mentioned partne'!$A$2:$DM$58))</f>
        <v>0.11764705882352941</v>
      </c>
      <c r="M178" s="311" t="str" cm="1">
        <f t="array" ref="M178">_xlfn.XLOOKUP($M$159,CBIMPORT!$A$1:$AN$1,_xlfn.XLOOKUP(B178,CBIMPORT!$A$1:$A$171,CBIMPORT!$A$1:$AN$171))</f>
        <v>L1</v>
      </c>
      <c r="N178" s="309" cm="1">
        <f t="array" ref="N178">_xlfn.XLOOKUP(N$159,CBIMPORT!$A$1:$AM$1,_xlfn.XLOOKUP($B178,CBIMPORT!$A$1:$A$40,CBIMPORT!$A$1:$AM$40))</f>
        <v>7</v>
      </c>
      <c r="O178" s="21">
        <f>COUNTIFS(ANNOUNCEMENTS!$E$2:$E$180,$B178,ANNOUNCEMENTS!$Z$2:$Z$180,O$159,ANNOUNCEMENTS!$J$2:$J$180,$C178)+
COUNTIFS(ANNOUNCEMENTS!$E$2:$E$180,$B178,ANNOUNCEMENTS!$AB$2:$AB$180,O$159,ANNOUNCEMENTS!$J$2:$J$180,$C178)+
COUNTIFS(ANNOUNCEMENTS!$E$2:$E$180,$B178,ANNOUNCEMENTS!$AD$2:$AD$180,O$159,ANNOUNCEMENTS!$J$2:$J$180,$C178)</f>
        <v>9</v>
      </c>
      <c r="P178" s="21">
        <f>COUNTIFS(ANNOUNCEMENTS!$E$2:$E$180,$B178,ANNOUNCEMENTS!$Z$2:$Z$180,P$159,ANNOUNCEMENTS!$J$2:$J$180,$C178)+
COUNTIFS(ANNOUNCEMENTS!$E$2:$E$180,$B178,ANNOUNCEMENTS!$AB$2:$AB$180,P$159,ANNOUNCEMENTS!$J$2:$J$180,$C178)+
COUNTIFS(ANNOUNCEMENTS!$E$2:$E$180,$B178,ANNOUNCEMENTS!$AD$2:$AD$180,P$159,ANNOUNCEMENTS!$J$2:$J$180,$C178)</f>
        <v>0</v>
      </c>
      <c r="Q178" s="21">
        <f>COUNTIFS(ANNOUNCEMENTS!$E$2:$E$180,$B178,ANNOUNCEMENTS!$Z$2:$Z$180,Q$159,ANNOUNCEMENTS!$J$2:$J$180,$C178)+
COUNTIFS(ANNOUNCEMENTS!$E$2:$E$180,$B178,ANNOUNCEMENTS!$AB$2:$AB$180,Q$159,ANNOUNCEMENTS!$J$2:$J$180,$C178)+
COUNTIFS(ANNOUNCEMENTS!$E$2:$E$180,$B178,ANNOUNCEMENTS!$AD$2:$AD$180,Q$159,ANNOUNCEMENTS!$J$2:$J$180,$C178)</f>
        <v>1</v>
      </c>
      <c r="R178" s="21">
        <f>COUNTIFS(ANNOUNCEMENTS!$E$2:$E$180,$B178,ANNOUNCEMENTS!$Z$2:$Z$180,R$159,ANNOUNCEMENTS!$J$2:$J$180,$C178)+
COUNTIFS(ANNOUNCEMENTS!$E$2:$E$180,$B178,ANNOUNCEMENTS!$AB$2:$AB$180,R$159,ANNOUNCEMENTS!$J$2:$J$180,$C178)+
COUNTIFS(ANNOUNCEMENTS!$E$2:$E$180,$B178,ANNOUNCEMENTS!$AD$2:$AD$180,R$159,ANNOUNCEMENTS!$J$2:$J$180,$C178)</f>
        <v>3</v>
      </c>
      <c r="S178" s="21">
        <f>COUNTIFS(ANNOUNCEMENTS!$E$2:$E$180,$B178,ANNOUNCEMENTS!$Z$2:$Z$180,S$159,ANNOUNCEMENTS!$J$2:$J$180,$C178)+
COUNTIFS(ANNOUNCEMENTS!$E$2:$E$180,$B178,ANNOUNCEMENTS!$AB$2:$AB$180,S$159,ANNOUNCEMENTS!$J$2:$J$180,$C178)+
COUNTIFS(ANNOUNCEMENTS!$E$2:$E$180,$B178,ANNOUNCEMENTS!$AD$2:$AD$180,S$159,ANNOUNCEMENTS!$J$2:$J$180,$C178)</f>
        <v>0</v>
      </c>
      <c r="T178" s="21">
        <f>COUNTIFS(ANNOUNCEMENTS!$E$2:$E$180,$B178,ANNOUNCEMENTS!$Z$2:$Z$180,T$159,ANNOUNCEMENTS!$J$2:$J$180,$C178)+
COUNTIFS(ANNOUNCEMENTS!$E$2:$E$180,$B178,ANNOUNCEMENTS!$AB$2:$AB$180,T$159,ANNOUNCEMENTS!$J$2:$J$180,$C178)+
COUNTIFS(ANNOUNCEMENTS!$E$2:$E$180,$B178,ANNOUNCEMENTS!$AD$2:$AD$180,T$159,ANNOUNCEMENTS!$J$2:$J$180,$C178)</f>
        <v>3</v>
      </c>
      <c r="U178" s="21">
        <f>COUNTIFS(ANNOUNCEMENTS!$E$2:$E$180,$B178,ANNOUNCEMENTS!$Z$2:$Z$180,U$159,ANNOUNCEMENTS!$J$2:$J$180,$C178)+
COUNTIFS(ANNOUNCEMENTS!$E$2:$E$180,$B178,ANNOUNCEMENTS!$AB$2:$AB$180,U$159,ANNOUNCEMENTS!$J$2:$J$180,$C178)+
COUNTIFS(ANNOUNCEMENTS!$E$2:$E$180,$B178,ANNOUNCEMENTS!$AD$2:$AD$180,U$159,ANNOUNCEMENTS!$J$2:$J$180,$C178)</f>
        <v>1</v>
      </c>
      <c r="V178" s="21">
        <f>COUNTIFS(ANNOUNCEMENTS!$E$2:$E$180,$B178,ANNOUNCEMENTS!$Z$2:$Z$180,V$159,ANNOUNCEMENTS!$J$2:$J$180,$C178)+
COUNTIFS(ANNOUNCEMENTS!$E$2:$E$180,$B178,ANNOUNCEMENTS!$AB$2:$AB$180,V$159,ANNOUNCEMENTS!$J$2:$J$180,$C178)+
COUNTIFS(ANNOUNCEMENTS!$E$2:$E$180,$B178,ANNOUNCEMENTS!$AD$2:$AD$180,V$159,ANNOUNCEMENTS!$J$2:$J$180,$C178)</f>
        <v>0</v>
      </c>
      <c r="W178" s="21">
        <f>COUNTIFS(ANNOUNCEMENTS!$E$2:$E$180,$B178,ANNOUNCEMENTS!$Z$2:$Z$180,W$159,ANNOUNCEMENTS!$J$2:$J$180,$C178)+
COUNTIFS(ANNOUNCEMENTS!$E$2:$E$180,$B178,ANNOUNCEMENTS!$AB$2:$AB$180,W$159,ANNOUNCEMENTS!$J$2:$J$180,$C178)+
COUNTIFS(ANNOUNCEMENTS!$E$2:$E$180,$B178,ANNOUNCEMENTS!$AD$2:$AD$180,W$159,ANNOUNCEMENTS!$J$2:$J$180,$C178)</f>
        <v>0</v>
      </c>
      <c r="X178" s="21">
        <f>COUNTIFS(ANNOUNCEMENTS!$E$2:$E$180,$B178,ANNOUNCEMENTS!$W$2:$W$180,X$159,ANNOUNCEMENTS!$J$2:$J$180,$C178)</f>
        <v>0</v>
      </c>
      <c r="Y178" s="21">
        <f>COUNTIFS(ANNOUNCEMENTS!$E$2:$E$180,$B178,ANNOUNCEMENTS!$W$2:$W$180,Y$159,ANNOUNCEMENTS!$J$2:$J$180,$C178)</f>
        <v>14</v>
      </c>
      <c r="Z178" s="21">
        <f>COUNTIFS(ANNOUNCEMENTS!$E$2:$E$180,$B178,ANNOUNCEMENTS!$W$2:$W$180,Z$159,ANNOUNCEMENTS!$J$2:$J$180,$C178)</f>
        <v>1</v>
      </c>
      <c r="AA178" s="21">
        <f>COUNTIFS(ANNOUNCEMENTS!$E$2:$E$180,$B178,ANNOUNCEMENTS!$W$2:$W$180,AA$159,ANNOUNCEMENTS!$J$2:$J$180,$C178)</f>
        <v>1</v>
      </c>
      <c r="AB178" s="21">
        <f>COUNTIFS(ANNOUNCEMENTS!$E$2:$E$180,$B178,ANNOUNCEMENTS!$W$2:$W$180,AB$159,ANNOUNCEMENTS!$J$2:$J$180,$C178)</f>
        <v>0</v>
      </c>
      <c r="AC178" s="21">
        <f>COUNTIFS(ANNOUNCEMENTS!$E$2:$E$180,$B178,ANNOUNCEMENTS!$W$2:$W$180,AC$159,ANNOUNCEMENTS!$J$2:$J$180,$C178)</f>
        <v>0</v>
      </c>
      <c r="AD178" s="21">
        <f>COUNTIFS(ANNOUNCEMENTS!$E$2:$E$180,$B178,ANNOUNCEMENTS!$W$2:$W$180,AD$159,ANNOUNCEMENTS!$J$2:$J$180,$C178)</f>
        <v>0</v>
      </c>
      <c r="AE178" s="311">
        <f t="shared" si="65"/>
        <v>1</v>
      </c>
      <c r="AF178" s="311">
        <f t="shared" si="66"/>
        <v>0</v>
      </c>
      <c r="AG178" s="311">
        <f t="shared" si="67"/>
        <v>0</v>
      </c>
      <c r="AH178" s="311">
        <f t="shared" si="68"/>
        <v>0</v>
      </c>
      <c r="AI178" s="21">
        <f>COUNTIFS(ANNOUNCEMENTS!$E$2:$E$180,B178,ANNOUNCEMENTS!$Z$2:$Z$180,$J$37,ANNOUNCEMENTS!$J$2:$J$180,C178)+
COUNTIFS(ANNOUNCEMENTS!$E$2:$E$180,B178,ANNOUNCEMENTS!$Z$2:$Z$180,$L$37,ANNOUNCEMENTS!$J$2:$J$180,C178)+
COUNTIFS(ANNOUNCEMENTS!$E$2:$E$180,B178,ANNOUNCEMENTS!$AB$2:$AB$180,$J$37,ANNOUNCEMENTS!$J$2:$J$180,C178)+
COUNTIFS(ANNOUNCEMENTS!$E$2:$E$180,B178,ANNOUNCEMENTS!$AB$2:$AB$180,$L$37,ANNOUNCEMENTS!$J$2:$J$180,C178)+
COUNTIFS(ANNOUNCEMENTS!$E$2:$E$180,B178,ANNOUNCEMENTS!$AD$2:$AD$180,$J$37,ANNOUNCEMENTS!$J$2:$J$180,C178)+
COUNTIFS(ANNOUNCEMENTS!$E$2:$E$180,B178,ANNOUNCEMENTS!$AD$2:$AD$180,$L$37,ANNOUNCEMENTS!$J$2:$J$180,C178)</f>
        <v>1</v>
      </c>
      <c r="AJ178" s="21">
        <f>COUNTIFS(ANNOUNCEMENTS!$E$2:$E$180,B178,ANNOUNCEMENTS!$Z$2:$Z$180,$H$37,ANNOUNCEMENTS!$J$2:$J$180,C178)+
COUNTIFS(ANNOUNCEMENTS!$E$2:$E$180,B178,ANNOUNCEMENTS!$Z$2:$Z$180,$I$37,ANNOUNCEMENTS!$J$2:$J$180,C178)+
COUNTIFS(ANNOUNCEMENTS!$E$2:$E$180,B178,ANNOUNCEMENTS!$Z$2:$Z$180,$P$37,ANNOUNCEMENTS!$J$2:$J$180,C178)+
COUNTIFS(ANNOUNCEMENTS!$E$2:$E$180,B178,ANNOUNCEMENTS!$AB$2:$AB$180,$H$37,ANNOUNCEMENTS!$J$2:$J$180,C178)+
COUNTIFS(ANNOUNCEMENTS!$E$2:$E$180,B178,ANNOUNCEMENTS!$AB$2:$AB$180,$I$37,ANNOUNCEMENTS!$J$2:$J$180,C178)+
COUNTIFS(ANNOUNCEMENTS!$E$2:$E$180,B178,ANNOUNCEMENTS!$AB$2:$AB$180,$P$37,ANNOUNCEMENTS!$J$2:$J$180,C178)+
COUNTIFS(ANNOUNCEMENTS!$E$2:$E$180,B178,ANNOUNCEMENTS!$AD$2:$AD$180,$H$37,ANNOUNCEMENTS!$J$2:$J$180,C178)+
COUNTIFS(ANNOUNCEMENTS!$E$2:$E$180,B178,ANNOUNCEMENTS!$AD$2:$AD$180,$I$37,ANNOUNCEMENTS!$J$2:$J$180,C178)+
COUNTIFS(ANNOUNCEMENTS!$E$2:$E$180,B178,ANNOUNCEMENTS!$AD$2:$AD$180,$P$37,ANNOUNCEMENTS!$J$2:$J$180,C178)</f>
        <v>9</v>
      </c>
      <c r="AK178" s="310" cm="1">
        <f t="array" ref="AK178">SUM(COUNTIFS(ANNOUNCEMENTS!$E$2:$E$180,B178,ANNOUNCEMENTS!$W$2:$W$180,$E$38:$E$40,ANNOUNCEMENTS!$J$2:$J$180,C178))</f>
        <v>15</v>
      </c>
      <c r="AL178" s="21" cm="1">
        <f t="array" ref="AL178">SUM(COUNTIFS(ANNOUNCEMENTS!$E$2:$E$180,B178,ANNOUNCEMENTS!$W$2:$W$180,$E$43:$E$44,ANNOUNCEMENTS!$J$2:$J$180,C178))</f>
        <v>0</v>
      </c>
      <c r="AM178" s="21">
        <f t="shared" si="69"/>
        <v>16</v>
      </c>
      <c r="AN178" s="21">
        <f t="shared" si="70"/>
        <v>4</v>
      </c>
      <c r="AO178" s="309" cm="1">
        <f t="array" ref="AO178">_xlfn.XLOOKUP(AO$159,CBIMPORT!$A$1:$AM$1,_xlfn.XLOOKUP($B178,CBIMPORT!$A$1:$A$40,CBIMPORT!$A$1:$AM$40))</f>
        <v>0</v>
      </c>
      <c r="AP178" s="308" cm="1">
        <f t="array" ref="AP178">_xlfn.XLOOKUP(AP$159,CBIMPORT!$A$1:$AM$1,_xlfn.XLOOKUP($B178,CBIMPORT!$A$1:$A$40,CBIMPORT!$A$1:$AM$40))</f>
        <v>30</v>
      </c>
      <c r="AQ178" s="307" cm="1">
        <f t="array" ref="AQ178">_xlfn.XLOOKUP(AQ$159,CBIMPORT!$A$1:$AM$1,_xlfn.XLOOKUP($B178,CBIMPORT!$A$1:$A$40,CBIMPORT!$A$1:$AM$40))</f>
        <v>12.615</v>
      </c>
    </row>
    <row r="179" spans="1:43" x14ac:dyDescent="0.35">
      <c r="A179" s="303" t="s">
        <v>2188</v>
      </c>
      <c r="B179" s="315" t="str">
        <f t="shared" si="62"/>
        <v>Mobileye</v>
      </c>
      <c r="C179" s="314" t="str">
        <f t="shared" si="63"/>
        <v>Last-Mile</v>
      </c>
      <c r="D179" s="313">
        <f>COUNTIFS(ANNOUNCEMENTS!$E$2:$E$180,$B179,ANNOUNCEMENTS!$J$2:$J$180,$C179)</f>
        <v>1</v>
      </c>
      <c r="E179" s="312" t="str" cm="1">
        <f t="array" ref="E179">_xlfn.ARRAYTOTEXT(
IF(D179&gt;0,_xlfn._xlws.FILTER(CHOOSE({1},
ANNOUNCEMENTS!$K$1:$K$180),
(ANNOUNCEMENTS!$E$1:$E$180=B179)*((ANNOUNCEMENTS!$J$1:$J$180=$C179)))))</f>
        <v>Goggo Network</v>
      </c>
      <c r="F179" s="306">
        <f t="shared" si="64"/>
        <v>0</v>
      </c>
      <c r="G179" s="310" t="str" cm="1">
        <f t="array" ref="G179">_xlfn.XLOOKUP($A179,'Industries all mentioned partne'!$A$2:$A$58,_xlfn.XLOOKUP(G$159,'Industries all mentioned partne'!$A$2:$DM$2,'Industries all mentioned partne'!$A$2:$DM$58))</f>
        <v>Autonomous mobility network</v>
      </c>
      <c r="H179" s="91" cm="1">
        <f t="array" ref="H179">_xlfn.XLOOKUP($A179,'Industries all mentioned partne'!$A$2:$A$58,_xlfn.XLOOKUP(H$159,'Industries all mentioned partne'!$A$2:$DM$2,'Industries all mentioned partne'!$A$2:$DM$58))</f>
        <v>1</v>
      </c>
      <c r="I179" s="310" t="str" cm="1">
        <f t="array" ref="I179">_xlfn.XLOOKUP($A179,'Industries all mentioned partne'!$A$2:$A$58,_xlfn.XLOOKUP(I$159,'Industries all mentioned partne'!$A$2:$DM$2,'Industries all mentioned partne'!$A$2:$DM$58))</f>
        <v/>
      </c>
      <c r="J179" s="91" t="str" cm="1">
        <f t="array" ref="J179">_xlfn.XLOOKUP($A179,'Industries all mentioned partne'!$A$2:$A$58,_xlfn.XLOOKUP(J$159,'Industries all mentioned partne'!$A$2:$DM$2,'Industries all mentioned partne'!$A$2:$DM$58))</f>
        <v/>
      </c>
      <c r="K179" s="310" t="str" cm="1">
        <f t="array" ref="K179">_xlfn.XLOOKUP($A179,'Industries all mentioned partne'!$A$2:$A$58,_xlfn.XLOOKUP(K$159,'Industries all mentioned partne'!$A$2:$DM$2,'Industries all mentioned partne'!$A$2:$DM$58))</f>
        <v/>
      </c>
      <c r="L179" s="91" t="str" cm="1">
        <f t="array" ref="L179">_xlfn.XLOOKUP($A179,'Industries all mentioned partne'!$A$2:$A$58,_xlfn.XLOOKUP(L$159,'Industries all mentioned partne'!$A$2:$DM$2,'Industries all mentioned partne'!$A$2:$DM$58))</f>
        <v/>
      </c>
      <c r="M179" s="311" t="str" cm="1">
        <f t="array" ref="M179">_xlfn.XLOOKUP($M$159,CBIMPORT!$A$1:$AN$1,_xlfn.XLOOKUP(B179,CBIMPORT!$A$1:$A$171,CBIMPORT!$A$1:$AN$171))</f>
        <v>L1</v>
      </c>
      <c r="N179" s="309" cm="1">
        <f t="array" ref="N179">_xlfn.XLOOKUP(N$159,CBIMPORT!$A$1:$AM$1,_xlfn.XLOOKUP($B179,CBIMPORT!$A$1:$A$40,CBIMPORT!$A$1:$AM$40))</f>
        <v>464</v>
      </c>
      <c r="O179" s="21">
        <f>COUNTIFS(ANNOUNCEMENTS!$E$2:$E$180,$B179,ANNOUNCEMENTS!$Z$2:$Z$180,O$159,ANNOUNCEMENTS!$J$2:$J$180,$C179)+
COUNTIFS(ANNOUNCEMENTS!$E$2:$E$180,$B179,ANNOUNCEMENTS!$AB$2:$AB$180,O$159,ANNOUNCEMENTS!$J$2:$J$180,$C179)+
COUNTIFS(ANNOUNCEMENTS!$E$2:$E$180,$B179,ANNOUNCEMENTS!$AD$2:$AD$180,O$159,ANNOUNCEMENTS!$J$2:$J$180,$C179)</f>
        <v>0</v>
      </c>
      <c r="P179" s="21">
        <f>COUNTIFS(ANNOUNCEMENTS!$E$2:$E$180,$B179,ANNOUNCEMENTS!$Z$2:$Z$180,P$159,ANNOUNCEMENTS!$J$2:$J$180,$C179)+
COUNTIFS(ANNOUNCEMENTS!$E$2:$E$180,$B179,ANNOUNCEMENTS!$AB$2:$AB$180,P$159,ANNOUNCEMENTS!$J$2:$J$180,$C179)+
COUNTIFS(ANNOUNCEMENTS!$E$2:$E$180,$B179,ANNOUNCEMENTS!$AD$2:$AD$180,P$159,ANNOUNCEMENTS!$J$2:$J$180,$C179)</f>
        <v>0</v>
      </c>
      <c r="Q179" s="21">
        <f>COUNTIFS(ANNOUNCEMENTS!$E$2:$E$180,$B179,ANNOUNCEMENTS!$Z$2:$Z$180,Q$159,ANNOUNCEMENTS!$J$2:$J$180,$C179)+
COUNTIFS(ANNOUNCEMENTS!$E$2:$E$180,$B179,ANNOUNCEMENTS!$AB$2:$AB$180,Q$159,ANNOUNCEMENTS!$J$2:$J$180,$C179)+
COUNTIFS(ANNOUNCEMENTS!$E$2:$E$180,$B179,ANNOUNCEMENTS!$AD$2:$AD$180,Q$159,ANNOUNCEMENTS!$J$2:$J$180,$C179)</f>
        <v>0</v>
      </c>
      <c r="R179" s="21">
        <f>COUNTIFS(ANNOUNCEMENTS!$E$2:$E$180,$B179,ANNOUNCEMENTS!$Z$2:$Z$180,R$159,ANNOUNCEMENTS!$J$2:$J$180,$C179)+
COUNTIFS(ANNOUNCEMENTS!$E$2:$E$180,$B179,ANNOUNCEMENTS!$AB$2:$AB$180,R$159,ANNOUNCEMENTS!$J$2:$J$180,$C179)+
COUNTIFS(ANNOUNCEMENTS!$E$2:$E$180,$B179,ANNOUNCEMENTS!$AD$2:$AD$180,R$159,ANNOUNCEMENTS!$J$2:$J$180,$C179)</f>
        <v>0</v>
      </c>
      <c r="S179" s="21">
        <f>COUNTIFS(ANNOUNCEMENTS!$E$2:$E$180,$B179,ANNOUNCEMENTS!$Z$2:$Z$180,S$159,ANNOUNCEMENTS!$J$2:$J$180,$C179)+
COUNTIFS(ANNOUNCEMENTS!$E$2:$E$180,$B179,ANNOUNCEMENTS!$AB$2:$AB$180,S$159,ANNOUNCEMENTS!$J$2:$J$180,$C179)+
COUNTIFS(ANNOUNCEMENTS!$E$2:$E$180,$B179,ANNOUNCEMENTS!$AD$2:$AD$180,S$159,ANNOUNCEMENTS!$J$2:$J$180,$C179)</f>
        <v>1</v>
      </c>
      <c r="T179" s="21">
        <f>COUNTIFS(ANNOUNCEMENTS!$E$2:$E$180,$B179,ANNOUNCEMENTS!$Z$2:$Z$180,T$159,ANNOUNCEMENTS!$J$2:$J$180,$C179)+
COUNTIFS(ANNOUNCEMENTS!$E$2:$E$180,$B179,ANNOUNCEMENTS!$AB$2:$AB$180,T$159,ANNOUNCEMENTS!$J$2:$J$180,$C179)+
COUNTIFS(ANNOUNCEMENTS!$E$2:$E$180,$B179,ANNOUNCEMENTS!$AD$2:$AD$180,T$159,ANNOUNCEMENTS!$J$2:$J$180,$C179)</f>
        <v>0</v>
      </c>
      <c r="U179" s="21">
        <f>COUNTIFS(ANNOUNCEMENTS!$E$2:$E$180,$B179,ANNOUNCEMENTS!$Z$2:$Z$180,U$159,ANNOUNCEMENTS!$J$2:$J$180,$C179)+
COUNTIFS(ANNOUNCEMENTS!$E$2:$E$180,$B179,ANNOUNCEMENTS!$AB$2:$AB$180,U$159,ANNOUNCEMENTS!$J$2:$J$180,$C179)+
COUNTIFS(ANNOUNCEMENTS!$E$2:$E$180,$B179,ANNOUNCEMENTS!$AD$2:$AD$180,U$159,ANNOUNCEMENTS!$J$2:$J$180,$C179)</f>
        <v>0</v>
      </c>
      <c r="V179" s="21">
        <f>COUNTIFS(ANNOUNCEMENTS!$E$2:$E$180,$B179,ANNOUNCEMENTS!$Z$2:$Z$180,V$159,ANNOUNCEMENTS!$J$2:$J$180,$C179)+
COUNTIFS(ANNOUNCEMENTS!$E$2:$E$180,$B179,ANNOUNCEMENTS!$AB$2:$AB$180,V$159,ANNOUNCEMENTS!$J$2:$J$180,$C179)+
COUNTIFS(ANNOUNCEMENTS!$E$2:$E$180,$B179,ANNOUNCEMENTS!$AD$2:$AD$180,V$159,ANNOUNCEMENTS!$J$2:$J$180,$C179)</f>
        <v>0</v>
      </c>
      <c r="W179" s="21">
        <f>COUNTIFS(ANNOUNCEMENTS!$E$2:$E$180,$B179,ANNOUNCEMENTS!$Z$2:$Z$180,W$159,ANNOUNCEMENTS!$J$2:$J$180,$C179)+
COUNTIFS(ANNOUNCEMENTS!$E$2:$E$180,$B179,ANNOUNCEMENTS!$AB$2:$AB$180,W$159,ANNOUNCEMENTS!$J$2:$J$180,$C179)+
COUNTIFS(ANNOUNCEMENTS!$E$2:$E$180,$B179,ANNOUNCEMENTS!$AD$2:$AD$180,W$159,ANNOUNCEMENTS!$J$2:$J$180,$C179)</f>
        <v>0</v>
      </c>
      <c r="X179" s="21">
        <f>COUNTIFS(ANNOUNCEMENTS!$E$2:$E$180,$B179,ANNOUNCEMENTS!$W$2:$W$180,X$159,ANNOUNCEMENTS!$J$2:$J$180,$C179)</f>
        <v>0</v>
      </c>
      <c r="Y179" s="21">
        <f>COUNTIFS(ANNOUNCEMENTS!$E$2:$E$180,$B179,ANNOUNCEMENTS!$W$2:$W$180,Y$159,ANNOUNCEMENTS!$J$2:$J$180,$C179)</f>
        <v>1</v>
      </c>
      <c r="Z179" s="21">
        <f>COUNTIFS(ANNOUNCEMENTS!$E$2:$E$180,$B179,ANNOUNCEMENTS!$W$2:$W$180,Z$159,ANNOUNCEMENTS!$J$2:$J$180,$C179)</f>
        <v>0</v>
      </c>
      <c r="AA179" s="21">
        <f>COUNTIFS(ANNOUNCEMENTS!$E$2:$E$180,$B179,ANNOUNCEMENTS!$W$2:$W$180,AA$159,ANNOUNCEMENTS!$J$2:$J$180,$C179)</f>
        <v>0</v>
      </c>
      <c r="AB179" s="21">
        <f>COUNTIFS(ANNOUNCEMENTS!$E$2:$E$180,$B179,ANNOUNCEMENTS!$W$2:$W$180,AB$159,ANNOUNCEMENTS!$J$2:$J$180,$C179)</f>
        <v>0</v>
      </c>
      <c r="AC179" s="21">
        <f>COUNTIFS(ANNOUNCEMENTS!$E$2:$E$180,$B179,ANNOUNCEMENTS!$W$2:$W$180,AC$159,ANNOUNCEMENTS!$J$2:$J$180,$C179)</f>
        <v>0</v>
      </c>
      <c r="AD179" s="21">
        <f>COUNTIFS(ANNOUNCEMENTS!$E$2:$E$180,$B179,ANNOUNCEMENTS!$W$2:$W$180,AD$159,ANNOUNCEMENTS!$J$2:$J$180,$C179)</f>
        <v>0</v>
      </c>
      <c r="AE179" s="311">
        <f t="shared" si="65"/>
        <v>1</v>
      </c>
      <c r="AF179" s="311">
        <f t="shared" si="66"/>
        <v>0</v>
      </c>
      <c r="AG179" s="311">
        <f t="shared" si="67"/>
        <v>0</v>
      </c>
      <c r="AH179" s="311">
        <f t="shared" si="68"/>
        <v>0</v>
      </c>
      <c r="AI179" s="21">
        <f>COUNTIFS(ANNOUNCEMENTS!$E$2:$E$180,B179,ANNOUNCEMENTS!$Z$2:$Z$180,$J$37,ANNOUNCEMENTS!$J$2:$J$180,C179)+
COUNTIFS(ANNOUNCEMENTS!$E$2:$E$180,B179,ANNOUNCEMENTS!$Z$2:$Z$180,$L$37,ANNOUNCEMENTS!$J$2:$J$180,C179)+
COUNTIFS(ANNOUNCEMENTS!$E$2:$E$180,B179,ANNOUNCEMENTS!$AB$2:$AB$180,$J$37,ANNOUNCEMENTS!$J$2:$J$180,C179)+
COUNTIFS(ANNOUNCEMENTS!$E$2:$E$180,B179,ANNOUNCEMENTS!$AB$2:$AB$180,$L$37,ANNOUNCEMENTS!$J$2:$J$180,C179)+
COUNTIFS(ANNOUNCEMENTS!$E$2:$E$180,B179,ANNOUNCEMENTS!$AD$2:$AD$180,$J$37,ANNOUNCEMENTS!$J$2:$J$180,C179)+
COUNTIFS(ANNOUNCEMENTS!$E$2:$E$180,B179,ANNOUNCEMENTS!$AD$2:$AD$180,$L$37,ANNOUNCEMENTS!$J$2:$J$180,C179)</f>
        <v>1</v>
      </c>
      <c r="AJ179" s="21">
        <f>COUNTIFS(ANNOUNCEMENTS!$E$2:$E$180,B179,ANNOUNCEMENTS!$Z$2:$Z$180,$H$37,ANNOUNCEMENTS!$J$2:$J$180,C179)+
COUNTIFS(ANNOUNCEMENTS!$E$2:$E$180,B179,ANNOUNCEMENTS!$Z$2:$Z$180,$I$37,ANNOUNCEMENTS!$J$2:$J$180,C179)+
COUNTIFS(ANNOUNCEMENTS!$E$2:$E$180,B179,ANNOUNCEMENTS!$Z$2:$Z$180,$P$37,ANNOUNCEMENTS!$J$2:$J$180,C179)+
COUNTIFS(ANNOUNCEMENTS!$E$2:$E$180,B179,ANNOUNCEMENTS!$AB$2:$AB$180,$H$37,ANNOUNCEMENTS!$J$2:$J$180,C179)+
COUNTIFS(ANNOUNCEMENTS!$E$2:$E$180,B179,ANNOUNCEMENTS!$AB$2:$AB$180,$I$37,ANNOUNCEMENTS!$J$2:$J$180,C179)+
COUNTIFS(ANNOUNCEMENTS!$E$2:$E$180,B179,ANNOUNCEMENTS!$AB$2:$AB$180,$P$37,ANNOUNCEMENTS!$J$2:$J$180,C179)+
COUNTIFS(ANNOUNCEMENTS!$E$2:$E$180,B179,ANNOUNCEMENTS!$AD$2:$AD$180,$H$37,ANNOUNCEMENTS!$J$2:$J$180,C179)+
COUNTIFS(ANNOUNCEMENTS!$E$2:$E$180,B179,ANNOUNCEMENTS!$AD$2:$AD$180,$I$37,ANNOUNCEMENTS!$J$2:$J$180,C179)+
COUNTIFS(ANNOUNCEMENTS!$E$2:$E$180,B179,ANNOUNCEMENTS!$AD$2:$AD$180,$P$37,ANNOUNCEMENTS!$J$2:$J$180,C179)</f>
        <v>0</v>
      </c>
      <c r="AK179" s="310" cm="1">
        <f t="array" ref="AK179">SUM(COUNTIFS(ANNOUNCEMENTS!$E$2:$E$180,B179,ANNOUNCEMENTS!$W$2:$W$180,$E$38:$E$40,ANNOUNCEMENTS!$J$2:$J$180,C179))</f>
        <v>1</v>
      </c>
      <c r="AL179" s="21" cm="1">
        <f t="array" ref="AL179">SUM(COUNTIFS(ANNOUNCEMENTS!$E$2:$E$180,B179,ANNOUNCEMENTS!$W$2:$W$180,$E$43:$E$44,ANNOUNCEMENTS!$J$2:$J$180,C179))</f>
        <v>0</v>
      </c>
      <c r="AM179" s="21">
        <f t="shared" si="69"/>
        <v>1</v>
      </c>
      <c r="AN179" s="21">
        <f t="shared" si="70"/>
        <v>0</v>
      </c>
      <c r="AO179" s="309" cm="1">
        <f t="array" ref="AO179">_xlfn.XLOOKUP(AO$159,CBIMPORT!$A$1:$AM$1,_xlfn.XLOOKUP($B179,CBIMPORT!$A$1:$A$40,CBIMPORT!$A$1:$AM$40))</f>
        <v>1</v>
      </c>
      <c r="AP179" s="308" cm="1">
        <f t="array" ref="AP179">_xlfn.XLOOKUP(AP$159,CBIMPORT!$A$1:$AM$1,_xlfn.XLOOKUP($B179,CBIMPORT!$A$1:$A$40,CBIMPORT!$A$1:$AM$40))</f>
        <v>3000</v>
      </c>
      <c r="AQ179" s="307" cm="1">
        <f t="array" ref="AQ179">_xlfn.XLOOKUP(AQ$159,CBIMPORT!$A$1:$AM$1,_xlfn.XLOOKUP($B179,CBIMPORT!$A$1:$A$40,CBIMPORT!$A$1:$AM$40))</f>
        <v>2132</v>
      </c>
    </row>
    <row r="180" spans="1:43" x14ac:dyDescent="0.35">
      <c r="A180" s="303" t="s">
        <v>2189</v>
      </c>
      <c r="B180" s="315" t="str">
        <f t="shared" si="62"/>
        <v>Mobileye</v>
      </c>
      <c r="C180" s="314" t="str">
        <f t="shared" si="63"/>
        <v>Ridepooling</v>
      </c>
      <c r="D180" s="313">
        <f>COUNTIFS(ANNOUNCEMENTS!$E$2:$E$180,$B180,ANNOUNCEMENTS!$J$2:$J$180,$C180)</f>
        <v>2</v>
      </c>
      <c r="E180" s="312" t="str" cm="1">
        <f t="array" ref="E180">_xlfn.ARRAYTOTEXT(
IF(D180&gt;0,_xlfn._xlws.FILTER(CHOOSE({1},
ANNOUNCEMENTS!$K$1:$K$180),
(ANNOUNCEMENTS!$E$1:$E$180=B180)*((ANNOUNCEMENTS!$J$1:$J$180=$C180)))))</f>
        <v>MAN Truck &amp; Bus; WILLER</v>
      </c>
      <c r="F180" s="306">
        <f t="shared" si="64"/>
        <v>0</v>
      </c>
      <c r="G180" s="310" t="str" cm="1">
        <f t="array" ref="G180">_xlfn.XLOOKUP($A180,'Industries all mentioned partne'!$A$2:$A$58,_xlfn.XLOOKUP(G$159,'Industries all mentioned partne'!$A$2:$DM$2,'Industries all mentioned partne'!$A$2:$DM$58))</f>
        <v>OEM Commercial Vehicles</v>
      </c>
      <c r="H180" s="91" cm="1">
        <f t="array" ref="H180">_xlfn.XLOOKUP($A180,'Industries all mentioned partne'!$A$2:$A$58,_xlfn.XLOOKUP(H$159,'Industries all mentioned partne'!$A$2:$DM$2,'Industries all mentioned partne'!$A$2:$DM$58))</f>
        <v>0.5</v>
      </c>
      <c r="I180" s="310" t="str" cm="1">
        <f t="array" ref="I180">_xlfn.XLOOKUP($A180,'Industries all mentioned partne'!$A$2:$A$58,_xlfn.XLOOKUP(I$159,'Industries all mentioned partne'!$A$2:$DM$2,'Industries all mentioned partne'!$A$2:$DM$58))</f>
        <v>OEM Commercial Vehicles</v>
      </c>
      <c r="J180" s="91" cm="1">
        <f t="array" ref="J180">_xlfn.XLOOKUP($A180,'Industries all mentioned partne'!$A$2:$A$58,_xlfn.XLOOKUP(J$159,'Industries all mentioned partne'!$A$2:$DM$2,'Industries all mentioned partne'!$A$2:$DM$58))</f>
        <v>0.5</v>
      </c>
      <c r="K180" s="310" t="str" cm="1">
        <f t="array" ref="K180">_xlfn.XLOOKUP($A180,'Industries all mentioned partne'!$A$2:$A$58,_xlfn.XLOOKUP(K$159,'Industries all mentioned partne'!$A$2:$DM$2,'Industries all mentioned partne'!$A$2:$DM$58))</f>
        <v/>
      </c>
      <c r="L180" s="91" t="str" cm="1">
        <f t="array" ref="L180">_xlfn.XLOOKUP($A180,'Industries all mentioned partne'!$A$2:$A$58,_xlfn.XLOOKUP(L$159,'Industries all mentioned partne'!$A$2:$DM$2,'Industries all mentioned partne'!$A$2:$DM$58))</f>
        <v/>
      </c>
      <c r="M180" s="311" t="str" cm="1">
        <f t="array" ref="M180">_xlfn.XLOOKUP($M$159,CBIMPORT!$A$1:$AN$1,_xlfn.XLOOKUP(B180,CBIMPORT!$A$1:$A$171,CBIMPORT!$A$1:$AN$171))</f>
        <v>L1</v>
      </c>
      <c r="N180" s="309" cm="1">
        <f t="array" ref="N180">_xlfn.XLOOKUP(N$159,CBIMPORT!$A$1:$AM$1,_xlfn.XLOOKUP($B180,CBIMPORT!$A$1:$A$40,CBIMPORT!$A$1:$AM$40))</f>
        <v>464</v>
      </c>
      <c r="O180" s="21">
        <f>COUNTIFS(ANNOUNCEMENTS!$E$2:$E$180,$B180,ANNOUNCEMENTS!$Z$2:$Z$180,O$159,ANNOUNCEMENTS!$J$2:$J$180,$C180)+
COUNTIFS(ANNOUNCEMENTS!$E$2:$E$180,$B180,ANNOUNCEMENTS!$AB$2:$AB$180,O$159,ANNOUNCEMENTS!$J$2:$J$180,$C180)+
COUNTIFS(ANNOUNCEMENTS!$E$2:$E$180,$B180,ANNOUNCEMENTS!$AD$2:$AD$180,O$159,ANNOUNCEMENTS!$J$2:$J$180,$C180)</f>
        <v>1</v>
      </c>
      <c r="P180" s="21">
        <f>COUNTIFS(ANNOUNCEMENTS!$E$2:$E$180,$B180,ANNOUNCEMENTS!$Z$2:$Z$180,P$159,ANNOUNCEMENTS!$J$2:$J$180,$C180)+
COUNTIFS(ANNOUNCEMENTS!$E$2:$E$180,$B180,ANNOUNCEMENTS!$AB$2:$AB$180,P$159,ANNOUNCEMENTS!$J$2:$J$180,$C180)+
COUNTIFS(ANNOUNCEMENTS!$E$2:$E$180,$B180,ANNOUNCEMENTS!$AD$2:$AD$180,P$159,ANNOUNCEMENTS!$J$2:$J$180,$C180)</f>
        <v>0</v>
      </c>
      <c r="Q180" s="21">
        <f>COUNTIFS(ANNOUNCEMENTS!$E$2:$E$180,$B180,ANNOUNCEMENTS!$Z$2:$Z$180,Q$159,ANNOUNCEMENTS!$J$2:$J$180,$C180)+
COUNTIFS(ANNOUNCEMENTS!$E$2:$E$180,$B180,ANNOUNCEMENTS!$AB$2:$AB$180,Q$159,ANNOUNCEMENTS!$J$2:$J$180,$C180)+
COUNTIFS(ANNOUNCEMENTS!$E$2:$E$180,$B180,ANNOUNCEMENTS!$AD$2:$AD$180,Q$159,ANNOUNCEMENTS!$J$2:$J$180,$C180)</f>
        <v>0</v>
      </c>
      <c r="R180" s="21">
        <f>COUNTIFS(ANNOUNCEMENTS!$E$2:$E$180,$B180,ANNOUNCEMENTS!$Z$2:$Z$180,R$159,ANNOUNCEMENTS!$J$2:$J$180,$C180)+
COUNTIFS(ANNOUNCEMENTS!$E$2:$E$180,$B180,ANNOUNCEMENTS!$AB$2:$AB$180,R$159,ANNOUNCEMENTS!$J$2:$J$180,$C180)+
COUNTIFS(ANNOUNCEMENTS!$E$2:$E$180,$B180,ANNOUNCEMENTS!$AD$2:$AD$180,R$159,ANNOUNCEMENTS!$J$2:$J$180,$C180)</f>
        <v>0</v>
      </c>
      <c r="S180" s="21">
        <f>COUNTIFS(ANNOUNCEMENTS!$E$2:$E$180,$B180,ANNOUNCEMENTS!$Z$2:$Z$180,S$159,ANNOUNCEMENTS!$J$2:$J$180,$C180)+
COUNTIFS(ANNOUNCEMENTS!$E$2:$E$180,$B180,ANNOUNCEMENTS!$AB$2:$AB$180,S$159,ANNOUNCEMENTS!$J$2:$J$180,$C180)+
COUNTIFS(ANNOUNCEMENTS!$E$2:$E$180,$B180,ANNOUNCEMENTS!$AD$2:$AD$180,S$159,ANNOUNCEMENTS!$J$2:$J$180,$C180)</f>
        <v>1</v>
      </c>
      <c r="T180" s="21">
        <f>COUNTIFS(ANNOUNCEMENTS!$E$2:$E$180,$B180,ANNOUNCEMENTS!$Z$2:$Z$180,T$159,ANNOUNCEMENTS!$J$2:$J$180,$C180)+
COUNTIFS(ANNOUNCEMENTS!$E$2:$E$180,$B180,ANNOUNCEMENTS!$AB$2:$AB$180,T$159,ANNOUNCEMENTS!$J$2:$J$180,$C180)+
COUNTIFS(ANNOUNCEMENTS!$E$2:$E$180,$B180,ANNOUNCEMENTS!$AD$2:$AD$180,T$159,ANNOUNCEMENTS!$J$2:$J$180,$C180)</f>
        <v>0</v>
      </c>
      <c r="U180" s="21">
        <f>COUNTIFS(ANNOUNCEMENTS!$E$2:$E$180,$B180,ANNOUNCEMENTS!$Z$2:$Z$180,U$159,ANNOUNCEMENTS!$J$2:$J$180,$C180)+
COUNTIFS(ANNOUNCEMENTS!$E$2:$E$180,$B180,ANNOUNCEMENTS!$AB$2:$AB$180,U$159,ANNOUNCEMENTS!$J$2:$J$180,$C180)+
COUNTIFS(ANNOUNCEMENTS!$E$2:$E$180,$B180,ANNOUNCEMENTS!$AD$2:$AD$180,U$159,ANNOUNCEMENTS!$J$2:$J$180,$C180)</f>
        <v>0</v>
      </c>
      <c r="V180" s="21">
        <f>COUNTIFS(ANNOUNCEMENTS!$E$2:$E$180,$B180,ANNOUNCEMENTS!$Z$2:$Z$180,V$159,ANNOUNCEMENTS!$J$2:$J$180,$C180)+
COUNTIFS(ANNOUNCEMENTS!$E$2:$E$180,$B180,ANNOUNCEMENTS!$AB$2:$AB$180,V$159,ANNOUNCEMENTS!$J$2:$J$180,$C180)+
COUNTIFS(ANNOUNCEMENTS!$E$2:$E$180,$B180,ANNOUNCEMENTS!$AD$2:$AD$180,V$159,ANNOUNCEMENTS!$J$2:$J$180,$C180)</f>
        <v>0</v>
      </c>
      <c r="W180" s="21">
        <f>COUNTIFS(ANNOUNCEMENTS!$E$2:$E$180,$B180,ANNOUNCEMENTS!$Z$2:$Z$180,W$159,ANNOUNCEMENTS!$J$2:$J$180,$C180)+
COUNTIFS(ANNOUNCEMENTS!$E$2:$E$180,$B180,ANNOUNCEMENTS!$AB$2:$AB$180,W$159,ANNOUNCEMENTS!$J$2:$J$180,$C180)+
COUNTIFS(ANNOUNCEMENTS!$E$2:$E$180,$B180,ANNOUNCEMENTS!$AD$2:$AD$180,W$159,ANNOUNCEMENTS!$J$2:$J$180,$C180)</f>
        <v>0</v>
      </c>
      <c r="X180" s="21">
        <f>COUNTIFS(ANNOUNCEMENTS!$E$2:$E$180,$B180,ANNOUNCEMENTS!$W$2:$W$180,X$159,ANNOUNCEMENTS!$J$2:$J$180,$C180)</f>
        <v>0</v>
      </c>
      <c r="Y180" s="21">
        <f>COUNTIFS(ANNOUNCEMENTS!$E$2:$E$180,$B180,ANNOUNCEMENTS!$W$2:$W$180,Y$159,ANNOUNCEMENTS!$J$2:$J$180,$C180)</f>
        <v>1</v>
      </c>
      <c r="Z180" s="21">
        <f>COUNTIFS(ANNOUNCEMENTS!$E$2:$E$180,$B180,ANNOUNCEMENTS!$W$2:$W$180,Z$159,ANNOUNCEMENTS!$J$2:$J$180,$C180)</f>
        <v>0</v>
      </c>
      <c r="AA180" s="21">
        <f>COUNTIFS(ANNOUNCEMENTS!$E$2:$E$180,$B180,ANNOUNCEMENTS!$W$2:$W$180,AA$159,ANNOUNCEMENTS!$J$2:$J$180,$C180)</f>
        <v>1</v>
      </c>
      <c r="AB180" s="21">
        <f>COUNTIFS(ANNOUNCEMENTS!$E$2:$E$180,$B180,ANNOUNCEMENTS!$W$2:$W$180,AB$159,ANNOUNCEMENTS!$J$2:$J$180,$C180)</f>
        <v>0</v>
      </c>
      <c r="AC180" s="21">
        <f>COUNTIFS(ANNOUNCEMENTS!$E$2:$E$180,$B180,ANNOUNCEMENTS!$W$2:$W$180,AC$159,ANNOUNCEMENTS!$J$2:$J$180,$C180)</f>
        <v>0</v>
      </c>
      <c r="AD180" s="21">
        <f>COUNTIFS(ANNOUNCEMENTS!$E$2:$E$180,$B180,ANNOUNCEMENTS!$W$2:$W$180,AD$159,ANNOUNCEMENTS!$J$2:$J$180,$C180)</f>
        <v>0</v>
      </c>
      <c r="AE180" s="311">
        <f t="shared" si="65"/>
        <v>1</v>
      </c>
      <c r="AF180" s="311">
        <f t="shared" si="66"/>
        <v>0</v>
      </c>
      <c r="AG180" s="311">
        <f t="shared" si="67"/>
        <v>0</v>
      </c>
      <c r="AH180" s="311">
        <f t="shared" si="68"/>
        <v>0</v>
      </c>
      <c r="AI180" s="21">
        <f>COUNTIFS(ANNOUNCEMENTS!$E$2:$E$180,B180,ANNOUNCEMENTS!$Z$2:$Z$180,$J$37,ANNOUNCEMENTS!$J$2:$J$180,C180)+
COUNTIFS(ANNOUNCEMENTS!$E$2:$E$180,B180,ANNOUNCEMENTS!$Z$2:$Z$180,$L$37,ANNOUNCEMENTS!$J$2:$J$180,C180)+
COUNTIFS(ANNOUNCEMENTS!$E$2:$E$180,B180,ANNOUNCEMENTS!$AB$2:$AB$180,$J$37,ANNOUNCEMENTS!$J$2:$J$180,C180)+
COUNTIFS(ANNOUNCEMENTS!$E$2:$E$180,B180,ANNOUNCEMENTS!$AB$2:$AB$180,$L$37,ANNOUNCEMENTS!$J$2:$J$180,C180)+
COUNTIFS(ANNOUNCEMENTS!$E$2:$E$180,B180,ANNOUNCEMENTS!$AD$2:$AD$180,$J$37,ANNOUNCEMENTS!$J$2:$J$180,C180)+
COUNTIFS(ANNOUNCEMENTS!$E$2:$E$180,B180,ANNOUNCEMENTS!$AD$2:$AD$180,$L$37,ANNOUNCEMENTS!$J$2:$J$180,C180)</f>
        <v>1</v>
      </c>
      <c r="AJ180" s="21">
        <f>COUNTIFS(ANNOUNCEMENTS!$E$2:$E$180,B180,ANNOUNCEMENTS!$Z$2:$Z$180,$H$37,ANNOUNCEMENTS!$J$2:$J$180,C180)+
COUNTIFS(ANNOUNCEMENTS!$E$2:$E$180,B180,ANNOUNCEMENTS!$Z$2:$Z$180,$I$37,ANNOUNCEMENTS!$J$2:$J$180,C180)+
COUNTIFS(ANNOUNCEMENTS!$E$2:$E$180,B180,ANNOUNCEMENTS!$Z$2:$Z$180,$P$37,ANNOUNCEMENTS!$J$2:$J$180,C180)+
COUNTIFS(ANNOUNCEMENTS!$E$2:$E$180,B180,ANNOUNCEMENTS!$AB$2:$AB$180,$H$37,ANNOUNCEMENTS!$J$2:$J$180,C180)+
COUNTIFS(ANNOUNCEMENTS!$E$2:$E$180,B180,ANNOUNCEMENTS!$AB$2:$AB$180,$I$37,ANNOUNCEMENTS!$J$2:$J$180,C180)+
COUNTIFS(ANNOUNCEMENTS!$E$2:$E$180,B180,ANNOUNCEMENTS!$AB$2:$AB$180,$P$37,ANNOUNCEMENTS!$J$2:$J$180,C180)+
COUNTIFS(ANNOUNCEMENTS!$E$2:$E$180,B180,ANNOUNCEMENTS!$AD$2:$AD$180,$H$37,ANNOUNCEMENTS!$J$2:$J$180,C180)+
COUNTIFS(ANNOUNCEMENTS!$E$2:$E$180,B180,ANNOUNCEMENTS!$AD$2:$AD$180,$I$37,ANNOUNCEMENTS!$J$2:$J$180,C180)+
COUNTIFS(ANNOUNCEMENTS!$E$2:$E$180,B180,ANNOUNCEMENTS!$AD$2:$AD$180,$P$37,ANNOUNCEMENTS!$J$2:$J$180,C180)</f>
        <v>1</v>
      </c>
      <c r="AK180" s="310" cm="1">
        <f t="array" ref="AK180">SUM(COUNTIFS(ANNOUNCEMENTS!$E$2:$E$180,B180,ANNOUNCEMENTS!$W$2:$W$180,$E$38:$E$40,ANNOUNCEMENTS!$J$2:$J$180,C180))</f>
        <v>1</v>
      </c>
      <c r="AL180" s="21" cm="1">
        <f t="array" ref="AL180">SUM(COUNTIFS(ANNOUNCEMENTS!$E$2:$E$180,B180,ANNOUNCEMENTS!$W$2:$W$180,$E$43:$E$44,ANNOUNCEMENTS!$J$2:$J$180,C180))</f>
        <v>0</v>
      </c>
      <c r="AM180" s="21">
        <f t="shared" si="69"/>
        <v>2</v>
      </c>
      <c r="AN180" s="21">
        <f t="shared" si="70"/>
        <v>0</v>
      </c>
      <c r="AO180" s="309" cm="1">
        <f t="array" ref="AO180">_xlfn.XLOOKUP(AO$159,CBIMPORT!$A$1:$AM$1,_xlfn.XLOOKUP($B180,CBIMPORT!$A$1:$A$40,CBIMPORT!$A$1:$AM$40))</f>
        <v>1</v>
      </c>
      <c r="AP180" s="308" cm="1">
        <f t="array" ref="AP180">_xlfn.XLOOKUP(AP$159,CBIMPORT!$A$1:$AM$1,_xlfn.XLOOKUP($B180,CBIMPORT!$A$1:$A$40,CBIMPORT!$A$1:$AM$40))</f>
        <v>3000</v>
      </c>
      <c r="AQ180" s="307" cm="1">
        <f t="array" ref="AQ180">_xlfn.XLOOKUP(AQ$159,CBIMPORT!$A$1:$AM$1,_xlfn.XLOOKUP($B180,CBIMPORT!$A$1:$A$40,CBIMPORT!$A$1:$AM$40))</f>
        <v>2132</v>
      </c>
    </row>
    <row r="181" spans="1:43" hidden="1" x14ac:dyDescent="0.35">
      <c r="A181" s="303" t="s">
        <v>2161</v>
      </c>
      <c r="B181" s="315" t="str">
        <f t="shared" si="62"/>
        <v>Mobileye</v>
      </c>
      <c r="C181" s="314" t="str">
        <f t="shared" si="63"/>
        <v>Other</v>
      </c>
      <c r="D181" s="313">
        <f>COUNTIFS(ANNOUNCEMENTS!$E$2:$E$180,$B181,ANNOUNCEMENTS!$J$2:$J$180,$C181)</f>
        <v>8</v>
      </c>
      <c r="E181" s="312" t="str" cm="1">
        <f t="array" ref="E181">_xlfn.ARRAYTOTEXT(
IF(D181&gt;0,_xlfn._xlws.FILTER(CHOOSE({1},
ANNOUNCEMENTS!$K$1:$K$180),
(ANNOUNCEMENTS!$E$1:$E$180=B181)*((ANNOUNCEMENTS!$J$1:$J$180=$C181)))))</f>
        <v>Porsche; Ecarx; FAW Group; Wistron NeWeb Corp ; Geely; Zeekr; Valeo; Zeekr</v>
      </c>
      <c r="F181" s="306">
        <f t="shared" si="64"/>
        <v>5</v>
      </c>
      <c r="G181" s="310" t="str" cm="1">
        <f t="array" ref="G181">_xlfn.XLOOKUP($A181,'Industries all mentioned partne'!$A$2:$A$58,_xlfn.XLOOKUP(G$159,'Industries all mentioned partne'!$A$2:$DM$2,'Industries all mentioned partne'!$A$2:$DM$58))</f>
        <v>OEM</v>
      </c>
      <c r="H181" s="91" cm="1">
        <f t="array" ref="H181">_xlfn.XLOOKUP($A181,'Industries all mentioned partne'!$A$2:$A$58,_xlfn.XLOOKUP(H$159,'Industries all mentioned partne'!$A$2:$DM$2,'Industries all mentioned partne'!$A$2:$DM$58))</f>
        <v>0.625</v>
      </c>
      <c r="I181" s="310" t="str" cm="1">
        <f t="array" ref="I181">_xlfn.XLOOKUP($A181,'Industries all mentioned partne'!$A$2:$A$58,_xlfn.XLOOKUP(I$159,'Industries all mentioned partne'!$A$2:$DM$2,'Industries all mentioned partne'!$A$2:$DM$58))</f>
        <v>Sensor</v>
      </c>
      <c r="J181" s="91" cm="1">
        <f t="array" ref="J181">_xlfn.XLOOKUP($A181,'Industries all mentioned partne'!$A$2:$A$58,_xlfn.XLOOKUP(J$159,'Industries all mentioned partne'!$A$2:$DM$2,'Industries all mentioned partne'!$A$2:$DM$58))</f>
        <v>0.25</v>
      </c>
      <c r="K181" s="310" t="str" cm="1">
        <f t="array" ref="K181">_xlfn.XLOOKUP($A181,'Industries all mentioned partne'!$A$2:$A$58,_xlfn.XLOOKUP(K$159,'Industries all mentioned partne'!$A$2:$DM$2,'Industries all mentioned partne'!$A$2:$DM$58))</f>
        <v>Automotive Supplier</v>
      </c>
      <c r="L181" s="91" cm="1">
        <f t="array" ref="L181">_xlfn.XLOOKUP($A181,'Industries all mentioned partne'!$A$2:$A$58,_xlfn.XLOOKUP(L$159,'Industries all mentioned partne'!$A$2:$DM$2,'Industries all mentioned partne'!$A$2:$DM$58))</f>
        <v>0.125</v>
      </c>
      <c r="M181" s="311" t="str" cm="1">
        <f t="array" ref="M181">_xlfn.XLOOKUP($M$159,CBIMPORT!$A$1:$AN$1,_xlfn.XLOOKUP(B181,CBIMPORT!$A$1:$A$171,CBIMPORT!$A$1:$AN$171))</f>
        <v>L1</v>
      </c>
      <c r="N181" s="309" cm="1">
        <f t="array" ref="N181">_xlfn.XLOOKUP(N$159,CBIMPORT!$A$1:$AM$1,_xlfn.XLOOKUP($B181,CBIMPORT!$A$1:$A$40,CBIMPORT!$A$1:$AM$40))</f>
        <v>464</v>
      </c>
      <c r="O181" s="21">
        <f>COUNTIFS(ANNOUNCEMENTS!$E$2:$E$180,$B181,ANNOUNCEMENTS!$Z$2:$Z$180,O$159,ANNOUNCEMENTS!$J$2:$J$180,$C181)+
COUNTIFS(ANNOUNCEMENTS!$E$2:$E$180,$B181,ANNOUNCEMENTS!$AB$2:$AB$180,O$159,ANNOUNCEMENTS!$J$2:$J$180,$C181)+
COUNTIFS(ANNOUNCEMENTS!$E$2:$E$180,$B181,ANNOUNCEMENTS!$AD$2:$AD$180,O$159,ANNOUNCEMENTS!$J$2:$J$180,$C181)</f>
        <v>4</v>
      </c>
      <c r="P181" s="21">
        <f>COUNTIFS(ANNOUNCEMENTS!$E$2:$E$180,$B181,ANNOUNCEMENTS!$Z$2:$Z$180,P$159,ANNOUNCEMENTS!$J$2:$J$180,$C181)+
COUNTIFS(ANNOUNCEMENTS!$E$2:$E$180,$B181,ANNOUNCEMENTS!$AB$2:$AB$180,P$159,ANNOUNCEMENTS!$J$2:$J$180,$C181)+
COUNTIFS(ANNOUNCEMENTS!$E$2:$E$180,$B181,ANNOUNCEMENTS!$AD$2:$AD$180,P$159,ANNOUNCEMENTS!$J$2:$J$180,$C181)</f>
        <v>0</v>
      </c>
      <c r="Q181" s="21">
        <f>COUNTIFS(ANNOUNCEMENTS!$E$2:$E$180,$B181,ANNOUNCEMENTS!$Z$2:$Z$180,Q$159,ANNOUNCEMENTS!$J$2:$J$180,$C181)+
COUNTIFS(ANNOUNCEMENTS!$E$2:$E$180,$B181,ANNOUNCEMENTS!$AB$2:$AB$180,Q$159,ANNOUNCEMENTS!$J$2:$J$180,$C181)+
COUNTIFS(ANNOUNCEMENTS!$E$2:$E$180,$B181,ANNOUNCEMENTS!$AD$2:$AD$180,Q$159,ANNOUNCEMENTS!$J$2:$J$180,$C181)</f>
        <v>0</v>
      </c>
      <c r="R181" s="21">
        <f>COUNTIFS(ANNOUNCEMENTS!$E$2:$E$180,$B181,ANNOUNCEMENTS!$Z$2:$Z$180,R$159,ANNOUNCEMENTS!$J$2:$J$180,$C181)+
COUNTIFS(ANNOUNCEMENTS!$E$2:$E$180,$B181,ANNOUNCEMENTS!$AB$2:$AB$180,R$159,ANNOUNCEMENTS!$J$2:$J$180,$C181)+
COUNTIFS(ANNOUNCEMENTS!$E$2:$E$180,$B181,ANNOUNCEMENTS!$AD$2:$AD$180,R$159,ANNOUNCEMENTS!$J$2:$J$180,$C181)</f>
        <v>0</v>
      </c>
      <c r="S181" s="21">
        <f>COUNTIFS(ANNOUNCEMENTS!$E$2:$E$180,$B181,ANNOUNCEMENTS!$Z$2:$Z$180,S$159,ANNOUNCEMENTS!$J$2:$J$180,$C181)+
COUNTIFS(ANNOUNCEMENTS!$E$2:$E$180,$B181,ANNOUNCEMENTS!$AB$2:$AB$180,S$159,ANNOUNCEMENTS!$J$2:$J$180,$C181)+
COUNTIFS(ANNOUNCEMENTS!$E$2:$E$180,$B181,ANNOUNCEMENTS!$AD$2:$AD$180,S$159,ANNOUNCEMENTS!$J$2:$J$180,$C181)</f>
        <v>0</v>
      </c>
      <c r="T181" s="21">
        <f>COUNTIFS(ANNOUNCEMENTS!$E$2:$E$180,$B181,ANNOUNCEMENTS!$Z$2:$Z$180,T$159,ANNOUNCEMENTS!$J$2:$J$180,$C181)+
COUNTIFS(ANNOUNCEMENTS!$E$2:$E$180,$B181,ANNOUNCEMENTS!$AB$2:$AB$180,T$159,ANNOUNCEMENTS!$J$2:$J$180,$C181)+
COUNTIFS(ANNOUNCEMENTS!$E$2:$E$180,$B181,ANNOUNCEMENTS!$AD$2:$AD$180,T$159,ANNOUNCEMENTS!$J$2:$J$180,$C181)</f>
        <v>0</v>
      </c>
      <c r="U181" s="21">
        <f>COUNTIFS(ANNOUNCEMENTS!$E$2:$E$180,$B181,ANNOUNCEMENTS!$Z$2:$Z$180,U$159,ANNOUNCEMENTS!$J$2:$J$180,$C181)+
COUNTIFS(ANNOUNCEMENTS!$E$2:$E$180,$B181,ANNOUNCEMENTS!$AB$2:$AB$180,U$159,ANNOUNCEMENTS!$J$2:$J$180,$C181)+
COUNTIFS(ANNOUNCEMENTS!$E$2:$E$180,$B181,ANNOUNCEMENTS!$AD$2:$AD$180,U$159,ANNOUNCEMENTS!$J$2:$J$180,$C181)</f>
        <v>0</v>
      </c>
      <c r="V181" s="21">
        <f>COUNTIFS(ANNOUNCEMENTS!$E$2:$E$180,$B181,ANNOUNCEMENTS!$Z$2:$Z$180,V$159,ANNOUNCEMENTS!$J$2:$J$180,$C181)+
COUNTIFS(ANNOUNCEMENTS!$E$2:$E$180,$B181,ANNOUNCEMENTS!$AB$2:$AB$180,V$159,ANNOUNCEMENTS!$J$2:$J$180,$C181)+
COUNTIFS(ANNOUNCEMENTS!$E$2:$E$180,$B181,ANNOUNCEMENTS!$AD$2:$AD$180,V$159,ANNOUNCEMENTS!$J$2:$J$180,$C181)</f>
        <v>0</v>
      </c>
      <c r="W181" s="21">
        <f>COUNTIFS(ANNOUNCEMENTS!$E$2:$E$180,$B181,ANNOUNCEMENTS!$Z$2:$Z$180,W$159,ANNOUNCEMENTS!$J$2:$J$180,$C181)+
COUNTIFS(ANNOUNCEMENTS!$E$2:$E$180,$B181,ANNOUNCEMENTS!$AB$2:$AB$180,W$159,ANNOUNCEMENTS!$J$2:$J$180,$C181)+
COUNTIFS(ANNOUNCEMENTS!$E$2:$E$180,$B181,ANNOUNCEMENTS!$AD$2:$AD$180,W$159,ANNOUNCEMENTS!$J$2:$J$180,$C181)</f>
        <v>4</v>
      </c>
      <c r="X181" s="21">
        <f>COUNTIFS(ANNOUNCEMENTS!$E$2:$E$180,$B181,ANNOUNCEMENTS!$W$2:$W$180,X$159,ANNOUNCEMENTS!$J$2:$J$180,$C181)</f>
        <v>0</v>
      </c>
      <c r="Y181" s="21">
        <f>COUNTIFS(ANNOUNCEMENTS!$E$2:$E$180,$B181,ANNOUNCEMENTS!$W$2:$W$180,Y$159,ANNOUNCEMENTS!$J$2:$J$180,$C181)</f>
        <v>2</v>
      </c>
      <c r="Z181" s="21">
        <f>COUNTIFS(ANNOUNCEMENTS!$E$2:$E$180,$B181,ANNOUNCEMENTS!$W$2:$W$180,Z$159,ANNOUNCEMENTS!$J$2:$J$180,$C181)</f>
        <v>1</v>
      </c>
      <c r="AA181" s="21">
        <f>COUNTIFS(ANNOUNCEMENTS!$E$2:$E$180,$B181,ANNOUNCEMENTS!$W$2:$W$180,AA$159,ANNOUNCEMENTS!$J$2:$J$180,$C181)</f>
        <v>4</v>
      </c>
      <c r="AB181" s="21">
        <f>COUNTIFS(ANNOUNCEMENTS!$E$2:$E$180,$B181,ANNOUNCEMENTS!$W$2:$W$180,AB$159,ANNOUNCEMENTS!$J$2:$J$180,$C181)</f>
        <v>0</v>
      </c>
      <c r="AC181" s="21">
        <f>COUNTIFS(ANNOUNCEMENTS!$E$2:$E$180,$B181,ANNOUNCEMENTS!$W$2:$W$180,AC$159,ANNOUNCEMENTS!$J$2:$J$180,$C181)</f>
        <v>1</v>
      </c>
      <c r="AD181" s="21">
        <f>COUNTIFS(ANNOUNCEMENTS!$E$2:$E$180,$B181,ANNOUNCEMENTS!$W$2:$W$180,AD$159,ANNOUNCEMENTS!$J$2:$J$180,$C181)</f>
        <v>0</v>
      </c>
      <c r="AE181" s="311">
        <f t="shared" si="65"/>
        <v>1</v>
      </c>
      <c r="AF181" s="311">
        <f t="shared" si="66"/>
        <v>0</v>
      </c>
      <c r="AG181" s="311">
        <f t="shared" si="67"/>
        <v>0</v>
      </c>
      <c r="AH181" s="311">
        <f t="shared" si="68"/>
        <v>0</v>
      </c>
      <c r="AI181" s="21">
        <f>COUNTIFS(ANNOUNCEMENTS!$E$2:$E$180,B181,ANNOUNCEMENTS!$Z$2:$Z$180,$J$37,ANNOUNCEMENTS!$J$2:$J$180,C181)+
COUNTIFS(ANNOUNCEMENTS!$E$2:$E$180,B181,ANNOUNCEMENTS!$Z$2:$Z$180,$L$37,ANNOUNCEMENTS!$J$2:$J$180,C181)+
COUNTIFS(ANNOUNCEMENTS!$E$2:$E$180,B181,ANNOUNCEMENTS!$AB$2:$AB$180,$J$37,ANNOUNCEMENTS!$J$2:$J$180,C181)+
COUNTIFS(ANNOUNCEMENTS!$E$2:$E$180,B181,ANNOUNCEMENTS!$AB$2:$AB$180,$L$37,ANNOUNCEMENTS!$J$2:$J$180,C181)+
COUNTIFS(ANNOUNCEMENTS!$E$2:$E$180,B181,ANNOUNCEMENTS!$AD$2:$AD$180,$J$37,ANNOUNCEMENTS!$J$2:$J$180,C181)+
COUNTIFS(ANNOUNCEMENTS!$E$2:$E$180,B181,ANNOUNCEMENTS!$AD$2:$AD$180,$L$37,ANNOUNCEMENTS!$J$2:$J$180,C181)</f>
        <v>0</v>
      </c>
      <c r="AJ181" s="21">
        <f>COUNTIFS(ANNOUNCEMENTS!$E$2:$E$180,B181,ANNOUNCEMENTS!$Z$2:$Z$180,$H$37,ANNOUNCEMENTS!$J$2:$J$180,C181)+
COUNTIFS(ANNOUNCEMENTS!$E$2:$E$180,B181,ANNOUNCEMENTS!$Z$2:$Z$180,$I$37,ANNOUNCEMENTS!$J$2:$J$180,C181)+
COUNTIFS(ANNOUNCEMENTS!$E$2:$E$180,B181,ANNOUNCEMENTS!$Z$2:$Z$180,$P$37,ANNOUNCEMENTS!$J$2:$J$180,C181)+
COUNTIFS(ANNOUNCEMENTS!$E$2:$E$180,B181,ANNOUNCEMENTS!$AB$2:$AB$180,$H$37,ANNOUNCEMENTS!$J$2:$J$180,C181)+
COUNTIFS(ANNOUNCEMENTS!$E$2:$E$180,B181,ANNOUNCEMENTS!$AB$2:$AB$180,$I$37,ANNOUNCEMENTS!$J$2:$J$180,C181)+
COUNTIFS(ANNOUNCEMENTS!$E$2:$E$180,B181,ANNOUNCEMENTS!$AB$2:$AB$180,$P$37,ANNOUNCEMENTS!$J$2:$J$180,C181)+
COUNTIFS(ANNOUNCEMENTS!$E$2:$E$180,B181,ANNOUNCEMENTS!$AD$2:$AD$180,$H$37,ANNOUNCEMENTS!$J$2:$J$180,C181)+
COUNTIFS(ANNOUNCEMENTS!$E$2:$E$180,B181,ANNOUNCEMENTS!$AD$2:$AD$180,$I$37,ANNOUNCEMENTS!$J$2:$J$180,C181)+
COUNTIFS(ANNOUNCEMENTS!$E$2:$E$180,B181,ANNOUNCEMENTS!$AD$2:$AD$180,$P$37,ANNOUNCEMENTS!$J$2:$J$180,C181)</f>
        <v>8</v>
      </c>
      <c r="AK181" s="310" cm="1">
        <f t="array" ref="AK181">SUM(COUNTIFS(ANNOUNCEMENTS!$E$2:$E$180,B181,ANNOUNCEMENTS!$W$2:$W$180,$E$38:$E$40,ANNOUNCEMENTS!$J$2:$J$180,C181))</f>
        <v>3</v>
      </c>
      <c r="AL181" s="21" cm="1">
        <f t="array" ref="AL181">SUM(COUNTIFS(ANNOUNCEMENTS!$E$2:$E$180,B181,ANNOUNCEMENTS!$W$2:$W$180,$E$43:$E$44,ANNOUNCEMENTS!$J$2:$J$180,C181))</f>
        <v>1</v>
      </c>
      <c r="AM181" s="21">
        <f t="shared" si="69"/>
        <v>8</v>
      </c>
      <c r="AN181" s="21">
        <f t="shared" si="70"/>
        <v>5</v>
      </c>
      <c r="AO181" s="309" cm="1">
        <f t="array" ref="AO181">_xlfn.XLOOKUP(AO$159,CBIMPORT!$A$1:$AM$1,_xlfn.XLOOKUP($B181,CBIMPORT!$A$1:$A$40,CBIMPORT!$A$1:$AM$40))</f>
        <v>1</v>
      </c>
      <c r="AP181" s="308" cm="1">
        <f t="array" ref="AP181">_xlfn.XLOOKUP(AP$159,CBIMPORT!$A$1:$AM$1,_xlfn.XLOOKUP($B181,CBIMPORT!$A$1:$A$40,CBIMPORT!$A$1:$AM$40))</f>
        <v>3000</v>
      </c>
      <c r="AQ181" s="307" cm="1">
        <f t="array" ref="AQ181">_xlfn.XLOOKUP(AQ$159,CBIMPORT!$A$1:$AM$1,_xlfn.XLOOKUP($B181,CBIMPORT!$A$1:$A$40,CBIMPORT!$A$1:$AM$40))</f>
        <v>2132</v>
      </c>
    </row>
    <row r="182" spans="1:43" x14ac:dyDescent="0.35">
      <c r="A182" s="303" t="s">
        <v>2190</v>
      </c>
      <c r="B182" s="315" t="str">
        <f t="shared" si="62"/>
        <v>Mobileye</v>
      </c>
      <c r="C182" s="314" t="str">
        <f t="shared" si="63"/>
        <v>Ridehailing</v>
      </c>
      <c r="D182" s="313">
        <f>COUNTIFS(ANNOUNCEMENTS!$E$2:$E$180,$B182,ANNOUNCEMENTS!$J$2:$J$180,$C182)</f>
        <v>1</v>
      </c>
      <c r="E182" s="312" t="str" cm="1">
        <f t="array" ref="E182">_xlfn.ARRAYTOTEXT(
IF(D182&gt;0,_xlfn._xlws.FILTER(CHOOSE({1},
ANNOUNCEMENTS!$K$1:$K$180),
(ANNOUNCEMENTS!$E$1:$E$180=B182)*((ANNOUNCEMENTS!$J$1:$J$180=$C182)))))</f>
        <v>WILLER</v>
      </c>
      <c r="F182" s="306">
        <f t="shared" si="64"/>
        <v>0</v>
      </c>
      <c r="G182" s="310" t="str" cm="1">
        <f t="array" ref="G182">_xlfn.XLOOKUP($A182,'Industries all mentioned partne'!$A$2:$A$58,_xlfn.XLOOKUP(G$159,'Industries all mentioned partne'!$A$2:$DM$2,'Industries all mentioned partne'!$A$2:$DM$58))</f>
        <v>Mobility Services</v>
      </c>
      <c r="H182" s="91" cm="1">
        <f t="array" ref="H182">_xlfn.XLOOKUP($A182,'Industries all mentioned partne'!$A$2:$A$58,_xlfn.XLOOKUP(H$159,'Industries all mentioned partne'!$A$2:$DM$2,'Industries all mentioned partne'!$A$2:$DM$58))</f>
        <v>1</v>
      </c>
      <c r="I182" s="310" t="str" cm="1">
        <f t="array" ref="I182">_xlfn.XLOOKUP($A182,'Industries all mentioned partne'!$A$2:$A$58,_xlfn.XLOOKUP(I$159,'Industries all mentioned partne'!$A$2:$DM$2,'Industries all mentioned partne'!$A$2:$DM$58))</f>
        <v/>
      </c>
      <c r="J182" s="91" t="str" cm="1">
        <f t="array" ref="J182">_xlfn.XLOOKUP($A182,'Industries all mentioned partne'!$A$2:$A$58,_xlfn.XLOOKUP(J$159,'Industries all mentioned partne'!$A$2:$DM$2,'Industries all mentioned partne'!$A$2:$DM$58))</f>
        <v/>
      </c>
      <c r="K182" s="310" t="str" cm="1">
        <f t="array" ref="K182">_xlfn.XLOOKUP($A182,'Industries all mentioned partne'!$A$2:$A$58,_xlfn.XLOOKUP(K$159,'Industries all mentioned partne'!$A$2:$DM$2,'Industries all mentioned partne'!$A$2:$DM$58))</f>
        <v/>
      </c>
      <c r="L182" s="91" t="str" cm="1">
        <f t="array" ref="L182">_xlfn.XLOOKUP($A182,'Industries all mentioned partne'!$A$2:$A$58,_xlfn.XLOOKUP(L$159,'Industries all mentioned partne'!$A$2:$DM$2,'Industries all mentioned partne'!$A$2:$DM$58))</f>
        <v/>
      </c>
      <c r="M182" s="311" t="str" cm="1">
        <f t="array" ref="M182">_xlfn.XLOOKUP($M$159,CBIMPORT!$A$1:$AN$1,_xlfn.XLOOKUP(B182,CBIMPORT!$A$1:$A$171,CBIMPORT!$A$1:$AN$171))</f>
        <v>L1</v>
      </c>
      <c r="N182" s="309" cm="1">
        <f t="array" ref="N182">_xlfn.XLOOKUP(N$159,CBIMPORT!$A$1:$AM$1,_xlfn.XLOOKUP($B182,CBIMPORT!$A$1:$A$40,CBIMPORT!$A$1:$AM$40))</f>
        <v>464</v>
      </c>
      <c r="O182" s="21">
        <f>COUNTIFS(ANNOUNCEMENTS!$E$2:$E$180,$B182,ANNOUNCEMENTS!$Z$2:$Z$180,O$159,ANNOUNCEMENTS!$J$2:$J$180,$C182)+
COUNTIFS(ANNOUNCEMENTS!$E$2:$E$180,$B182,ANNOUNCEMENTS!$AB$2:$AB$180,O$159,ANNOUNCEMENTS!$J$2:$J$180,$C182)+
COUNTIFS(ANNOUNCEMENTS!$E$2:$E$180,$B182,ANNOUNCEMENTS!$AD$2:$AD$180,O$159,ANNOUNCEMENTS!$J$2:$J$180,$C182)</f>
        <v>0</v>
      </c>
      <c r="P182" s="21">
        <f>COUNTIFS(ANNOUNCEMENTS!$E$2:$E$180,$B182,ANNOUNCEMENTS!$Z$2:$Z$180,P$159,ANNOUNCEMENTS!$J$2:$J$180,$C182)+
COUNTIFS(ANNOUNCEMENTS!$E$2:$E$180,$B182,ANNOUNCEMENTS!$AB$2:$AB$180,P$159,ANNOUNCEMENTS!$J$2:$J$180,$C182)+
COUNTIFS(ANNOUNCEMENTS!$E$2:$E$180,$B182,ANNOUNCEMENTS!$AD$2:$AD$180,P$159,ANNOUNCEMENTS!$J$2:$J$180,$C182)</f>
        <v>0</v>
      </c>
      <c r="Q182" s="21">
        <f>COUNTIFS(ANNOUNCEMENTS!$E$2:$E$180,$B182,ANNOUNCEMENTS!$Z$2:$Z$180,Q$159,ANNOUNCEMENTS!$J$2:$J$180,$C182)+
COUNTIFS(ANNOUNCEMENTS!$E$2:$E$180,$B182,ANNOUNCEMENTS!$AB$2:$AB$180,Q$159,ANNOUNCEMENTS!$J$2:$J$180,$C182)+
COUNTIFS(ANNOUNCEMENTS!$E$2:$E$180,$B182,ANNOUNCEMENTS!$AD$2:$AD$180,Q$159,ANNOUNCEMENTS!$J$2:$J$180,$C182)</f>
        <v>0</v>
      </c>
      <c r="R182" s="21">
        <f>COUNTIFS(ANNOUNCEMENTS!$E$2:$E$180,$B182,ANNOUNCEMENTS!$Z$2:$Z$180,R$159,ANNOUNCEMENTS!$J$2:$J$180,$C182)+
COUNTIFS(ANNOUNCEMENTS!$E$2:$E$180,$B182,ANNOUNCEMENTS!$AB$2:$AB$180,R$159,ANNOUNCEMENTS!$J$2:$J$180,$C182)+
COUNTIFS(ANNOUNCEMENTS!$E$2:$E$180,$B182,ANNOUNCEMENTS!$AD$2:$AD$180,R$159,ANNOUNCEMENTS!$J$2:$J$180,$C182)</f>
        <v>0</v>
      </c>
      <c r="S182" s="21">
        <f>COUNTIFS(ANNOUNCEMENTS!$E$2:$E$180,$B182,ANNOUNCEMENTS!$Z$2:$Z$180,S$159,ANNOUNCEMENTS!$J$2:$J$180,$C182)+
COUNTIFS(ANNOUNCEMENTS!$E$2:$E$180,$B182,ANNOUNCEMENTS!$AB$2:$AB$180,S$159,ANNOUNCEMENTS!$J$2:$J$180,$C182)+
COUNTIFS(ANNOUNCEMENTS!$E$2:$E$180,$B182,ANNOUNCEMENTS!$AD$2:$AD$180,S$159,ANNOUNCEMENTS!$J$2:$J$180,$C182)</f>
        <v>1</v>
      </c>
      <c r="T182" s="21">
        <f>COUNTIFS(ANNOUNCEMENTS!$E$2:$E$180,$B182,ANNOUNCEMENTS!$Z$2:$Z$180,T$159,ANNOUNCEMENTS!$J$2:$J$180,$C182)+
COUNTIFS(ANNOUNCEMENTS!$E$2:$E$180,$B182,ANNOUNCEMENTS!$AB$2:$AB$180,T$159,ANNOUNCEMENTS!$J$2:$J$180,$C182)+
COUNTIFS(ANNOUNCEMENTS!$E$2:$E$180,$B182,ANNOUNCEMENTS!$AD$2:$AD$180,T$159,ANNOUNCEMENTS!$J$2:$J$180,$C182)</f>
        <v>0</v>
      </c>
      <c r="U182" s="21">
        <f>COUNTIFS(ANNOUNCEMENTS!$E$2:$E$180,$B182,ANNOUNCEMENTS!$Z$2:$Z$180,U$159,ANNOUNCEMENTS!$J$2:$J$180,$C182)+
COUNTIFS(ANNOUNCEMENTS!$E$2:$E$180,$B182,ANNOUNCEMENTS!$AB$2:$AB$180,U$159,ANNOUNCEMENTS!$J$2:$J$180,$C182)+
COUNTIFS(ANNOUNCEMENTS!$E$2:$E$180,$B182,ANNOUNCEMENTS!$AD$2:$AD$180,U$159,ANNOUNCEMENTS!$J$2:$J$180,$C182)</f>
        <v>0</v>
      </c>
      <c r="V182" s="21">
        <f>COUNTIFS(ANNOUNCEMENTS!$E$2:$E$180,$B182,ANNOUNCEMENTS!$Z$2:$Z$180,V$159,ANNOUNCEMENTS!$J$2:$J$180,$C182)+
COUNTIFS(ANNOUNCEMENTS!$E$2:$E$180,$B182,ANNOUNCEMENTS!$AB$2:$AB$180,V$159,ANNOUNCEMENTS!$J$2:$J$180,$C182)+
COUNTIFS(ANNOUNCEMENTS!$E$2:$E$180,$B182,ANNOUNCEMENTS!$AD$2:$AD$180,V$159,ANNOUNCEMENTS!$J$2:$J$180,$C182)</f>
        <v>0</v>
      </c>
      <c r="W182" s="21">
        <f>COUNTIFS(ANNOUNCEMENTS!$E$2:$E$180,$B182,ANNOUNCEMENTS!$Z$2:$Z$180,W$159,ANNOUNCEMENTS!$J$2:$J$180,$C182)+
COUNTIFS(ANNOUNCEMENTS!$E$2:$E$180,$B182,ANNOUNCEMENTS!$AB$2:$AB$180,W$159,ANNOUNCEMENTS!$J$2:$J$180,$C182)+
COUNTIFS(ANNOUNCEMENTS!$E$2:$E$180,$B182,ANNOUNCEMENTS!$AD$2:$AD$180,W$159,ANNOUNCEMENTS!$J$2:$J$180,$C182)</f>
        <v>0</v>
      </c>
      <c r="X182" s="21">
        <f>COUNTIFS(ANNOUNCEMENTS!$E$2:$E$180,$B182,ANNOUNCEMENTS!$W$2:$W$180,X$159,ANNOUNCEMENTS!$J$2:$J$180,$C182)</f>
        <v>0</v>
      </c>
      <c r="Y182" s="21">
        <f>COUNTIFS(ANNOUNCEMENTS!$E$2:$E$180,$B182,ANNOUNCEMENTS!$W$2:$W$180,Y$159,ANNOUNCEMENTS!$J$2:$J$180,$C182)</f>
        <v>0</v>
      </c>
      <c r="Z182" s="21">
        <f>COUNTIFS(ANNOUNCEMENTS!$E$2:$E$180,$B182,ANNOUNCEMENTS!$W$2:$W$180,Z$159,ANNOUNCEMENTS!$J$2:$J$180,$C182)</f>
        <v>0</v>
      </c>
      <c r="AA182" s="21">
        <f>COUNTIFS(ANNOUNCEMENTS!$E$2:$E$180,$B182,ANNOUNCEMENTS!$W$2:$W$180,AA$159,ANNOUNCEMENTS!$J$2:$J$180,$C182)</f>
        <v>1</v>
      </c>
      <c r="AB182" s="21">
        <f>COUNTIFS(ANNOUNCEMENTS!$E$2:$E$180,$B182,ANNOUNCEMENTS!$W$2:$W$180,AB$159,ANNOUNCEMENTS!$J$2:$J$180,$C182)</f>
        <v>0</v>
      </c>
      <c r="AC182" s="21">
        <f>COUNTIFS(ANNOUNCEMENTS!$E$2:$E$180,$B182,ANNOUNCEMENTS!$W$2:$W$180,AC$159,ANNOUNCEMENTS!$J$2:$J$180,$C182)</f>
        <v>0</v>
      </c>
      <c r="AD182" s="21">
        <f>COUNTIFS(ANNOUNCEMENTS!$E$2:$E$180,$B182,ANNOUNCEMENTS!$W$2:$W$180,AD$159,ANNOUNCEMENTS!$J$2:$J$180,$C182)</f>
        <v>0</v>
      </c>
      <c r="AE182" s="311">
        <f t="shared" si="65"/>
        <v>1</v>
      </c>
      <c r="AF182" s="311">
        <f t="shared" si="66"/>
        <v>0</v>
      </c>
      <c r="AG182" s="311">
        <f t="shared" si="67"/>
        <v>0</v>
      </c>
      <c r="AH182" s="311">
        <f t="shared" si="68"/>
        <v>0</v>
      </c>
      <c r="AI182" s="21">
        <f>COUNTIFS(ANNOUNCEMENTS!$E$2:$E$180,B182,ANNOUNCEMENTS!$Z$2:$Z$180,$J$37,ANNOUNCEMENTS!$J$2:$J$180,C182)+
COUNTIFS(ANNOUNCEMENTS!$E$2:$E$180,B182,ANNOUNCEMENTS!$Z$2:$Z$180,$L$37,ANNOUNCEMENTS!$J$2:$J$180,C182)+
COUNTIFS(ANNOUNCEMENTS!$E$2:$E$180,B182,ANNOUNCEMENTS!$AB$2:$AB$180,$J$37,ANNOUNCEMENTS!$J$2:$J$180,C182)+
COUNTIFS(ANNOUNCEMENTS!$E$2:$E$180,B182,ANNOUNCEMENTS!$AB$2:$AB$180,$L$37,ANNOUNCEMENTS!$J$2:$J$180,C182)+
COUNTIFS(ANNOUNCEMENTS!$E$2:$E$180,B182,ANNOUNCEMENTS!$AD$2:$AD$180,$J$37,ANNOUNCEMENTS!$J$2:$J$180,C182)+
COUNTIFS(ANNOUNCEMENTS!$E$2:$E$180,B182,ANNOUNCEMENTS!$AD$2:$AD$180,$L$37,ANNOUNCEMENTS!$J$2:$J$180,C182)</f>
        <v>1</v>
      </c>
      <c r="AJ182" s="21">
        <f>COUNTIFS(ANNOUNCEMENTS!$E$2:$E$180,B182,ANNOUNCEMENTS!$Z$2:$Z$180,$H$37,ANNOUNCEMENTS!$J$2:$J$180,C182)+
COUNTIFS(ANNOUNCEMENTS!$E$2:$E$180,B182,ANNOUNCEMENTS!$Z$2:$Z$180,$I$37,ANNOUNCEMENTS!$J$2:$J$180,C182)+
COUNTIFS(ANNOUNCEMENTS!$E$2:$E$180,B182,ANNOUNCEMENTS!$Z$2:$Z$180,$P$37,ANNOUNCEMENTS!$J$2:$J$180,C182)+
COUNTIFS(ANNOUNCEMENTS!$E$2:$E$180,B182,ANNOUNCEMENTS!$AB$2:$AB$180,$H$37,ANNOUNCEMENTS!$J$2:$J$180,C182)+
COUNTIFS(ANNOUNCEMENTS!$E$2:$E$180,B182,ANNOUNCEMENTS!$AB$2:$AB$180,$I$37,ANNOUNCEMENTS!$J$2:$J$180,C182)+
COUNTIFS(ANNOUNCEMENTS!$E$2:$E$180,B182,ANNOUNCEMENTS!$AB$2:$AB$180,$P$37,ANNOUNCEMENTS!$J$2:$J$180,C182)+
COUNTIFS(ANNOUNCEMENTS!$E$2:$E$180,B182,ANNOUNCEMENTS!$AD$2:$AD$180,$H$37,ANNOUNCEMENTS!$J$2:$J$180,C182)+
COUNTIFS(ANNOUNCEMENTS!$E$2:$E$180,B182,ANNOUNCEMENTS!$AD$2:$AD$180,$I$37,ANNOUNCEMENTS!$J$2:$J$180,C182)+
COUNTIFS(ANNOUNCEMENTS!$E$2:$E$180,B182,ANNOUNCEMENTS!$AD$2:$AD$180,$P$37,ANNOUNCEMENTS!$J$2:$J$180,C182)</f>
        <v>0</v>
      </c>
      <c r="AK182" s="310" cm="1">
        <f t="array" ref="AK182">SUM(COUNTIFS(ANNOUNCEMENTS!$E$2:$E$180,B182,ANNOUNCEMENTS!$W$2:$W$180,$E$38:$E$40,ANNOUNCEMENTS!$J$2:$J$180,C182))</f>
        <v>0</v>
      </c>
      <c r="AL182" s="21" cm="1">
        <f t="array" ref="AL182">SUM(COUNTIFS(ANNOUNCEMENTS!$E$2:$E$180,B182,ANNOUNCEMENTS!$W$2:$W$180,$E$43:$E$44,ANNOUNCEMENTS!$J$2:$J$180,C182))</f>
        <v>0</v>
      </c>
      <c r="AM182" s="21">
        <f t="shared" si="69"/>
        <v>1</v>
      </c>
      <c r="AN182" s="21">
        <f t="shared" si="70"/>
        <v>0</v>
      </c>
      <c r="AO182" s="309" cm="1">
        <f t="array" ref="AO182">_xlfn.XLOOKUP(AO$159,CBIMPORT!$A$1:$AM$1,_xlfn.XLOOKUP($B182,CBIMPORT!$A$1:$A$40,CBIMPORT!$A$1:$AM$40))</f>
        <v>1</v>
      </c>
      <c r="AP182" s="308" cm="1">
        <f t="array" ref="AP182">_xlfn.XLOOKUP(AP$159,CBIMPORT!$A$1:$AM$1,_xlfn.XLOOKUP($B182,CBIMPORT!$A$1:$A$40,CBIMPORT!$A$1:$AM$40))</f>
        <v>3000</v>
      </c>
      <c r="AQ182" s="307" cm="1">
        <f t="array" ref="AQ182">_xlfn.XLOOKUP(AQ$159,CBIMPORT!$A$1:$AM$1,_xlfn.XLOOKUP($B182,CBIMPORT!$A$1:$A$40,CBIMPORT!$A$1:$AM$40))</f>
        <v>2132</v>
      </c>
    </row>
    <row r="183" spans="1:43" x14ac:dyDescent="0.35">
      <c r="A183" s="303" t="s">
        <v>2191</v>
      </c>
      <c r="B183" s="315" t="str">
        <f t="shared" si="62"/>
        <v>MOIA</v>
      </c>
      <c r="C183" s="314" t="str">
        <f t="shared" si="63"/>
        <v>Ridepooling</v>
      </c>
      <c r="D183" s="313">
        <f>COUNTIFS(ANNOUNCEMENTS!$E$2:$E$180,$B183,ANNOUNCEMENTS!$J$2:$J$180,$C183)</f>
        <v>2</v>
      </c>
      <c r="E183" s="312" t="str" cm="1">
        <f t="array" ref="E183">_xlfn.ARRAYTOTEXT(
IF(D183&gt;0,_xlfn._xlws.FILTER(CHOOSE({1},
ANNOUNCEMENTS!$K$1:$K$180),
(ANNOUNCEMENTS!$E$1:$E$180=B183)*((ANNOUNCEMENTS!$J$1:$J$180=$C183)))))</f>
        <v xml:space="preserve">HOCHBAHN;Volkswagen Commercial Vehicles; </v>
      </c>
      <c r="F183" s="306">
        <f t="shared" si="64"/>
        <v>0</v>
      </c>
      <c r="G183" s="310" t="str" cm="1">
        <f t="array" ref="G183">_xlfn.XLOOKUP($A183,'Industries all mentioned partne'!$A$2:$A$58,_xlfn.XLOOKUP(G$159,'Industries all mentioned partne'!$A$2:$DM$2,'Industries all mentioned partne'!$A$2:$DM$58))</f>
        <v>OEM Commercial Vehicles</v>
      </c>
      <c r="H183" s="91" cm="1">
        <f t="array" ref="H183">_xlfn.XLOOKUP($A183,'Industries all mentioned partne'!$A$2:$A$58,_xlfn.XLOOKUP(H$159,'Industries all mentioned partne'!$A$2:$DM$2,'Industries all mentioned partne'!$A$2:$DM$58))</f>
        <v>0.5</v>
      </c>
      <c r="I183" s="310" t="str" cm="1">
        <f t="array" ref="I183">_xlfn.XLOOKUP($A183,'Industries all mentioned partne'!$A$2:$A$58,_xlfn.XLOOKUP(I$159,'Industries all mentioned partne'!$A$2:$DM$2,'Industries all mentioned partne'!$A$2:$DM$58))</f>
        <v>OEM Commercial Vehicles</v>
      </c>
      <c r="J183" s="91" cm="1">
        <f t="array" ref="J183">_xlfn.XLOOKUP($A183,'Industries all mentioned partne'!$A$2:$A$58,_xlfn.XLOOKUP(J$159,'Industries all mentioned partne'!$A$2:$DM$2,'Industries all mentioned partne'!$A$2:$DM$58))</f>
        <v>0.5</v>
      </c>
      <c r="K183" s="310" t="str" cm="1">
        <f t="array" ref="K183">_xlfn.XLOOKUP($A183,'Industries all mentioned partne'!$A$2:$A$58,_xlfn.XLOOKUP(K$159,'Industries all mentioned partne'!$A$2:$DM$2,'Industries all mentioned partne'!$A$2:$DM$58))</f>
        <v/>
      </c>
      <c r="L183" s="91" t="str" cm="1">
        <f t="array" ref="L183">_xlfn.XLOOKUP($A183,'Industries all mentioned partne'!$A$2:$A$58,_xlfn.XLOOKUP(L$159,'Industries all mentioned partne'!$A$2:$DM$2,'Industries all mentioned partne'!$A$2:$DM$58))</f>
        <v/>
      </c>
      <c r="M183" s="311" t="str" cm="1">
        <f t="array" ref="M183">_xlfn.XLOOKUP($M$159,CBIMPORT!$A$1:$AN$1,_xlfn.XLOOKUP(B183,CBIMPORT!$A$1:$A$171,CBIMPORT!$A$1:$AN$171))</f>
        <v>L3</v>
      </c>
      <c r="N183" s="309" cm="1">
        <f t="array" ref="N183">_xlfn.XLOOKUP(N$159,CBIMPORT!$A$1:$AM$1,_xlfn.XLOOKUP($B183,CBIMPORT!$A$1:$A$40,CBIMPORT!$A$1:$AM$40))</f>
        <v>0</v>
      </c>
      <c r="O183" s="21">
        <f>COUNTIFS(ANNOUNCEMENTS!$E$2:$E$180,$B183,ANNOUNCEMENTS!$Z$2:$Z$180,O$159,ANNOUNCEMENTS!$J$2:$J$180,$C183)+
COUNTIFS(ANNOUNCEMENTS!$E$2:$E$180,$B183,ANNOUNCEMENTS!$AB$2:$AB$180,O$159,ANNOUNCEMENTS!$J$2:$J$180,$C183)+
COUNTIFS(ANNOUNCEMENTS!$E$2:$E$180,$B183,ANNOUNCEMENTS!$AD$2:$AD$180,O$159,ANNOUNCEMENTS!$J$2:$J$180,$C183)</f>
        <v>0</v>
      </c>
      <c r="P183" s="21">
        <f>COUNTIFS(ANNOUNCEMENTS!$E$2:$E$180,$B183,ANNOUNCEMENTS!$Z$2:$Z$180,P$159,ANNOUNCEMENTS!$J$2:$J$180,$C183)+
COUNTIFS(ANNOUNCEMENTS!$E$2:$E$180,$B183,ANNOUNCEMENTS!$AB$2:$AB$180,P$159,ANNOUNCEMENTS!$J$2:$J$180,$C183)+
COUNTIFS(ANNOUNCEMENTS!$E$2:$E$180,$B183,ANNOUNCEMENTS!$AD$2:$AD$180,P$159,ANNOUNCEMENTS!$J$2:$J$180,$C183)</f>
        <v>0</v>
      </c>
      <c r="Q183" s="21">
        <f>COUNTIFS(ANNOUNCEMENTS!$E$2:$E$180,$B183,ANNOUNCEMENTS!$Z$2:$Z$180,Q$159,ANNOUNCEMENTS!$J$2:$J$180,$C183)+
COUNTIFS(ANNOUNCEMENTS!$E$2:$E$180,$B183,ANNOUNCEMENTS!$AB$2:$AB$180,Q$159,ANNOUNCEMENTS!$J$2:$J$180,$C183)+
COUNTIFS(ANNOUNCEMENTS!$E$2:$E$180,$B183,ANNOUNCEMENTS!$AD$2:$AD$180,Q$159,ANNOUNCEMENTS!$J$2:$J$180,$C183)</f>
        <v>1</v>
      </c>
      <c r="R183" s="21">
        <f>COUNTIFS(ANNOUNCEMENTS!$E$2:$E$180,$B183,ANNOUNCEMENTS!$Z$2:$Z$180,R$159,ANNOUNCEMENTS!$J$2:$J$180,$C183)+
COUNTIFS(ANNOUNCEMENTS!$E$2:$E$180,$B183,ANNOUNCEMENTS!$AB$2:$AB$180,R$159,ANNOUNCEMENTS!$J$2:$J$180,$C183)+
COUNTIFS(ANNOUNCEMENTS!$E$2:$E$180,$B183,ANNOUNCEMENTS!$AD$2:$AD$180,R$159,ANNOUNCEMENTS!$J$2:$J$180,$C183)</f>
        <v>0</v>
      </c>
      <c r="S183" s="21">
        <f>COUNTIFS(ANNOUNCEMENTS!$E$2:$E$180,$B183,ANNOUNCEMENTS!$Z$2:$Z$180,S$159,ANNOUNCEMENTS!$J$2:$J$180,$C183)+
COUNTIFS(ANNOUNCEMENTS!$E$2:$E$180,$B183,ANNOUNCEMENTS!$AB$2:$AB$180,S$159,ANNOUNCEMENTS!$J$2:$J$180,$C183)+
COUNTIFS(ANNOUNCEMENTS!$E$2:$E$180,$B183,ANNOUNCEMENTS!$AD$2:$AD$180,S$159,ANNOUNCEMENTS!$J$2:$J$180,$C183)</f>
        <v>0</v>
      </c>
      <c r="T183" s="21">
        <f>COUNTIFS(ANNOUNCEMENTS!$E$2:$E$180,$B183,ANNOUNCEMENTS!$Z$2:$Z$180,T$159,ANNOUNCEMENTS!$J$2:$J$180,$C183)+
COUNTIFS(ANNOUNCEMENTS!$E$2:$E$180,$B183,ANNOUNCEMENTS!$AB$2:$AB$180,T$159,ANNOUNCEMENTS!$J$2:$J$180,$C183)+
COUNTIFS(ANNOUNCEMENTS!$E$2:$E$180,$B183,ANNOUNCEMENTS!$AD$2:$AD$180,T$159,ANNOUNCEMENTS!$J$2:$J$180,$C183)</f>
        <v>1</v>
      </c>
      <c r="U183" s="21">
        <f>COUNTIFS(ANNOUNCEMENTS!$E$2:$E$180,$B183,ANNOUNCEMENTS!$Z$2:$Z$180,U$159,ANNOUNCEMENTS!$J$2:$J$180,$C183)+
COUNTIFS(ANNOUNCEMENTS!$E$2:$E$180,$B183,ANNOUNCEMENTS!$AB$2:$AB$180,U$159,ANNOUNCEMENTS!$J$2:$J$180,$C183)+
COUNTIFS(ANNOUNCEMENTS!$E$2:$E$180,$B183,ANNOUNCEMENTS!$AD$2:$AD$180,U$159,ANNOUNCEMENTS!$J$2:$J$180,$C183)</f>
        <v>1</v>
      </c>
      <c r="V183" s="21">
        <f>COUNTIFS(ANNOUNCEMENTS!$E$2:$E$180,$B183,ANNOUNCEMENTS!$Z$2:$Z$180,V$159,ANNOUNCEMENTS!$J$2:$J$180,$C183)+
COUNTIFS(ANNOUNCEMENTS!$E$2:$E$180,$B183,ANNOUNCEMENTS!$AB$2:$AB$180,V$159,ANNOUNCEMENTS!$J$2:$J$180,$C183)+
COUNTIFS(ANNOUNCEMENTS!$E$2:$E$180,$B183,ANNOUNCEMENTS!$AD$2:$AD$180,V$159,ANNOUNCEMENTS!$J$2:$J$180,$C183)</f>
        <v>0</v>
      </c>
      <c r="W183" s="21">
        <f>COUNTIFS(ANNOUNCEMENTS!$E$2:$E$180,$B183,ANNOUNCEMENTS!$Z$2:$Z$180,W$159,ANNOUNCEMENTS!$J$2:$J$180,$C183)+
COUNTIFS(ANNOUNCEMENTS!$E$2:$E$180,$B183,ANNOUNCEMENTS!$AB$2:$AB$180,W$159,ANNOUNCEMENTS!$J$2:$J$180,$C183)+
COUNTIFS(ANNOUNCEMENTS!$E$2:$E$180,$B183,ANNOUNCEMENTS!$AD$2:$AD$180,W$159,ANNOUNCEMENTS!$J$2:$J$180,$C183)</f>
        <v>0</v>
      </c>
      <c r="X183" s="21">
        <f>COUNTIFS(ANNOUNCEMENTS!$E$2:$E$180,$B183,ANNOUNCEMENTS!$W$2:$W$180,X$159,ANNOUNCEMENTS!$J$2:$J$180,$C183)</f>
        <v>0</v>
      </c>
      <c r="Y183" s="21">
        <f>COUNTIFS(ANNOUNCEMENTS!$E$2:$E$180,$B183,ANNOUNCEMENTS!$W$2:$W$180,Y$159,ANNOUNCEMENTS!$J$2:$J$180,$C183)</f>
        <v>1</v>
      </c>
      <c r="Z183" s="21">
        <f>COUNTIFS(ANNOUNCEMENTS!$E$2:$E$180,$B183,ANNOUNCEMENTS!$W$2:$W$180,Z$159,ANNOUNCEMENTS!$J$2:$J$180,$C183)</f>
        <v>0</v>
      </c>
      <c r="AA183" s="21">
        <f>COUNTIFS(ANNOUNCEMENTS!$E$2:$E$180,$B183,ANNOUNCEMENTS!$W$2:$W$180,AA$159,ANNOUNCEMENTS!$J$2:$J$180,$C183)</f>
        <v>1</v>
      </c>
      <c r="AB183" s="21">
        <f>COUNTIFS(ANNOUNCEMENTS!$E$2:$E$180,$B183,ANNOUNCEMENTS!$W$2:$W$180,AB$159,ANNOUNCEMENTS!$J$2:$J$180,$C183)</f>
        <v>0</v>
      </c>
      <c r="AC183" s="21">
        <f>COUNTIFS(ANNOUNCEMENTS!$E$2:$E$180,$B183,ANNOUNCEMENTS!$W$2:$W$180,AC$159,ANNOUNCEMENTS!$J$2:$J$180,$C183)</f>
        <v>0</v>
      </c>
      <c r="AD183" s="21">
        <f>COUNTIFS(ANNOUNCEMENTS!$E$2:$E$180,$B183,ANNOUNCEMENTS!$W$2:$W$180,AD$159,ANNOUNCEMENTS!$J$2:$J$180,$C183)</f>
        <v>0</v>
      </c>
      <c r="AE183" s="311">
        <f t="shared" si="65"/>
        <v>0</v>
      </c>
      <c r="AF183" s="311">
        <f t="shared" si="66"/>
        <v>0</v>
      </c>
      <c r="AG183" s="311">
        <f t="shared" si="67"/>
        <v>1</v>
      </c>
      <c r="AH183" s="311">
        <f t="shared" si="68"/>
        <v>0</v>
      </c>
      <c r="AI183" s="21">
        <f>COUNTIFS(ANNOUNCEMENTS!$E$2:$E$180,B183,ANNOUNCEMENTS!$Z$2:$Z$180,$J$37,ANNOUNCEMENTS!$J$2:$J$180,C183)+
COUNTIFS(ANNOUNCEMENTS!$E$2:$E$180,B183,ANNOUNCEMENTS!$Z$2:$Z$180,$L$37,ANNOUNCEMENTS!$J$2:$J$180,C183)+
COUNTIFS(ANNOUNCEMENTS!$E$2:$E$180,B183,ANNOUNCEMENTS!$AB$2:$AB$180,$J$37,ANNOUNCEMENTS!$J$2:$J$180,C183)+
COUNTIFS(ANNOUNCEMENTS!$E$2:$E$180,B183,ANNOUNCEMENTS!$AB$2:$AB$180,$L$37,ANNOUNCEMENTS!$J$2:$J$180,C183)+
COUNTIFS(ANNOUNCEMENTS!$E$2:$E$180,B183,ANNOUNCEMENTS!$AD$2:$AD$180,$J$37,ANNOUNCEMENTS!$J$2:$J$180,C183)+
COUNTIFS(ANNOUNCEMENTS!$E$2:$E$180,B183,ANNOUNCEMENTS!$AD$2:$AD$180,$L$37,ANNOUNCEMENTS!$J$2:$J$180,C183)</f>
        <v>1</v>
      </c>
      <c r="AJ183" s="21">
        <f>COUNTIFS(ANNOUNCEMENTS!$E$2:$E$180,B183,ANNOUNCEMENTS!$Z$2:$Z$180,$H$37,ANNOUNCEMENTS!$J$2:$J$180,C183)+
COUNTIFS(ANNOUNCEMENTS!$E$2:$E$180,B183,ANNOUNCEMENTS!$Z$2:$Z$180,$I$37,ANNOUNCEMENTS!$J$2:$J$180,C183)+
COUNTIFS(ANNOUNCEMENTS!$E$2:$E$180,B183,ANNOUNCEMENTS!$Z$2:$Z$180,$P$37,ANNOUNCEMENTS!$J$2:$J$180,C183)+
COUNTIFS(ANNOUNCEMENTS!$E$2:$E$180,B183,ANNOUNCEMENTS!$AB$2:$AB$180,$H$37,ANNOUNCEMENTS!$J$2:$J$180,C183)+
COUNTIFS(ANNOUNCEMENTS!$E$2:$E$180,B183,ANNOUNCEMENTS!$AB$2:$AB$180,$I$37,ANNOUNCEMENTS!$J$2:$J$180,C183)+
COUNTIFS(ANNOUNCEMENTS!$E$2:$E$180,B183,ANNOUNCEMENTS!$AB$2:$AB$180,$P$37,ANNOUNCEMENTS!$J$2:$J$180,C183)+
COUNTIFS(ANNOUNCEMENTS!$E$2:$E$180,B183,ANNOUNCEMENTS!$AD$2:$AD$180,$H$37,ANNOUNCEMENTS!$J$2:$J$180,C183)+
COUNTIFS(ANNOUNCEMENTS!$E$2:$E$180,B183,ANNOUNCEMENTS!$AD$2:$AD$180,$I$37,ANNOUNCEMENTS!$J$2:$J$180,C183)+
COUNTIFS(ANNOUNCEMENTS!$E$2:$E$180,B183,ANNOUNCEMENTS!$AD$2:$AD$180,$P$37,ANNOUNCEMENTS!$J$2:$J$180,C183)</f>
        <v>0</v>
      </c>
      <c r="AK183" s="310" cm="1">
        <f t="array" ref="AK183">SUM(COUNTIFS(ANNOUNCEMENTS!$E$2:$E$180,B183,ANNOUNCEMENTS!$W$2:$W$180,$E$38:$E$40,ANNOUNCEMENTS!$J$2:$J$180,C183))</f>
        <v>1</v>
      </c>
      <c r="AL183" s="21" cm="1">
        <f t="array" ref="AL183">SUM(COUNTIFS(ANNOUNCEMENTS!$E$2:$E$180,B183,ANNOUNCEMENTS!$W$2:$W$180,$E$43:$E$44,ANNOUNCEMENTS!$J$2:$J$180,C183))</f>
        <v>0</v>
      </c>
      <c r="AM183" s="21">
        <f t="shared" si="69"/>
        <v>2</v>
      </c>
      <c r="AN183" s="21">
        <f t="shared" si="70"/>
        <v>0</v>
      </c>
      <c r="AO183" s="309" cm="1">
        <f t="array" ref="AO183">_xlfn.XLOOKUP(AO$159,CBIMPORT!$A$1:$AM$1,_xlfn.XLOOKUP($B183,CBIMPORT!$A$1:$A$40,CBIMPORT!$A$1:$AM$40))</f>
        <v>0</v>
      </c>
      <c r="AP183" s="308" cm="1">
        <f t="array" ref="AP183">_xlfn.XLOOKUP(AP$159,CBIMPORT!$A$1:$AM$1,_xlfn.XLOOKUP($B183,CBIMPORT!$A$1:$A$40,CBIMPORT!$A$1:$AM$40))</f>
        <v>250</v>
      </c>
      <c r="AQ183" s="307" t="str" cm="1">
        <f t="array" ref="AQ183">_xlfn.XLOOKUP(AQ$159,CBIMPORT!$A$1:$AM$1,_xlfn.XLOOKUP($B183,CBIMPORT!$A$1:$A$40,CBIMPORT!$A$1:$AM$40))</f>
        <v>n.a.</v>
      </c>
    </row>
    <row r="184" spans="1:43" x14ac:dyDescent="0.35">
      <c r="A184" s="303" t="s">
        <v>2193</v>
      </c>
      <c r="B184" s="315" t="str">
        <f t="shared" si="62"/>
        <v>Motional</v>
      </c>
      <c r="C184" s="314" t="str">
        <f t="shared" si="63"/>
        <v>Ridehailing</v>
      </c>
      <c r="D184" s="313">
        <f>COUNTIFS(ANNOUNCEMENTS!$E$2:$E$180,$B184,ANNOUNCEMENTS!$J$2:$J$180,$C184)</f>
        <v>3</v>
      </c>
      <c r="E184" s="312" t="str" cm="1">
        <f t="array" ref="E184">_xlfn.ARRAYTOTEXT(
IF(D184&gt;0,_xlfn._xlws.FILTER(CHOOSE({1},
ANNOUNCEMENTS!$K$1:$K$180),
(ANNOUNCEMENTS!$E$1:$E$180=B184)*((ANNOUNCEMENTS!$J$1:$J$180=$C184)))))</f>
        <v>Derq; Boston University; tfnsw</v>
      </c>
      <c r="F184" s="306">
        <f t="shared" si="64"/>
        <v>0</v>
      </c>
      <c r="G184" s="310" t="str" cm="1">
        <f t="array" ref="G184">_xlfn.XLOOKUP($A184,'Industries all mentioned partne'!$A$2:$A$58,_xlfn.XLOOKUP(G$159,'Industries all mentioned partne'!$A$2:$DM$2,'Industries all mentioned partne'!$A$2:$DM$58))</f>
        <v>Transport Operator</v>
      </c>
      <c r="H184" s="91" cm="1">
        <f t="array" ref="H184">_xlfn.XLOOKUP($A184,'Industries all mentioned partne'!$A$2:$A$58,_xlfn.XLOOKUP(H$159,'Industries all mentioned partne'!$A$2:$DM$2,'Industries all mentioned partne'!$A$2:$DM$58))</f>
        <v>0.33333333333333331</v>
      </c>
      <c r="I184" s="310" t="str" cm="1">
        <f t="array" ref="I184">_xlfn.XLOOKUP($A184,'Industries all mentioned partne'!$A$2:$A$58,_xlfn.XLOOKUP(I$159,'Industries all mentioned partne'!$A$2:$DM$2,'Industries all mentioned partne'!$A$2:$DM$58))</f>
        <v>Transport Operator</v>
      </c>
      <c r="J184" s="91" cm="1">
        <f t="array" ref="J184">_xlfn.XLOOKUP($A184,'Industries all mentioned partne'!$A$2:$A$58,_xlfn.XLOOKUP(J$159,'Industries all mentioned partne'!$A$2:$DM$2,'Industries all mentioned partne'!$A$2:$DM$58))</f>
        <v>0.33333333333333331</v>
      </c>
      <c r="K184" s="310" t="str" cm="1">
        <f t="array" ref="K184">_xlfn.XLOOKUP($A184,'Industries all mentioned partne'!$A$2:$A$58,_xlfn.XLOOKUP(K$159,'Industries all mentioned partne'!$A$2:$DM$2,'Industries all mentioned partne'!$A$2:$DM$58))</f>
        <v>Transport Operator</v>
      </c>
      <c r="L184" s="91" cm="1">
        <f t="array" ref="L184">_xlfn.XLOOKUP($A184,'Industries all mentioned partne'!$A$2:$A$58,_xlfn.XLOOKUP(L$159,'Industries all mentioned partne'!$A$2:$DM$2,'Industries all mentioned partne'!$A$2:$DM$58))</f>
        <v>0.33333333333333331</v>
      </c>
      <c r="M184" s="311" t="str" cm="1">
        <f t="array" ref="M184">_xlfn.XLOOKUP($M$159,CBIMPORT!$A$1:$AN$1,_xlfn.XLOOKUP(B184,CBIMPORT!$A$1:$A$171,CBIMPORT!$A$1:$AN$171))</f>
        <v>L1</v>
      </c>
      <c r="N184" s="309" cm="1">
        <f t="array" ref="N184">_xlfn.XLOOKUP(N$159,CBIMPORT!$A$1:$AM$1,_xlfn.XLOOKUP($B184,CBIMPORT!$A$1:$A$40,CBIMPORT!$A$1:$AM$40))</f>
        <v>262</v>
      </c>
      <c r="O184" s="21">
        <f>COUNTIFS(ANNOUNCEMENTS!$E$2:$E$180,$B184,ANNOUNCEMENTS!$Z$2:$Z$180,O$159,ANNOUNCEMENTS!$J$2:$J$180,$C184)+
COUNTIFS(ANNOUNCEMENTS!$E$2:$E$180,$B184,ANNOUNCEMENTS!$AB$2:$AB$180,O$159,ANNOUNCEMENTS!$J$2:$J$180,$C184)+
COUNTIFS(ANNOUNCEMENTS!$E$2:$E$180,$B184,ANNOUNCEMENTS!$AD$2:$AD$180,O$159,ANNOUNCEMENTS!$J$2:$J$180,$C184)</f>
        <v>2</v>
      </c>
      <c r="P184" s="21">
        <f>COUNTIFS(ANNOUNCEMENTS!$E$2:$E$180,$B184,ANNOUNCEMENTS!$Z$2:$Z$180,P$159,ANNOUNCEMENTS!$J$2:$J$180,$C184)+
COUNTIFS(ANNOUNCEMENTS!$E$2:$E$180,$B184,ANNOUNCEMENTS!$AB$2:$AB$180,P$159,ANNOUNCEMENTS!$J$2:$J$180,$C184)+
COUNTIFS(ANNOUNCEMENTS!$E$2:$E$180,$B184,ANNOUNCEMENTS!$AD$2:$AD$180,P$159,ANNOUNCEMENTS!$J$2:$J$180,$C184)</f>
        <v>0</v>
      </c>
      <c r="Q184" s="21">
        <f>COUNTIFS(ANNOUNCEMENTS!$E$2:$E$180,$B184,ANNOUNCEMENTS!$Z$2:$Z$180,Q$159,ANNOUNCEMENTS!$J$2:$J$180,$C184)+
COUNTIFS(ANNOUNCEMENTS!$E$2:$E$180,$B184,ANNOUNCEMENTS!$AB$2:$AB$180,Q$159,ANNOUNCEMENTS!$J$2:$J$180,$C184)+
COUNTIFS(ANNOUNCEMENTS!$E$2:$E$180,$B184,ANNOUNCEMENTS!$AD$2:$AD$180,Q$159,ANNOUNCEMENTS!$J$2:$J$180,$C184)</f>
        <v>0</v>
      </c>
      <c r="R184" s="21">
        <f>COUNTIFS(ANNOUNCEMENTS!$E$2:$E$180,$B184,ANNOUNCEMENTS!$Z$2:$Z$180,R$159,ANNOUNCEMENTS!$J$2:$J$180,$C184)+
COUNTIFS(ANNOUNCEMENTS!$E$2:$E$180,$B184,ANNOUNCEMENTS!$AB$2:$AB$180,R$159,ANNOUNCEMENTS!$J$2:$J$180,$C184)+
COUNTIFS(ANNOUNCEMENTS!$E$2:$E$180,$B184,ANNOUNCEMENTS!$AD$2:$AD$180,R$159,ANNOUNCEMENTS!$J$2:$J$180,$C184)</f>
        <v>0</v>
      </c>
      <c r="S184" s="21">
        <f>COUNTIFS(ANNOUNCEMENTS!$E$2:$E$180,$B184,ANNOUNCEMENTS!$Z$2:$Z$180,S$159,ANNOUNCEMENTS!$J$2:$J$180,$C184)+
COUNTIFS(ANNOUNCEMENTS!$E$2:$E$180,$B184,ANNOUNCEMENTS!$AB$2:$AB$180,S$159,ANNOUNCEMENTS!$J$2:$J$180,$C184)+
COUNTIFS(ANNOUNCEMENTS!$E$2:$E$180,$B184,ANNOUNCEMENTS!$AD$2:$AD$180,S$159,ANNOUNCEMENTS!$J$2:$J$180,$C184)</f>
        <v>0</v>
      </c>
      <c r="T184" s="21">
        <f>COUNTIFS(ANNOUNCEMENTS!$E$2:$E$180,$B184,ANNOUNCEMENTS!$Z$2:$Z$180,T$159,ANNOUNCEMENTS!$J$2:$J$180,$C184)+
COUNTIFS(ANNOUNCEMENTS!$E$2:$E$180,$B184,ANNOUNCEMENTS!$AB$2:$AB$180,T$159,ANNOUNCEMENTS!$J$2:$J$180,$C184)+
COUNTIFS(ANNOUNCEMENTS!$E$2:$E$180,$B184,ANNOUNCEMENTS!$AD$2:$AD$180,T$159,ANNOUNCEMENTS!$J$2:$J$180,$C184)</f>
        <v>3</v>
      </c>
      <c r="U184" s="21">
        <f>COUNTIFS(ANNOUNCEMENTS!$E$2:$E$180,$B184,ANNOUNCEMENTS!$Z$2:$Z$180,U$159,ANNOUNCEMENTS!$J$2:$J$180,$C184)+
COUNTIFS(ANNOUNCEMENTS!$E$2:$E$180,$B184,ANNOUNCEMENTS!$AB$2:$AB$180,U$159,ANNOUNCEMENTS!$J$2:$J$180,$C184)+
COUNTIFS(ANNOUNCEMENTS!$E$2:$E$180,$B184,ANNOUNCEMENTS!$AD$2:$AD$180,U$159,ANNOUNCEMENTS!$J$2:$J$180,$C184)</f>
        <v>0</v>
      </c>
      <c r="V184" s="21">
        <f>COUNTIFS(ANNOUNCEMENTS!$E$2:$E$180,$B184,ANNOUNCEMENTS!$Z$2:$Z$180,V$159,ANNOUNCEMENTS!$J$2:$J$180,$C184)+
COUNTIFS(ANNOUNCEMENTS!$E$2:$E$180,$B184,ANNOUNCEMENTS!$AB$2:$AB$180,V$159,ANNOUNCEMENTS!$J$2:$J$180,$C184)+
COUNTIFS(ANNOUNCEMENTS!$E$2:$E$180,$B184,ANNOUNCEMENTS!$AD$2:$AD$180,V$159,ANNOUNCEMENTS!$J$2:$J$180,$C184)</f>
        <v>0</v>
      </c>
      <c r="W184" s="21">
        <f>COUNTIFS(ANNOUNCEMENTS!$E$2:$E$180,$B184,ANNOUNCEMENTS!$Z$2:$Z$180,W$159,ANNOUNCEMENTS!$J$2:$J$180,$C184)+
COUNTIFS(ANNOUNCEMENTS!$E$2:$E$180,$B184,ANNOUNCEMENTS!$AB$2:$AB$180,W$159,ANNOUNCEMENTS!$J$2:$J$180,$C184)+
COUNTIFS(ANNOUNCEMENTS!$E$2:$E$180,$B184,ANNOUNCEMENTS!$AD$2:$AD$180,W$159,ANNOUNCEMENTS!$J$2:$J$180,$C184)</f>
        <v>0</v>
      </c>
      <c r="X184" s="21">
        <f>COUNTIFS(ANNOUNCEMENTS!$E$2:$E$180,$B184,ANNOUNCEMENTS!$W$2:$W$180,X$159,ANNOUNCEMENTS!$J$2:$J$180,$C184)</f>
        <v>0</v>
      </c>
      <c r="Y184" s="21">
        <f>COUNTIFS(ANNOUNCEMENTS!$E$2:$E$180,$B184,ANNOUNCEMENTS!$W$2:$W$180,Y$159,ANNOUNCEMENTS!$J$2:$J$180,$C184)</f>
        <v>3</v>
      </c>
      <c r="Z184" s="21">
        <f>COUNTIFS(ANNOUNCEMENTS!$E$2:$E$180,$B184,ANNOUNCEMENTS!$W$2:$W$180,Z$159,ANNOUNCEMENTS!$J$2:$J$180,$C184)</f>
        <v>0</v>
      </c>
      <c r="AA184" s="21">
        <f>COUNTIFS(ANNOUNCEMENTS!$E$2:$E$180,$B184,ANNOUNCEMENTS!$W$2:$W$180,AA$159,ANNOUNCEMENTS!$J$2:$J$180,$C184)</f>
        <v>0</v>
      </c>
      <c r="AB184" s="21">
        <f>COUNTIFS(ANNOUNCEMENTS!$E$2:$E$180,$B184,ANNOUNCEMENTS!$W$2:$W$180,AB$159,ANNOUNCEMENTS!$J$2:$J$180,$C184)</f>
        <v>0</v>
      </c>
      <c r="AC184" s="21">
        <f>COUNTIFS(ANNOUNCEMENTS!$E$2:$E$180,$B184,ANNOUNCEMENTS!$W$2:$W$180,AC$159,ANNOUNCEMENTS!$J$2:$J$180,$C184)</f>
        <v>0</v>
      </c>
      <c r="AD184" s="21">
        <f>COUNTIFS(ANNOUNCEMENTS!$E$2:$E$180,$B184,ANNOUNCEMENTS!$W$2:$W$180,AD$159,ANNOUNCEMENTS!$J$2:$J$180,$C184)</f>
        <v>0</v>
      </c>
      <c r="AE184" s="311">
        <f t="shared" si="65"/>
        <v>1</v>
      </c>
      <c r="AF184" s="311">
        <f t="shared" si="66"/>
        <v>0</v>
      </c>
      <c r="AG184" s="311">
        <f t="shared" si="67"/>
        <v>0</v>
      </c>
      <c r="AH184" s="311">
        <f t="shared" si="68"/>
        <v>0</v>
      </c>
      <c r="AI184" s="21">
        <f>COUNTIFS(ANNOUNCEMENTS!$E$2:$E$180,B184,ANNOUNCEMENTS!$Z$2:$Z$180,$J$37,ANNOUNCEMENTS!$J$2:$J$180,C184)+
COUNTIFS(ANNOUNCEMENTS!$E$2:$E$180,B184,ANNOUNCEMENTS!$Z$2:$Z$180,$L$37,ANNOUNCEMENTS!$J$2:$J$180,C184)+
COUNTIFS(ANNOUNCEMENTS!$E$2:$E$180,B184,ANNOUNCEMENTS!$AB$2:$AB$180,$J$37,ANNOUNCEMENTS!$J$2:$J$180,C184)+
COUNTIFS(ANNOUNCEMENTS!$E$2:$E$180,B184,ANNOUNCEMENTS!$AB$2:$AB$180,$L$37,ANNOUNCEMENTS!$J$2:$J$180,C184)+
COUNTIFS(ANNOUNCEMENTS!$E$2:$E$180,B184,ANNOUNCEMENTS!$AD$2:$AD$180,$J$37,ANNOUNCEMENTS!$J$2:$J$180,C184)+
COUNTIFS(ANNOUNCEMENTS!$E$2:$E$180,B184,ANNOUNCEMENTS!$AD$2:$AD$180,$L$37,ANNOUNCEMENTS!$J$2:$J$180,C184)</f>
        <v>0</v>
      </c>
      <c r="AJ184" s="21">
        <f>COUNTIFS(ANNOUNCEMENTS!$E$2:$E$180,B184,ANNOUNCEMENTS!$Z$2:$Z$180,$H$37,ANNOUNCEMENTS!$J$2:$J$180,C184)+
COUNTIFS(ANNOUNCEMENTS!$E$2:$E$180,B184,ANNOUNCEMENTS!$Z$2:$Z$180,$I$37,ANNOUNCEMENTS!$J$2:$J$180,C184)+
COUNTIFS(ANNOUNCEMENTS!$E$2:$E$180,B184,ANNOUNCEMENTS!$Z$2:$Z$180,$P$37,ANNOUNCEMENTS!$J$2:$J$180,C184)+
COUNTIFS(ANNOUNCEMENTS!$E$2:$E$180,B184,ANNOUNCEMENTS!$AB$2:$AB$180,$H$37,ANNOUNCEMENTS!$J$2:$J$180,C184)+
COUNTIFS(ANNOUNCEMENTS!$E$2:$E$180,B184,ANNOUNCEMENTS!$AB$2:$AB$180,$I$37,ANNOUNCEMENTS!$J$2:$J$180,C184)+
COUNTIFS(ANNOUNCEMENTS!$E$2:$E$180,B184,ANNOUNCEMENTS!$AB$2:$AB$180,$P$37,ANNOUNCEMENTS!$J$2:$J$180,C184)+
COUNTIFS(ANNOUNCEMENTS!$E$2:$E$180,B184,ANNOUNCEMENTS!$AD$2:$AD$180,$H$37,ANNOUNCEMENTS!$J$2:$J$180,C184)+
COUNTIFS(ANNOUNCEMENTS!$E$2:$E$180,B184,ANNOUNCEMENTS!$AD$2:$AD$180,$I$37,ANNOUNCEMENTS!$J$2:$J$180,C184)+
COUNTIFS(ANNOUNCEMENTS!$E$2:$E$180,B184,ANNOUNCEMENTS!$AD$2:$AD$180,$P$37,ANNOUNCEMENTS!$J$2:$J$180,C184)</f>
        <v>2</v>
      </c>
      <c r="AK184" s="310" cm="1">
        <f t="array" ref="AK184">SUM(COUNTIFS(ANNOUNCEMENTS!$E$2:$E$180,B184,ANNOUNCEMENTS!$W$2:$W$180,$E$38:$E$40,ANNOUNCEMENTS!$J$2:$J$180,C184))</f>
        <v>3</v>
      </c>
      <c r="AL184" s="21" cm="1">
        <f t="array" ref="AL184">SUM(COUNTIFS(ANNOUNCEMENTS!$E$2:$E$180,B184,ANNOUNCEMENTS!$W$2:$W$180,$E$43:$E$44,ANNOUNCEMENTS!$J$2:$J$180,C184))</f>
        <v>0</v>
      </c>
      <c r="AM184" s="21">
        <f t="shared" si="69"/>
        <v>3</v>
      </c>
      <c r="AN184" s="21">
        <f t="shared" si="70"/>
        <v>0</v>
      </c>
      <c r="AO184" s="309" cm="1">
        <f t="array" ref="AO184">_xlfn.XLOOKUP(AO$159,CBIMPORT!$A$1:$AM$1,_xlfn.XLOOKUP($B184,CBIMPORT!$A$1:$A$40,CBIMPORT!$A$1:$AM$40))</f>
        <v>0</v>
      </c>
      <c r="AP184" s="308" cm="1">
        <f t="array" ref="AP184">_xlfn.XLOOKUP(AP$159,CBIMPORT!$A$1:$AM$1,_xlfn.XLOOKUP($B184,CBIMPORT!$A$1:$A$40,CBIMPORT!$A$1:$AM$40))</f>
        <v>750</v>
      </c>
      <c r="AQ184" s="307" t="str" cm="1">
        <f t="array" ref="AQ184">_xlfn.XLOOKUP(AQ$159,CBIMPORT!$A$1:$AM$1,_xlfn.XLOOKUP($B184,CBIMPORT!$A$1:$A$40,CBIMPORT!$A$1:$AM$40))</f>
        <v>n.a.</v>
      </c>
    </row>
    <row r="185" spans="1:43" x14ac:dyDescent="0.35">
      <c r="A185" s="303" t="s">
        <v>2192</v>
      </c>
      <c r="B185" s="315" t="str">
        <f t="shared" si="62"/>
        <v>Motional</v>
      </c>
      <c r="C185" s="314" t="str">
        <f t="shared" si="63"/>
        <v>Last-Mile</v>
      </c>
      <c r="D185" s="313">
        <f>COUNTIFS(ANNOUNCEMENTS!$E$2:$E$180,$B185,ANNOUNCEMENTS!$J$2:$J$180,$C185)</f>
        <v>1</v>
      </c>
      <c r="E185" s="312" t="str" cm="1">
        <f t="array" ref="E185">_xlfn.ARRAYTOTEXT(
IF(D185&gt;0,_xlfn._xlws.FILTER(CHOOSE({1},
ANNOUNCEMENTS!$K$1:$K$180),
(ANNOUNCEMENTS!$E$1:$E$180=B185)*((ANNOUNCEMENTS!$J$1:$J$180=$C185)))))</f>
        <v>Uber</v>
      </c>
      <c r="F185" s="306">
        <f t="shared" si="64"/>
        <v>1</v>
      </c>
      <c r="G185" s="310" t="str" cm="1">
        <f t="array" ref="G185">_xlfn.XLOOKUP($A185,'Industries all mentioned partne'!$A$2:$A$58,_xlfn.XLOOKUP(G$159,'Industries all mentioned partne'!$A$2:$DM$2,'Industries all mentioned partne'!$A$2:$DM$58))</f>
        <v>Mobility Services Booking</v>
      </c>
      <c r="H185" s="91" cm="1">
        <f t="array" ref="H185">_xlfn.XLOOKUP($A185,'Industries all mentioned partne'!$A$2:$A$58,_xlfn.XLOOKUP(H$159,'Industries all mentioned partne'!$A$2:$DM$2,'Industries all mentioned partne'!$A$2:$DM$58))</f>
        <v>1</v>
      </c>
      <c r="I185" s="310" t="str" cm="1">
        <f t="array" ref="I185">_xlfn.XLOOKUP($A185,'Industries all mentioned partne'!$A$2:$A$58,_xlfn.XLOOKUP(I$159,'Industries all mentioned partne'!$A$2:$DM$2,'Industries all mentioned partne'!$A$2:$DM$58))</f>
        <v/>
      </c>
      <c r="J185" s="91" t="str" cm="1">
        <f t="array" ref="J185">_xlfn.XLOOKUP($A185,'Industries all mentioned partne'!$A$2:$A$58,_xlfn.XLOOKUP(J$159,'Industries all mentioned partne'!$A$2:$DM$2,'Industries all mentioned partne'!$A$2:$DM$58))</f>
        <v/>
      </c>
      <c r="K185" s="310" t="str" cm="1">
        <f t="array" ref="K185">_xlfn.XLOOKUP($A185,'Industries all mentioned partne'!$A$2:$A$58,_xlfn.XLOOKUP(K$159,'Industries all mentioned partne'!$A$2:$DM$2,'Industries all mentioned partne'!$A$2:$DM$58))</f>
        <v/>
      </c>
      <c r="L185" s="91" t="str" cm="1">
        <f t="array" ref="L185">_xlfn.XLOOKUP($A185,'Industries all mentioned partne'!$A$2:$A$58,_xlfn.XLOOKUP(L$159,'Industries all mentioned partne'!$A$2:$DM$2,'Industries all mentioned partne'!$A$2:$DM$58))</f>
        <v/>
      </c>
      <c r="M185" s="311" t="str" cm="1">
        <f t="array" ref="M185">_xlfn.XLOOKUP($M$159,CBIMPORT!$A$1:$AN$1,_xlfn.XLOOKUP(B185,CBIMPORT!$A$1:$A$171,CBIMPORT!$A$1:$AN$171))</f>
        <v>L1</v>
      </c>
      <c r="N185" s="309" cm="1">
        <f t="array" ref="N185">_xlfn.XLOOKUP(N$159,CBIMPORT!$A$1:$AM$1,_xlfn.XLOOKUP($B185,CBIMPORT!$A$1:$A$40,CBIMPORT!$A$1:$AM$40))</f>
        <v>262</v>
      </c>
      <c r="O185" s="21">
        <f>COUNTIFS(ANNOUNCEMENTS!$E$2:$E$180,$B185,ANNOUNCEMENTS!$Z$2:$Z$180,O$159,ANNOUNCEMENTS!$J$2:$J$180,$C185)+
COUNTIFS(ANNOUNCEMENTS!$E$2:$E$180,$B185,ANNOUNCEMENTS!$AB$2:$AB$180,O$159,ANNOUNCEMENTS!$J$2:$J$180,$C185)+
COUNTIFS(ANNOUNCEMENTS!$E$2:$E$180,$B185,ANNOUNCEMENTS!$AD$2:$AD$180,O$159,ANNOUNCEMENTS!$J$2:$J$180,$C185)</f>
        <v>0</v>
      </c>
      <c r="P185" s="21">
        <f>COUNTIFS(ANNOUNCEMENTS!$E$2:$E$180,$B185,ANNOUNCEMENTS!$Z$2:$Z$180,P$159,ANNOUNCEMENTS!$J$2:$J$180,$C185)+
COUNTIFS(ANNOUNCEMENTS!$E$2:$E$180,$B185,ANNOUNCEMENTS!$AB$2:$AB$180,P$159,ANNOUNCEMENTS!$J$2:$J$180,$C185)+
COUNTIFS(ANNOUNCEMENTS!$E$2:$E$180,$B185,ANNOUNCEMENTS!$AD$2:$AD$180,P$159,ANNOUNCEMENTS!$J$2:$J$180,$C185)</f>
        <v>0</v>
      </c>
      <c r="Q185" s="21">
        <f>COUNTIFS(ANNOUNCEMENTS!$E$2:$E$180,$B185,ANNOUNCEMENTS!$Z$2:$Z$180,Q$159,ANNOUNCEMENTS!$J$2:$J$180,$C185)+
COUNTIFS(ANNOUNCEMENTS!$E$2:$E$180,$B185,ANNOUNCEMENTS!$AB$2:$AB$180,Q$159,ANNOUNCEMENTS!$J$2:$J$180,$C185)+
COUNTIFS(ANNOUNCEMENTS!$E$2:$E$180,$B185,ANNOUNCEMENTS!$AD$2:$AD$180,Q$159,ANNOUNCEMENTS!$J$2:$J$180,$C185)</f>
        <v>1</v>
      </c>
      <c r="R185" s="21">
        <f>COUNTIFS(ANNOUNCEMENTS!$E$2:$E$180,$B185,ANNOUNCEMENTS!$Z$2:$Z$180,R$159,ANNOUNCEMENTS!$J$2:$J$180,$C185)+
COUNTIFS(ANNOUNCEMENTS!$E$2:$E$180,$B185,ANNOUNCEMENTS!$AB$2:$AB$180,R$159,ANNOUNCEMENTS!$J$2:$J$180,$C185)+
COUNTIFS(ANNOUNCEMENTS!$E$2:$E$180,$B185,ANNOUNCEMENTS!$AD$2:$AD$180,R$159,ANNOUNCEMENTS!$J$2:$J$180,$C185)</f>
        <v>0</v>
      </c>
      <c r="S185" s="21">
        <f>COUNTIFS(ANNOUNCEMENTS!$E$2:$E$180,$B185,ANNOUNCEMENTS!$Z$2:$Z$180,S$159,ANNOUNCEMENTS!$J$2:$J$180,$C185)+
COUNTIFS(ANNOUNCEMENTS!$E$2:$E$180,$B185,ANNOUNCEMENTS!$AB$2:$AB$180,S$159,ANNOUNCEMENTS!$J$2:$J$180,$C185)+
COUNTIFS(ANNOUNCEMENTS!$E$2:$E$180,$B185,ANNOUNCEMENTS!$AD$2:$AD$180,S$159,ANNOUNCEMENTS!$J$2:$J$180,$C185)</f>
        <v>0</v>
      </c>
      <c r="T185" s="21">
        <f>COUNTIFS(ANNOUNCEMENTS!$E$2:$E$180,$B185,ANNOUNCEMENTS!$Z$2:$Z$180,T$159,ANNOUNCEMENTS!$J$2:$J$180,$C185)+
COUNTIFS(ANNOUNCEMENTS!$E$2:$E$180,$B185,ANNOUNCEMENTS!$AB$2:$AB$180,T$159,ANNOUNCEMENTS!$J$2:$J$180,$C185)+
COUNTIFS(ANNOUNCEMENTS!$E$2:$E$180,$B185,ANNOUNCEMENTS!$AD$2:$AD$180,T$159,ANNOUNCEMENTS!$J$2:$J$180,$C185)</f>
        <v>0</v>
      </c>
      <c r="U185" s="21">
        <f>COUNTIFS(ANNOUNCEMENTS!$E$2:$E$180,$B185,ANNOUNCEMENTS!$Z$2:$Z$180,U$159,ANNOUNCEMENTS!$J$2:$J$180,$C185)+
COUNTIFS(ANNOUNCEMENTS!$E$2:$E$180,$B185,ANNOUNCEMENTS!$AB$2:$AB$180,U$159,ANNOUNCEMENTS!$J$2:$J$180,$C185)+
COUNTIFS(ANNOUNCEMENTS!$E$2:$E$180,$B185,ANNOUNCEMENTS!$AD$2:$AD$180,U$159,ANNOUNCEMENTS!$J$2:$J$180,$C185)</f>
        <v>0</v>
      </c>
      <c r="V185" s="21">
        <f>COUNTIFS(ANNOUNCEMENTS!$E$2:$E$180,$B185,ANNOUNCEMENTS!$Z$2:$Z$180,V$159,ANNOUNCEMENTS!$J$2:$J$180,$C185)+
COUNTIFS(ANNOUNCEMENTS!$E$2:$E$180,$B185,ANNOUNCEMENTS!$AB$2:$AB$180,V$159,ANNOUNCEMENTS!$J$2:$J$180,$C185)+
COUNTIFS(ANNOUNCEMENTS!$E$2:$E$180,$B185,ANNOUNCEMENTS!$AD$2:$AD$180,V$159,ANNOUNCEMENTS!$J$2:$J$180,$C185)</f>
        <v>0</v>
      </c>
      <c r="W185" s="21">
        <f>COUNTIFS(ANNOUNCEMENTS!$E$2:$E$180,$B185,ANNOUNCEMENTS!$Z$2:$Z$180,W$159,ANNOUNCEMENTS!$J$2:$J$180,$C185)+
COUNTIFS(ANNOUNCEMENTS!$E$2:$E$180,$B185,ANNOUNCEMENTS!$AB$2:$AB$180,W$159,ANNOUNCEMENTS!$J$2:$J$180,$C185)+
COUNTIFS(ANNOUNCEMENTS!$E$2:$E$180,$B185,ANNOUNCEMENTS!$AD$2:$AD$180,W$159,ANNOUNCEMENTS!$J$2:$J$180,$C185)</f>
        <v>0</v>
      </c>
      <c r="X185" s="21">
        <f>COUNTIFS(ANNOUNCEMENTS!$E$2:$E$180,$B185,ANNOUNCEMENTS!$W$2:$W$180,X$159,ANNOUNCEMENTS!$J$2:$J$180,$C185)</f>
        <v>0</v>
      </c>
      <c r="Y185" s="21">
        <f>COUNTIFS(ANNOUNCEMENTS!$E$2:$E$180,$B185,ANNOUNCEMENTS!$W$2:$W$180,Y$159,ANNOUNCEMENTS!$J$2:$J$180,$C185)</f>
        <v>1</v>
      </c>
      <c r="Z185" s="21">
        <f>COUNTIFS(ANNOUNCEMENTS!$E$2:$E$180,$B185,ANNOUNCEMENTS!$W$2:$W$180,Z$159,ANNOUNCEMENTS!$J$2:$J$180,$C185)</f>
        <v>0</v>
      </c>
      <c r="AA185" s="21">
        <f>COUNTIFS(ANNOUNCEMENTS!$E$2:$E$180,$B185,ANNOUNCEMENTS!$W$2:$W$180,AA$159,ANNOUNCEMENTS!$J$2:$J$180,$C185)</f>
        <v>0</v>
      </c>
      <c r="AB185" s="21">
        <f>COUNTIFS(ANNOUNCEMENTS!$E$2:$E$180,$B185,ANNOUNCEMENTS!$W$2:$W$180,AB$159,ANNOUNCEMENTS!$J$2:$J$180,$C185)</f>
        <v>0</v>
      </c>
      <c r="AC185" s="21">
        <f>COUNTIFS(ANNOUNCEMENTS!$E$2:$E$180,$B185,ANNOUNCEMENTS!$W$2:$W$180,AC$159,ANNOUNCEMENTS!$J$2:$J$180,$C185)</f>
        <v>0</v>
      </c>
      <c r="AD185" s="21">
        <f>COUNTIFS(ANNOUNCEMENTS!$E$2:$E$180,$B185,ANNOUNCEMENTS!$W$2:$W$180,AD$159,ANNOUNCEMENTS!$J$2:$J$180,$C185)</f>
        <v>0</v>
      </c>
      <c r="AE185" s="311">
        <f t="shared" si="65"/>
        <v>1</v>
      </c>
      <c r="AF185" s="311">
        <f t="shared" si="66"/>
        <v>0</v>
      </c>
      <c r="AG185" s="311">
        <f t="shared" si="67"/>
        <v>0</v>
      </c>
      <c r="AH185" s="311">
        <f t="shared" si="68"/>
        <v>0</v>
      </c>
      <c r="AI185" s="21">
        <f>COUNTIFS(ANNOUNCEMENTS!$E$2:$E$180,B185,ANNOUNCEMENTS!$Z$2:$Z$180,$J$37,ANNOUNCEMENTS!$J$2:$J$180,C185)+
COUNTIFS(ANNOUNCEMENTS!$E$2:$E$180,B185,ANNOUNCEMENTS!$Z$2:$Z$180,$L$37,ANNOUNCEMENTS!$J$2:$J$180,C185)+
COUNTIFS(ANNOUNCEMENTS!$E$2:$E$180,B185,ANNOUNCEMENTS!$AB$2:$AB$180,$J$37,ANNOUNCEMENTS!$J$2:$J$180,C185)+
COUNTIFS(ANNOUNCEMENTS!$E$2:$E$180,B185,ANNOUNCEMENTS!$AB$2:$AB$180,$L$37,ANNOUNCEMENTS!$J$2:$J$180,C185)+
COUNTIFS(ANNOUNCEMENTS!$E$2:$E$180,B185,ANNOUNCEMENTS!$AD$2:$AD$180,$J$37,ANNOUNCEMENTS!$J$2:$J$180,C185)+
COUNTIFS(ANNOUNCEMENTS!$E$2:$E$180,B185,ANNOUNCEMENTS!$AD$2:$AD$180,$L$37,ANNOUNCEMENTS!$J$2:$J$180,C185)</f>
        <v>1</v>
      </c>
      <c r="AJ185" s="21">
        <f>COUNTIFS(ANNOUNCEMENTS!$E$2:$E$180,B185,ANNOUNCEMENTS!$Z$2:$Z$180,$H$37,ANNOUNCEMENTS!$J$2:$J$180,C185)+
COUNTIFS(ANNOUNCEMENTS!$E$2:$E$180,B185,ANNOUNCEMENTS!$Z$2:$Z$180,$I$37,ANNOUNCEMENTS!$J$2:$J$180,C185)+
COUNTIFS(ANNOUNCEMENTS!$E$2:$E$180,B185,ANNOUNCEMENTS!$Z$2:$Z$180,$P$37,ANNOUNCEMENTS!$J$2:$J$180,C185)+
COUNTIFS(ANNOUNCEMENTS!$E$2:$E$180,B185,ANNOUNCEMENTS!$AB$2:$AB$180,$H$37,ANNOUNCEMENTS!$J$2:$J$180,C185)+
COUNTIFS(ANNOUNCEMENTS!$E$2:$E$180,B185,ANNOUNCEMENTS!$AB$2:$AB$180,$I$37,ANNOUNCEMENTS!$J$2:$J$180,C185)+
COUNTIFS(ANNOUNCEMENTS!$E$2:$E$180,B185,ANNOUNCEMENTS!$AB$2:$AB$180,$P$37,ANNOUNCEMENTS!$J$2:$J$180,C185)+
COUNTIFS(ANNOUNCEMENTS!$E$2:$E$180,B185,ANNOUNCEMENTS!$AD$2:$AD$180,$H$37,ANNOUNCEMENTS!$J$2:$J$180,C185)+
COUNTIFS(ANNOUNCEMENTS!$E$2:$E$180,B185,ANNOUNCEMENTS!$AD$2:$AD$180,$I$37,ANNOUNCEMENTS!$J$2:$J$180,C185)+
COUNTIFS(ANNOUNCEMENTS!$E$2:$E$180,B185,ANNOUNCEMENTS!$AD$2:$AD$180,$P$37,ANNOUNCEMENTS!$J$2:$J$180,C185)</f>
        <v>0</v>
      </c>
      <c r="AK185" s="310" cm="1">
        <f t="array" ref="AK185">SUM(COUNTIFS(ANNOUNCEMENTS!$E$2:$E$180,B185,ANNOUNCEMENTS!$W$2:$W$180,$E$38:$E$40,ANNOUNCEMENTS!$J$2:$J$180,C185))</f>
        <v>1</v>
      </c>
      <c r="AL185" s="21" cm="1">
        <f t="array" ref="AL185">SUM(COUNTIFS(ANNOUNCEMENTS!$E$2:$E$180,B185,ANNOUNCEMENTS!$W$2:$W$180,$E$43:$E$44,ANNOUNCEMENTS!$J$2:$J$180,C185))</f>
        <v>0</v>
      </c>
      <c r="AM185" s="21">
        <f t="shared" si="69"/>
        <v>1</v>
      </c>
      <c r="AN185" s="21">
        <f t="shared" si="70"/>
        <v>1</v>
      </c>
      <c r="AO185" s="309" cm="1">
        <f t="array" ref="AO185">_xlfn.XLOOKUP(AO$159,CBIMPORT!$A$1:$AM$1,_xlfn.XLOOKUP($B185,CBIMPORT!$A$1:$A$40,CBIMPORT!$A$1:$AM$40))</f>
        <v>0</v>
      </c>
      <c r="AP185" s="308" cm="1">
        <f t="array" ref="AP185">_xlfn.XLOOKUP(AP$159,CBIMPORT!$A$1:$AM$1,_xlfn.XLOOKUP($B185,CBIMPORT!$A$1:$A$40,CBIMPORT!$A$1:$AM$40))</f>
        <v>750</v>
      </c>
      <c r="AQ185" s="307" t="str" cm="1">
        <f t="array" ref="AQ185">_xlfn.XLOOKUP(AQ$159,CBIMPORT!$A$1:$AM$1,_xlfn.XLOOKUP($B185,CBIMPORT!$A$1:$A$40,CBIMPORT!$A$1:$AM$40))</f>
        <v>n.a.</v>
      </c>
    </row>
    <row r="186" spans="1:43" x14ac:dyDescent="0.35">
      <c r="A186" s="303" t="s">
        <v>2194</v>
      </c>
      <c r="B186" s="315" t="str">
        <f t="shared" si="62"/>
        <v>Navya</v>
      </c>
      <c r="C186" s="314" t="str">
        <f t="shared" si="63"/>
        <v>Ridepooling</v>
      </c>
      <c r="D186" s="313">
        <f>COUNTIFS(ANNOUNCEMENTS!$E$2:$E$180,$B186,ANNOUNCEMENTS!$J$2:$J$180,$C186)</f>
        <v>5</v>
      </c>
      <c r="E186" s="312" t="str" cm="1">
        <f t="array" ref="E186">_xlfn.ARRAYTOTEXT(
IF(D186&gt;0,_xlfn._xlws.FILTER(CHOOSE({1},
ANNOUNCEMENTS!$K$1:$K$180),
(ANNOUNCEMENTS!$E$1:$E$180=B186)*((ANNOUNCEMENTS!$J$1:$J$180=$C186)))))</f>
        <v>Valeo; Ion; Valeo; Lohr; Michelin;Beti</v>
      </c>
      <c r="F186" s="306">
        <f t="shared" si="64"/>
        <v>3</v>
      </c>
      <c r="G186" s="310" t="str" cm="1">
        <f t="array" ref="G186">_xlfn.XLOOKUP($A186,'Industries all mentioned partne'!$A$2:$A$58,_xlfn.XLOOKUP(G$159,'Industries all mentioned partne'!$A$2:$DM$2,'Industries all mentioned partne'!$A$2:$DM$58))</f>
        <v>Mobility Services</v>
      </c>
      <c r="H186" s="91" cm="1">
        <f t="array" ref="H186">_xlfn.XLOOKUP($A186,'Industries all mentioned partne'!$A$2:$A$58,_xlfn.XLOOKUP(H$159,'Industries all mentioned partne'!$A$2:$DM$2,'Industries all mentioned partne'!$A$2:$DM$58))</f>
        <v>0.33333333333333331</v>
      </c>
      <c r="I186" s="310" t="str" cm="1">
        <f t="array" ref="I186">_xlfn.XLOOKUP($A186,'Industries all mentioned partne'!$A$2:$A$58,_xlfn.XLOOKUP(I$159,'Industries all mentioned partne'!$A$2:$DM$2,'Industries all mentioned partne'!$A$2:$DM$58))</f>
        <v>Mobility Services</v>
      </c>
      <c r="J186" s="91" cm="1">
        <f t="array" ref="J186">_xlfn.XLOOKUP($A186,'Industries all mentioned partne'!$A$2:$A$58,_xlfn.XLOOKUP(J$159,'Industries all mentioned partne'!$A$2:$DM$2,'Industries all mentioned partne'!$A$2:$DM$58))</f>
        <v>0.33333333333333331</v>
      </c>
      <c r="K186" s="310" t="str" cm="1">
        <f t="array" ref="K186">_xlfn.XLOOKUP($A186,'Industries all mentioned partne'!$A$2:$A$58,_xlfn.XLOOKUP(K$159,'Industries all mentioned partne'!$A$2:$DM$2,'Industries all mentioned partne'!$A$2:$DM$58))</f>
        <v>OEM Commercial Vehicles</v>
      </c>
      <c r="L186" s="91" cm="1">
        <f t="array" ref="L186">_xlfn.XLOOKUP($A186,'Industries all mentioned partne'!$A$2:$A$58,_xlfn.XLOOKUP(L$159,'Industries all mentioned partne'!$A$2:$DM$2,'Industries all mentioned partne'!$A$2:$DM$58))</f>
        <v>0.16666666666666666</v>
      </c>
      <c r="M186" s="311" t="str" cm="1">
        <f t="array" ref="M186">_xlfn.XLOOKUP($M$159,CBIMPORT!$A$1:$AN$1,_xlfn.XLOOKUP(B186,CBIMPORT!$A$1:$A$171,CBIMPORT!$A$1:$AN$171))</f>
        <v>L2</v>
      </c>
      <c r="N186" s="309" t="str" cm="1">
        <f t="array" ref="N186">_xlfn.XLOOKUP(N$159,CBIMPORT!$A$1:$AM$1,_xlfn.XLOOKUP($B186,CBIMPORT!$A$1:$A$40,CBIMPORT!$A$1:$AM$40))</f>
        <v>n.a.</v>
      </c>
      <c r="O186" s="21">
        <f>COUNTIFS(ANNOUNCEMENTS!$E$2:$E$180,$B186,ANNOUNCEMENTS!$Z$2:$Z$180,O$159,ANNOUNCEMENTS!$J$2:$J$180,$C186)+
COUNTIFS(ANNOUNCEMENTS!$E$2:$E$180,$B186,ANNOUNCEMENTS!$AB$2:$AB$180,O$159,ANNOUNCEMENTS!$J$2:$J$180,$C186)+
COUNTIFS(ANNOUNCEMENTS!$E$2:$E$180,$B186,ANNOUNCEMENTS!$AD$2:$AD$180,O$159,ANNOUNCEMENTS!$J$2:$J$180,$C186)</f>
        <v>1</v>
      </c>
      <c r="P186" s="21">
        <f>COUNTIFS(ANNOUNCEMENTS!$E$2:$E$180,$B186,ANNOUNCEMENTS!$Z$2:$Z$180,P$159,ANNOUNCEMENTS!$J$2:$J$180,$C186)+
COUNTIFS(ANNOUNCEMENTS!$E$2:$E$180,$B186,ANNOUNCEMENTS!$AB$2:$AB$180,P$159,ANNOUNCEMENTS!$J$2:$J$180,$C186)+
COUNTIFS(ANNOUNCEMENTS!$E$2:$E$180,$B186,ANNOUNCEMENTS!$AD$2:$AD$180,P$159,ANNOUNCEMENTS!$J$2:$J$180,$C186)</f>
        <v>2</v>
      </c>
      <c r="Q186" s="21">
        <f>COUNTIFS(ANNOUNCEMENTS!$E$2:$E$180,$B186,ANNOUNCEMENTS!$Z$2:$Z$180,Q$159,ANNOUNCEMENTS!$J$2:$J$180,$C186)+
COUNTIFS(ANNOUNCEMENTS!$E$2:$E$180,$B186,ANNOUNCEMENTS!$AB$2:$AB$180,Q$159,ANNOUNCEMENTS!$J$2:$J$180,$C186)+
COUNTIFS(ANNOUNCEMENTS!$E$2:$E$180,$B186,ANNOUNCEMENTS!$AD$2:$AD$180,Q$159,ANNOUNCEMENTS!$J$2:$J$180,$C186)</f>
        <v>1</v>
      </c>
      <c r="R186" s="21">
        <f>COUNTIFS(ANNOUNCEMENTS!$E$2:$E$180,$B186,ANNOUNCEMENTS!$Z$2:$Z$180,R$159,ANNOUNCEMENTS!$J$2:$J$180,$C186)+
COUNTIFS(ANNOUNCEMENTS!$E$2:$E$180,$B186,ANNOUNCEMENTS!$AB$2:$AB$180,R$159,ANNOUNCEMENTS!$J$2:$J$180,$C186)+
COUNTIFS(ANNOUNCEMENTS!$E$2:$E$180,$B186,ANNOUNCEMENTS!$AD$2:$AD$180,R$159,ANNOUNCEMENTS!$J$2:$J$180,$C186)</f>
        <v>0</v>
      </c>
      <c r="S186" s="21">
        <f>COUNTIFS(ANNOUNCEMENTS!$E$2:$E$180,$B186,ANNOUNCEMENTS!$Z$2:$Z$180,S$159,ANNOUNCEMENTS!$J$2:$J$180,$C186)+
COUNTIFS(ANNOUNCEMENTS!$E$2:$E$180,$B186,ANNOUNCEMENTS!$AB$2:$AB$180,S$159,ANNOUNCEMENTS!$J$2:$J$180,$C186)+
COUNTIFS(ANNOUNCEMENTS!$E$2:$E$180,$B186,ANNOUNCEMENTS!$AD$2:$AD$180,S$159,ANNOUNCEMENTS!$J$2:$J$180,$C186)</f>
        <v>0</v>
      </c>
      <c r="T186" s="21">
        <f>COUNTIFS(ANNOUNCEMENTS!$E$2:$E$180,$B186,ANNOUNCEMENTS!$Z$2:$Z$180,T$159,ANNOUNCEMENTS!$J$2:$J$180,$C186)+
COUNTIFS(ANNOUNCEMENTS!$E$2:$E$180,$B186,ANNOUNCEMENTS!$AB$2:$AB$180,T$159,ANNOUNCEMENTS!$J$2:$J$180,$C186)+
COUNTIFS(ANNOUNCEMENTS!$E$2:$E$180,$B186,ANNOUNCEMENTS!$AD$2:$AD$180,T$159,ANNOUNCEMENTS!$J$2:$J$180,$C186)</f>
        <v>3</v>
      </c>
      <c r="U186" s="21">
        <f>COUNTIFS(ANNOUNCEMENTS!$E$2:$E$180,$B186,ANNOUNCEMENTS!$Z$2:$Z$180,U$159,ANNOUNCEMENTS!$J$2:$J$180,$C186)+
COUNTIFS(ANNOUNCEMENTS!$E$2:$E$180,$B186,ANNOUNCEMENTS!$AB$2:$AB$180,U$159,ANNOUNCEMENTS!$J$2:$J$180,$C186)+
COUNTIFS(ANNOUNCEMENTS!$E$2:$E$180,$B186,ANNOUNCEMENTS!$AD$2:$AD$180,U$159,ANNOUNCEMENTS!$J$2:$J$180,$C186)</f>
        <v>0</v>
      </c>
      <c r="V186" s="21">
        <f>COUNTIFS(ANNOUNCEMENTS!$E$2:$E$180,$B186,ANNOUNCEMENTS!$Z$2:$Z$180,V$159,ANNOUNCEMENTS!$J$2:$J$180,$C186)+
COUNTIFS(ANNOUNCEMENTS!$E$2:$E$180,$B186,ANNOUNCEMENTS!$AB$2:$AB$180,V$159,ANNOUNCEMENTS!$J$2:$J$180,$C186)+
COUNTIFS(ANNOUNCEMENTS!$E$2:$E$180,$B186,ANNOUNCEMENTS!$AD$2:$AD$180,V$159,ANNOUNCEMENTS!$J$2:$J$180,$C186)</f>
        <v>1</v>
      </c>
      <c r="W186" s="21">
        <f>COUNTIFS(ANNOUNCEMENTS!$E$2:$E$180,$B186,ANNOUNCEMENTS!$Z$2:$Z$180,W$159,ANNOUNCEMENTS!$J$2:$J$180,$C186)+
COUNTIFS(ANNOUNCEMENTS!$E$2:$E$180,$B186,ANNOUNCEMENTS!$AB$2:$AB$180,W$159,ANNOUNCEMENTS!$J$2:$J$180,$C186)+
COUNTIFS(ANNOUNCEMENTS!$E$2:$E$180,$B186,ANNOUNCEMENTS!$AD$2:$AD$180,W$159,ANNOUNCEMENTS!$J$2:$J$180,$C186)</f>
        <v>1</v>
      </c>
      <c r="X186" s="21">
        <f>COUNTIFS(ANNOUNCEMENTS!$E$2:$E$180,$B186,ANNOUNCEMENTS!$W$2:$W$180,X$159,ANNOUNCEMENTS!$J$2:$J$180,$C186)</f>
        <v>0</v>
      </c>
      <c r="Y186" s="21">
        <f>COUNTIFS(ANNOUNCEMENTS!$E$2:$E$180,$B186,ANNOUNCEMENTS!$W$2:$W$180,Y$159,ANNOUNCEMENTS!$J$2:$J$180,$C186)</f>
        <v>1</v>
      </c>
      <c r="Z186" s="21">
        <f>COUNTIFS(ANNOUNCEMENTS!$E$2:$E$180,$B186,ANNOUNCEMENTS!$W$2:$W$180,Z$159,ANNOUNCEMENTS!$J$2:$J$180,$C186)</f>
        <v>3</v>
      </c>
      <c r="AA186" s="21">
        <f>COUNTIFS(ANNOUNCEMENTS!$E$2:$E$180,$B186,ANNOUNCEMENTS!$W$2:$W$180,AA$159,ANNOUNCEMENTS!$J$2:$J$180,$C186)</f>
        <v>1</v>
      </c>
      <c r="AB186" s="21">
        <f>COUNTIFS(ANNOUNCEMENTS!$E$2:$E$180,$B186,ANNOUNCEMENTS!$W$2:$W$180,AB$159,ANNOUNCEMENTS!$J$2:$J$180,$C186)</f>
        <v>0</v>
      </c>
      <c r="AC186" s="21">
        <f>COUNTIFS(ANNOUNCEMENTS!$E$2:$E$180,$B186,ANNOUNCEMENTS!$W$2:$W$180,AC$159,ANNOUNCEMENTS!$J$2:$J$180,$C186)</f>
        <v>0</v>
      </c>
      <c r="AD186" s="21">
        <f>COUNTIFS(ANNOUNCEMENTS!$E$2:$E$180,$B186,ANNOUNCEMENTS!$W$2:$W$180,AD$159,ANNOUNCEMENTS!$J$2:$J$180,$C186)</f>
        <v>0</v>
      </c>
      <c r="AE186" s="311">
        <f t="shared" si="65"/>
        <v>0</v>
      </c>
      <c r="AF186" s="311">
        <f t="shared" si="66"/>
        <v>1</v>
      </c>
      <c r="AG186" s="311">
        <f t="shared" si="67"/>
        <v>0</v>
      </c>
      <c r="AH186" s="311">
        <f t="shared" si="68"/>
        <v>0</v>
      </c>
      <c r="AI186" s="21">
        <f>COUNTIFS(ANNOUNCEMENTS!$E$2:$E$180,B186,ANNOUNCEMENTS!$Z$2:$Z$180,$J$37,ANNOUNCEMENTS!$J$2:$J$180,C186)+
COUNTIFS(ANNOUNCEMENTS!$E$2:$E$180,B186,ANNOUNCEMENTS!$Z$2:$Z$180,$L$37,ANNOUNCEMENTS!$J$2:$J$180,C186)+
COUNTIFS(ANNOUNCEMENTS!$E$2:$E$180,B186,ANNOUNCEMENTS!$AB$2:$AB$180,$J$37,ANNOUNCEMENTS!$J$2:$J$180,C186)+
COUNTIFS(ANNOUNCEMENTS!$E$2:$E$180,B186,ANNOUNCEMENTS!$AB$2:$AB$180,$L$37,ANNOUNCEMENTS!$J$2:$J$180,C186)+
COUNTIFS(ANNOUNCEMENTS!$E$2:$E$180,B186,ANNOUNCEMENTS!$AD$2:$AD$180,$J$37,ANNOUNCEMENTS!$J$2:$J$180,C186)+
COUNTIFS(ANNOUNCEMENTS!$E$2:$E$180,B186,ANNOUNCEMENTS!$AD$2:$AD$180,$L$37,ANNOUNCEMENTS!$J$2:$J$180,C186)</f>
        <v>1</v>
      </c>
      <c r="AJ186" s="21">
        <f>COUNTIFS(ANNOUNCEMENTS!$E$2:$E$180,B186,ANNOUNCEMENTS!$Z$2:$Z$180,$H$37,ANNOUNCEMENTS!$J$2:$J$180,C186)+
COUNTIFS(ANNOUNCEMENTS!$E$2:$E$180,B186,ANNOUNCEMENTS!$Z$2:$Z$180,$I$37,ANNOUNCEMENTS!$J$2:$J$180,C186)+
COUNTIFS(ANNOUNCEMENTS!$E$2:$E$180,B186,ANNOUNCEMENTS!$Z$2:$Z$180,$P$37,ANNOUNCEMENTS!$J$2:$J$180,C186)+
COUNTIFS(ANNOUNCEMENTS!$E$2:$E$180,B186,ANNOUNCEMENTS!$AB$2:$AB$180,$H$37,ANNOUNCEMENTS!$J$2:$J$180,C186)+
COUNTIFS(ANNOUNCEMENTS!$E$2:$E$180,B186,ANNOUNCEMENTS!$AB$2:$AB$180,$I$37,ANNOUNCEMENTS!$J$2:$J$180,C186)+
COUNTIFS(ANNOUNCEMENTS!$E$2:$E$180,B186,ANNOUNCEMENTS!$AB$2:$AB$180,$P$37,ANNOUNCEMENTS!$J$2:$J$180,C186)+
COUNTIFS(ANNOUNCEMENTS!$E$2:$E$180,B186,ANNOUNCEMENTS!$AD$2:$AD$180,$H$37,ANNOUNCEMENTS!$J$2:$J$180,C186)+
COUNTIFS(ANNOUNCEMENTS!$E$2:$E$180,B186,ANNOUNCEMENTS!$AD$2:$AD$180,$I$37,ANNOUNCEMENTS!$J$2:$J$180,C186)+
COUNTIFS(ANNOUNCEMENTS!$E$2:$E$180,B186,ANNOUNCEMENTS!$AD$2:$AD$180,$P$37,ANNOUNCEMENTS!$J$2:$J$180,C186)</f>
        <v>4</v>
      </c>
      <c r="AK186" s="310" cm="1">
        <f t="array" ref="AK186">SUM(COUNTIFS(ANNOUNCEMENTS!$E$2:$E$180,B186,ANNOUNCEMENTS!$W$2:$W$180,$E$38:$E$40,ANNOUNCEMENTS!$J$2:$J$180,C186))</f>
        <v>4</v>
      </c>
      <c r="AL186" s="21" cm="1">
        <f t="array" ref="AL186">SUM(COUNTIFS(ANNOUNCEMENTS!$E$2:$E$180,B186,ANNOUNCEMENTS!$W$2:$W$180,$E$43:$E$44,ANNOUNCEMENTS!$J$2:$J$180,C186))</f>
        <v>0</v>
      </c>
      <c r="AM186" s="21">
        <f t="shared" si="69"/>
        <v>5</v>
      </c>
      <c r="AN186" s="21">
        <f t="shared" si="70"/>
        <v>3</v>
      </c>
      <c r="AO186" s="309" cm="1">
        <f t="array" ref="AO186">_xlfn.XLOOKUP(AO$159,CBIMPORT!$A$1:$AM$1,_xlfn.XLOOKUP($B186,CBIMPORT!$A$1:$A$40,CBIMPORT!$A$1:$AM$40))</f>
        <v>1</v>
      </c>
      <c r="AP186" s="308" cm="1">
        <f t="array" ref="AP186">_xlfn.XLOOKUP(AP$159,CBIMPORT!$A$1:$AM$1,_xlfn.XLOOKUP($B186,CBIMPORT!$A$1:$A$40,CBIMPORT!$A$1:$AM$40))</f>
        <v>375</v>
      </c>
      <c r="AQ186" s="307" cm="1">
        <f t="array" ref="AQ186">_xlfn.XLOOKUP(AQ$159,CBIMPORT!$A$1:$AM$1,_xlfn.XLOOKUP($B186,CBIMPORT!$A$1:$A$40,CBIMPORT!$A$1:$AM$40))</f>
        <v>108.44449893000001</v>
      </c>
    </row>
    <row r="187" spans="1:43" x14ac:dyDescent="0.35">
      <c r="A187" s="303" t="s">
        <v>2195</v>
      </c>
      <c r="B187" s="315" t="str">
        <f t="shared" si="62"/>
        <v>Nuro</v>
      </c>
      <c r="C187" s="314" t="str">
        <f t="shared" si="63"/>
        <v>Last-Mile</v>
      </c>
      <c r="D187" s="313">
        <f>COUNTIFS(ANNOUNCEMENTS!$E$2:$E$180,$B187,ANNOUNCEMENTS!$J$2:$J$180,$C187)</f>
        <v>1</v>
      </c>
      <c r="E187" s="312" t="str" cm="1">
        <f t="array" ref="E187">_xlfn.ARRAYTOTEXT(
IF(D187&gt;0,_xlfn._xlws.FILTER(CHOOSE({1},
ANNOUNCEMENTS!$K$1:$K$180),
(ANNOUNCEMENTS!$E$1:$E$180=B187)*((ANNOUNCEMENTS!$J$1:$J$180=$C187)))))</f>
        <v>Uber Eats</v>
      </c>
      <c r="F187" s="306">
        <f t="shared" si="64"/>
        <v>0</v>
      </c>
      <c r="G187" s="310" t="str" cm="1">
        <f t="array" ref="G187">_xlfn.XLOOKUP($A187,'Industries all mentioned partne'!$A$2:$A$58,_xlfn.XLOOKUP(G$159,'Industries all mentioned partne'!$A$2:$DM$2,'Industries all mentioned partne'!$A$2:$DM$58))</f>
        <v>Delivery Service</v>
      </c>
      <c r="H187" s="91" cm="1">
        <f t="array" ref="H187">_xlfn.XLOOKUP($A187,'Industries all mentioned partne'!$A$2:$A$58,_xlfn.XLOOKUP(H$159,'Industries all mentioned partne'!$A$2:$DM$2,'Industries all mentioned partne'!$A$2:$DM$58))</f>
        <v>1</v>
      </c>
      <c r="I187" s="310" t="str" cm="1">
        <f t="array" ref="I187">_xlfn.XLOOKUP($A187,'Industries all mentioned partne'!$A$2:$A$58,_xlfn.XLOOKUP(I$159,'Industries all mentioned partne'!$A$2:$DM$2,'Industries all mentioned partne'!$A$2:$DM$58))</f>
        <v/>
      </c>
      <c r="J187" s="91" t="str" cm="1">
        <f t="array" ref="J187">_xlfn.XLOOKUP($A187,'Industries all mentioned partne'!$A$2:$A$58,_xlfn.XLOOKUP(J$159,'Industries all mentioned partne'!$A$2:$DM$2,'Industries all mentioned partne'!$A$2:$DM$58))</f>
        <v/>
      </c>
      <c r="K187" s="310" t="str" cm="1">
        <f t="array" ref="K187">_xlfn.XLOOKUP($A187,'Industries all mentioned partne'!$A$2:$A$58,_xlfn.XLOOKUP(K$159,'Industries all mentioned partne'!$A$2:$DM$2,'Industries all mentioned partne'!$A$2:$DM$58))</f>
        <v/>
      </c>
      <c r="L187" s="91" t="str" cm="1">
        <f t="array" ref="L187">_xlfn.XLOOKUP($A187,'Industries all mentioned partne'!$A$2:$A$58,_xlfn.XLOOKUP(L$159,'Industries all mentioned partne'!$A$2:$DM$2,'Industries all mentioned partne'!$A$2:$DM$58))</f>
        <v/>
      </c>
      <c r="M187" s="311" t="str" cm="1">
        <f t="array" ref="M187">_xlfn.XLOOKUP($M$159,CBIMPORT!$A$1:$AN$1,_xlfn.XLOOKUP(B187,CBIMPORT!$A$1:$A$171,CBIMPORT!$A$1:$AN$171))</f>
        <v>L2</v>
      </c>
      <c r="N187" s="309" cm="1">
        <f t="array" ref="N187">_xlfn.XLOOKUP(N$159,CBIMPORT!$A$1:$AM$1,_xlfn.XLOOKUP($B187,CBIMPORT!$A$1:$A$40,CBIMPORT!$A$1:$AM$40))</f>
        <v>98</v>
      </c>
      <c r="O187" s="21">
        <f>COUNTIFS(ANNOUNCEMENTS!$E$2:$E$180,$B187,ANNOUNCEMENTS!$Z$2:$Z$180,O$159,ANNOUNCEMENTS!$J$2:$J$180,$C187)+
COUNTIFS(ANNOUNCEMENTS!$E$2:$E$180,$B187,ANNOUNCEMENTS!$AB$2:$AB$180,O$159,ANNOUNCEMENTS!$J$2:$J$180,$C187)+
COUNTIFS(ANNOUNCEMENTS!$E$2:$E$180,$B187,ANNOUNCEMENTS!$AD$2:$AD$180,O$159,ANNOUNCEMENTS!$J$2:$J$180,$C187)</f>
        <v>0</v>
      </c>
      <c r="P187" s="21">
        <f>COUNTIFS(ANNOUNCEMENTS!$E$2:$E$180,$B187,ANNOUNCEMENTS!$Z$2:$Z$180,P$159,ANNOUNCEMENTS!$J$2:$J$180,$C187)+
COUNTIFS(ANNOUNCEMENTS!$E$2:$E$180,$B187,ANNOUNCEMENTS!$AB$2:$AB$180,P$159,ANNOUNCEMENTS!$J$2:$J$180,$C187)+
COUNTIFS(ANNOUNCEMENTS!$E$2:$E$180,$B187,ANNOUNCEMENTS!$AD$2:$AD$180,P$159,ANNOUNCEMENTS!$J$2:$J$180,$C187)</f>
        <v>0</v>
      </c>
      <c r="Q187" s="21">
        <f>COUNTIFS(ANNOUNCEMENTS!$E$2:$E$180,$B187,ANNOUNCEMENTS!$Z$2:$Z$180,Q$159,ANNOUNCEMENTS!$J$2:$J$180,$C187)+
COUNTIFS(ANNOUNCEMENTS!$E$2:$E$180,$B187,ANNOUNCEMENTS!$AB$2:$AB$180,Q$159,ANNOUNCEMENTS!$J$2:$J$180,$C187)+
COUNTIFS(ANNOUNCEMENTS!$E$2:$E$180,$B187,ANNOUNCEMENTS!$AD$2:$AD$180,Q$159,ANNOUNCEMENTS!$J$2:$J$180,$C187)</f>
        <v>1</v>
      </c>
      <c r="R187" s="21">
        <f>COUNTIFS(ANNOUNCEMENTS!$E$2:$E$180,$B187,ANNOUNCEMENTS!$Z$2:$Z$180,R$159,ANNOUNCEMENTS!$J$2:$J$180,$C187)+
COUNTIFS(ANNOUNCEMENTS!$E$2:$E$180,$B187,ANNOUNCEMENTS!$AB$2:$AB$180,R$159,ANNOUNCEMENTS!$J$2:$J$180,$C187)+
COUNTIFS(ANNOUNCEMENTS!$E$2:$E$180,$B187,ANNOUNCEMENTS!$AD$2:$AD$180,R$159,ANNOUNCEMENTS!$J$2:$J$180,$C187)</f>
        <v>0</v>
      </c>
      <c r="S187" s="21">
        <f>COUNTIFS(ANNOUNCEMENTS!$E$2:$E$180,$B187,ANNOUNCEMENTS!$Z$2:$Z$180,S$159,ANNOUNCEMENTS!$J$2:$J$180,$C187)+
COUNTIFS(ANNOUNCEMENTS!$E$2:$E$180,$B187,ANNOUNCEMENTS!$AB$2:$AB$180,S$159,ANNOUNCEMENTS!$J$2:$J$180,$C187)+
COUNTIFS(ANNOUNCEMENTS!$E$2:$E$180,$B187,ANNOUNCEMENTS!$AD$2:$AD$180,S$159,ANNOUNCEMENTS!$J$2:$J$180,$C187)</f>
        <v>0</v>
      </c>
      <c r="T187" s="21">
        <f>COUNTIFS(ANNOUNCEMENTS!$E$2:$E$180,$B187,ANNOUNCEMENTS!$Z$2:$Z$180,T$159,ANNOUNCEMENTS!$J$2:$J$180,$C187)+
COUNTIFS(ANNOUNCEMENTS!$E$2:$E$180,$B187,ANNOUNCEMENTS!$AB$2:$AB$180,T$159,ANNOUNCEMENTS!$J$2:$J$180,$C187)+
COUNTIFS(ANNOUNCEMENTS!$E$2:$E$180,$B187,ANNOUNCEMENTS!$AD$2:$AD$180,T$159,ANNOUNCEMENTS!$J$2:$J$180,$C187)</f>
        <v>0</v>
      </c>
      <c r="U187" s="21">
        <f>COUNTIFS(ANNOUNCEMENTS!$E$2:$E$180,$B187,ANNOUNCEMENTS!$Z$2:$Z$180,U$159,ANNOUNCEMENTS!$J$2:$J$180,$C187)+
COUNTIFS(ANNOUNCEMENTS!$E$2:$E$180,$B187,ANNOUNCEMENTS!$AB$2:$AB$180,U$159,ANNOUNCEMENTS!$J$2:$J$180,$C187)+
COUNTIFS(ANNOUNCEMENTS!$E$2:$E$180,$B187,ANNOUNCEMENTS!$AD$2:$AD$180,U$159,ANNOUNCEMENTS!$J$2:$J$180,$C187)</f>
        <v>0</v>
      </c>
      <c r="V187" s="21">
        <f>COUNTIFS(ANNOUNCEMENTS!$E$2:$E$180,$B187,ANNOUNCEMENTS!$Z$2:$Z$180,V$159,ANNOUNCEMENTS!$J$2:$J$180,$C187)+
COUNTIFS(ANNOUNCEMENTS!$E$2:$E$180,$B187,ANNOUNCEMENTS!$AB$2:$AB$180,V$159,ANNOUNCEMENTS!$J$2:$J$180,$C187)+
COUNTIFS(ANNOUNCEMENTS!$E$2:$E$180,$B187,ANNOUNCEMENTS!$AD$2:$AD$180,V$159,ANNOUNCEMENTS!$J$2:$J$180,$C187)</f>
        <v>0</v>
      </c>
      <c r="W187" s="21">
        <f>COUNTIFS(ANNOUNCEMENTS!$E$2:$E$180,$B187,ANNOUNCEMENTS!$Z$2:$Z$180,W$159,ANNOUNCEMENTS!$J$2:$J$180,$C187)+
COUNTIFS(ANNOUNCEMENTS!$E$2:$E$180,$B187,ANNOUNCEMENTS!$AB$2:$AB$180,W$159,ANNOUNCEMENTS!$J$2:$J$180,$C187)+
COUNTIFS(ANNOUNCEMENTS!$E$2:$E$180,$B187,ANNOUNCEMENTS!$AD$2:$AD$180,W$159,ANNOUNCEMENTS!$J$2:$J$180,$C187)</f>
        <v>0</v>
      </c>
      <c r="X187" s="21">
        <f>COUNTIFS(ANNOUNCEMENTS!$E$2:$E$180,$B187,ANNOUNCEMENTS!$W$2:$W$180,X$159,ANNOUNCEMENTS!$J$2:$J$180,$C187)</f>
        <v>0</v>
      </c>
      <c r="Y187" s="21">
        <f>COUNTIFS(ANNOUNCEMENTS!$E$2:$E$180,$B187,ANNOUNCEMENTS!$W$2:$W$180,Y$159,ANNOUNCEMENTS!$J$2:$J$180,$C187)</f>
        <v>0</v>
      </c>
      <c r="Z187" s="21">
        <f>COUNTIFS(ANNOUNCEMENTS!$E$2:$E$180,$B187,ANNOUNCEMENTS!$W$2:$W$180,Z$159,ANNOUNCEMENTS!$J$2:$J$180,$C187)</f>
        <v>0</v>
      </c>
      <c r="AA187" s="21">
        <f>COUNTIFS(ANNOUNCEMENTS!$E$2:$E$180,$B187,ANNOUNCEMENTS!$W$2:$W$180,AA$159,ANNOUNCEMENTS!$J$2:$J$180,$C187)</f>
        <v>1</v>
      </c>
      <c r="AB187" s="21">
        <f>COUNTIFS(ANNOUNCEMENTS!$E$2:$E$180,$B187,ANNOUNCEMENTS!$W$2:$W$180,AB$159,ANNOUNCEMENTS!$J$2:$J$180,$C187)</f>
        <v>0</v>
      </c>
      <c r="AC187" s="21">
        <f>COUNTIFS(ANNOUNCEMENTS!$E$2:$E$180,$B187,ANNOUNCEMENTS!$W$2:$W$180,AC$159,ANNOUNCEMENTS!$J$2:$J$180,$C187)</f>
        <v>0</v>
      </c>
      <c r="AD187" s="21">
        <f>COUNTIFS(ANNOUNCEMENTS!$E$2:$E$180,$B187,ANNOUNCEMENTS!$W$2:$W$180,AD$159,ANNOUNCEMENTS!$J$2:$J$180,$C187)</f>
        <v>0</v>
      </c>
      <c r="AE187" s="311">
        <f t="shared" si="65"/>
        <v>0</v>
      </c>
      <c r="AF187" s="311">
        <f t="shared" si="66"/>
        <v>1</v>
      </c>
      <c r="AG187" s="311">
        <f t="shared" si="67"/>
        <v>0</v>
      </c>
      <c r="AH187" s="311">
        <f t="shared" si="68"/>
        <v>0</v>
      </c>
      <c r="AI187" s="21">
        <f>COUNTIFS(ANNOUNCEMENTS!$E$2:$E$180,B187,ANNOUNCEMENTS!$Z$2:$Z$180,$J$37,ANNOUNCEMENTS!$J$2:$J$180,C187)+
COUNTIFS(ANNOUNCEMENTS!$E$2:$E$180,B187,ANNOUNCEMENTS!$Z$2:$Z$180,$L$37,ANNOUNCEMENTS!$J$2:$J$180,C187)+
COUNTIFS(ANNOUNCEMENTS!$E$2:$E$180,B187,ANNOUNCEMENTS!$AB$2:$AB$180,$J$37,ANNOUNCEMENTS!$J$2:$J$180,C187)+
COUNTIFS(ANNOUNCEMENTS!$E$2:$E$180,B187,ANNOUNCEMENTS!$AB$2:$AB$180,$L$37,ANNOUNCEMENTS!$J$2:$J$180,C187)+
COUNTIFS(ANNOUNCEMENTS!$E$2:$E$180,B187,ANNOUNCEMENTS!$AD$2:$AD$180,$J$37,ANNOUNCEMENTS!$J$2:$J$180,C187)+
COUNTIFS(ANNOUNCEMENTS!$E$2:$E$180,B187,ANNOUNCEMENTS!$AD$2:$AD$180,$L$37,ANNOUNCEMENTS!$J$2:$J$180,C187)</f>
        <v>1</v>
      </c>
      <c r="AJ187" s="21">
        <f>COUNTIFS(ANNOUNCEMENTS!$E$2:$E$180,B187,ANNOUNCEMENTS!$Z$2:$Z$180,$H$37,ANNOUNCEMENTS!$J$2:$J$180,C187)+
COUNTIFS(ANNOUNCEMENTS!$E$2:$E$180,B187,ANNOUNCEMENTS!$Z$2:$Z$180,$I$37,ANNOUNCEMENTS!$J$2:$J$180,C187)+
COUNTIFS(ANNOUNCEMENTS!$E$2:$E$180,B187,ANNOUNCEMENTS!$Z$2:$Z$180,$P$37,ANNOUNCEMENTS!$J$2:$J$180,C187)+
COUNTIFS(ANNOUNCEMENTS!$E$2:$E$180,B187,ANNOUNCEMENTS!$AB$2:$AB$180,$H$37,ANNOUNCEMENTS!$J$2:$J$180,C187)+
COUNTIFS(ANNOUNCEMENTS!$E$2:$E$180,B187,ANNOUNCEMENTS!$AB$2:$AB$180,$I$37,ANNOUNCEMENTS!$J$2:$J$180,C187)+
COUNTIFS(ANNOUNCEMENTS!$E$2:$E$180,B187,ANNOUNCEMENTS!$AB$2:$AB$180,$P$37,ANNOUNCEMENTS!$J$2:$J$180,C187)+
COUNTIFS(ANNOUNCEMENTS!$E$2:$E$180,B187,ANNOUNCEMENTS!$AD$2:$AD$180,$H$37,ANNOUNCEMENTS!$J$2:$J$180,C187)+
COUNTIFS(ANNOUNCEMENTS!$E$2:$E$180,B187,ANNOUNCEMENTS!$AD$2:$AD$180,$I$37,ANNOUNCEMENTS!$J$2:$J$180,C187)+
COUNTIFS(ANNOUNCEMENTS!$E$2:$E$180,B187,ANNOUNCEMENTS!$AD$2:$AD$180,$P$37,ANNOUNCEMENTS!$J$2:$J$180,C187)</f>
        <v>0</v>
      </c>
      <c r="AK187" s="310" cm="1">
        <f t="array" ref="AK187">SUM(COUNTIFS(ANNOUNCEMENTS!$E$2:$E$180,B187,ANNOUNCEMENTS!$W$2:$W$180,$E$38:$E$40,ANNOUNCEMENTS!$J$2:$J$180,C187))</f>
        <v>0</v>
      </c>
      <c r="AL187" s="21" cm="1">
        <f t="array" ref="AL187">SUM(COUNTIFS(ANNOUNCEMENTS!$E$2:$E$180,B187,ANNOUNCEMENTS!$W$2:$W$180,$E$43:$E$44,ANNOUNCEMENTS!$J$2:$J$180,C187))</f>
        <v>0</v>
      </c>
      <c r="AM187" s="21">
        <f t="shared" si="69"/>
        <v>1</v>
      </c>
      <c r="AN187" s="21">
        <f t="shared" si="70"/>
        <v>0</v>
      </c>
      <c r="AO187" s="309" cm="1">
        <f t="array" ref="AO187">_xlfn.XLOOKUP(AO$159,CBIMPORT!$A$1:$AM$1,_xlfn.XLOOKUP($B187,CBIMPORT!$A$1:$A$40,CBIMPORT!$A$1:$AM$40))</f>
        <v>0</v>
      </c>
      <c r="AP187" s="308" cm="1">
        <f t="array" ref="AP187">_xlfn.XLOOKUP(AP$159,CBIMPORT!$A$1:$AM$1,_xlfn.XLOOKUP($B187,CBIMPORT!$A$1:$A$40,CBIMPORT!$A$1:$AM$40))</f>
        <v>1133</v>
      </c>
      <c r="AQ187" s="307" cm="1">
        <f t="array" ref="AQ187">_xlfn.XLOOKUP(AQ$159,CBIMPORT!$A$1:$AM$1,_xlfn.XLOOKUP($B187,CBIMPORT!$A$1:$A$40,CBIMPORT!$A$1:$AM$40))</f>
        <v>2132.1488549999999</v>
      </c>
    </row>
    <row r="188" spans="1:43" x14ac:dyDescent="0.35">
      <c r="A188" s="303" t="s">
        <v>2196</v>
      </c>
      <c r="B188" s="315" t="str">
        <f t="shared" si="62"/>
        <v>Oxa</v>
      </c>
      <c r="C188" s="314" t="str">
        <f t="shared" si="63"/>
        <v>Ridepooling</v>
      </c>
      <c r="D188" s="313">
        <f>COUNTIFS(ANNOUNCEMENTS!$E$2:$E$180,$B188,ANNOUNCEMENTS!$J$2:$J$180,$C188)</f>
        <v>3</v>
      </c>
      <c r="E188" s="312" t="str" cm="1">
        <f t="array" ref="E188">_xlfn.ARRAYTOTEXT(
IF(D188&gt;0,_xlfn._xlws.FILTER(CHOOSE({1},
ANNOUNCEMENTS!$K$1:$K$180),
(ANNOUNCEMENTS!$E$1:$E$180=B188)*((ANNOUNCEMENTS!$J$1:$J$180=$C188)))))</f>
        <v>eVersum; NEVS; Beep</v>
      </c>
      <c r="F188" s="306">
        <f t="shared" si="64"/>
        <v>0</v>
      </c>
      <c r="G188" s="310" t="str" cm="1">
        <f t="array" ref="G188">_xlfn.XLOOKUP($A188,'Industries all mentioned partne'!$A$2:$A$58,_xlfn.XLOOKUP(G$159,'Industries all mentioned partne'!$A$2:$DM$2,'Industries all mentioned partne'!$A$2:$DM$58))</f>
        <v>Autonomous Vehicles</v>
      </c>
      <c r="H188" s="91" cm="1">
        <f t="array" ref="H188">_xlfn.XLOOKUP($A188,'Industries all mentioned partne'!$A$2:$A$58,_xlfn.XLOOKUP(H$159,'Industries all mentioned partne'!$A$2:$DM$2,'Industries all mentioned partne'!$A$2:$DM$58))</f>
        <v>0.33333333333333331</v>
      </c>
      <c r="I188" s="310" t="str" cm="1">
        <f t="array" ref="I188">_xlfn.XLOOKUP($A188,'Industries all mentioned partne'!$A$2:$A$58,_xlfn.XLOOKUP(I$159,'Industries all mentioned partne'!$A$2:$DM$2,'Industries all mentioned partne'!$A$2:$DM$58))</f>
        <v>Autonomous Vehicles</v>
      </c>
      <c r="J188" s="91" cm="1">
        <f t="array" ref="J188">_xlfn.XLOOKUP($A188,'Industries all mentioned partne'!$A$2:$A$58,_xlfn.XLOOKUP(J$159,'Industries all mentioned partne'!$A$2:$DM$2,'Industries all mentioned partne'!$A$2:$DM$58))</f>
        <v>0.33333333333333331</v>
      </c>
      <c r="K188" s="310" t="str" cm="1">
        <f t="array" ref="K188">_xlfn.XLOOKUP($A188,'Industries all mentioned partne'!$A$2:$A$58,_xlfn.XLOOKUP(K$159,'Industries all mentioned partne'!$A$2:$DM$2,'Industries all mentioned partne'!$A$2:$DM$58))</f>
        <v>Autonomous Vehicles</v>
      </c>
      <c r="L188" s="91" cm="1">
        <f t="array" ref="L188">_xlfn.XLOOKUP($A188,'Industries all mentioned partne'!$A$2:$A$58,_xlfn.XLOOKUP(L$159,'Industries all mentioned partne'!$A$2:$DM$2,'Industries all mentioned partne'!$A$2:$DM$58))</f>
        <v>0.33333333333333331</v>
      </c>
      <c r="M188" s="311" t="str" cm="1">
        <f t="array" ref="M188">_xlfn.XLOOKUP($M$159,CBIMPORT!$A$1:$AN$1,_xlfn.XLOOKUP(B188,CBIMPORT!$A$1:$A$171,CBIMPORT!$A$1:$AN$171))</f>
        <v>L1</v>
      </c>
      <c r="N188" s="309" cm="1">
        <f t="array" ref="N188">_xlfn.XLOOKUP(N$159,CBIMPORT!$A$1:$AM$1,_xlfn.XLOOKUP($B188,CBIMPORT!$A$1:$A$40,CBIMPORT!$A$1:$AM$40))</f>
        <v>10</v>
      </c>
      <c r="O188" s="21">
        <f>COUNTIFS(ANNOUNCEMENTS!$E$2:$E$180,$B188,ANNOUNCEMENTS!$Z$2:$Z$180,O$159,ANNOUNCEMENTS!$J$2:$J$180,$C188)+
COUNTIFS(ANNOUNCEMENTS!$E$2:$E$180,$B188,ANNOUNCEMENTS!$AB$2:$AB$180,O$159,ANNOUNCEMENTS!$J$2:$J$180,$C188)+
COUNTIFS(ANNOUNCEMENTS!$E$2:$E$180,$B188,ANNOUNCEMENTS!$AD$2:$AD$180,O$159,ANNOUNCEMENTS!$J$2:$J$180,$C188)</f>
        <v>2</v>
      </c>
      <c r="P188" s="21">
        <f>COUNTIFS(ANNOUNCEMENTS!$E$2:$E$180,$B188,ANNOUNCEMENTS!$Z$2:$Z$180,P$159,ANNOUNCEMENTS!$J$2:$J$180,$C188)+
COUNTIFS(ANNOUNCEMENTS!$E$2:$E$180,$B188,ANNOUNCEMENTS!$AB$2:$AB$180,P$159,ANNOUNCEMENTS!$J$2:$J$180,$C188)+
COUNTIFS(ANNOUNCEMENTS!$E$2:$E$180,$B188,ANNOUNCEMENTS!$AD$2:$AD$180,P$159,ANNOUNCEMENTS!$J$2:$J$180,$C188)</f>
        <v>1</v>
      </c>
      <c r="Q188" s="21">
        <f>COUNTIFS(ANNOUNCEMENTS!$E$2:$E$180,$B188,ANNOUNCEMENTS!$Z$2:$Z$180,Q$159,ANNOUNCEMENTS!$J$2:$J$180,$C188)+
COUNTIFS(ANNOUNCEMENTS!$E$2:$E$180,$B188,ANNOUNCEMENTS!$AB$2:$AB$180,Q$159,ANNOUNCEMENTS!$J$2:$J$180,$C188)+
COUNTIFS(ANNOUNCEMENTS!$E$2:$E$180,$B188,ANNOUNCEMENTS!$AD$2:$AD$180,Q$159,ANNOUNCEMENTS!$J$2:$J$180,$C188)</f>
        <v>1</v>
      </c>
      <c r="R188" s="21">
        <f>COUNTIFS(ANNOUNCEMENTS!$E$2:$E$180,$B188,ANNOUNCEMENTS!$Z$2:$Z$180,R$159,ANNOUNCEMENTS!$J$2:$J$180,$C188)+
COUNTIFS(ANNOUNCEMENTS!$E$2:$E$180,$B188,ANNOUNCEMENTS!$AB$2:$AB$180,R$159,ANNOUNCEMENTS!$J$2:$J$180,$C188)+
COUNTIFS(ANNOUNCEMENTS!$E$2:$E$180,$B188,ANNOUNCEMENTS!$AD$2:$AD$180,R$159,ANNOUNCEMENTS!$J$2:$J$180,$C188)</f>
        <v>0</v>
      </c>
      <c r="S188" s="21">
        <f>COUNTIFS(ANNOUNCEMENTS!$E$2:$E$180,$B188,ANNOUNCEMENTS!$Z$2:$Z$180,S$159,ANNOUNCEMENTS!$J$2:$J$180,$C188)+
COUNTIFS(ANNOUNCEMENTS!$E$2:$E$180,$B188,ANNOUNCEMENTS!$AB$2:$AB$180,S$159,ANNOUNCEMENTS!$J$2:$J$180,$C188)+
COUNTIFS(ANNOUNCEMENTS!$E$2:$E$180,$B188,ANNOUNCEMENTS!$AD$2:$AD$180,S$159,ANNOUNCEMENTS!$J$2:$J$180,$C188)</f>
        <v>0</v>
      </c>
      <c r="T188" s="21">
        <f>COUNTIFS(ANNOUNCEMENTS!$E$2:$E$180,$B188,ANNOUNCEMENTS!$Z$2:$Z$180,T$159,ANNOUNCEMENTS!$J$2:$J$180,$C188)+
COUNTIFS(ANNOUNCEMENTS!$E$2:$E$180,$B188,ANNOUNCEMENTS!$AB$2:$AB$180,T$159,ANNOUNCEMENTS!$J$2:$J$180,$C188)+
COUNTIFS(ANNOUNCEMENTS!$E$2:$E$180,$B188,ANNOUNCEMENTS!$AD$2:$AD$180,T$159,ANNOUNCEMENTS!$J$2:$J$180,$C188)</f>
        <v>0</v>
      </c>
      <c r="U188" s="21">
        <f>COUNTIFS(ANNOUNCEMENTS!$E$2:$E$180,$B188,ANNOUNCEMENTS!$Z$2:$Z$180,U$159,ANNOUNCEMENTS!$J$2:$J$180,$C188)+
COUNTIFS(ANNOUNCEMENTS!$E$2:$E$180,$B188,ANNOUNCEMENTS!$AB$2:$AB$180,U$159,ANNOUNCEMENTS!$J$2:$J$180,$C188)+
COUNTIFS(ANNOUNCEMENTS!$E$2:$E$180,$B188,ANNOUNCEMENTS!$AD$2:$AD$180,U$159,ANNOUNCEMENTS!$J$2:$J$180,$C188)</f>
        <v>0</v>
      </c>
      <c r="V188" s="21">
        <f>COUNTIFS(ANNOUNCEMENTS!$E$2:$E$180,$B188,ANNOUNCEMENTS!$Z$2:$Z$180,V$159,ANNOUNCEMENTS!$J$2:$J$180,$C188)+
COUNTIFS(ANNOUNCEMENTS!$E$2:$E$180,$B188,ANNOUNCEMENTS!$AB$2:$AB$180,V$159,ANNOUNCEMENTS!$J$2:$J$180,$C188)+
COUNTIFS(ANNOUNCEMENTS!$E$2:$E$180,$B188,ANNOUNCEMENTS!$AD$2:$AD$180,V$159,ANNOUNCEMENTS!$J$2:$J$180,$C188)</f>
        <v>0</v>
      </c>
      <c r="W188" s="21">
        <f>COUNTIFS(ANNOUNCEMENTS!$E$2:$E$180,$B188,ANNOUNCEMENTS!$Z$2:$Z$180,W$159,ANNOUNCEMENTS!$J$2:$J$180,$C188)+
COUNTIFS(ANNOUNCEMENTS!$E$2:$E$180,$B188,ANNOUNCEMENTS!$AB$2:$AB$180,W$159,ANNOUNCEMENTS!$J$2:$J$180,$C188)+
COUNTIFS(ANNOUNCEMENTS!$E$2:$E$180,$B188,ANNOUNCEMENTS!$AD$2:$AD$180,W$159,ANNOUNCEMENTS!$J$2:$J$180,$C188)</f>
        <v>0</v>
      </c>
      <c r="X188" s="21">
        <f>COUNTIFS(ANNOUNCEMENTS!$E$2:$E$180,$B188,ANNOUNCEMENTS!$W$2:$W$180,X$159,ANNOUNCEMENTS!$J$2:$J$180,$C188)</f>
        <v>0</v>
      </c>
      <c r="Y188" s="21">
        <f>COUNTIFS(ANNOUNCEMENTS!$E$2:$E$180,$B188,ANNOUNCEMENTS!$W$2:$W$180,Y$159,ANNOUNCEMENTS!$J$2:$J$180,$C188)</f>
        <v>0</v>
      </c>
      <c r="Z188" s="21">
        <f>COUNTIFS(ANNOUNCEMENTS!$E$2:$E$180,$B188,ANNOUNCEMENTS!$W$2:$W$180,Z$159,ANNOUNCEMENTS!$J$2:$J$180,$C188)</f>
        <v>0</v>
      </c>
      <c r="AA188" s="21">
        <f>COUNTIFS(ANNOUNCEMENTS!$E$2:$E$180,$B188,ANNOUNCEMENTS!$W$2:$W$180,AA$159,ANNOUNCEMENTS!$J$2:$J$180,$C188)</f>
        <v>3</v>
      </c>
      <c r="AB188" s="21">
        <f>COUNTIFS(ANNOUNCEMENTS!$E$2:$E$180,$B188,ANNOUNCEMENTS!$W$2:$W$180,AB$159,ANNOUNCEMENTS!$J$2:$J$180,$C188)</f>
        <v>0</v>
      </c>
      <c r="AC188" s="21">
        <f>COUNTIFS(ANNOUNCEMENTS!$E$2:$E$180,$B188,ANNOUNCEMENTS!$W$2:$W$180,AC$159,ANNOUNCEMENTS!$J$2:$J$180,$C188)</f>
        <v>0</v>
      </c>
      <c r="AD188" s="21">
        <f>COUNTIFS(ANNOUNCEMENTS!$E$2:$E$180,$B188,ANNOUNCEMENTS!$W$2:$W$180,AD$159,ANNOUNCEMENTS!$J$2:$J$180,$C188)</f>
        <v>0</v>
      </c>
      <c r="AE188" s="311">
        <f t="shared" si="65"/>
        <v>1</v>
      </c>
      <c r="AF188" s="311">
        <f t="shared" si="66"/>
        <v>0</v>
      </c>
      <c r="AG188" s="311">
        <f t="shared" si="67"/>
        <v>0</v>
      </c>
      <c r="AH188" s="311">
        <f t="shared" si="68"/>
        <v>0</v>
      </c>
      <c r="AI188" s="21">
        <f>COUNTIFS(ANNOUNCEMENTS!$E$2:$E$180,B188,ANNOUNCEMENTS!$Z$2:$Z$180,$J$37,ANNOUNCEMENTS!$J$2:$J$180,C188)+
COUNTIFS(ANNOUNCEMENTS!$E$2:$E$180,B188,ANNOUNCEMENTS!$Z$2:$Z$180,$L$37,ANNOUNCEMENTS!$J$2:$J$180,C188)+
COUNTIFS(ANNOUNCEMENTS!$E$2:$E$180,B188,ANNOUNCEMENTS!$AB$2:$AB$180,$J$37,ANNOUNCEMENTS!$J$2:$J$180,C188)+
COUNTIFS(ANNOUNCEMENTS!$E$2:$E$180,B188,ANNOUNCEMENTS!$AB$2:$AB$180,$L$37,ANNOUNCEMENTS!$J$2:$J$180,C188)+
COUNTIFS(ANNOUNCEMENTS!$E$2:$E$180,B188,ANNOUNCEMENTS!$AD$2:$AD$180,$J$37,ANNOUNCEMENTS!$J$2:$J$180,C188)+
COUNTIFS(ANNOUNCEMENTS!$E$2:$E$180,B188,ANNOUNCEMENTS!$AD$2:$AD$180,$L$37,ANNOUNCEMENTS!$J$2:$J$180,C188)</f>
        <v>1</v>
      </c>
      <c r="AJ188" s="21">
        <f>COUNTIFS(ANNOUNCEMENTS!$E$2:$E$180,B188,ANNOUNCEMENTS!$Z$2:$Z$180,$H$37,ANNOUNCEMENTS!$J$2:$J$180,C188)+
COUNTIFS(ANNOUNCEMENTS!$E$2:$E$180,B188,ANNOUNCEMENTS!$Z$2:$Z$180,$I$37,ANNOUNCEMENTS!$J$2:$J$180,C188)+
COUNTIFS(ANNOUNCEMENTS!$E$2:$E$180,B188,ANNOUNCEMENTS!$Z$2:$Z$180,$P$37,ANNOUNCEMENTS!$J$2:$J$180,C188)+
COUNTIFS(ANNOUNCEMENTS!$E$2:$E$180,B188,ANNOUNCEMENTS!$AB$2:$AB$180,$H$37,ANNOUNCEMENTS!$J$2:$J$180,C188)+
COUNTIFS(ANNOUNCEMENTS!$E$2:$E$180,B188,ANNOUNCEMENTS!$AB$2:$AB$180,$I$37,ANNOUNCEMENTS!$J$2:$J$180,C188)+
COUNTIFS(ANNOUNCEMENTS!$E$2:$E$180,B188,ANNOUNCEMENTS!$AB$2:$AB$180,$P$37,ANNOUNCEMENTS!$J$2:$J$180,C188)+
COUNTIFS(ANNOUNCEMENTS!$E$2:$E$180,B188,ANNOUNCEMENTS!$AD$2:$AD$180,$H$37,ANNOUNCEMENTS!$J$2:$J$180,C188)+
COUNTIFS(ANNOUNCEMENTS!$E$2:$E$180,B188,ANNOUNCEMENTS!$AD$2:$AD$180,$I$37,ANNOUNCEMENTS!$J$2:$J$180,C188)+
COUNTIFS(ANNOUNCEMENTS!$E$2:$E$180,B188,ANNOUNCEMENTS!$AD$2:$AD$180,$P$37,ANNOUNCEMENTS!$J$2:$J$180,C188)</f>
        <v>3</v>
      </c>
      <c r="AK188" s="310" cm="1">
        <f t="array" ref="AK188">SUM(COUNTIFS(ANNOUNCEMENTS!$E$2:$E$180,B188,ANNOUNCEMENTS!$W$2:$W$180,$E$38:$E$40,ANNOUNCEMENTS!$J$2:$J$180,C188))</f>
        <v>0</v>
      </c>
      <c r="AL188" s="21" cm="1">
        <f t="array" ref="AL188">SUM(COUNTIFS(ANNOUNCEMENTS!$E$2:$E$180,B188,ANNOUNCEMENTS!$W$2:$W$180,$E$43:$E$44,ANNOUNCEMENTS!$J$2:$J$180,C188))</f>
        <v>0</v>
      </c>
      <c r="AM188" s="21">
        <f t="shared" si="69"/>
        <v>3</v>
      </c>
      <c r="AN188" s="21">
        <f t="shared" si="70"/>
        <v>0</v>
      </c>
      <c r="AO188" s="309" cm="1">
        <f t="array" ref="AO188">_xlfn.XLOOKUP(AO$159,CBIMPORT!$A$1:$AM$1,_xlfn.XLOOKUP($B188,CBIMPORT!$A$1:$A$40,CBIMPORT!$A$1:$AM$40))</f>
        <v>0</v>
      </c>
      <c r="AP188" s="308" cm="1">
        <f t="array" ref="AP188">_xlfn.XLOOKUP(AP$159,CBIMPORT!$A$1:$AM$1,_xlfn.XLOOKUP($B188,CBIMPORT!$A$1:$A$40,CBIMPORT!$A$1:$AM$40))</f>
        <v>300</v>
      </c>
      <c r="AQ188" s="307" cm="1">
        <f t="array" ref="AQ188">_xlfn.XLOOKUP(AQ$159,CBIMPORT!$A$1:$AM$1,_xlfn.XLOOKUP($B188,CBIMPORT!$A$1:$A$40,CBIMPORT!$A$1:$AM$40))</f>
        <v>228.816</v>
      </c>
    </row>
    <row r="189" spans="1:43" x14ac:dyDescent="0.35">
      <c r="A189" s="303" t="s">
        <v>2197</v>
      </c>
      <c r="B189" s="315" t="str">
        <f t="shared" si="62"/>
        <v>Oxa</v>
      </c>
      <c r="C189" s="314" t="str">
        <f t="shared" si="63"/>
        <v>Last-Mile</v>
      </c>
      <c r="D189" s="313">
        <f>COUNTIFS(ANNOUNCEMENTS!$E$2:$E$180,$B189,ANNOUNCEMENTS!$J$2:$J$180,$C189)</f>
        <v>2</v>
      </c>
      <c r="E189" s="312" t="str" cm="1">
        <f t="array" ref="E189">_xlfn.ARRAYTOTEXT(
IF(D189&gt;0,_xlfn._xlws.FILTER(CHOOSE({1},
ANNOUNCEMENTS!$K$1:$K$180),
(ANNOUNCEMENTS!$E$1:$E$180=B189)*((ANNOUNCEMENTS!$J$1:$J$180=$C189)))))</f>
        <v>Goggo Network; Ocado Group</v>
      </c>
      <c r="F189" s="306">
        <f t="shared" si="64"/>
        <v>1</v>
      </c>
      <c r="G189" s="310" t="str" cm="1">
        <f t="array" ref="G189">_xlfn.XLOOKUP($A189,'Industries all mentioned partne'!$A$2:$A$58,_xlfn.XLOOKUP(G$159,'Industries all mentioned partne'!$A$2:$DM$2,'Industries all mentioned partne'!$A$2:$DM$58))</f>
        <v>Retail</v>
      </c>
      <c r="H189" s="91" cm="1">
        <f t="array" ref="H189">_xlfn.XLOOKUP($A189,'Industries all mentioned partne'!$A$2:$A$58,_xlfn.XLOOKUP(H$159,'Industries all mentioned partne'!$A$2:$DM$2,'Industries all mentioned partne'!$A$2:$DM$58))</f>
        <v>0.5</v>
      </c>
      <c r="I189" s="310" t="str" cm="1">
        <f t="array" ref="I189">_xlfn.XLOOKUP($A189,'Industries all mentioned partne'!$A$2:$A$58,_xlfn.XLOOKUP(I$159,'Industries all mentioned partne'!$A$2:$DM$2,'Industries all mentioned partne'!$A$2:$DM$58))</f>
        <v>Retail</v>
      </c>
      <c r="J189" s="91" cm="1">
        <f t="array" ref="J189">_xlfn.XLOOKUP($A189,'Industries all mentioned partne'!$A$2:$A$58,_xlfn.XLOOKUP(J$159,'Industries all mentioned partne'!$A$2:$DM$2,'Industries all mentioned partne'!$A$2:$DM$58))</f>
        <v>0.5</v>
      </c>
      <c r="K189" s="310" t="str" cm="1">
        <f t="array" ref="K189">_xlfn.XLOOKUP($A189,'Industries all mentioned partne'!$A$2:$A$58,_xlfn.XLOOKUP(K$159,'Industries all mentioned partne'!$A$2:$DM$2,'Industries all mentioned partne'!$A$2:$DM$58))</f>
        <v/>
      </c>
      <c r="L189" s="91" t="str" cm="1">
        <f t="array" ref="L189">_xlfn.XLOOKUP($A189,'Industries all mentioned partne'!$A$2:$A$58,_xlfn.XLOOKUP(L$159,'Industries all mentioned partne'!$A$2:$DM$2,'Industries all mentioned partne'!$A$2:$DM$58))</f>
        <v/>
      </c>
      <c r="M189" s="311" t="str" cm="1">
        <f t="array" ref="M189">_xlfn.XLOOKUP($M$159,CBIMPORT!$A$1:$AN$1,_xlfn.XLOOKUP(B189,CBIMPORT!$A$1:$A$171,CBIMPORT!$A$1:$AN$171))</f>
        <v>L1</v>
      </c>
      <c r="N189" s="309" cm="1">
        <f t="array" ref="N189">_xlfn.XLOOKUP(N$159,CBIMPORT!$A$1:$AM$1,_xlfn.XLOOKUP($B189,CBIMPORT!$A$1:$A$40,CBIMPORT!$A$1:$AM$40))</f>
        <v>10</v>
      </c>
      <c r="O189" s="21">
        <f>COUNTIFS(ANNOUNCEMENTS!$E$2:$E$180,$B189,ANNOUNCEMENTS!$Z$2:$Z$180,O$159,ANNOUNCEMENTS!$J$2:$J$180,$C189)+
COUNTIFS(ANNOUNCEMENTS!$E$2:$E$180,$B189,ANNOUNCEMENTS!$AB$2:$AB$180,O$159,ANNOUNCEMENTS!$J$2:$J$180,$C189)+
COUNTIFS(ANNOUNCEMENTS!$E$2:$E$180,$B189,ANNOUNCEMENTS!$AD$2:$AD$180,O$159,ANNOUNCEMENTS!$J$2:$J$180,$C189)</f>
        <v>1</v>
      </c>
      <c r="P189" s="21">
        <f>COUNTIFS(ANNOUNCEMENTS!$E$2:$E$180,$B189,ANNOUNCEMENTS!$Z$2:$Z$180,P$159,ANNOUNCEMENTS!$J$2:$J$180,$C189)+
COUNTIFS(ANNOUNCEMENTS!$E$2:$E$180,$B189,ANNOUNCEMENTS!$AB$2:$AB$180,P$159,ANNOUNCEMENTS!$J$2:$J$180,$C189)+
COUNTIFS(ANNOUNCEMENTS!$E$2:$E$180,$B189,ANNOUNCEMENTS!$AD$2:$AD$180,P$159,ANNOUNCEMENTS!$J$2:$J$180,$C189)</f>
        <v>0</v>
      </c>
      <c r="Q189" s="21">
        <f>COUNTIFS(ANNOUNCEMENTS!$E$2:$E$180,$B189,ANNOUNCEMENTS!$Z$2:$Z$180,Q$159,ANNOUNCEMENTS!$J$2:$J$180,$C189)+
COUNTIFS(ANNOUNCEMENTS!$E$2:$E$180,$B189,ANNOUNCEMENTS!$AB$2:$AB$180,Q$159,ANNOUNCEMENTS!$J$2:$J$180,$C189)+
COUNTIFS(ANNOUNCEMENTS!$E$2:$E$180,$B189,ANNOUNCEMENTS!$AD$2:$AD$180,Q$159,ANNOUNCEMENTS!$J$2:$J$180,$C189)</f>
        <v>1</v>
      </c>
      <c r="R189" s="21">
        <f>COUNTIFS(ANNOUNCEMENTS!$E$2:$E$180,$B189,ANNOUNCEMENTS!$Z$2:$Z$180,R$159,ANNOUNCEMENTS!$J$2:$J$180,$C189)+
COUNTIFS(ANNOUNCEMENTS!$E$2:$E$180,$B189,ANNOUNCEMENTS!$AB$2:$AB$180,R$159,ANNOUNCEMENTS!$J$2:$J$180,$C189)+
COUNTIFS(ANNOUNCEMENTS!$E$2:$E$180,$B189,ANNOUNCEMENTS!$AD$2:$AD$180,R$159,ANNOUNCEMENTS!$J$2:$J$180,$C189)</f>
        <v>0</v>
      </c>
      <c r="S189" s="21">
        <f>COUNTIFS(ANNOUNCEMENTS!$E$2:$E$180,$B189,ANNOUNCEMENTS!$Z$2:$Z$180,S$159,ANNOUNCEMENTS!$J$2:$J$180,$C189)+
COUNTIFS(ANNOUNCEMENTS!$E$2:$E$180,$B189,ANNOUNCEMENTS!$AB$2:$AB$180,S$159,ANNOUNCEMENTS!$J$2:$J$180,$C189)+
COUNTIFS(ANNOUNCEMENTS!$E$2:$E$180,$B189,ANNOUNCEMENTS!$AD$2:$AD$180,S$159,ANNOUNCEMENTS!$J$2:$J$180,$C189)</f>
        <v>0</v>
      </c>
      <c r="T189" s="21">
        <f>COUNTIFS(ANNOUNCEMENTS!$E$2:$E$180,$B189,ANNOUNCEMENTS!$Z$2:$Z$180,T$159,ANNOUNCEMENTS!$J$2:$J$180,$C189)+
COUNTIFS(ANNOUNCEMENTS!$E$2:$E$180,$B189,ANNOUNCEMENTS!$AB$2:$AB$180,T$159,ANNOUNCEMENTS!$J$2:$J$180,$C189)+
COUNTIFS(ANNOUNCEMENTS!$E$2:$E$180,$B189,ANNOUNCEMENTS!$AD$2:$AD$180,T$159,ANNOUNCEMENTS!$J$2:$J$180,$C189)</f>
        <v>0</v>
      </c>
      <c r="U189" s="21">
        <f>COUNTIFS(ANNOUNCEMENTS!$E$2:$E$180,$B189,ANNOUNCEMENTS!$Z$2:$Z$180,U$159,ANNOUNCEMENTS!$J$2:$J$180,$C189)+
COUNTIFS(ANNOUNCEMENTS!$E$2:$E$180,$B189,ANNOUNCEMENTS!$AB$2:$AB$180,U$159,ANNOUNCEMENTS!$J$2:$J$180,$C189)+
COUNTIFS(ANNOUNCEMENTS!$E$2:$E$180,$B189,ANNOUNCEMENTS!$AD$2:$AD$180,U$159,ANNOUNCEMENTS!$J$2:$J$180,$C189)</f>
        <v>0</v>
      </c>
      <c r="V189" s="21">
        <f>COUNTIFS(ANNOUNCEMENTS!$E$2:$E$180,$B189,ANNOUNCEMENTS!$Z$2:$Z$180,V$159,ANNOUNCEMENTS!$J$2:$J$180,$C189)+
COUNTIFS(ANNOUNCEMENTS!$E$2:$E$180,$B189,ANNOUNCEMENTS!$AB$2:$AB$180,V$159,ANNOUNCEMENTS!$J$2:$J$180,$C189)+
COUNTIFS(ANNOUNCEMENTS!$E$2:$E$180,$B189,ANNOUNCEMENTS!$AD$2:$AD$180,V$159,ANNOUNCEMENTS!$J$2:$J$180,$C189)</f>
        <v>0</v>
      </c>
      <c r="W189" s="21">
        <f>COUNTIFS(ANNOUNCEMENTS!$E$2:$E$180,$B189,ANNOUNCEMENTS!$Z$2:$Z$180,W$159,ANNOUNCEMENTS!$J$2:$J$180,$C189)+
COUNTIFS(ANNOUNCEMENTS!$E$2:$E$180,$B189,ANNOUNCEMENTS!$AB$2:$AB$180,W$159,ANNOUNCEMENTS!$J$2:$J$180,$C189)+
COUNTIFS(ANNOUNCEMENTS!$E$2:$E$180,$B189,ANNOUNCEMENTS!$AD$2:$AD$180,W$159,ANNOUNCEMENTS!$J$2:$J$180,$C189)</f>
        <v>0</v>
      </c>
      <c r="X189" s="21">
        <f>COUNTIFS(ANNOUNCEMENTS!$E$2:$E$180,$B189,ANNOUNCEMENTS!$W$2:$W$180,X$159,ANNOUNCEMENTS!$J$2:$J$180,$C189)</f>
        <v>0</v>
      </c>
      <c r="Y189" s="21">
        <f>COUNTIFS(ANNOUNCEMENTS!$E$2:$E$180,$B189,ANNOUNCEMENTS!$W$2:$W$180,Y$159,ANNOUNCEMENTS!$J$2:$J$180,$C189)</f>
        <v>1</v>
      </c>
      <c r="Z189" s="21">
        <f>COUNTIFS(ANNOUNCEMENTS!$E$2:$E$180,$B189,ANNOUNCEMENTS!$W$2:$W$180,Z$159,ANNOUNCEMENTS!$J$2:$J$180,$C189)</f>
        <v>0</v>
      </c>
      <c r="AA189" s="21">
        <f>COUNTIFS(ANNOUNCEMENTS!$E$2:$E$180,$B189,ANNOUNCEMENTS!$W$2:$W$180,AA$159,ANNOUNCEMENTS!$J$2:$J$180,$C189)</f>
        <v>0</v>
      </c>
      <c r="AB189" s="21">
        <f>COUNTIFS(ANNOUNCEMENTS!$E$2:$E$180,$B189,ANNOUNCEMENTS!$W$2:$W$180,AB$159,ANNOUNCEMENTS!$J$2:$J$180,$C189)</f>
        <v>0</v>
      </c>
      <c r="AC189" s="21">
        <f>COUNTIFS(ANNOUNCEMENTS!$E$2:$E$180,$B189,ANNOUNCEMENTS!$W$2:$W$180,AC$159,ANNOUNCEMENTS!$J$2:$J$180,$C189)</f>
        <v>1</v>
      </c>
      <c r="AD189" s="21">
        <f>COUNTIFS(ANNOUNCEMENTS!$E$2:$E$180,$B189,ANNOUNCEMENTS!$W$2:$W$180,AD$159,ANNOUNCEMENTS!$J$2:$J$180,$C189)</f>
        <v>0</v>
      </c>
      <c r="AE189" s="311">
        <f t="shared" si="65"/>
        <v>1</v>
      </c>
      <c r="AF189" s="311">
        <f t="shared" si="66"/>
        <v>0</v>
      </c>
      <c r="AG189" s="311">
        <f t="shared" si="67"/>
        <v>0</v>
      </c>
      <c r="AH189" s="311">
        <f t="shared" si="68"/>
        <v>0</v>
      </c>
      <c r="AI189" s="21">
        <f>COUNTIFS(ANNOUNCEMENTS!$E$2:$E$180,B189,ANNOUNCEMENTS!$Z$2:$Z$180,$J$37,ANNOUNCEMENTS!$J$2:$J$180,C189)+
COUNTIFS(ANNOUNCEMENTS!$E$2:$E$180,B189,ANNOUNCEMENTS!$Z$2:$Z$180,$L$37,ANNOUNCEMENTS!$J$2:$J$180,C189)+
COUNTIFS(ANNOUNCEMENTS!$E$2:$E$180,B189,ANNOUNCEMENTS!$AB$2:$AB$180,$J$37,ANNOUNCEMENTS!$J$2:$J$180,C189)+
COUNTIFS(ANNOUNCEMENTS!$E$2:$E$180,B189,ANNOUNCEMENTS!$AB$2:$AB$180,$L$37,ANNOUNCEMENTS!$J$2:$J$180,C189)+
COUNTIFS(ANNOUNCEMENTS!$E$2:$E$180,B189,ANNOUNCEMENTS!$AD$2:$AD$180,$J$37,ANNOUNCEMENTS!$J$2:$J$180,C189)+
COUNTIFS(ANNOUNCEMENTS!$E$2:$E$180,B189,ANNOUNCEMENTS!$AD$2:$AD$180,$L$37,ANNOUNCEMENTS!$J$2:$J$180,C189)</f>
        <v>1</v>
      </c>
      <c r="AJ189" s="21">
        <f>COUNTIFS(ANNOUNCEMENTS!$E$2:$E$180,B189,ANNOUNCEMENTS!$Z$2:$Z$180,$H$37,ANNOUNCEMENTS!$J$2:$J$180,C189)+
COUNTIFS(ANNOUNCEMENTS!$E$2:$E$180,B189,ANNOUNCEMENTS!$Z$2:$Z$180,$I$37,ANNOUNCEMENTS!$J$2:$J$180,C189)+
COUNTIFS(ANNOUNCEMENTS!$E$2:$E$180,B189,ANNOUNCEMENTS!$Z$2:$Z$180,$P$37,ANNOUNCEMENTS!$J$2:$J$180,C189)+
COUNTIFS(ANNOUNCEMENTS!$E$2:$E$180,B189,ANNOUNCEMENTS!$AB$2:$AB$180,$H$37,ANNOUNCEMENTS!$J$2:$J$180,C189)+
COUNTIFS(ANNOUNCEMENTS!$E$2:$E$180,B189,ANNOUNCEMENTS!$AB$2:$AB$180,$I$37,ANNOUNCEMENTS!$J$2:$J$180,C189)+
COUNTIFS(ANNOUNCEMENTS!$E$2:$E$180,B189,ANNOUNCEMENTS!$AB$2:$AB$180,$P$37,ANNOUNCEMENTS!$J$2:$J$180,C189)+
COUNTIFS(ANNOUNCEMENTS!$E$2:$E$180,B189,ANNOUNCEMENTS!$AD$2:$AD$180,$H$37,ANNOUNCEMENTS!$J$2:$J$180,C189)+
COUNTIFS(ANNOUNCEMENTS!$E$2:$E$180,B189,ANNOUNCEMENTS!$AD$2:$AD$180,$I$37,ANNOUNCEMENTS!$J$2:$J$180,C189)+
COUNTIFS(ANNOUNCEMENTS!$E$2:$E$180,B189,ANNOUNCEMENTS!$AD$2:$AD$180,$P$37,ANNOUNCEMENTS!$J$2:$J$180,C189)</f>
        <v>1</v>
      </c>
      <c r="AK189" s="310" cm="1">
        <f t="array" ref="AK189">SUM(COUNTIFS(ANNOUNCEMENTS!$E$2:$E$180,B189,ANNOUNCEMENTS!$W$2:$W$180,$E$38:$E$40,ANNOUNCEMENTS!$J$2:$J$180,C189))</f>
        <v>1</v>
      </c>
      <c r="AL189" s="21" cm="1">
        <f t="array" ref="AL189">SUM(COUNTIFS(ANNOUNCEMENTS!$E$2:$E$180,B189,ANNOUNCEMENTS!$W$2:$W$180,$E$43:$E$44,ANNOUNCEMENTS!$J$2:$J$180,C189))</f>
        <v>1</v>
      </c>
      <c r="AM189" s="21">
        <f t="shared" si="69"/>
        <v>2</v>
      </c>
      <c r="AN189" s="21">
        <f t="shared" si="70"/>
        <v>1</v>
      </c>
      <c r="AO189" s="309" cm="1">
        <f t="array" ref="AO189">_xlfn.XLOOKUP(AO$159,CBIMPORT!$A$1:$AM$1,_xlfn.XLOOKUP($B189,CBIMPORT!$A$1:$A$40,CBIMPORT!$A$1:$AM$40))</f>
        <v>0</v>
      </c>
      <c r="AP189" s="308" cm="1">
        <f t="array" ref="AP189">_xlfn.XLOOKUP(AP$159,CBIMPORT!$A$1:$AM$1,_xlfn.XLOOKUP($B189,CBIMPORT!$A$1:$A$40,CBIMPORT!$A$1:$AM$40))</f>
        <v>300</v>
      </c>
      <c r="AQ189" s="307" cm="1">
        <f t="array" ref="AQ189">_xlfn.XLOOKUP(AQ$159,CBIMPORT!$A$1:$AM$1,_xlfn.XLOOKUP($B189,CBIMPORT!$A$1:$A$40,CBIMPORT!$A$1:$AM$40))</f>
        <v>228.816</v>
      </c>
    </row>
    <row r="190" spans="1:43" hidden="1" x14ac:dyDescent="0.35">
      <c r="A190" s="303" t="s">
        <v>2162</v>
      </c>
      <c r="B190" s="315" t="str">
        <f t="shared" si="62"/>
        <v>Oxa</v>
      </c>
      <c r="C190" s="314" t="str">
        <f t="shared" si="63"/>
        <v>Other</v>
      </c>
      <c r="D190" s="313">
        <f>COUNTIFS(ANNOUNCEMENTS!$E$2:$E$180,$B190,ANNOUNCEMENTS!$J$2:$J$180,$C190)</f>
        <v>1</v>
      </c>
      <c r="E190" s="312" t="str" cm="1">
        <f t="array" ref="E190">_xlfn.ARRAYTOTEXT(
IF(D190&gt;0,_xlfn._xlws.FILTER(CHOOSE({1},
ANNOUNCEMENTS!$K$1:$K$180),
(ANNOUNCEMENTS!$E$1:$E$180=B190)*((ANNOUNCEMENTS!$J$1:$J$180=$C190)))))</f>
        <v>Navtech Radar</v>
      </c>
      <c r="F190" s="306">
        <f t="shared" si="64"/>
        <v>0</v>
      </c>
      <c r="G190" s="310" t="str" cm="1">
        <f t="array" ref="G190">_xlfn.XLOOKUP($A190,'Industries all mentioned partne'!$A$2:$A$58,_xlfn.XLOOKUP(G$159,'Industries all mentioned partne'!$A$2:$DM$2,'Industries all mentioned partne'!$A$2:$DM$58))</f>
        <v>Sensor</v>
      </c>
      <c r="H190" s="91" cm="1">
        <f t="array" ref="H190">_xlfn.XLOOKUP($A190,'Industries all mentioned partne'!$A$2:$A$58,_xlfn.XLOOKUP(H$159,'Industries all mentioned partne'!$A$2:$DM$2,'Industries all mentioned partne'!$A$2:$DM$58))</f>
        <v>1</v>
      </c>
      <c r="I190" s="310" t="str" cm="1">
        <f t="array" ref="I190">_xlfn.XLOOKUP($A190,'Industries all mentioned partne'!$A$2:$A$58,_xlfn.XLOOKUP(I$159,'Industries all mentioned partne'!$A$2:$DM$2,'Industries all mentioned partne'!$A$2:$DM$58))</f>
        <v/>
      </c>
      <c r="J190" s="91" t="str" cm="1">
        <f t="array" ref="J190">_xlfn.XLOOKUP($A190,'Industries all mentioned partne'!$A$2:$A$58,_xlfn.XLOOKUP(J$159,'Industries all mentioned partne'!$A$2:$DM$2,'Industries all mentioned partne'!$A$2:$DM$58))</f>
        <v/>
      </c>
      <c r="K190" s="310" t="str" cm="1">
        <f t="array" ref="K190">_xlfn.XLOOKUP($A190,'Industries all mentioned partne'!$A$2:$A$58,_xlfn.XLOOKUP(K$159,'Industries all mentioned partne'!$A$2:$DM$2,'Industries all mentioned partne'!$A$2:$DM$58))</f>
        <v/>
      </c>
      <c r="L190" s="91" t="str" cm="1">
        <f t="array" ref="L190">_xlfn.XLOOKUP($A190,'Industries all mentioned partne'!$A$2:$A$58,_xlfn.XLOOKUP(L$159,'Industries all mentioned partne'!$A$2:$DM$2,'Industries all mentioned partne'!$A$2:$DM$58))</f>
        <v/>
      </c>
      <c r="M190" s="311" t="str" cm="1">
        <f t="array" ref="M190">_xlfn.XLOOKUP($M$159,CBIMPORT!$A$1:$AN$1,_xlfn.XLOOKUP(B190,CBIMPORT!$A$1:$A$171,CBIMPORT!$A$1:$AN$171))</f>
        <v>L1</v>
      </c>
      <c r="N190" s="309" cm="1">
        <f t="array" ref="N190">_xlfn.XLOOKUP(N$159,CBIMPORT!$A$1:$AM$1,_xlfn.XLOOKUP($B190,CBIMPORT!$A$1:$A$40,CBIMPORT!$A$1:$AM$40))</f>
        <v>10</v>
      </c>
      <c r="O190" s="21">
        <f>COUNTIFS(ANNOUNCEMENTS!$E$2:$E$180,$B190,ANNOUNCEMENTS!$Z$2:$Z$180,O$159,ANNOUNCEMENTS!$J$2:$J$180,$C190)+
COUNTIFS(ANNOUNCEMENTS!$E$2:$E$180,$B190,ANNOUNCEMENTS!$AB$2:$AB$180,O$159,ANNOUNCEMENTS!$J$2:$J$180,$C190)+
COUNTIFS(ANNOUNCEMENTS!$E$2:$E$180,$B190,ANNOUNCEMENTS!$AD$2:$AD$180,O$159,ANNOUNCEMENTS!$J$2:$J$180,$C190)</f>
        <v>1</v>
      </c>
      <c r="P190" s="21">
        <f>COUNTIFS(ANNOUNCEMENTS!$E$2:$E$180,$B190,ANNOUNCEMENTS!$Z$2:$Z$180,P$159,ANNOUNCEMENTS!$J$2:$J$180,$C190)+
COUNTIFS(ANNOUNCEMENTS!$E$2:$E$180,$B190,ANNOUNCEMENTS!$AB$2:$AB$180,P$159,ANNOUNCEMENTS!$J$2:$J$180,$C190)+
COUNTIFS(ANNOUNCEMENTS!$E$2:$E$180,$B190,ANNOUNCEMENTS!$AD$2:$AD$180,P$159,ANNOUNCEMENTS!$J$2:$J$180,$C190)</f>
        <v>0</v>
      </c>
      <c r="Q190" s="21">
        <f>COUNTIFS(ANNOUNCEMENTS!$E$2:$E$180,$B190,ANNOUNCEMENTS!$Z$2:$Z$180,Q$159,ANNOUNCEMENTS!$J$2:$J$180,$C190)+
COUNTIFS(ANNOUNCEMENTS!$E$2:$E$180,$B190,ANNOUNCEMENTS!$AB$2:$AB$180,Q$159,ANNOUNCEMENTS!$J$2:$J$180,$C190)+
COUNTIFS(ANNOUNCEMENTS!$E$2:$E$180,$B190,ANNOUNCEMENTS!$AD$2:$AD$180,Q$159,ANNOUNCEMENTS!$J$2:$J$180,$C190)</f>
        <v>0</v>
      </c>
      <c r="R190" s="21">
        <f>COUNTIFS(ANNOUNCEMENTS!$E$2:$E$180,$B190,ANNOUNCEMENTS!$Z$2:$Z$180,R$159,ANNOUNCEMENTS!$J$2:$J$180,$C190)+
COUNTIFS(ANNOUNCEMENTS!$E$2:$E$180,$B190,ANNOUNCEMENTS!$AB$2:$AB$180,R$159,ANNOUNCEMENTS!$J$2:$J$180,$C190)+
COUNTIFS(ANNOUNCEMENTS!$E$2:$E$180,$B190,ANNOUNCEMENTS!$AD$2:$AD$180,R$159,ANNOUNCEMENTS!$J$2:$J$180,$C190)</f>
        <v>0</v>
      </c>
      <c r="S190" s="21">
        <f>COUNTIFS(ANNOUNCEMENTS!$E$2:$E$180,$B190,ANNOUNCEMENTS!$Z$2:$Z$180,S$159,ANNOUNCEMENTS!$J$2:$J$180,$C190)+
COUNTIFS(ANNOUNCEMENTS!$E$2:$E$180,$B190,ANNOUNCEMENTS!$AB$2:$AB$180,S$159,ANNOUNCEMENTS!$J$2:$J$180,$C190)+
COUNTIFS(ANNOUNCEMENTS!$E$2:$E$180,$B190,ANNOUNCEMENTS!$AD$2:$AD$180,S$159,ANNOUNCEMENTS!$J$2:$J$180,$C190)</f>
        <v>0</v>
      </c>
      <c r="T190" s="21">
        <f>COUNTIFS(ANNOUNCEMENTS!$E$2:$E$180,$B190,ANNOUNCEMENTS!$Z$2:$Z$180,T$159,ANNOUNCEMENTS!$J$2:$J$180,$C190)+
COUNTIFS(ANNOUNCEMENTS!$E$2:$E$180,$B190,ANNOUNCEMENTS!$AB$2:$AB$180,T$159,ANNOUNCEMENTS!$J$2:$J$180,$C190)+
COUNTIFS(ANNOUNCEMENTS!$E$2:$E$180,$B190,ANNOUNCEMENTS!$AD$2:$AD$180,T$159,ANNOUNCEMENTS!$J$2:$J$180,$C190)</f>
        <v>0</v>
      </c>
      <c r="U190" s="21">
        <f>COUNTIFS(ANNOUNCEMENTS!$E$2:$E$180,$B190,ANNOUNCEMENTS!$Z$2:$Z$180,U$159,ANNOUNCEMENTS!$J$2:$J$180,$C190)+
COUNTIFS(ANNOUNCEMENTS!$E$2:$E$180,$B190,ANNOUNCEMENTS!$AB$2:$AB$180,U$159,ANNOUNCEMENTS!$J$2:$J$180,$C190)+
COUNTIFS(ANNOUNCEMENTS!$E$2:$E$180,$B190,ANNOUNCEMENTS!$AD$2:$AD$180,U$159,ANNOUNCEMENTS!$J$2:$J$180,$C190)</f>
        <v>0</v>
      </c>
      <c r="V190" s="21">
        <f>COUNTIFS(ANNOUNCEMENTS!$E$2:$E$180,$B190,ANNOUNCEMENTS!$Z$2:$Z$180,V$159,ANNOUNCEMENTS!$J$2:$J$180,$C190)+
COUNTIFS(ANNOUNCEMENTS!$E$2:$E$180,$B190,ANNOUNCEMENTS!$AB$2:$AB$180,V$159,ANNOUNCEMENTS!$J$2:$J$180,$C190)+
COUNTIFS(ANNOUNCEMENTS!$E$2:$E$180,$B190,ANNOUNCEMENTS!$AD$2:$AD$180,V$159,ANNOUNCEMENTS!$J$2:$J$180,$C190)</f>
        <v>0</v>
      </c>
      <c r="W190" s="21">
        <f>COUNTIFS(ANNOUNCEMENTS!$E$2:$E$180,$B190,ANNOUNCEMENTS!$Z$2:$Z$180,W$159,ANNOUNCEMENTS!$J$2:$J$180,$C190)+
COUNTIFS(ANNOUNCEMENTS!$E$2:$E$180,$B190,ANNOUNCEMENTS!$AB$2:$AB$180,W$159,ANNOUNCEMENTS!$J$2:$J$180,$C190)+
COUNTIFS(ANNOUNCEMENTS!$E$2:$E$180,$B190,ANNOUNCEMENTS!$AD$2:$AD$180,W$159,ANNOUNCEMENTS!$J$2:$J$180,$C190)</f>
        <v>0</v>
      </c>
      <c r="X190" s="21">
        <f>COUNTIFS(ANNOUNCEMENTS!$E$2:$E$180,$B190,ANNOUNCEMENTS!$W$2:$W$180,X$159,ANNOUNCEMENTS!$J$2:$J$180,$C190)</f>
        <v>0</v>
      </c>
      <c r="Y190" s="21">
        <f>COUNTIFS(ANNOUNCEMENTS!$E$2:$E$180,$B190,ANNOUNCEMENTS!$W$2:$W$180,Y$159,ANNOUNCEMENTS!$J$2:$J$180,$C190)</f>
        <v>1</v>
      </c>
      <c r="Z190" s="21">
        <f>COUNTIFS(ANNOUNCEMENTS!$E$2:$E$180,$B190,ANNOUNCEMENTS!$W$2:$W$180,Z$159,ANNOUNCEMENTS!$J$2:$J$180,$C190)</f>
        <v>0</v>
      </c>
      <c r="AA190" s="21">
        <f>COUNTIFS(ANNOUNCEMENTS!$E$2:$E$180,$B190,ANNOUNCEMENTS!$W$2:$W$180,AA$159,ANNOUNCEMENTS!$J$2:$J$180,$C190)</f>
        <v>0</v>
      </c>
      <c r="AB190" s="21">
        <f>COUNTIFS(ANNOUNCEMENTS!$E$2:$E$180,$B190,ANNOUNCEMENTS!$W$2:$W$180,AB$159,ANNOUNCEMENTS!$J$2:$J$180,$C190)</f>
        <v>0</v>
      </c>
      <c r="AC190" s="21">
        <f>COUNTIFS(ANNOUNCEMENTS!$E$2:$E$180,$B190,ANNOUNCEMENTS!$W$2:$W$180,AC$159,ANNOUNCEMENTS!$J$2:$J$180,$C190)</f>
        <v>0</v>
      </c>
      <c r="AD190" s="21">
        <f>COUNTIFS(ANNOUNCEMENTS!$E$2:$E$180,$B190,ANNOUNCEMENTS!$W$2:$W$180,AD$159,ANNOUNCEMENTS!$J$2:$J$180,$C190)</f>
        <v>0</v>
      </c>
      <c r="AE190" s="311">
        <f t="shared" si="65"/>
        <v>1</v>
      </c>
      <c r="AF190" s="311">
        <f t="shared" si="66"/>
        <v>0</v>
      </c>
      <c r="AG190" s="311">
        <f t="shared" si="67"/>
        <v>0</v>
      </c>
      <c r="AH190" s="311">
        <f t="shared" si="68"/>
        <v>0</v>
      </c>
      <c r="AI190" s="21">
        <f>COUNTIFS(ANNOUNCEMENTS!$E$2:$E$180,B190,ANNOUNCEMENTS!$Z$2:$Z$180,$J$37,ANNOUNCEMENTS!$J$2:$J$180,C190)+
COUNTIFS(ANNOUNCEMENTS!$E$2:$E$180,B190,ANNOUNCEMENTS!$Z$2:$Z$180,$L$37,ANNOUNCEMENTS!$J$2:$J$180,C190)+
COUNTIFS(ANNOUNCEMENTS!$E$2:$E$180,B190,ANNOUNCEMENTS!$AB$2:$AB$180,$J$37,ANNOUNCEMENTS!$J$2:$J$180,C190)+
COUNTIFS(ANNOUNCEMENTS!$E$2:$E$180,B190,ANNOUNCEMENTS!$AB$2:$AB$180,$L$37,ANNOUNCEMENTS!$J$2:$J$180,C190)+
COUNTIFS(ANNOUNCEMENTS!$E$2:$E$180,B190,ANNOUNCEMENTS!$AD$2:$AD$180,$J$37,ANNOUNCEMENTS!$J$2:$J$180,C190)+
COUNTIFS(ANNOUNCEMENTS!$E$2:$E$180,B190,ANNOUNCEMENTS!$AD$2:$AD$180,$L$37,ANNOUNCEMENTS!$J$2:$J$180,C190)</f>
        <v>0</v>
      </c>
      <c r="AJ190" s="21">
        <f>COUNTIFS(ANNOUNCEMENTS!$E$2:$E$180,B190,ANNOUNCEMENTS!$Z$2:$Z$180,$H$37,ANNOUNCEMENTS!$J$2:$J$180,C190)+
COUNTIFS(ANNOUNCEMENTS!$E$2:$E$180,B190,ANNOUNCEMENTS!$Z$2:$Z$180,$I$37,ANNOUNCEMENTS!$J$2:$J$180,C190)+
COUNTIFS(ANNOUNCEMENTS!$E$2:$E$180,B190,ANNOUNCEMENTS!$Z$2:$Z$180,$P$37,ANNOUNCEMENTS!$J$2:$J$180,C190)+
COUNTIFS(ANNOUNCEMENTS!$E$2:$E$180,B190,ANNOUNCEMENTS!$AB$2:$AB$180,$H$37,ANNOUNCEMENTS!$J$2:$J$180,C190)+
COUNTIFS(ANNOUNCEMENTS!$E$2:$E$180,B190,ANNOUNCEMENTS!$AB$2:$AB$180,$I$37,ANNOUNCEMENTS!$J$2:$J$180,C190)+
COUNTIFS(ANNOUNCEMENTS!$E$2:$E$180,B190,ANNOUNCEMENTS!$AB$2:$AB$180,$P$37,ANNOUNCEMENTS!$J$2:$J$180,C190)+
COUNTIFS(ANNOUNCEMENTS!$E$2:$E$180,B190,ANNOUNCEMENTS!$AD$2:$AD$180,$H$37,ANNOUNCEMENTS!$J$2:$J$180,C190)+
COUNTIFS(ANNOUNCEMENTS!$E$2:$E$180,B190,ANNOUNCEMENTS!$AD$2:$AD$180,$I$37,ANNOUNCEMENTS!$J$2:$J$180,C190)+
COUNTIFS(ANNOUNCEMENTS!$E$2:$E$180,B190,ANNOUNCEMENTS!$AD$2:$AD$180,$P$37,ANNOUNCEMENTS!$J$2:$J$180,C190)</f>
        <v>1</v>
      </c>
      <c r="AK190" s="310" cm="1">
        <f t="array" ref="AK190">SUM(COUNTIFS(ANNOUNCEMENTS!$E$2:$E$180,B190,ANNOUNCEMENTS!$W$2:$W$180,$E$38:$E$40,ANNOUNCEMENTS!$J$2:$J$180,C190))</f>
        <v>1</v>
      </c>
      <c r="AL190" s="21" cm="1">
        <f t="array" ref="AL190">SUM(COUNTIFS(ANNOUNCEMENTS!$E$2:$E$180,B190,ANNOUNCEMENTS!$W$2:$W$180,$E$43:$E$44,ANNOUNCEMENTS!$J$2:$J$180,C190))</f>
        <v>0</v>
      </c>
      <c r="AM190" s="21">
        <f t="shared" si="69"/>
        <v>1</v>
      </c>
      <c r="AN190" s="21">
        <f t="shared" si="70"/>
        <v>0</v>
      </c>
      <c r="AO190" s="309" cm="1">
        <f t="array" ref="AO190">_xlfn.XLOOKUP(AO$159,CBIMPORT!$A$1:$AM$1,_xlfn.XLOOKUP($B190,CBIMPORT!$A$1:$A$40,CBIMPORT!$A$1:$AM$40))</f>
        <v>0</v>
      </c>
      <c r="AP190" s="308" cm="1">
        <f t="array" ref="AP190">_xlfn.XLOOKUP(AP$159,CBIMPORT!$A$1:$AM$1,_xlfn.XLOOKUP($B190,CBIMPORT!$A$1:$A$40,CBIMPORT!$A$1:$AM$40))</f>
        <v>300</v>
      </c>
      <c r="AQ190" s="307" cm="1">
        <f t="array" ref="AQ190">_xlfn.XLOOKUP(AQ$159,CBIMPORT!$A$1:$AM$1,_xlfn.XLOOKUP($B190,CBIMPORT!$A$1:$A$40,CBIMPORT!$A$1:$AM$40))</f>
        <v>228.816</v>
      </c>
    </row>
    <row r="191" spans="1:43" x14ac:dyDescent="0.35">
      <c r="A191" s="303" t="s">
        <v>2198</v>
      </c>
      <c r="B191" s="315" t="str">
        <f t="shared" si="62"/>
        <v>Plus.ai</v>
      </c>
      <c r="C191" s="314" t="str">
        <f t="shared" si="63"/>
        <v>Trucking</v>
      </c>
      <c r="D191" s="313">
        <f>COUNTIFS(ANNOUNCEMENTS!$E$2:$E$180,$B191,ANNOUNCEMENTS!$J$2:$J$180,$C191)</f>
        <v>7</v>
      </c>
      <c r="E191" s="312" t="str" cm="1">
        <f t="array" ref="E191">_xlfn.ARRAYTOTEXT(
IF(D191&gt;0,_xlfn._xlws.FILTER(CHOOSE({1},
ANNOUNCEMENTS!$K$1:$K$180),
(ANNOUNCEMENTS!$E$1:$E$180=B191)*((ANNOUNCEMENTS!$J$1:$J$180=$C191)))))</f>
        <v>Bosch; Minnesota Department of Transportation; Transurban; Goodyear; IVECO; Cummins; Luminar</v>
      </c>
      <c r="F191" s="306">
        <f t="shared" si="64"/>
        <v>2</v>
      </c>
      <c r="G191" s="310" t="str" cm="1">
        <f t="array" ref="G191">_xlfn.XLOOKUP($A191,'Industries all mentioned partne'!$A$2:$A$58,_xlfn.XLOOKUP(G$159,'Industries all mentioned partne'!$A$2:$DM$2,'Industries all mentioned partne'!$A$2:$DM$58))</f>
        <v>Automotive Supplier</v>
      </c>
      <c r="H191" s="91" cm="1">
        <f t="array" ref="H191">_xlfn.XLOOKUP($A191,'Industries all mentioned partne'!$A$2:$A$58,_xlfn.XLOOKUP(H$159,'Industries all mentioned partne'!$A$2:$DM$2,'Industries all mentioned partne'!$A$2:$DM$58))</f>
        <v>0.42857142857142855</v>
      </c>
      <c r="I191" s="310" t="str" cm="1">
        <f t="array" ref="I191">_xlfn.XLOOKUP($A191,'Industries all mentioned partne'!$A$2:$A$58,_xlfn.XLOOKUP(I$159,'Industries all mentioned partne'!$A$2:$DM$2,'Industries all mentioned partne'!$A$2:$DM$58))</f>
        <v>Transport Operator</v>
      </c>
      <c r="J191" s="91" cm="1">
        <f t="array" ref="J191">_xlfn.XLOOKUP($A191,'Industries all mentioned partne'!$A$2:$A$58,_xlfn.XLOOKUP(J$159,'Industries all mentioned partne'!$A$2:$DM$2,'Industries all mentioned partne'!$A$2:$DM$58))</f>
        <v>0.2857142857142857</v>
      </c>
      <c r="K191" s="310" t="str" cm="1">
        <f t="array" ref="K191">_xlfn.XLOOKUP($A191,'Industries all mentioned partne'!$A$2:$A$58,_xlfn.XLOOKUP(K$159,'Industries all mentioned partne'!$A$2:$DM$2,'Industries all mentioned partne'!$A$2:$DM$58))</f>
        <v>OEM Commercial Vehicles</v>
      </c>
      <c r="L191" s="91" cm="1">
        <f t="array" ref="L191">_xlfn.XLOOKUP($A191,'Industries all mentioned partne'!$A$2:$A$58,_xlfn.XLOOKUP(L$159,'Industries all mentioned partne'!$A$2:$DM$2,'Industries all mentioned partne'!$A$2:$DM$58))</f>
        <v>0.14285714285714285</v>
      </c>
      <c r="M191" s="311" t="str" cm="1">
        <f t="array" ref="M191">_xlfn.XLOOKUP($M$159,CBIMPORT!$A$1:$AN$1,_xlfn.XLOOKUP(B191,CBIMPORT!$A$1:$A$171,CBIMPORT!$A$1:$AN$171))</f>
        <v>L1</v>
      </c>
      <c r="N191" s="309" cm="1">
        <f t="array" ref="N191">_xlfn.XLOOKUP(N$159,CBIMPORT!$A$1:$AM$1,_xlfn.XLOOKUP($B191,CBIMPORT!$A$1:$A$40,CBIMPORT!$A$1:$AM$40))</f>
        <v>106</v>
      </c>
      <c r="O191" s="21">
        <f>COUNTIFS(ANNOUNCEMENTS!$E$2:$E$180,$B191,ANNOUNCEMENTS!$Z$2:$Z$180,O$159,ANNOUNCEMENTS!$J$2:$J$180,$C191)+
COUNTIFS(ANNOUNCEMENTS!$E$2:$E$180,$B191,ANNOUNCEMENTS!$AB$2:$AB$180,O$159,ANNOUNCEMENTS!$J$2:$J$180,$C191)+
COUNTIFS(ANNOUNCEMENTS!$E$2:$E$180,$B191,ANNOUNCEMENTS!$AD$2:$AD$180,O$159,ANNOUNCEMENTS!$J$2:$J$180,$C191)</f>
        <v>3</v>
      </c>
      <c r="P191" s="21">
        <f>COUNTIFS(ANNOUNCEMENTS!$E$2:$E$180,$B191,ANNOUNCEMENTS!$Z$2:$Z$180,P$159,ANNOUNCEMENTS!$J$2:$J$180,$C191)+
COUNTIFS(ANNOUNCEMENTS!$E$2:$E$180,$B191,ANNOUNCEMENTS!$AB$2:$AB$180,P$159,ANNOUNCEMENTS!$J$2:$J$180,$C191)+
COUNTIFS(ANNOUNCEMENTS!$E$2:$E$180,$B191,ANNOUNCEMENTS!$AD$2:$AD$180,P$159,ANNOUNCEMENTS!$J$2:$J$180,$C191)</f>
        <v>0</v>
      </c>
      <c r="Q191" s="21">
        <f>COUNTIFS(ANNOUNCEMENTS!$E$2:$E$180,$B191,ANNOUNCEMENTS!$Z$2:$Z$180,Q$159,ANNOUNCEMENTS!$J$2:$J$180,$C191)+
COUNTIFS(ANNOUNCEMENTS!$E$2:$E$180,$B191,ANNOUNCEMENTS!$AB$2:$AB$180,Q$159,ANNOUNCEMENTS!$J$2:$J$180,$C191)+
COUNTIFS(ANNOUNCEMENTS!$E$2:$E$180,$B191,ANNOUNCEMENTS!$AD$2:$AD$180,Q$159,ANNOUNCEMENTS!$J$2:$J$180,$C191)</f>
        <v>0</v>
      </c>
      <c r="R191" s="21">
        <f>COUNTIFS(ANNOUNCEMENTS!$E$2:$E$180,$B191,ANNOUNCEMENTS!$Z$2:$Z$180,R$159,ANNOUNCEMENTS!$J$2:$J$180,$C191)+
COUNTIFS(ANNOUNCEMENTS!$E$2:$E$180,$B191,ANNOUNCEMENTS!$AB$2:$AB$180,R$159,ANNOUNCEMENTS!$J$2:$J$180,$C191)+
COUNTIFS(ANNOUNCEMENTS!$E$2:$E$180,$B191,ANNOUNCEMENTS!$AD$2:$AD$180,R$159,ANNOUNCEMENTS!$J$2:$J$180,$C191)</f>
        <v>0</v>
      </c>
      <c r="S191" s="21">
        <f>COUNTIFS(ANNOUNCEMENTS!$E$2:$E$180,$B191,ANNOUNCEMENTS!$Z$2:$Z$180,S$159,ANNOUNCEMENTS!$J$2:$J$180,$C191)+
COUNTIFS(ANNOUNCEMENTS!$E$2:$E$180,$B191,ANNOUNCEMENTS!$AB$2:$AB$180,S$159,ANNOUNCEMENTS!$J$2:$J$180,$C191)+
COUNTIFS(ANNOUNCEMENTS!$E$2:$E$180,$B191,ANNOUNCEMENTS!$AD$2:$AD$180,S$159,ANNOUNCEMENTS!$J$2:$J$180,$C191)</f>
        <v>0</v>
      </c>
      <c r="T191" s="21">
        <f>COUNTIFS(ANNOUNCEMENTS!$E$2:$E$180,$B191,ANNOUNCEMENTS!$Z$2:$Z$180,T$159,ANNOUNCEMENTS!$J$2:$J$180,$C191)+
COUNTIFS(ANNOUNCEMENTS!$E$2:$E$180,$B191,ANNOUNCEMENTS!$AB$2:$AB$180,T$159,ANNOUNCEMENTS!$J$2:$J$180,$C191)+
COUNTIFS(ANNOUNCEMENTS!$E$2:$E$180,$B191,ANNOUNCEMENTS!$AD$2:$AD$180,T$159,ANNOUNCEMENTS!$J$2:$J$180,$C191)</f>
        <v>3</v>
      </c>
      <c r="U191" s="21">
        <f>COUNTIFS(ANNOUNCEMENTS!$E$2:$E$180,$B191,ANNOUNCEMENTS!$Z$2:$Z$180,U$159,ANNOUNCEMENTS!$J$2:$J$180,$C191)+
COUNTIFS(ANNOUNCEMENTS!$E$2:$E$180,$B191,ANNOUNCEMENTS!$AB$2:$AB$180,U$159,ANNOUNCEMENTS!$J$2:$J$180,$C191)+
COUNTIFS(ANNOUNCEMENTS!$E$2:$E$180,$B191,ANNOUNCEMENTS!$AD$2:$AD$180,U$159,ANNOUNCEMENTS!$J$2:$J$180,$C191)</f>
        <v>0</v>
      </c>
      <c r="V191" s="21">
        <f>COUNTIFS(ANNOUNCEMENTS!$E$2:$E$180,$B191,ANNOUNCEMENTS!$Z$2:$Z$180,V$159,ANNOUNCEMENTS!$J$2:$J$180,$C191)+
COUNTIFS(ANNOUNCEMENTS!$E$2:$E$180,$B191,ANNOUNCEMENTS!$AB$2:$AB$180,V$159,ANNOUNCEMENTS!$J$2:$J$180,$C191)+
COUNTIFS(ANNOUNCEMENTS!$E$2:$E$180,$B191,ANNOUNCEMENTS!$AD$2:$AD$180,V$159,ANNOUNCEMENTS!$J$2:$J$180,$C191)</f>
        <v>0</v>
      </c>
      <c r="W191" s="21">
        <f>COUNTIFS(ANNOUNCEMENTS!$E$2:$E$180,$B191,ANNOUNCEMENTS!$Z$2:$Z$180,W$159,ANNOUNCEMENTS!$J$2:$J$180,$C191)+
COUNTIFS(ANNOUNCEMENTS!$E$2:$E$180,$B191,ANNOUNCEMENTS!$AB$2:$AB$180,W$159,ANNOUNCEMENTS!$J$2:$J$180,$C191)+
COUNTIFS(ANNOUNCEMENTS!$E$2:$E$180,$B191,ANNOUNCEMENTS!$AD$2:$AD$180,W$159,ANNOUNCEMENTS!$J$2:$J$180,$C191)</f>
        <v>2</v>
      </c>
      <c r="X191" s="21">
        <f>COUNTIFS(ANNOUNCEMENTS!$E$2:$E$180,$B191,ANNOUNCEMENTS!$W$2:$W$180,X$159,ANNOUNCEMENTS!$J$2:$J$180,$C191)</f>
        <v>0</v>
      </c>
      <c r="Y191" s="21">
        <f>COUNTIFS(ANNOUNCEMENTS!$E$2:$E$180,$B191,ANNOUNCEMENTS!$W$2:$W$180,Y$159,ANNOUNCEMENTS!$J$2:$J$180,$C191)</f>
        <v>6</v>
      </c>
      <c r="Z191" s="21">
        <f>COUNTIFS(ANNOUNCEMENTS!$E$2:$E$180,$B191,ANNOUNCEMENTS!$W$2:$W$180,Z$159,ANNOUNCEMENTS!$J$2:$J$180,$C191)</f>
        <v>0</v>
      </c>
      <c r="AA191" s="21">
        <f>COUNTIFS(ANNOUNCEMENTS!$E$2:$E$180,$B191,ANNOUNCEMENTS!$W$2:$W$180,AA$159,ANNOUNCEMENTS!$J$2:$J$180,$C191)</f>
        <v>0</v>
      </c>
      <c r="AB191" s="21">
        <f>COUNTIFS(ANNOUNCEMENTS!$E$2:$E$180,$B191,ANNOUNCEMENTS!$W$2:$W$180,AB$159,ANNOUNCEMENTS!$J$2:$J$180,$C191)</f>
        <v>1</v>
      </c>
      <c r="AC191" s="21">
        <f>COUNTIFS(ANNOUNCEMENTS!$E$2:$E$180,$B191,ANNOUNCEMENTS!$W$2:$W$180,AC$159,ANNOUNCEMENTS!$J$2:$J$180,$C191)</f>
        <v>0</v>
      </c>
      <c r="AD191" s="21">
        <f>COUNTIFS(ANNOUNCEMENTS!$E$2:$E$180,$B191,ANNOUNCEMENTS!$W$2:$W$180,AD$159,ANNOUNCEMENTS!$J$2:$J$180,$C191)</f>
        <v>0</v>
      </c>
      <c r="AE191" s="311">
        <f t="shared" si="65"/>
        <v>1</v>
      </c>
      <c r="AF191" s="311">
        <f t="shared" si="66"/>
        <v>0</v>
      </c>
      <c r="AG191" s="311">
        <f t="shared" si="67"/>
        <v>0</v>
      </c>
      <c r="AH191" s="311">
        <f t="shared" si="68"/>
        <v>0</v>
      </c>
      <c r="AI191" s="21">
        <f>COUNTIFS(ANNOUNCEMENTS!$E$2:$E$180,B191,ANNOUNCEMENTS!$Z$2:$Z$180,$J$37,ANNOUNCEMENTS!$J$2:$J$180,C191)+
COUNTIFS(ANNOUNCEMENTS!$E$2:$E$180,B191,ANNOUNCEMENTS!$Z$2:$Z$180,$L$37,ANNOUNCEMENTS!$J$2:$J$180,C191)+
COUNTIFS(ANNOUNCEMENTS!$E$2:$E$180,B191,ANNOUNCEMENTS!$AB$2:$AB$180,$J$37,ANNOUNCEMENTS!$J$2:$J$180,C191)+
COUNTIFS(ANNOUNCEMENTS!$E$2:$E$180,B191,ANNOUNCEMENTS!$AB$2:$AB$180,$L$37,ANNOUNCEMENTS!$J$2:$J$180,C191)+
COUNTIFS(ANNOUNCEMENTS!$E$2:$E$180,B191,ANNOUNCEMENTS!$AD$2:$AD$180,$J$37,ANNOUNCEMENTS!$J$2:$J$180,C191)+
COUNTIFS(ANNOUNCEMENTS!$E$2:$E$180,B191,ANNOUNCEMENTS!$AD$2:$AD$180,$L$37,ANNOUNCEMENTS!$J$2:$J$180,C191)</f>
        <v>0</v>
      </c>
      <c r="AJ191" s="21">
        <f>COUNTIFS(ANNOUNCEMENTS!$E$2:$E$180,B191,ANNOUNCEMENTS!$Z$2:$Z$180,$H$37,ANNOUNCEMENTS!$J$2:$J$180,C191)+
COUNTIFS(ANNOUNCEMENTS!$E$2:$E$180,B191,ANNOUNCEMENTS!$Z$2:$Z$180,$I$37,ANNOUNCEMENTS!$J$2:$J$180,C191)+
COUNTIFS(ANNOUNCEMENTS!$E$2:$E$180,B191,ANNOUNCEMENTS!$Z$2:$Z$180,$P$37,ANNOUNCEMENTS!$J$2:$J$180,C191)+
COUNTIFS(ANNOUNCEMENTS!$E$2:$E$180,B191,ANNOUNCEMENTS!$AB$2:$AB$180,$H$37,ANNOUNCEMENTS!$J$2:$J$180,C191)+
COUNTIFS(ANNOUNCEMENTS!$E$2:$E$180,B191,ANNOUNCEMENTS!$AB$2:$AB$180,$I$37,ANNOUNCEMENTS!$J$2:$J$180,C191)+
COUNTIFS(ANNOUNCEMENTS!$E$2:$E$180,B191,ANNOUNCEMENTS!$AB$2:$AB$180,$P$37,ANNOUNCEMENTS!$J$2:$J$180,C191)+
COUNTIFS(ANNOUNCEMENTS!$E$2:$E$180,B191,ANNOUNCEMENTS!$AD$2:$AD$180,$H$37,ANNOUNCEMENTS!$J$2:$J$180,C191)+
COUNTIFS(ANNOUNCEMENTS!$E$2:$E$180,B191,ANNOUNCEMENTS!$AD$2:$AD$180,$I$37,ANNOUNCEMENTS!$J$2:$J$180,C191)+
COUNTIFS(ANNOUNCEMENTS!$E$2:$E$180,B191,ANNOUNCEMENTS!$AD$2:$AD$180,$P$37,ANNOUNCEMENTS!$J$2:$J$180,C191)</f>
        <v>5</v>
      </c>
      <c r="AK191" s="310" cm="1">
        <f t="array" ref="AK191">SUM(COUNTIFS(ANNOUNCEMENTS!$E$2:$E$180,B191,ANNOUNCEMENTS!$W$2:$W$180,$E$38:$E$40,ANNOUNCEMENTS!$J$2:$J$180,C191))</f>
        <v>6</v>
      </c>
      <c r="AL191" s="21" cm="1">
        <f t="array" ref="AL191">SUM(COUNTIFS(ANNOUNCEMENTS!$E$2:$E$180,B191,ANNOUNCEMENTS!$W$2:$W$180,$E$43:$E$44,ANNOUNCEMENTS!$J$2:$J$180,C191))</f>
        <v>0</v>
      </c>
      <c r="AM191" s="21">
        <f t="shared" si="69"/>
        <v>7</v>
      </c>
      <c r="AN191" s="21">
        <f t="shared" si="70"/>
        <v>2</v>
      </c>
      <c r="AO191" s="309" cm="1">
        <f t="array" ref="AO191">_xlfn.XLOOKUP(AO$159,CBIMPORT!$A$1:$AM$1,_xlfn.XLOOKUP($B191,CBIMPORT!$A$1:$A$40,CBIMPORT!$A$1:$AM$40))</f>
        <v>0</v>
      </c>
      <c r="AP191" s="308" cm="1">
        <f t="array" ref="AP191">_xlfn.XLOOKUP(AP$159,CBIMPORT!$A$1:$AM$1,_xlfn.XLOOKUP($B191,CBIMPORT!$A$1:$A$40,CBIMPORT!$A$1:$AM$40))</f>
        <v>250</v>
      </c>
      <c r="AQ191" s="307" cm="1">
        <f t="array" ref="AQ191">_xlfn.XLOOKUP(AQ$159,CBIMPORT!$A$1:$AM$1,_xlfn.XLOOKUP($B191,CBIMPORT!$A$1:$A$40,CBIMPORT!$A$1:$AM$40))</f>
        <v>520.02510199999995</v>
      </c>
    </row>
    <row r="192" spans="1:43" x14ac:dyDescent="0.35">
      <c r="A192" s="21" t="s">
        <v>2199</v>
      </c>
      <c r="B192" s="315" t="str">
        <f t="shared" ref="B192:B215" si="71">LEFT(A192,SEARCH("-",A192)-1)</f>
        <v>Pony.ai</v>
      </c>
      <c r="C192" s="314" t="str">
        <f t="shared" ref="C192:C215" si="72">RIGHT(A192,LEN(A192)-SEARCH("-",A192))</f>
        <v>Ridehailing</v>
      </c>
      <c r="D192" s="313">
        <f>COUNTIFS(ANNOUNCEMENTS!$E$2:$E$180,$B192,ANNOUNCEMENTS!$J$2:$J$180,$C192)</f>
        <v>6</v>
      </c>
      <c r="E192" s="312" t="str" cm="1">
        <f t="array" ref="E192">_xlfn.ARRAYTOTEXT(
IF(D192&gt;0,_xlfn._xlws.FILTER(CHOOSE({1},
ANNOUNCEMENTS!$K$1:$K$180),
(ANNOUNCEMENTS!$E$1:$E$180=B192)*((ANNOUNCEMENTS!$J$1:$J$180=$C192)))))</f>
        <v>Toyota; Onsemi; Horizon Robotics; Toyota; Luminar; Sinotrans</v>
      </c>
      <c r="F192" s="306">
        <f t="shared" si="64"/>
        <v>3</v>
      </c>
      <c r="G192" s="310" t="str" cm="1">
        <f t="array" ref="G192">_xlfn.XLOOKUP($A192,'Industries all mentioned partne'!$A$2:$A$58,_xlfn.XLOOKUP(G$159,'Industries all mentioned partne'!$A$2:$DM$2,'Industries all mentioned partne'!$A$2:$DM$58))</f>
        <v>OEM</v>
      </c>
      <c r="H192" s="91" cm="1">
        <f t="array" ref="H192">_xlfn.XLOOKUP($A192,'Industries all mentioned partne'!$A$2:$A$58,_xlfn.XLOOKUP(H$159,'Industries all mentioned partne'!$A$2:$DM$2,'Industries all mentioned partne'!$A$2:$DM$58))</f>
        <v>0.33333333333333331</v>
      </c>
      <c r="I192" s="310" t="str" cm="1">
        <f t="array" ref="I192">_xlfn.XLOOKUP($A192,'Industries all mentioned partne'!$A$2:$A$58,_xlfn.XLOOKUP(I$159,'Industries all mentioned partne'!$A$2:$DM$2,'Industries all mentioned partne'!$A$2:$DM$58))</f>
        <v>Autonomous Vehicles</v>
      </c>
      <c r="J192" s="91" cm="1">
        <f t="array" ref="J192">_xlfn.XLOOKUP($A192,'Industries all mentioned partne'!$A$2:$A$58,_xlfn.XLOOKUP(J$159,'Industries all mentioned partne'!$A$2:$DM$2,'Industries all mentioned partne'!$A$2:$DM$58))</f>
        <v>0.16666666666666666</v>
      </c>
      <c r="K192" s="310" t="str" cm="1">
        <f t="array" ref="K192">_xlfn.XLOOKUP($A192,'Industries all mentioned partne'!$A$2:$A$58,_xlfn.XLOOKUP(K$159,'Industries all mentioned partne'!$A$2:$DM$2,'Industries all mentioned partne'!$A$2:$DM$58))</f>
        <v>Autonomous Vehicles</v>
      </c>
      <c r="L192" s="91" cm="1">
        <f t="array" ref="L192">_xlfn.XLOOKUP($A192,'Industries all mentioned partne'!$A$2:$A$58,_xlfn.XLOOKUP(L$159,'Industries all mentioned partne'!$A$2:$DM$2,'Industries all mentioned partne'!$A$2:$DM$58))</f>
        <v>0.16666666666666666</v>
      </c>
      <c r="M192" s="311" t="str" cm="1">
        <f t="array" ref="M192">_xlfn.XLOOKUP($M$159,CBIMPORT!$A$1:$AN$1,_xlfn.XLOOKUP(B192,CBIMPORT!$A$1:$A$171,CBIMPORT!$A$1:$AN$171))</f>
        <v>L1</v>
      </c>
      <c r="N192" s="309" cm="1">
        <f t="array" ref="N192">_xlfn.XLOOKUP(N$159,CBIMPORT!$A$1:$AM$1,_xlfn.XLOOKUP($B192,CBIMPORT!$A$1:$A$40,CBIMPORT!$A$1:$AM$40))</f>
        <v>0</v>
      </c>
      <c r="O192" s="21">
        <f>COUNTIFS(ANNOUNCEMENTS!$E$2:$E$180,$B192,ANNOUNCEMENTS!$Z$2:$Z$180,O$159,ANNOUNCEMENTS!$J$2:$J$180,$C192)+
COUNTIFS(ANNOUNCEMENTS!$E$2:$E$180,$B192,ANNOUNCEMENTS!$AB$2:$AB$180,O$159,ANNOUNCEMENTS!$J$2:$J$180,$C192)+
COUNTIFS(ANNOUNCEMENTS!$E$2:$E$180,$B192,ANNOUNCEMENTS!$AD$2:$AD$180,O$159,ANNOUNCEMENTS!$J$2:$J$180,$C192)</f>
        <v>4</v>
      </c>
      <c r="P192" s="21">
        <f>COUNTIFS(ANNOUNCEMENTS!$E$2:$E$180,$B192,ANNOUNCEMENTS!$Z$2:$Z$180,P$159,ANNOUNCEMENTS!$J$2:$J$180,$C192)+
COUNTIFS(ANNOUNCEMENTS!$E$2:$E$180,$B192,ANNOUNCEMENTS!$AB$2:$AB$180,P$159,ANNOUNCEMENTS!$J$2:$J$180,$C192)+
COUNTIFS(ANNOUNCEMENTS!$E$2:$E$180,$B192,ANNOUNCEMENTS!$AD$2:$AD$180,P$159,ANNOUNCEMENTS!$J$2:$J$180,$C192)</f>
        <v>0</v>
      </c>
      <c r="Q192" s="21">
        <f>COUNTIFS(ANNOUNCEMENTS!$E$2:$E$180,$B192,ANNOUNCEMENTS!$Z$2:$Z$180,Q$159,ANNOUNCEMENTS!$J$2:$J$180,$C192)+
COUNTIFS(ANNOUNCEMENTS!$E$2:$E$180,$B192,ANNOUNCEMENTS!$AB$2:$AB$180,Q$159,ANNOUNCEMENTS!$J$2:$J$180,$C192)+
COUNTIFS(ANNOUNCEMENTS!$E$2:$E$180,$B192,ANNOUNCEMENTS!$AD$2:$AD$180,Q$159,ANNOUNCEMENTS!$J$2:$J$180,$C192)</f>
        <v>0</v>
      </c>
      <c r="R192" s="21">
        <f>COUNTIFS(ANNOUNCEMENTS!$E$2:$E$180,$B192,ANNOUNCEMENTS!$Z$2:$Z$180,R$159,ANNOUNCEMENTS!$J$2:$J$180,$C192)+
COUNTIFS(ANNOUNCEMENTS!$E$2:$E$180,$B192,ANNOUNCEMENTS!$AB$2:$AB$180,R$159,ANNOUNCEMENTS!$J$2:$J$180,$C192)+
COUNTIFS(ANNOUNCEMENTS!$E$2:$E$180,$B192,ANNOUNCEMENTS!$AD$2:$AD$180,R$159,ANNOUNCEMENTS!$J$2:$J$180,$C192)</f>
        <v>0</v>
      </c>
      <c r="S192" s="21">
        <f>COUNTIFS(ANNOUNCEMENTS!$E$2:$E$180,$B192,ANNOUNCEMENTS!$Z$2:$Z$180,S$159,ANNOUNCEMENTS!$J$2:$J$180,$C192)+
COUNTIFS(ANNOUNCEMENTS!$E$2:$E$180,$B192,ANNOUNCEMENTS!$AB$2:$AB$180,S$159,ANNOUNCEMENTS!$J$2:$J$180,$C192)+
COUNTIFS(ANNOUNCEMENTS!$E$2:$E$180,$B192,ANNOUNCEMENTS!$AD$2:$AD$180,S$159,ANNOUNCEMENTS!$J$2:$J$180,$C192)</f>
        <v>0</v>
      </c>
      <c r="T192" s="21">
        <f>COUNTIFS(ANNOUNCEMENTS!$E$2:$E$180,$B192,ANNOUNCEMENTS!$Z$2:$Z$180,T$159,ANNOUNCEMENTS!$J$2:$J$180,$C192)+
COUNTIFS(ANNOUNCEMENTS!$E$2:$E$180,$B192,ANNOUNCEMENTS!$AB$2:$AB$180,T$159,ANNOUNCEMENTS!$J$2:$J$180,$C192)+
COUNTIFS(ANNOUNCEMENTS!$E$2:$E$180,$B192,ANNOUNCEMENTS!$AD$2:$AD$180,T$159,ANNOUNCEMENTS!$J$2:$J$180,$C192)</f>
        <v>1</v>
      </c>
      <c r="U192" s="21">
        <f>COUNTIFS(ANNOUNCEMENTS!$E$2:$E$180,$B192,ANNOUNCEMENTS!$Z$2:$Z$180,U$159,ANNOUNCEMENTS!$J$2:$J$180,$C192)+
COUNTIFS(ANNOUNCEMENTS!$E$2:$E$180,$B192,ANNOUNCEMENTS!$AB$2:$AB$180,U$159,ANNOUNCEMENTS!$J$2:$J$180,$C192)+
COUNTIFS(ANNOUNCEMENTS!$E$2:$E$180,$B192,ANNOUNCEMENTS!$AD$2:$AD$180,U$159,ANNOUNCEMENTS!$J$2:$J$180,$C192)</f>
        <v>0</v>
      </c>
      <c r="V192" s="21">
        <f>COUNTIFS(ANNOUNCEMENTS!$E$2:$E$180,$B192,ANNOUNCEMENTS!$Z$2:$Z$180,V$159,ANNOUNCEMENTS!$J$2:$J$180,$C192)+
COUNTIFS(ANNOUNCEMENTS!$E$2:$E$180,$B192,ANNOUNCEMENTS!$AB$2:$AB$180,V$159,ANNOUNCEMENTS!$J$2:$J$180,$C192)+
COUNTIFS(ANNOUNCEMENTS!$E$2:$E$180,$B192,ANNOUNCEMENTS!$AD$2:$AD$180,V$159,ANNOUNCEMENTS!$J$2:$J$180,$C192)</f>
        <v>0</v>
      </c>
      <c r="W192" s="21">
        <f>COUNTIFS(ANNOUNCEMENTS!$E$2:$E$180,$B192,ANNOUNCEMENTS!$Z$2:$Z$180,W$159,ANNOUNCEMENTS!$J$2:$J$180,$C192)+
COUNTIFS(ANNOUNCEMENTS!$E$2:$E$180,$B192,ANNOUNCEMENTS!$AB$2:$AB$180,W$159,ANNOUNCEMENTS!$J$2:$J$180,$C192)+
COUNTIFS(ANNOUNCEMENTS!$E$2:$E$180,$B192,ANNOUNCEMENTS!$AD$2:$AD$180,W$159,ANNOUNCEMENTS!$J$2:$J$180,$C192)</f>
        <v>4</v>
      </c>
      <c r="X192" s="21">
        <f>COUNTIFS(ANNOUNCEMENTS!$E$2:$E$180,$B192,ANNOUNCEMENTS!$W$2:$W$180,X$159,ANNOUNCEMENTS!$J$2:$J$180,$C192)</f>
        <v>0</v>
      </c>
      <c r="Y192" s="21">
        <f>COUNTIFS(ANNOUNCEMENTS!$E$2:$E$180,$B192,ANNOUNCEMENTS!$W$2:$W$180,Y$159,ANNOUNCEMENTS!$J$2:$J$180,$C192)</f>
        <v>3</v>
      </c>
      <c r="Z192" s="21">
        <f>COUNTIFS(ANNOUNCEMENTS!$E$2:$E$180,$B192,ANNOUNCEMENTS!$W$2:$W$180,Z$159,ANNOUNCEMENTS!$J$2:$J$180,$C192)</f>
        <v>0</v>
      </c>
      <c r="AA192" s="21">
        <f>COUNTIFS(ANNOUNCEMENTS!$E$2:$E$180,$B192,ANNOUNCEMENTS!$W$2:$W$180,AA$159,ANNOUNCEMENTS!$J$2:$J$180,$C192)</f>
        <v>1</v>
      </c>
      <c r="AB192" s="21">
        <f>COUNTIFS(ANNOUNCEMENTS!$E$2:$E$180,$B192,ANNOUNCEMENTS!$W$2:$W$180,AB$159,ANNOUNCEMENTS!$J$2:$J$180,$C192)</f>
        <v>0</v>
      </c>
      <c r="AC192" s="21">
        <f>COUNTIFS(ANNOUNCEMENTS!$E$2:$E$180,$B192,ANNOUNCEMENTS!$W$2:$W$180,AC$159,ANNOUNCEMENTS!$J$2:$J$180,$C192)</f>
        <v>0</v>
      </c>
      <c r="AD192" s="21">
        <f>COUNTIFS(ANNOUNCEMENTS!$E$2:$E$180,$B192,ANNOUNCEMENTS!$W$2:$W$180,AD$159,ANNOUNCEMENTS!$J$2:$J$180,$C192)</f>
        <v>2</v>
      </c>
      <c r="AE192" s="311">
        <f t="shared" ref="AE192:AE215" si="73">IF($M192="L1",1,0)</f>
        <v>1</v>
      </c>
      <c r="AF192" s="311">
        <f t="shared" ref="AF192:AF215" si="74">IF($M192="L2",1,0)</f>
        <v>0</v>
      </c>
      <c r="AG192" s="311">
        <f t="shared" ref="AG192:AG215" si="75">IF($M192="L3",1,0)</f>
        <v>0</v>
      </c>
      <c r="AH192" s="311">
        <f t="shared" ref="AH192:AH215" si="76">IF($M192="L4",1,0)</f>
        <v>0</v>
      </c>
      <c r="AI192" s="21">
        <f>COUNTIFS(ANNOUNCEMENTS!$E$2:$E$180,B192,ANNOUNCEMENTS!$Z$2:$Z$180,$J$37,ANNOUNCEMENTS!$J$2:$J$180,C192)+
COUNTIFS(ANNOUNCEMENTS!$E$2:$E$180,B192,ANNOUNCEMENTS!$Z$2:$Z$180,$L$37,ANNOUNCEMENTS!$J$2:$J$180,C192)+
COUNTIFS(ANNOUNCEMENTS!$E$2:$E$180,B192,ANNOUNCEMENTS!$AB$2:$AB$180,$J$37,ANNOUNCEMENTS!$J$2:$J$180,C192)+
COUNTIFS(ANNOUNCEMENTS!$E$2:$E$180,B192,ANNOUNCEMENTS!$AB$2:$AB$180,$L$37,ANNOUNCEMENTS!$J$2:$J$180,C192)+
COUNTIFS(ANNOUNCEMENTS!$E$2:$E$180,B192,ANNOUNCEMENTS!$AD$2:$AD$180,$J$37,ANNOUNCEMENTS!$J$2:$J$180,C192)+
COUNTIFS(ANNOUNCEMENTS!$E$2:$E$180,B192,ANNOUNCEMENTS!$AD$2:$AD$180,$L$37,ANNOUNCEMENTS!$J$2:$J$180,C192)</f>
        <v>0</v>
      </c>
      <c r="AJ192" s="21">
        <f>COUNTIFS(ANNOUNCEMENTS!$E$2:$E$180,B192,ANNOUNCEMENTS!$Z$2:$Z$180,$H$37,ANNOUNCEMENTS!$J$2:$J$180,C192)+
COUNTIFS(ANNOUNCEMENTS!$E$2:$E$180,B192,ANNOUNCEMENTS!$Z$2:$Z$180,$I$37,ANNOUNCEMENTS!$J$2:$J$180,C192)+
COUNTIFS(ANNOUNCEMENTS!$E$2:$E$180,B192,ANNOUNCEMENTS!$Z$2:$Z$180,$P$37,ANNOUNCEMENTS!$J$2:$J$180,C192)+
COUNTIFS(ANNOUNCEMENTS!$E$2:$E$180,B192,ANNOUNCEMENTS!$AB$2:$AB$180,$H$37,ANNOUNCEMENTS!$J$2:$J$180,C192)+
COUNTIFS(ANNOUNCEMENTS!$E$2:$E$180,B192,ANNOUNCEMENTS!$AB$2:$AB$180,$I$37,ANNOUNCEMENTS!$J$2:$J$180,C192)+
COUNTIFS(ANNOUNCEMENTS!$E$2:$E$180,B192,ANNOUNCEMENTS!$AB$2:$AB$180,$P$37,ANNOUNCEMENTS!$J$2:$J$180,C192)+
COUNTIFS(ANNOUNCEMENTS!$E$2:$E$180,B192,ANNOUNCEMENTS!$AD$2:$AD$180,$H$37,ANNOUNCEMENTS!$J$2:$J$180,C192)+
COUNTIFS(ANNOUNCEMENTS!$E$2:$E$180,B192,ANNOUNCEMENTS!$AD$2:$AD$180,$I$37,ANNOUNCEMENTS!$J$2:$J$180,C192)+
COUNTIFS(ANNOUNCEMENTS!$E$2:$E$180,B192,ANNOUNCEMENTS!$AD$2:$AD$180,$P$37,ANNOUNCEMENTS!$J$2:$J$180,C192)</f>
        <v>8</v>
      </c>
      <c r="AK192" s="310" cm="1">
        <f t="array" ref="AK192">SUM(COUNTIFS(ANNOUNCEMENTS!$E$2:$E$180,B192,ANNOUNCEMENTS!$W$2:$W$180,$E$38:$E$40,ANNOUNCEMENTS!$J$2:$J$180,C192))</f>
        <v>3</v>
      </c>
      <c r="AL192" s="21" cm="1">
        <f t="array" ref="AL192">SUM(COUNTIFS(ANNOUNCEMENTS!$E$2:$E$180,B192,ANNOUNCEMENTS!$W$2:$W$180,$E$43:$E$44,ANNOUNCEMENTS!$J$2:$J$180,C192))</f>
        <v>2</v>
      </c>
      <c r="AM192" s="21">
        <f t="shared" ref="AM192:AM215" si="77">D192</f>
        <v>6</v>
      </c>
      <c r="AN192" s="21">
        <f t="shared" ref="AN192:AN215" si="78">F192</f>
        <v>3</v>
      </c>
      <c r="AO192" s="309" cm="1">
        <f t="array" ref="AO192">_xlfn.XLOOKUP(AO$159,CBIMPORT!$A$1:$AM$1,_xlfn.XLOOKUP($B192,CBIMPORT!$A$1:$A$40,CBIMPORT!$A$1:$AM$40))</f>
        <v>0</v>
      </c>
      <c r="AP192" s="308" cm="1">
        <f t="array" ref="AP192">_xlfn.XLOOKUP(AP$159,CBIMPORT!$A$1:$AM$1,_xlfn.XLOOKUP($B192,CBIMPORT!$A$1:$A$40,CBIMPORT!$A$1:$AM$40))</f>
        <v>750</v>
      </c>
      <c r="AQ192" s="307" cm="1">
        <f t="array" ref="AQ192">_xlfn.XLOOKUP(AQ$159,CBIMPORT!$A$1:$AM$1,_xlfn.XLOOKUP($B192,CBIMPORT!$A$1:$A$40,CBIMPORT!$A$1:$AM$40))</f>
        <v>1332</v>
      </c>
    </row>
    <row r="193" spans="1:60" x14ac:dyDescent="0.35">
      <c r="A193" s="303" t="s">
        <v>2200</v>
      </c>
      <c r="B193" s="315" t="str">
        <f t="shared" si="71"/>
        <v>Pony.ai</v>
      </c>
      <c r="C193" s="314" t="str">
        <f t="shared" si="72"/>
        <v>Trucking</v>
      </c>
      <c r="D193" s="313">
        <f>COUNTIFS(ANNOUNCEMENTS!$E$2:$E$180,$B193,ANNOUNCEMENTS!$J$2:$J$180,$C193)</f>
        <v>1</v>
      </c>
      <c r="E193" s="312" t="str" cm="1">
        <f t="array" ref="E193">_xlfn.ARRAYTOTEXT(
IF(D193&gt;0,_xlfn._xlws.FILTER(CHOOSE({1},
ANNOUNCEMENTS!$K$1:$K$180),
(ANNOUNCEMENTS!$E$1:$E$180=B193)*((ANNOUNCEMENTS!$J$1:$J$180=$C193)))))</f>
        <v>SANY Heavy Truck</v>
      </c>
      <c r="F193" s="306">
        <f t="shared" si="64"/>
        <v>1</v>
      </c>
      <c r="G193" s="310" t="str" cm="1">
        <f t="array" ref="G193">_xlfn.XLOOKUP($A193,'Industries all mentioned partne'!$A$2:$A$58,_xlfn.XLOOKUP(G$159,'Industries all mentioned partne'!$A$2:$DM$2,'Industries all mentioned partne'!$A$2:$DM$58))</f>
        <v>OEM Commercial Vehicles</v>
      </c>
      <c r="H193" s="91" cm="1">
        <f t="array" ref="H193">_xlfn.XLOOKUP($A193,'Industries all mentioned partne'!$A$2:$A$58,_xlfn.XLOOKUP(H$159,'Industries all mentioned partne'!$A$2:$DM$2,'Industries all mentioned partne'!$A$2:$DM$58))</f>
        <v>1</v>
      </c>
      <c r="I193" s="310" t="str" cm="1">
        <f t="array" ref="I193">_xlfn.XLOOKUP($A193,'Industries all mentioned partne'!$A$2:$A$58,_xlfn.XLOOKUP(I$159,'Industries all mentioned partne'!$A$2:$DM$2,'Industries all mentioned partne'!$A$2:$DM$58))</f>
        <v/>
      </c>
      <c r="J193" s="91" t="str" cm="1">
        <f t="array" ref="J193">_xlfn.XLOOKUP($A193,'Industries all mentioned partne'!$A$2:$A$58,_xlfn.XLOOKUP(J$159,'Industries all mentioned partne'!$A$2:$DM$2,'Industries all mentioned partne'!$A$2:$DM$58))</f>
        <v/>
      </c>
      <c r="K193" s="310" t="str" cm="1">
        <f t="array" ref="K193">_xlfn.XLOOKUP($A193,'Industries all mentioned partne'!$A$2:$A$58,_xlfn.XLOOKUP(K$159,'Industries all mentioned partne'!$A$2:$DM$2,'Industries all mentioned partne'!$A$2:$DM$58))</f>
        <v/>
      </c>
      <c r="L193" s="91" t="str" cm="1">
        <f t="array" ref="L193">_xlfn.XLOOKUP($A193,'Industries all mentioned partne'!$A$2:$A$58,_xlfn.XLOOKUP(L$159,'Industries all mentioned partne'!$A$2:$DM$2,'Industries all mentioned partne'!$A$2:$DM$58))</f>
        <v/>
      </c>
      <c r="M193" s="311" t="str" cm="1">
        <f t="array" ref="M193">_xlfn.XLOOKUP($M$159,CBIMPORT!$A$1:$AN$1,_xlfn.XLOOKUP(B193,CBIMPORT!$A$1:$A$171,CBIMPORT!$A$1:$AN$171))</f>
        <v>L1</v>
      </c>
      <c r="N193" s="309" cm="1">
        <f t="array" ref="N193">_xlfn.XLOOKUP(N$159,CBIMPORT!$A$1:$AM$1,_xlfn.XLOOKUP($B193,CBIMPORT!$A$1:$A$40,CBIMPORT!$A$1:$AM$40))</f>
        <v>0</v>
      </c>
      <c r="O193" s="21">
        <f>COUNTIFS(ANNOUNCEMENTS!$E$2:$E$180,$B193,ANNOUNCEMENTS!$Z$2:$Z$180,O$159,ANNOUNCEMENTS!$J$2:$J$180,$C193)+
COUNTIFS(ANNOUNCEMENTS!$E$2:$E$180,$B193,ANNOUNCEMENTS!$AB$2:$AB$180,O$159,ANNOUNCEMENTS!$J$2:$J$180,$C193)+
COUNTIFS(ANNOUNCEMENTS!$E$2:$E$180,$B193,ANNOUNCEMENTS!$AD$2:$AD$180,O$159,ANNOUNCEMENTS!$J$2:$J$180,$C193)</f>
        <v>1</v>
      </c>
      <c r="P193" s="21">
        <f>COUNTIFS(ANNOUNCEMENTS!$E$2:$E$180,$B193,ANNOUNCEMENTS!$Z$2:$Z$180,P$159,ANNOUNCEMENTS!$J$2:$J$180,$C193)+
COUNTIFS(ANNOUNCEMENTS!$E$2:$E$180,$B193,ANNOUNCEMENTS!$AB$2:$AB$180,P$159,ANNOUNCEMENTS!$J$2:$J$180,$C193)+
COUNTIFS(ANNOUNCEMENTS!$E$2:$E$180,$B193,ANNOUNCEMENTS!$AD$2:$AD$180,P$159,ANNOUNCEMENTS!$J$2:$J$180,$C193)</f>
        <v>0</v>
      </c>
      <c r="Q193" s="21">
        <f>COUNTIFS(ANNOUNCEMENTS!$E$2:$E$180,$B193,ANNOUNCEMENTS!$Z$2:$Z$180,Q$159,ANNOUNCEMENTS!$J$2:$J$180,$C193)+
COUNTIFS(ANNOUNCEMENTS!$E$2:$E$180,$B193,ANNOUNCEMENTS!$AB$2:$AB$180,Q$159,ANNOUNCEMENTS!$J$2:$J$180,$C193)+
COUNTIFS(ANNOUNCEMENTS!$E$2:$E$180,$B193,ANNOUNCEMENTS!$AD$2:$AD$180,Q$159,ANNOUNCEMENTS!$J$2:$J$180,$C193)</f>
        <v>0</v>
      </c>
      <c r="R193" s="21">
        <f>COUNTIFS(ANNOUNCEMENTS!$E$2:$E$180,$B193,ANNOUNCEMENTS!$Z$2:$Z$180,R$159,ANNOUNCEMENTS!$J$2:$J$180,$C193)+
COUNTIFS(ANNOUNCEMENTS!$E$2:$E$180,$B193,ANNOUNCEMENTS!$AB$2:$AB$180,R$159,ANNOUNCEMENTS!$J$2:$J$180,$C193)+
COUNTIFS(ANNOUNCEMENTS!$E$2:$E$180,$B193,ANNOUNCEMENTS!$AD$2:$AD$180,R$159,ANNOUNCEMENTS!$J$2:$J$180,$C193)</f>
        <v>0</v>
      </c>
      <c r="S193" s="21">
        <f>COUNTIFS(ANNOUNCEMENTS!$E$2:$E$180,$B193,ANNOUNCEMENTS!$Z$2:$Z$180,S$159,ANNOUNCEMENTS!$J$2:$J$180,$C193)+
COUNTIFS(ANNOUNCEMENTS!$E$2:$E$180,$B193,ANNOUNCEMENTS!$AB$2:$AB$180,S$159,ANNOUNCEMENTS!$J$2:$J$180,$C193)+
COUNTIFS(ANNOUNCEMENTS!$E$2:$E$180,$B193,ANNOUNCEMENTS!$AD$2:$AD$180,S$159,ANNOUNCEMENTS!$J$2:$J$180,$C193)</f>
        <v>0</v>
      </c>
      <c r="T193" s="21">
        <f>COUNTIFS(ANNOUNCEMENTS!$E$2:$E$180,$B193,ANNOUNCEMENTS!$Z$2:$Z$180,T$159,ANNOUNCEMENTS!$J$2:$J$180,$C193)+
COUNTIFS(ANNOUNCEMENTS!$E$2:$E$180,$B193,ANNOUNCEMENTS!$AB$2:$AB$180,T$159,ANNOUNCEMENTS!$J$2:$J$180,$C193)+
COUNTIFS(ANNOUNCEMENTS!$E$2:$E$180,$B193,ANNOUNCEMENTS!$AD$2:$AD$180,T$159,ANNOUNCEMENTS!$J$2:$J$180,$C193)</f>
        <v>0</v>
      </c>
      <c r="U193" s="21">
        <f>COUNTIFS(ANNOUNCEMENTS!$E$2:$E$180,$B193,ANNOUNCEMENTS!$Z$2:$Z$180,U$159,ANNOUNCEMENTS!$J$2:$J$180,$C193)+
COUNTIFS(ANNOUNCEMENTS!$E$2:$E$180,$B193,ANNOUNCEMENTS!$AB$2:$AB$180,U$159,ANNOUNCEMENTS!$J$2:$J$180,$C193)+
COUNTIFS(ANNOUNCEMENTS!$E$2:$E$180,$B193,ANNOUNCEMENTS!$AD$2:$AD$180,U$159,ANNOUNCEMENTS!$J$2:$J$180,$C193)</f>
        <v>0</v>
      </c>
      <c r="V193" s="21">
        <f>COUNTIFS(ANNOUNCEMENTS!$E$2:$E$180,$B193,ANNOUNCEMENTS!$Z$2:$Z$180,V$159,ANNOUNCEMENTS!$J$2:$J$180,$C193)+
COUNTIFS(ANNOUNCEMENTS!$E$2:$E$180,$B193,ANNOUNCEMENTS!$AB$2:$AB$180,V$159,ANNOUNCEMENTS!$J$2:$J$180,$C193)+
COUNTIFS(ANNOUNCEMENTS!$E$2:$E$180,$B193,ANNOUNCEMENTS!$AD$2:$AD$180,V$159,ANNOUNCEMENTS!$J$2:$J$180,$C193)</f>
        <v>0</v>
      </c>
      <c r="W193" s="21">
        <f>COUNTIFS(ANNOUNCEMENTS!$E$2:$E$180,$B193,ANNOUNCEMENTS!$Z$2:$Z$180,W$159,ANNOUNCEMENTS!$J$2:$J$180,$C193)+
COUNTIFS(ANNOUNCEMENTS!$E$2:$E$180,$B193,ANNOUNCEMENTS!$AB$2:$AB$180,W$159,ANNOUNCEMENTS!$J$2:$J$180,$C193)+
COUNTIFS(ANNOUNCEMENTS!$E$2:$E$180,$B193,ANNOUNCEMENTS!$AD$2:$AD$180,W$159,ANNOUNCEMENTS!$J$2:$J$180,$C193)</f>
        <v>0</v>
      </c>
      <c r="X193" s="21">
        <f>COUNTIFS(ANNOUNCEMENTS!$E$2:$E$180,$B193,ANNOUNCEMENTS!$W$2:$W$180,X$159,ANNOUNCEMENTS!$J$2:$J$180,$C193)</f>
        <v>0</v>
      </c>
      <c r="Y193" s="21">
        <f>COUNTIFS(ANNOUNCEMENTS!$E$2:$E$180,$B193,ANNOUNCEMENTS!$W$2:$W$180,Y$159,ANNOUNCEMENTS!$J$2:$J$180,$C193)</f>
        <v>0</v>
      </c>
      <c r="Z193" s="21">
        <f>COUNTIFS(ANNOUNCEMENTS!$E$2:$E$180,$B193,ANNOUNCEMENTS!$W$2:$W$180,Z$159,ANNOUNCEMENTS!$J$2:$J$180,$C193)</f>
        <v>0</v>
      </c>
      <c r="AA193" s="21">
        <f>COUNTIFS(ANNOUNCEMENTS!$E$2:$E$180,$B193,ANNOUNCEMENTS!$W$2:$W$180,AA$159,ANNOUNCEMENTS!$J$2:$J$180,$C193)</f>
        <v>0</v>
      </c>
      <c r="AB193" s="21">
        <f>COUNTIFS(ANNOUNCEMENTS!$E$2:$E$180,$B193,ANNOUNCEMENTS!$W$2:$W$180,AB$159,ANNOUNCEMENTS!$J$2:$J$180,$C193)</f>
        <v>0</v>
      </c>
      <c r="AC193" s="21">
        <f>COUNTIFS(ANNOUNCEMENTS!$E$2:$E$180,$B193,ANNOUNCEMENTS!$W$2:$W$180,AC$159,ANNOUNCEMENTS!$J$2:$J$180,$C193)</f>
        <v>0</v>
      </c>
      <c r="AD193" s="21">
        <f>COUNTIFS(ANNOUNCEMENTS!$E$2:$E$180,$B193,ANNOUNCEMENTS!$W$2:$W$180,AD$159,ANNOUNCEMENTS!$J$2:$J$180,$C193)</f>
        <v>1</v>
      </c>
      <c r="AE193" s="311">
        <f t="shared" si="73"/>
        <v>1</v>
      </c>
      <c r="AF193" s="311">
        <f t="shared" si="74"/>
        <v>0</v>
      </c>
      <c r="AG193" s="311">
        <f t="shared" si="75"/>
        <v>0</v>
      </c>
      <c r="AH193" s="311">
        <f t="shared" si="76"/>
        <v>0</v>
      </c>
      <c r="AI193" s="21">
        <f>COUNTIFS(ANNOUNCEMENTS!$E$2:$E$180,B193,ANNOUNCEMENTS!$Z$2:$Z$180,$J$37,ANNOUNCEMENTS!$J$2:$J$180,C193)+
COUNTIFS(ANNOUNCEMENTS!$E$2:$E$180,B193,ANNOUNCEMENTS!$Z$2:$Z$180,$L$37,ANNOUNCEMENTS!$J$2:$J$180,C193)+
COUNTIFS(ANNOUNCEMENTS!$E$2:$E$180,B193,ANNOUNCEMENTS!$AB$2:$AB$180,$J$37,ANNOUNCEMENTS!$J$2:$J$180,C193)+
COUNTIFS(ANNOUNCEMENTS!$E$2:$E$180,B193,ANNOUNCEMENTS!$AB$2:$AB$180,$L$37,ANNOUNCEMENTS!$J$2:$J$180,C193)+
COUNTIFS(ANNOUNCEMENTS!$E$2:$E$180,B193,ANNOUNCEMENTS!$AD$2:$AD$180,$J$37,ANNOUNCEMENTS!$J$2:$J$180,C193)+
COUNTIFS(ANNOUNCEMENTS!$E$2:$E$180,B193,ANNOUNCEMENTS!$AD$2:$AD$180,$L$37,ANNOUNCEMENTS!$J$2:$J$180,C193)</f>
        <v>0</v>
      </c>
      <c r="AJ193" s="21">
        <f>COUNTIFS(ANNOUNCEMENTS!$E$2:$E$180,B193,ANNOUNCEMENTS!$Z$2:$Z$180,$H$37,ANNOUNCEMENTS!$J$2:$J$180,C193)+
COUNTIFS(ANNOUNCEMENTS!$E$2:$E$180,B193,ANNOUNCEMENTS!$Z$2:$Z$180,$I$37,ANNOUNCEMENTS!$J$2:$J$180,C193)+
COUNTIFS(ANNOUNCEMENTS!$E$2:$E$180,B193,ANNOUNCEMENTS!$Z$2:$Z$180,$P$37,ANNOUNCEMENTS!$J$2:$J$180,C193)+
COUNTIFS(ANNOUNCEMENTS!$E$2:$E$180,B193,ANNOUNCEMENTS!$AB$2:$AB$180,$H$37,ANNOUNCEMENTS!$J$2:$J$180,C193)+
COUNTIFS(ANNOUNCEMENTS!$E$2:$E$180,B193,ANNOUNCEMENTS!$AB$2:$AB$180,$I$37,ANNOUNCEMENTS!$J$2:$J$180,C193)+
COUNTIFS(ANNOUNCEMENTS!$E$2:$E$180,B193,ANNOUNCEMENTS!$AB$2:$AB$180,$P$37,ANNOUNCEMENTS!$J$2:$J$180,C193)+
COUNTIFS(ANNOUNCEMENTS!$E$2:$E$180,B193,ANNOUNCEMENTS!$AD$2:$AD$180,$H$37,ANNOUNCEMENTS!$J$2:$J$180,C193)+
COUNTIFS(ANNOUNCEMENTS!$E$2:$E$180,B193,ANNOUNCEMENTS!$AD$2:$AD$180,$I$37,ANNOUNCEMENTS!$J$2:$J$180,C193)+
COUNTIFS(ANNOUNCEMENTS!$E$2:$E$180,B193,ANNOUNCEMENTS!$AD$2:$AD$180,$P$37,ANNOUNCEMENTS!$J$2:$J$180,C193)</f>
        <v>1</v>
      </c>
      <c r="AK193" s="310" cm="1">
        <f t="array" ref="AK193">SUM(COUNTIFS(ANNOUNCEMENTS!$E$2:$E$180,B193,ANNOUNCEMENTS!$W$2:$W$180,$E$38:$E$40,ANNOUNCEMENTS!$J$2:$J$180,C193))</f>
        <v>0</v>
      </c>
      <c r="AL193" s="21" cm="1">
        <f t="array" ref="AL193">SUM(COUNTIFS(ANNOUNCEMENTS!$E$2:$E$180,B193,ANNOUNCEMENTS!$W$2:$W$180,$E$43:$E$44,ANNOUNCEMENTS!$J$2:$J$180,C193))</f>
        <v>1</v>
      </c>
      <c r="AM193" s="21">
        <f t="shared" si="77"/>
        <v>1</v>
      </c>
      <c r="AN193" s="21">
        <f t="shared" si="78"/>
        <v>1</v>
      </c>
      <c r="AO193" s="309" cm="1">
        <f t="array" ref="AO193">_xlfn.XLOOKUP(AO$159,CBIMPORT!$A$1:$AM$1,_xlfn.XLOOKUP($B193,CBIMPORT!$A$1:$A$40,CBIMPORT!$A$1:$AM$40))</f>
        <v>0</v>
      </c>
      <c r="AP193" s="308" cm="1">
        <f t="array" ref="AP193">_xlfn.XLOOKUP(AP$159,CBIMPORT!$A$1:$AM$1,_xlfn.XLOOKUP($B193,CBIMPORT!$A$1:$A$40,CBIMPORT!$A$1:$AM$40))</f>
        <v>750</v>
      </c>
      <c r="AQ193" s="307" cm="1">
        <f t="array" ref="AQ193">_xlfn.XLOOKUP(AQ$159,CBIMPORT!$A$1:$AM$1,_xlfn.XLOOKUP($B193,CBIMPORT!$A$1:$A$40,CBIMPORT!$A$1:$AM$40))</f>
        <v>1332</v>
      </c>
    </row>
    <row r="194" spans="1:60" x14ac:dyDescent="0.35">
      <c r="A194" s="303" t="s">
        <v>2201</v>
      </c>
      <c r="B194" s="315" t="str">
        <f t="shared" si="71"/>
        <v>ServeRobotics</v>
      </c>
      <c r="C194" s="314" t="str">
        <f t="shared" si="72"/>
        <v>Last-Mile</v>
      </c>
      <c r="D194" s="313">
        <f>COUNTIFS(ANNOUNCEMENTS!$E$2:$E$180,$B194,ANNOUNCEMENTS!$J$2:$J$180,$C194)</f>
        <v>4</v>
      </c>
      <c r="E194" s="312" t="str" cm="1">
        <f t="array" ref="E194">_xlfn.ARRAYTOTEXT(
IF(D194&gt;0,_xlfn._xlws.FILTER(CHOOSE({1},
ANNOUNCEMENTS!$K$1:$K$180),
(ANNOUNCEMENTS!$E$1:$E$180=B194)*((ANNOUNCEMENTS!$J$1:$J$180=$C194)))))</f>
        <v>Nickelytics;The Ad Council; Pizza Hut; Uber Eats; Piestro</v>
      </c>
      <c r="F194" s="306">
        <f t="shared" si="64"/>
        <v>0</v>
      </c>
      <c r="G194" s="310" t="str" cm="1">
        <f t="array" ref="G194">_xlfn.XLOOKUP($A194,'Industries all mentioned partne'!$A$2:$A$58,_xlfn.XLOOKUP(G$159,'Industries all mentioned partne'!$A$2:$DM$2,'Industries all mentioned partne'!$A$2:$DM$58))</f>
        <v>Food &amp; Beverage</v>
      </c>
      <c r="H194" s="91" cm="1">
        <f t="array" ref="H194">_xlfn.XLOOKUP($A194,'Industries all mentioned partne'!$A$2:$A$58,_xlfn.XLOOKUP(H$159,'Industries all mentioned partne'!$A$2:$DM$2,'Industries all mentioned partne'!$A$2:$DM$58))</f>
        <v>0.4</v>
      </c>
      <c r="I194" s="310" t="str" cm="1">
        <f t="array" ref="I194">_xlfn.XLOOKUP($A194,'Industries all mentioned partne'!$A$2:$A$58,_xlfn.XLOOKUP(I$159,'Industries all mentioned partne'!$A$2:$DM$2,'Industries all mentioned partne'!$A$2:$DM$58))</f>
        <v>Food &amp; Beverage</v>
      </c>
      <c r="J194" s="91" cm="1">
        <f t="array" ref="J194">_xlfn.XLOOKUP($A194,'Industries all mentioned partne'!$A$2:$A$58,_xlfn.XLOOKUP(J$159,'Industries all mentioned partne'!$A$2:$DM$2,'Industries all mentioned partne'!$A$2:$DM$58))</f>
        <v>0.4</v>
      </c>
      <c r="K194" s="310" t="str" cm="1">
        <f t="array" ref="K194">_xlfn.XLOOKUP($A194,'Industries all mentioned partne'!$A$2:$A$58,_xlfn.XLOOKUP(K$159,'Industries all mentioned partne'!$A$2:$DM$2,'Industries all mentioned partne'!$A$2:$DM$58))</f>
        <v>Delivery Service</v>
      </c>
      <c r="L194" s="91" cm="1">
        <f t="array" ref="L194">_xlfn.XLOOKUP($A194,'Industries all mentioned partne'!$A$2:$A$58,_xlfn.XLOOKUP(L$159,'Industries all mentioned partne'!$A$2:$DM$2,'Industries all mentioned partne'!$A$2:$DM$58))</f>
        <v>0.2</v>
      </c>
      <c r="M194" s="311" t="str" cm="1">
        <f t="array" ref="M194">_xlfn.XLOOKUP($M$159,CBIMPORT!$A$1:$AN$1,_xlfn.XLOOKUP(B194,CBIMPORT!$A$1:$A$171,CBIMPORT!$A$1:$AN$171))</f>
        <v>L2</v>
      </c>
      <c r="N194" s="309" t="str" cm="1">
        <f t="array" ref="N194">_xlfn.XLOOKUP(N$159,CBIMPORT!$A$1:$AM$1,_xlfn.XLOOKUP($B194,CBIMPORT!$A$1:$A$40,CBIMPORT!$A$1:$AM$40))</f>
        <v>n.a.</v>
      </c>
      <c r="O194" s="21">
        <f>COUNTIFS(ANNOUNCEMENTS!$E$2:$E$180,$B194,ANNOUNCEMENTS!$Z$2:$Z$180,O$159,ANNOUNCEMENTS!$J$2:$J$180,$C194)+
COUNTIFS(ANNOUNCEMENTS!$E$2:$E$180,$B194,ANNOUNCEMENTS!$AB$2:$AB$180,O$159,ANNOUNCEMENTS!$J$2:$J$180,$C194)+
COUNTIFS(ANNOUNCEMENTS!$E$2:$E$180,$B194,ANNOUNCEMENTS!$AD$2:$AD$180,O$159,ANNOUNCEMENTS!$J$2:$J$180,$C194)</f>
        <v>0</v>
      </c>
      <c r="P194" s="21">
        <f>COUNTIFS(ANNOUNCEMENTS!$E$2:$E$180,$B194,ANNOUNCEMENTS!$Z$2:$Z$180,P$159,ANNOUNCEMENTS!$J$2:$J$180,$C194)+
COUNTIFS(ANNOUNCEMENTS!$E$2:$E$180,$B194,ANNOUNCEMENTS!$AB$2:$AB$180,P$159,ANNOUNCEMENTS!$J$2:$J$180,$C194)+
COUNTIFS(ANNOUNCEMENTS!$E$2:$E$180,$B194,ANNOUNCEMENTS!$AD$2:$AD$180,P$159,ANNOUNCEMENTS!$J$2:$J$180,$C194)</f>
        <v>0</v>
      </c>
      <c r="Q194" s="21">
        <f>COUNTIFS(ANNOUNCEMENTS!$E$2:$E$180,$B194,ANNOUNCEMENTS!$Z$2:$Z$180,Q$159,ANNOUNCEMENTS!$J$2:$J$180,$C194)+
COUNTIFS(ANNOUNCEMENTS!$E$2:$E$180,$B194,ANNOUNCEMENTS!$AB$2:$AB$180,Q$159,ANNOUNCEMENTS!$J$2:$J$180,$C194)+
COUNTIFS(ANNOUNCEMENTS!$E$2:$E$180,$B194,ANNOUNCEMENTS!$AD$2:$AD$180,Q$159,ANNOUNCEMENTS!$J$2:$J$180,$C194)</f>
        <v>3</v>
      </c>
      <c r="R194" s="21">
        <f>COUNTIFS(ANNOUNCEMENTS!$E$2:$E$180,$B194,ANNOUNCEMENTS!$Z$2:$Z$180,R$159,ANNOUNCEMENTS!$J$2:$J$180,$C194)+
COUNTIFS(ANNOUNCEMENTS!$E$2:$E$180,$B194,ANNOUNCEMENTS!$AB$2:$AB$180,R$159,ANNOUNCEMENTS!$J$2:$J$180,$C194)+
COUNTIFS(ANNOUNCEMENTS!$E$2:$E$180,$B194,ANNOUNCEMENTS!$AD$2:$AD$180,R$159,ANNOUNCEMENTS!$J$2:$J$180,$C194)</f>
        <v>0</v>
      </c>
      <c r="S194" s="21">
        <f>COUNTIFS(ANNOUNCEMENTS!$E$2:$E$180,$B194,ANNOUNCEMENTS!$Z$2:$Z$180,S$159,ANNOUNCEMENTS!$J$2:$J$180,$C194)+
COUNTIFS(ANNOUNCEMENTS!$E$2:$E$180,$B194,ANNOUNCEMENTS!$AB$2:$AB$180,S$159,ANNOUNCEMENTS!$J$2:$J$180,$C194)+
COUNTIFS(ANNOUNCEMENTS!$E$2:$E$180,$B194,ANNOUNCEMENTS!$AD$2:$AD$180,S$159,ANNOUNCEMENTS!$J$2:$J$180,$C194)</f>
        <v>0</v>
      </c>
      <c r="T194" s="21">
        <f>COUNTIFS(ANNOUNCEMENTS!$E$2:$E$180,$B194,ANNOUNCEMENTS!$Z$2:$Z$180,T$159,ANNOUNCEMENTS!$J$2:$J$180,$C194)+
COUNTIFS(ANNOUNCEMENTS!$E$2:$E$180,$B194,ANNOUNCEMENTS!$AB$2:$AB$180,T$159,ANNOUNCEMENTS!$J$2:$J$180,$C194)+
COUNTIFS(ANNOUNCEMENTS!$E$2:$E$180,$B194,ANNOUNCEMENTS!$AD$2:$AD$180,T$159,ANNOUNCEMENTS!$J$2:$J$180,$C194)</f>
        <v>0</v>
      </c>
      <c r="U194" s="21">
        <f>COUNTIFS(ANNOUNCEMENTS!$E$2:$E$180,$B194,ANNOUNCEMENTS!$Z$2:$Z$180,U$159,ANNOUNCEMENTS!$J$2:$J$180,$C194)+
COUNTIFS(ANNOUNCEMENTS!$E$2:$E$180,$B194,ANNOUNCEMENTS!$AB$2:$AB$180,U$159,ANNOUNCEMENTS!$J$2:$J$180,$C194)+
COUNTIFS(ANNOUNCEMENTS!$E$2:$E$180,$B194,ANNOUNCEMENTS!$AD$2:$AD$180,U$159,ANNOUNCEMENTS!$J$2:$J$180,$C194)</f>
        <v>0</v>
      </c>
      <c r="V194" s="21">
        <f>COUNTIFS(ANNOUNCEMENTS!$E$2:$E$180,$B194,ANNOUNCEMENTS!$Z$2:$Z$180,V$159,ANNOUNCEMENTS!$J$2:$J$180,$C194)+
COUNTIFS(ANNOUNCEMENTS!$E$2:$E$180,$B194,ANNOUNCEMENTS!$AB$2:$AB$180,V$159,ANNOUNCEMENTS!$J$2:$J$180,$C194)+
COUNTIFS(ANNOUNCEMENTS!$E$2:$E$180,$B194,ANNOUNCEMENTS!$AD$2:$AD$180,V$159,ANNOUNCEMENTS!$J$2:$J$180,$C194)</f>
        <v>1</v>
      </c>
      <c r="W194" s="21">
        <f>COUNTIFS(ANNOUNCEMENTS!$E$2:$E$180,$B194,ANNOUNCEMENTS!$Z$2:$Z$180,W$159,ANNOUNCEMENTS!$J$2:$J$180,$C194)+
COUNTIFS(ANNOUNCEMENTS!$E$2:$E$180,$B194,ANNOUNCEMENTS!$AB$2:$AB$180,W$159,ANNOUNCEMENTS!$J$2:$J$180,$C194)+
COUNTIFS(ANNOUNCEMENTS!$E$2:$E$180,$B194,ANNOUNCEMENTS!$AD$2:$AD$180,W$159,ANNOUNCEMENTS!$J$2:$J$180,$C194)</f>
        <v>0</v>
      </c>
      <c r="X194" s="21">
        <f>COUNTIFS(ANNOUNCEMENTS!$E$2:$E$180,$B194,ANNOUNCEMENTS!$W$2:$W$180,X$159,ANNOUNCEMENTS!$J$2:$J$180,$C194)</f>
        <v>1</v>
      </c>
      <c r="Y194" s="21">
        <f>COUNTIFS(ANNOUNCEMENTS!$E$2:$E$180,$B194,ANNOUNCEMENTS!$W$2:$W$180,Y$159,ANNOUNCEMENTS!$J$2:$J$180,$C194)</f>
        <v>3</v>
      </c>
      <c r="Z194" s="21">
        <f>COUNTIFS(ANNOUNCEMENTS!$E$2:$E$180,$B194,ANNOUNCEMENTS!$W$2:$W$180,Z$159,ANNOUNCEMENTS!$J$2:$J$180,$C194)</f>
        <v>0</v>
      </c>
      <c r="AA194" s="21">
        <f>COUNTIFS(ANNOUNCEMENTS!$E$2:$E$180,$B194,ANNOUNCEMENTS!$W$2:$W$180,AA$159,ANNOUNCEMENTS!$J$2:$J$180,$C194)</f>
        <v>0</v>
      </c>
      <c r="AB194" s="21">
        <f>COUNTIFS(ANNOUNCEMENTS!$E$2:$E$180,$B194,ANNOUNCEMENTS!$W$2:$W$180,AB$159,ANNOUNCEMENTS!$J$2:$J$180,$C194)</f>
        <v>0</v>
      </c>
      <c r="AC194" s="21">
        <f>COUNTIFS(ANNOUNCEMENTS!$E$2:$E$180,$B194,ANNOUNCEMENTS!$W$2:$W$180,AC$159,ANNOUNCEMENTS!$J$2:$J$180,$C194)</f>
        <v>0</v>
      </c>
      <c r="AD194" s="21">
        <f>COUNTIFS(ANNOUNCEMENTS!$E$2:$E$180,$B194,ANNOUNCEMENTS!$W$2:$W$180,AD$159,ANNOUNCEMENTS!$J$2:$J$180,$C194)</f>
        <v>0</v>
      </c>
      <c r="AE194" s="311">
        <f t="shared" si="73"/>
        <v>0</v>
      </c>
      <c r="AF194" s="311">
        <f t="shared" si="74"/>
        <v>1</v>
      </c>
      <c r="AG194" s="311">
        <f t="shared" si="75"/>
        <v>0</v>
      </c>
      <c r="AH194" s="311">
        <f t="shared" si="76"/>
        <v>0</v>
      </c>
      <c r="AI194" s="21">
        <f>COUNTIFS(ANNOUNCEMENTS!$E$2:$E$180,B194,ANNOUNCEMENTS!$Z$2:$Z$180,$J$37,ANNOUNCEMENTS!$J$2:$J$180,C194)+
COUNTIFS(ANNOUNCEMENTS!$E$2:$E$180,B194,ANNOUNCEMENTS!$Z$2:$Z$180,$L$37,ANNOUNCEMENTS!$J$2:$J$180,C194)+
COUNTIFS(ANNOUNCEMENTS!$E$2:$E$180,B194,ANNOUNCEMENTS!$AB$2:$AB$180,$J$37,ANNOUNCEMENTS!$J$2:$J$180,C194)+
COUNTIFS(ANNOUNCEMENTS!$E$2:$E$180,B194,ANNOUNCEMENTS!$AB$2:$AB$180,$L$37,ANNOUNCEMENTS!$J$2:$J$180,C194)+
COUNTIFS(ANNOUNCEMENTS!$E$2:$E$180,B194,ANNOUNCEMENTS!$AD$2:$AD$180,$J$37,ANNOUNCEMENTS!$J$2:$J$180,C194)+
COUNTIFS(ANNOUNCEMENTS!$E$2:$E$180,B194,ANNOUNCEMENTS!$AD$2:$AD$180,$L$37,ANNOUNCEMENTS!$J$2:$J$180,C194)</f>
        <v>3</v>
      </c>
      <c r="AJ194" s="21">
        <f>COUNTIFS(ANNOUNCEMENTS!$E$2:$E$180,B194,ANNOUNCEMENTS!$Z$2:$Z$180,$H$37,ANNOUNCEMENTS!$J$2:$J$180,C194)+
COUNTIFS(ANNOUNCEMENTS!$E$2:$E$180,B194,ANNOUNCEMENTS!$Z$2:$Z$180,$I$37,ANNOUNCEMENTS!$J$2:$J$180,C194)+
COUNTIFS(ANNOUNCEMENTS!$E$2:$E$180,B194,ANNOUNCEMENTS!$Z$2:$Z$180,$P$37,ANNOUNCEMENTS!$J$2:$J$180,C194)+
COUNTIFS(ANNOUNCEMENTS!$E$2:$E$180,B194,ANNOUNCEMENTS!$AB$2:$AB$180,$H$37,ANNOUNCEMENTS!$J$2:$J$180,C194)+
COUNTIFS(ANNOUNCEMENTS!$E$2:$E$180,B194,ANNOUNCEMENTS!$AB$2:$AB$180,$I$37,ANNOUNCEMENTS!$J$2:$J$180,C194)+
COUNTIFS(ANNOUNCEMENTS!$E$2:$E$180,B194,ANNOUNCEMENTS!$AB$2:$AB$180,$P$37,ANNOUNCEMENTS!$J$2:$J$180,C194)+
COUNTIFS(ANNOUNCEMENTS!$E$2:$E$180,B194,ANNOUNCEMENTS!$AD$2:$AD$180,$H$37,ANNOUNCEMENTS!$J$2:$J$180,C194)+
COUNTIFS(ANNOUNCEMENTS!$E$2:$E$180,B194,ANNOUNCEMENTS!$AD$2:$AD$180,$I$37,ANNOUNCEMENTS!$J$2:$J$180,C194)+
COUNTIFS(ANNOUNCEMENTS!$E$2:$E$180,B194,ANNOUNCEMENTS!$AD$2:$AD$180,$P$37,ANNOUNCEMENTS!$J$2:$J$180,C194)</f>
        <v>0</v>
      </c>
      <c r="AK194" s="310" cm="1">
        <f t="array" ref="AK194">SUM(COUNTIFS(ANNOUNCEMENTS!$E$2:$E$180,B194,ANNOUNCEMENTS!$W$2:$W$180,$E$38:$E$40,ANNOUNCEMENTS!$J$2:$J$180,C194))</f>
        <v>4</v>
      </c>
      <c r="AL194" s="21" cm="1">
        <f t="array" ref="AL194">SUM(COUNTIFS(ANNOUNCEMENTS!$E$2:$E$180,B194,ANNOUNCEMENTS!$W$2:$W$180,$E$43:$E$44,ANNOUNCEMENTS!$J$2:$J$180,C194))</f>
        <v>0</v>
      </c>
      <c r="AM194" s="21">
        <f t="shared" si="77"/>
        <v>4</v>
      </c>
      <c r="AN194" s="21">
        <f t="shared" si="78"/>
        <v>0</v>
      </c>
      <c r="AO194" s="309" cm="1">
        <f t="array" ref="AO194">_xlfn.XLOOKUP(AO$159,CBIMPORT!$A$1:$AM$1,_xlfn.XLOOKUP($B194,CBIMPORT!$A$1:$A$40,CBIMPORT!$A$1:$AM$40))</f>
        <v>0</v>
      </c>
      <c r="AP194" s="308" cm="1">
        <f t="array" ref="AP194">_xlfn.XLOOKUP(AP$159,CBIMPORT!$A$1:$AM$1,_xlfn.XLOOKUP($B194,CBIMPORT!$A$1:$A$40,CBIMPORT!$A$1:$AM$40))</f>
        <v>75</v>
      </c>
      <c r="AQ194" s="307" cm="1">
        <f t="array" ref="AQ194">_xlfn.XLOOKUP(AQ$159,CBIMPORT!$A$1:$AM$1,_xlfn.XLOOKUP($B194,CBIMPORT!$A$1:$A$40,CBIMPORT!$A$1:$AM$40))</f>
        <v>53</v>
      </c>
    </row>
    <row r="195" spans="1:60" x14ac:dyDescent="0.35">
      <c r="A195" s="21" t="s">
        <v>2202</v>
      </c>
      <c r="B195" s="315" t="str">
        <f t="shared" si="71"/>
        <v>Torc</v>
      </c>
      <c r="C195" s="314" t="str">
        <f t="shared" si="72"/>
        <v>Trucking</v>
      </c>
      <c r="D195" s="313">
        <f>COUNTIFS(ANNOUNCEMENTS!$E$2:$E$180,$B195,ANNOUNCEMENTS!$J$2:$J$180,$C195)</f>
        <v>3</v>
      </c>
      <c r="E195" s="312" t="str" cm="1">
        <f t="array" ref="E195">_xlfn.ARRAYTOTEXT(
IF(D195&gt;0,_xlfn._xlws.FILTER(CHOOSE({1},
ANNOUNCEMENTS!$K$1:$K$180),
(ANNOUNCEMENTS!$E$1:$E$180=B195)*((ANNOUNCEMENTS!$J$1:$J$180=$C195)))))</f>
        <v>Daimler Truck; Applied Intuition; Daimler Truck;Luminar</v>
      </c>
      <c r="F195" s="306">
        <f t="shared" si="64"/>
        <v>0</v>
      </c>
      <c r="G195" s="310" t="str" cm="1">
        <f t="array" ref="G195">_xlfn.XLOOKUP($A195,'Industries all mentioned partne'!$A$2:$A$58,_xlfn.XLOOKUP(G$159,'Industries all mentioned partne'!$A$2:$DM$2,'Industries all mentioned partne'!$A$2:$DM$58))</f>
        <v>OEM Commercial Vehicles</v>
      </c>
      <c r="H195" s="91" cm="1">
        <f t="array" ref="H195">_xlfn.XLOOKUP($A195,'Industries all mentioned partne'!$A$2:$A$58,_xlfn.XLOOKUP(H$159,'Industries all mentioned partne'!$A$2:$DM$2,'Industries all mentioned partne'!$A$2:$DM$58))</f>
        <v>0.5</v>
      </c>
      <c r="I195" s="310" t="str" cm="1">
        <f t="array" ref="I195">_xlfn.XLOOKUP($A195,'Industries all mentioned partne'!$A$2:$A$58,_xlfn.XLOOKUP(I$159,'Industries all mentioned partne'!$A$2:$DM$2,'Industries all mentioned partne'!$A$2:$DM$58))</f>
        <v>V&amp;V</v>
      </c>
      <c r="J195" s="91" cm="1">
        <f t="array" ref="J195">_xlfn.XLOOKUP($A195,'Industries all mentioned partne'!$A$2:$A$58,_xlfn.XLOOKUP(J$159,'Industries all mentioned partne'!$A$2:$DM$2,'Industries all mentioned partne'!$A$2:$DM$58))</f>
        <v>0.25</v>
      </c>
      <c r="K195" s="310" t="str" cm="1">
        <f t="array" ref="K195">_xlfn.XLOOKUP($A195,'Industries all mentioned partne'!$A$2:$A$58,_xlfn.XLOOKUP(K$159,'Industries all mentioned partne'!$A$2:$DM$2,'Industries all mentioned partne'!$A$2:$DM$58))</f>
        <v>V&amp;V</v>
      </c>
      <c r="L195" s="91" cm="1">
        <f t="array" ref="L195">_xlfn.XLOOKUP($A195,'Industries all mentioned partne'!$A$2:$A$58,_xlfn.XLOOKUP(L$159,'Industries all mentioned partne'!$A$2:$DM$2,'Industries all mentioned partne'!$A$2:$DM$58))</f>
        <v>0.25</v>
      </c>
      <c r="M195" s="311" t="str" cm="1">
        <f t="array" ref="M195">_xlfn.XLOOKUP($M$159,CBIMPORT!$A$1:$AN$1,_xlfn.XLOOKUP(B195,CBIMPORT!$A$1:$A$171,CBIMPORT!$A$1:$AN$171))</f>
        <v>L1</v>
      </c>
      <c r="N195" s="309" cm="1">
        <f t="array" ref="N195">_xlfn.XLOOKUP(N$159,CBIMPORT!$A$1:$AM$1,_xlfn.XLOOKUP($B195,CBIMPORT!$A$1:$A$40,CBIMPORT!$A$1:$AM$40))</f>
        <v>1</v>
      </c>
      <c r="O195" s="21">
        <f>COUNTIFS(ANNOUNCEMENTS!$E$2:$E$180,$B195,ANNOUNCEMENTS!$Z$2:$Z$180,O$159,ANNOUNCEMENTS!$J$2:$J$180,$C195)+
COUNTIFS(ANNOUNCEMENTS!$E$2:$E$180,$B195,ANNOUNCEMENTS!$AB$2:$AB$180,O$159,ANNOUNCEMENTS!$J$2:$J$180,$C195)+
COUNTIFS(ANNOUNCEMENTS!$E$2:$E$180,$B195,ANNOUNCEMENTS!$AD$2:$AD$180,O$159,ANNOUNCEMENTS!$J$2:$J$180,$C195)</f>
        <v>3</v>
      </c>
      <c r="P195" s="21">
        <f>COUNTIFS(ANNOUNCEMENTS!$E$2:$E$180,$B195,ANNOUNCEMENTS!$Z$2:$Z$180,P$159,ANNOUNCEMENTS!$J$2:$J$180,$C195)+
COUNTIFS(ANNOUNCEMENTS!$E$2:$E$180,$B195,ANNOUNCEMENTS!$AB$2:$AB$180,P$159,ANNOUNCEMENTS!$J$2:$J$180,$C195)+
COUNTIFS(ANNOUNCEMENTS!$E$2:$E$180,$B195,ANNOUNCEMENTS!$AD$2:$AD$180,P$159,ANNOUNCEMENTS!$J$2:$J$180,$C195)</f>
        <v>0</v>
      </c>
      <c r="Q195" s="21">
        <f>COUNTIFS(ANNOUNCEMENTS!$E$2:$E$180,$B195,ANNOUNCEMENTS!$Z$2:$Z$180,Q$159,ANNOUNCEMENTS!$J$2:$J$180,$C195)+
COUNTIFS(ANNOUNCEMENTS!$E$2:$E$180,$B195,ANNOUNCEMENTS!$AB$2:$AB$180,Q$159,ANNOUNCEMENTS!$J$2:$J$180,$C195)+
COUNTIFS(ANNOUNCEMENTS!$E$2:$E$180,$B195,ANNOUNCEMENTS!$AD$2:$AD$180,Q$159,ANNOUNCEMENTS!$J$2:$J$180,$C195)</f>
        <v>0</v>
      </c>
      <c r="R195" s="21">
        <f>COUNTIFS(ANNOUNCEMENTS!$E$2:$E$180,$B195,ANNOUNCEMENTS!$Z$2:$Z$180,R$159,ANNOUNCEMENTS!$J$2:$J$180,$C195)+
COUNTIFS(ANNOUNCEMENTS!$E$2:$E$180,$B195,ANNOUNCEMENTS!$AB$2:$AB$180,R$159,ANNOUNCEMENTS!$J$2:$J$180,$C195)+
COUNTIFS(ANNOUNCEMENTS!$E$2:$E$180,$B195,ANNOUNCEMENTS!$AD$2:$AD$180,R$159,ANNOUNCEMENTS!$J$2:$J$180,$C195)</f>
        <v>0</v>
      </c>
      <c r="S195" s="21">
        <f>COUNTIFS(ANNOUNCEMENTS!$E$2:$E$180,$B195,ANNOUNCEMENTS!$Z$2:$Z$180,S$159,ANNOUNCEMENTS!$J$2:$J$180,$C195)+
COUNTIFS(ANNOUNCEMENTS!$E$2:$E$180,$B195,ANNOUNCEMENTS!$AB$2:$AB$180,S$159,ANNOUNCEMENTS!$J$2:$J$180,$C195)+
COUNTIFS(ANNOUNCEMENTS!$E$2:$E$180,$B195,ANNOUNCEMENTS!$AD$2:$AD$180,S$159,ANNOUNCEMENTS!$J$2:$J$180,$C195)</f>
        <v>0</v>
      </c>
      <c r="T195" s="21">
        <f>COUNTIFS(ANNOUNCEMENTS!$E$2:$E$180,$B195,ANNOUNCEMENTS!$Z$2:$Z$180,T$159,ANNOUNCEMENTS!$J$2:$J$180,$C195)+
COUNTIFS(ANNOUNCEMENTS!$E$2:$E$180,$B195,ANNOUNCEMENTS!$AB$2:$AB$180,T$159,ANNOUNCEMENTS!$J$2:$J$180,$C195)+
COUNTIFS(ANNOUNCEMENTS!$E$2:$E$180,$B195,ANNOUNCEMENTS!$AD$2:$AD$180,T$159,ANNOUNCEMENTS!$J$2:$J$180,$C195)</f>
        <v>0</v>
      </c>
      <c r="U195" s="21">
        <f>COUNTIFS(ANNOUNCEMENTS!$E$2:$E$180,$B195,ANNOUNCEMENTS!$Z$2:$Z$180,U$159,ANNOUNCEMENTS!$J$2:$J$180,$C195)+
COUNTIFS(ANNOUNCEMENTS!$E$2:$E$180,$B195,ANNOUNCEMENTS!$AB$2:$AB$180,U$159,ANNOUNCEMENTS!$J$2:$J$180,$C195)+
COUNTIFS(ANNOUNCEMENTS!$E$2:$E$180,$B195,ANNOUNCEMENTS!$AD$2:$AD$180,U$159,ANNOUNCEMENTS!$J$2:$J$180,$C195)</f>
        <v>0</v>
      </c>
      <c r="V195" s="21">
        <f>COUNTIFS(ANNOUNCEMENTS!$E$2:$E$180,$B195,ANNOUNCEMENTS!$Z$2:$Z$180,V$159,ANNOUNCEMENTS!$J$2:$J$180,$C195)+
COUNTIFS(ANNOUNCEMENTS!$E$2:$E$180,$B195,ANNOUNCEMENTS!$AB$2:$AB$180,V$159,ANNOUNCEMENTS!$J$2:$J$180,$C195)+
COUNTIFS(ANNOUNCEMENTS!$E$2:$E$180,$B195,ANNOUNCEMENTS!$AD$2:$AD$180,V$159,ANNOUNCEMENTS!$J$2:$J$180,$C195)</f>
        <v>0</v>
      </c>
      <c r="W195" s="21">
        <f>COUNTIFS(ANNOUNCEMENTS!$E$2:$E$180,$B195,ANNOUNCEMENTS!$Z$2:$Z$180,W$159,ANNOUNCEMENTS!$J$2:$J$180,$C195)+
COUNTIFS(ANNOUNCEMENTS!$E$2:$E$180,$B195,ANNOUNCEMENTS!$AB$2:$AB$180,W$159,ANNOUNCEMENTS!$J$2:$J$180,$C195)+
COUNTIFS(ANNOUNCEMENTS!$E$2:$E$180,$B195,ANNOUNCEMENTS!$AD$2:$AD$180,W$159,ANNOUNCEMENTS!$J$2:$J$180,$C195)</f>
        <v>0</v>
      </c>
      <c r="X195" s="21">
        <f>COUNTIFS(ANNOUNCEMENTS!$E$2:$E$180,$B195,ANNOUNCEMENTS!$W$2:$W$180,X$159,ANNOUNCEMENTS!$J$2:$J$180,$C195)</f>
        <v>0</v>
      </c>
      <c r="Y195" s="21">
        <f>COUNTIFS(ANNOUNCEMENTS!$E$2:$E$180,$B195,ANNOUNCEMENTS!$W$2:$W$180,Y$159,ANNOUNCEMENTS!$J$2:$J$180,$C195)</f>
        <v>1</v>
      </c>
      <c r="Z195" s="21">
        <f>COUNTIFS(ANNOUNCEMENTS!$E$2:$E$180,$B195,ANNOUNCEMENTS!$W$2:$W$180,Z$159,ANNOUNCEMENTS!$J$2:$J$180,$C195)</f>
        <v>0</v>
      </c>
      <c r="AA195" s="21">
        <f>COUNTIFS(ANNOUNCEMENTS!$E$2:$E$180,$B195,ANNOUNCEMENTS!$W$2:$W$180,AA$159,ANNOUNCEMENTS!$J$2:$J$180,$C195)</f>
        <v>1</v>
      </c>
      <c r="AB195" s="21">
        <f>COUNTIFS(ANNOUNCEMENTS!$E$2:$E$180,$B195,ANNOUNCEMENTS!$W$2:$W$180,AB$159,ANNOUNCEMENTS!$J$2:$J$180,$C195)</f>
        <v>0</v>
      </c>
      <c r="AC195" s="21">
        <f>COUNTIFS(ANNOUNCEMENTS!$E$2:$E$180,$B195,ANNOUNCEMENTS!$W$2:$W$180,AC$159,ANNOUNCEMENTS!$J$2:$J$180,$C195)</f>
        <v>1</v>
      </c>
      <c r="AD195" s="21">
        <f>COUNTIFS(ANNOUNCEMENTS!$E$2:$E$180,$B195,ANNOUNCEMENTS!$W$2:$W$180,AD$159,ANNOUNCEMENTS!$J$2:$J$180,$C195)</f>
        <v>0</v>
      </c>
      <c r="AE195" s="311">
        <f t="shared" si="73"/>
        <v>1</v>
      </c>
      <c r="AF195" s="311">
        <f t="shared" si="74"/>
        <v>0</v>
      </c>
      <c r="AG195" s="311">
        <f t="shared" si="75"/>
        <v>0</v>
      </c>
      <c r="AH195" s="311">
        <f t="shared" si="76"/>
        <v>0</v>
      </c>
      <c r="AI195" s="21">
        <f>COUNTIFS(ANNOUNCEMENTS!$E$2:$E$180,B195,ANNOUNCEMENTS!$Z$2:$Z$180,$J$37,ANNOUNCEMENTS!$J$2:$J$180,C195)+
COUNTIFS(ANNOUNCEMENTS!$E$2:$E$180,B195,ANNOUNCEMENTS!$Z$2:$Z$180,$L$37,ANNOUNCEMENTS!$J$2:$J$180,C195)+
COUNTIFS(ANNOUNCEMENTS!$E$2:$E$180,B195,ANNOUNCEMENTS!$AB$2:$AB$180,$J$37,ANNOUNCEMENTS!$J$2:$J$180,C195)+
COUNTIFS(ANNOUNCEMENTS!$E$2:$E$180,B195,ANNOUNCEMENTS!$AB$2:$AB$180,$L$37,ANNOUNCEMENTS!$J$2:$J$180,C195)+
COUNTIFS(ANNOUNCEMENTS!$E$2:$E$180,B195,ANNOUNCEMENTS!$AD$2:$AD$180,$J$37,ANNOUNCEMENTS!$J$2:$J$180,C195)+
COUNTIFS(ANNOUNCEMENTS!$E$2:$E$180,B195,ANNOUNCEMENTS!$AD$2:$AD$180,$L$37,ANNOUNCEMENTS!$J$2:$J$180,C195)</f>
        <v>0</v>
      </c>
      <c r="AJ195" s="21">
        <f>COUNTIFS(ANNOUNCEMENTS!$E$2:$E$180,B195,ANNOUNCEMENTS!$Z$2:$Z$180,$H$37,ANNOUNCEMENTS!$J$2:$J$180,C195)+
COUNTIFS(ANNOUNCEMENTS!$E$2:$E$180,B195,ANNOUNCEMENTS!$Z$2:$Z$180,$I$37,ANNOUNCEMENTS!$J$2:$J$180,C195)+
COUNTIFS(ANNOUNCEMENTS!$E$2:$E$180,B195,ANNOUNCEMENTS!$Z$2:$Z$180,$P$37,ANNOUNCEMENTS!$J$2:$J$180,C195)+
COUNTIFS(ANNOUNCEMENTS!$E$2:$E$180,B195,ANNOUNCEMENTS!$AB$2:$AB$180,$H$37,ANNOUNCEMENTS!$J$2:$J$180,C195)+
COUNTIFS(ANNOUNCEMENTS!$E$2:$E$180,B195,ANNOUNCEMENTS!$AB$2:$AB$180,$I$37,ANNOUNCEMENTS!$J$2:$J$180,C195)+
COUNTIFS(ANNOUNCEMENTS!$E$2:$E$180,B195,ANNOUNCEMENTS!$AB$2:$AB$180,$P$37,ANNOUNCEMENTS!$J$2:$J$180,C195)+
COUNTIFS(ANNOUNCEMENTS!$E$2:$E$180,B195,ANNOUNCEMENTS!$AD$2:$AD$180,$H$37,ANNOUNCEMENTS!$J$2:$J$180,C195)+
COUNTIFS(ANNOUNCEMENTS!$E$2:$E$180,B195,ANNOUNCEMENTS!$AD$2:$AD$180,$I$37,ANNOUNCEMENTS!$J$2:$J$180,C195)+
COUNTIFS(ANNOUNCEMENTS!$E$2:$E$180,B195,ANNOUNCEMENTS!$AD$2:$AD$180,$P$37,ANNOUNCEMENTS!$J$2:$J$180,C195)</f>
        <v>3</v>
      </c>
      <c r="AK195" s="310" cm="1">
        <f t="array" ref="AK195">SUM(COUNTIFS(ANNOUNCEMENTS!$E$2:$E$180,B195,ANNOUNCEMENTS!$W$2:$W$180,$E$38:$E$40,ANNOUNCEMENTS!$J$2:$J$180,C195))</f>
        <v>1</v>
      </c>
      <c r="AL195" s="21" cm="1">
        <f t="array" ref="AL195">SUM(COUNTIFS(ANNOUNCEMENTS!$E$2:$E$180,B195,ANNOUNCEMENTS!$W$2:$W$180,$E$43:$E$44,ANNOUNCEMENTS!$J$2:$J$180,C195))</f>
        <v>1</v>
      </c>
      <c r="AM195" s="21">
        <f t="shared" si="77"/>
        <v>3</v>
      </c>
      <c r="AN195" s="21">
        <f t="shared" si="78"/>
        <v>0</v>
      </c>
      <c r="AO195" s="309" cm="1">
        <f t="array" ref="AO195">_xlfn.XLOOKUP(AO$159,CBIMPORT!$A$1:$AM$1,_xlfn.XLOOKUP($B195,CBIMPORT!$A$1:$A$40,CBIMPORT!$A$1:$AM$40))</f>
        <v>0</v>
      </c>
      <c r="AP195" s="308" cm="1">
        <f t="array" ref="AP195">_xlfn.XLOOKUP(AP$159,CBIMPORT!$A$1:$AM$1,_xlfn.XLOOKUP($B195,CBIMPORT!$A$1:$A$40,CBIMPORT!$A$1:$AM$40))</f>
        <v>175</v>
      </c>
      <c r="AQ195" s="307" t="str" cm="1">
        <f t="array" ref="AQ195">_xlfn.XLOOKUP(AQ$159,CBIMPORT!$A$1:$AM$1,_xlfn.XLOOKUP($B195,CBIMPORT!$A$1:$A$40,CBIMPORT!$A$1:$AM$40))</f>
        <v>n.a.</v>
      </c>
      <c r="AR195" s="290"/>
      <c r="BG195" s="290"/>
      <c r="BH195" s="290"/>
    </row>
    <row r="196" spans="1:60" x14ac:dyDescent="0.35">
      <c r="A196" s="303" t="s">
        <v>2203</v>
      </c>
      <c r="B196" s="315" t="str">
        <f t="shared" si="71"/>
        <v>Transdev</v>
      </c>
      <c r="C196" s="314" t="str">
        <f t="shared" si="72"/>
        <v>Ridepooling</v>
      </c>
      <c r="D196" s="313">
        <f>COUNTIFS(ANNOUNCEMENTS!$E$2:$E$180,$B196,ANNOUNCEMENTS!$J$2:$J$180,$C196)</f>
        <v>4</v>
      </c>
      <c r="E196" s="312" t="str" cm="1">
        <f t="array" ref="E196">_xlfn.ARRAYTOTEXT(
IF(D196&gt;0,_xlfn._xlws.FILTER(CHOOSE({1},
ANNOUNCEMENTS!$K$1:$K$180),
(ANNOUNCEMENTS!$E$1:$E$180=B196)*((ANNOUNCEMENTS!$J$1:$J$180=$C196)))))</f>
        <v>Torc; LAVTA; Delphi; ZF;e.GO</v>
      </c>
      <c r="F196" s="306">
        <f t="shared" si="64"/>
        <v>1</v>
      </c>
      <c r="G196" s="310" t="str" cm="1">
        <f t="array" ref="G196">_xlfn.XLOOKUP($A196,'Industries all mentioned partne'!$A$2:$A$58,_xlfn.XLOOKUP(G$159,'Industries all mentioned partne'!$A$2:$DM$2,'Industries all mentioned partne'!$A$2:$DM$58))</f>
        <v>Autonomous Vehicles</v>
      </c>
      <c r="H196" s="91" cm="1">
        <f t="array" ref="H196">_xlfn.XLOOKUP($A196,'Industries all mentioned partne'!$A$2:$A$58,_xlfn.XLOOKUP(H$159,'Industries all mentioned partne'!$A$2:$DM$2,'Industries all mentioned partne'!$A$2:$DM$58))</f>
        <v>0.4</v>
      </c>
      <c r="I196" s="310" t="str" cm="1">
        <f t="array" ref="I196">_xlfn.XLOOKUP($A196,'Industries all mentioned partne'!$A$2:$A$58,_xlfn.XLOOKUP(I$159,'Industries all mentioned partne'!$A$2:$DM$2,'Industries all mentioned partne'!$A$2:$DM$58))</f>
        <v>Transport Operator</v>
      </c>
      <c r="J196" s="91" cm="1">
        <f t="array" ref="J196">_xlfn.XLOOKUP($A196,'Industries all mentioned partne'!$A$2:$A$58,_xlfn.XLOOKUP(J$159,'Industries all mentioned partne'!$A$2:$DM$2,'Industries all mentioned partne'!$A$2:$DM$58))</f>
        <v>0.2</v>
      </c>
      <c r="K196" s="310" t="str" cm="1">
        <f t="array" ref="K196">_xlfn.XLOOKUP($A196,'Industries all mentioned partne'!$A$2:$A$58,_xlfn.XLOOKUP(K$159,'Industries all mentioned partne'!$A$2:$DM$2,'Industries all mentioned partne'!$A$2:$DM$58))</f>
        <v>Transport Operator</v>
      </c>
      <c r="L196" s="91" cm="1">
        <f t="array" ref="L196">_xlfn.XLOOKUP($A196,'Industries all mentioned partne'!$A$2:$A$58,_xlfn.XLOOKUP(L$159,'Industries all mentioned partne'!$A$2:$DM$2,'Industries all mentioned partne'!$A$2:$DM$58))</f>
        <v>0.2</v>
      </c>
      <c r="M196" s="311" t="str" cm="1">
        <f t="array" ref="M196">_xlfn.XLOOKUP($M$159,CBIMPORT!$A$1:$AN$1,_xlfn.XLOOKUP(B196,CBIMPORT!$A$1:$A$171,CBIMPORT!$A$1:$AN$171))</f>
        <v>L3</v>
      </c>
      <c r="N196" s="309" cm="1">
        <f t="array" ref="N196">_xlfn.XLOOKUP(N$159,CBIMPORT!$A$1:$AM$1,_xlfn.XLOOKUP($B196,CBIMPORT!$A$1:$A$40,CBIMPORT!$A$1:$AM$40))</f>
        <v>0</v>
      </c>
      <c r="O196" s="21">
        <f>COUNTIFS(ANNOUNCEMENTS!$E$2:$E$180,$B196,ANNOUNCEMENTS!$Z$2:$Z$180,O$159,ANNOUNCEMENTS!$J$2:$J$180,$C196)+
COUNTIFS(ANNOUNCEMENTS!$E$2:$E$180,$B196,ANNOUNCEMENTS!$AB$2:$AB$180,O$159,ANNOUNCEMENTS!$J$2:$J$180,$C196)+
COUNTIFS(ANNOUNCEMENTS!$E$2:$E$180,$B196,ANNOUNCEMENTS!$AD$2:$AD$180,O$159,ANNOUNCEMENTS!$J$2:$J$180,$C196)</f>
        <v>1</v>
      </c>
      <c r="P196" s="21">
        <f>COUNTIFS(ANNOUNCEMENTS!$E$2:$E$180,$B196,ANNOUNCEMENTS!$Z$2:$Z$180,P$159,ANNOUNCEMENTS!$J$2:$J$180,$C196)+
COUNTIFS(ANNOUNCEMENTS!$E$2:$E$180,$B196,ANNOUNCEMENTS!$AB$2:$AB$180,P$159,ANNOUNCEMENTS!$J$2:$J$180,$C196)+
COUNTIFS(ANNOUNCEMENTS!$E$2:$E$180,$B196,ANNOUNCEMENTS!$AD$2:$AD$180,P$159,ANNOUNCEMENTS!$J$2:$J$180,$C196)</f>
        <v>0</v>
      </c>
      <c r="Q196" s="21">
        <f>COUNTIFS(ANNOUNCEMENTS!$E$2:$E$180,$B196,ANNOUNCEMENTS!$Z$2:$Z$180,Q$159,ANNOUNCEMENTS!$J$2:$J$180,$C196)+
COUNTIFS(ANNOUNCEMENTS!$E$2:$E$180,$B196,ANNOUNCEMENTS!$AB$2:$AB$180,Q$159,ANNOUNCEMENTS!$J$2:$J$180,$C196)+
COUNTIFS(ANNOUNCEMENTS!$E$2:$E$180,$B196,ANNOUNCEMENTS!$AD$2:$AD$180,Q$159,ANNOUNCEMENTS!$J$2:$J$180,$C196)</f>
        <v>2</v>
      </c>
      <c r="R196" s="21">
        <f>COUNTIFS(ANNOUNCEMENTS!$E$2:$E$180,$B196,ANNOUNCEMENTS!$Z$2:$Z$180,R$159,ANNOUNCEMENTS!$J$2:$J$180,$C196)+
COUNTIFS(ANNOUNCEMENTS!$E$2:$E$180,$B196,ANNOUNCEMENTS!$AB$2:$AB$180,R$159,ANNOUNCEMENTS!$J$2:$J$180,$C196)+
COUNTIFS(ANNOUNCEMENTS!$E$2:$E$180,$B196,ANNOUNCEMENTS!$AD$2:$AD$180,R$159,ANNOUNCEMENTS!$J$2:$J$180,$C196)</f>
        <v>0</v>
      </c>
      <c r="S196" s="21">
        <f>COUNTIFS(ANNOUNCEMENTS!$E$2:$E$180,$B196,ANNOUNCEMENTS!$Z$2:$Z$180,S$159,ANNOUNCEMENTS!$J$2:$J$180,$C196)+
COUNTIFS(ANNOUNCEMENTS!$E$2:$E$180,$B196,ANNOUNCEMENTS!$AB$2:$AB$180,S$159,ANNOUNCEMENTS!$J$2:$J$180,$C196)+
COUNTIFS(ANNOUNCEMENTS!$E$2:$E$180,$B196,ANNOUNCEMENTS!$AD$2:$AD$180,S$159,ANNOUNCEMENTS!$J$2:$J$180,$C196)</f>
        <v>0</v>
      </c>
      <c r="T196" s="21">
        <f>COUNTIFS(ANNOUNCEMENTS!$E$2:$E$180,$B196,ANNOUNCEMENTS!$Z$2:$Z$180,T$159,ANNOUNCEMENTS!$J$2:$J$180,$C196)+
COUNTIFS(ANNOUNCEMENTS!$E$2:$E$180,$B196,ANNOUNCEMENTS!$AB$2:$AB$180,T$159,ANNOUNCEMENTS!$J$2:$J$180,$C196)+
COUNTIFS(ANNOUNCEMENTS!$E$2:$E$180,$B196,ANNOUNCEMENTS!$AD$2:$AD$180,T$159,ANNOUNCEMENTS!$J$2:$J$180,$C196)</f>
        <v>2</v>
      </c>
      <c r="U196" s="21">
        <f>COUNTIFS(ANNOUNCEMENTS!$E$2:$E$180,$B196,ANNOUNCEMENTS!$Z$2:$Z$180,U$159,ANNOUNCEMENTS!$J$2:$J$180,$C196)+
COUNTIFS(ANNOUNCEMENTS!$E$2:$E$180,$B196,ANNOUNCEMENTS!$AB$2:$AB$180,U$159,ANNOUNCEMENTS!$J$2:$J$180,$C196)+
COUNTIFS(ANNOUNCEMENTS!$E$2:$E$180,$B196,ANNOUNCEMENTS!$AD$2:$AD$180,U$159,ANNOUNCEMENTS!$J$2:$J$180,$C196)</f>
        <v>0</v>
      </c>
      <c r="V196" s="21">
        <f>COUNTIFS(ANNOUNCEMENTS!$E$2:$E$180,$B196,ANNOUNCEMENTS!$Z$2:$Z$180,V$159,ANNOUNCEMENTS!$J$2:$J$180,$C196)+
COUNTIFS(ANNOUNCEMENTS!$E$2:$E$180,$B196,ANNOUNCEMENTS!$AB$2:$AB$180,V$159,ANNOUNCEMENTS!$J$2:$J$180,$C196)+
COUNTIFS(ANNOUNCEMENTS!$E$2:$E$180,$B196,ANNOUNCEMENTS!$AD$2:$AD$180,V$159,ANNOUNCEMENTS!$J$2:$J$180,$C196)</f>
        <v>0</v>
      </c>
      <c r="W196" s="21">
        <f>COUNTIFS(ANNOUNCEMENTS!$E$2:$E$180,$B196,ANNOUNCEMENTS!$Z$2:$Z$180,W$159,ANNOUNCEMENTS!$J$2:$J$180,$C196)+
COUNTIFS(ANNOUNCEMENTS!$E$2:$E$180,$B196,ANNOUNCEMENTS!$AB$2:$AB$180,W$159,ANNOUNCEMENTS!$J$2:$J$180,$C196)+
COUNTIFS(ANNOUNCEMENTS!$E$2:$E$180,$B196,ANNOUNCEMENTS!$AD$2:$AD$180,W$159,ANNOUNCEMENTS!$J$2:$J$180,$C196)</f>
        <v>0</v>
      </c>
      <c r="X196" s="21">
        <f>COUNTIFS(ANNOUNCEMENTS!$E$2:$E$180,$B196,ANNOUNCEMENTS!$W$2:$W$180,X$159,ANNOUNCEMENTS!$J$2:$J$180,$C196)</f>
        <v>0</v>
      </c>
      <c r="Y196" s="21">
        <f>COUNTIFS(ANNOUNCEMENTS!$E$2:$E$180,$B196,ANNOUNCEMENTS!$W$2:$W$180,Y$159,ANNOUNCEMENTS!$J$2:$J$180,$C196)</f>
        <v>2</v>
      </c>
      <c r="Z196" s="21">
        <f>COUNTIFS(ANNOUNCEMENTS!$E$2:$E$180,$B196,ANNOUNCEMENTS!$W$2:$W$180,Z$159,ANNOUNCEMENTS!$J$2:$J$180,$C196)</f>
        <v>1</v>
      </c>
      <c r="AA196" s="21">
        <f>COUNTIFS(ANNOUNCEMENTS!$E$2:$E$180,$B196,ANNOUNCEMENTS!$W$2:$W$180,AA$159,ANNOUNCEMENTS!$J$2:$J$180,$C196)</f>
        <v>1</v>
      </c>
      <c r="AB196" s="21">
        <f>COUNTIFS(ANNOUNCEMENTS!$E$2:$E$180,$B196,ANNOUNCEMENTS!$W$2:$W$180,AB$159,ANNOUNCEMENTS!$J$2:$J$180,$C196)</f>
        <v>0</v>
      </c>
      <c r="AC196" s="21">
        <f>COUNTIFS(ANNOUNCEMENTS!$E$2:$E$180,$B196,ANNOUNCEMENTS!$W$2:$W$180,AC$159,ANNOUNCEMENTS!$J$2:$J$180,$C196)</f>
        <v>0</v>
      </c>
      <c r="AD196" s="21">
        <f>COUNTIFS(ANNOUNCEMENTS!$E$2:$E$180,$B196,ANNOUNCEMENTS!$W$2:$W$180,AD$159,ANNOUNCEMENTS!$J$2:$J$180,$C196)</f>
        <v>0</v>
      </c>
      <c r="AE196" s="311">
        <f t="shared" si="73"/>
        <v>0</v>
      </c>
      <c r="AF196" s="311">
        <f t="shared" si="74"/>
        <v>0</v>
      </c>
      <c r="AG196" s="311">
        <f t="shared" si="75"/>
        <v>1</v>
      </c>
      <c r="AH196" s="311">
        <f t="shared" si="76"/>
        <v>0</v>
      </c>
      <c r="AI196" s="21">
        <f>COUNTIFS(ANNOUNCEMENTS!$E$2:$E$180,B196,ANNOUNCEMENTS!$Z$2:$Z$180,$J$37,ANNOUNCEMENTS!$J$2:$J$180,C196)+
COUNTIFS(ANNOUNCEMENTS!$E$2:$E$180,B196,ANNOUNCEMENTS!$Z$2:$Z$180,$L$37,ANNOUNCEMENTS!$J$2:$J$180,C196)+
COUNTIFS(ANNOUNCEMENTS!$E$2:$E$180,B196,ANNOUNCEMENTS!$AB$2:$AB$180,$J$37,ANNOUNCEMENTS!$J$2:$J$180,C196)+
COUNTIFS(ANNOUNCEMENTS!$E$2:$E$180,B196,ANNOUNCEMENTS!$AB$2:$AB$180,$L$37,ANNOUNCEMENTS!$J$2:$J$180,C196)+
COUNTIFS(ANNOUNCEMENTS!$E$2:$E$180,B196,ANNOUNCEMENTS!$AD$2:$AD$180,$J$37,ANNOUNCEMENTS!$J$2:$J$180,C196)+
COUNTIFS(ANNOUNCEMENTS!$E$2:$E$180,B196,ANNOUNCEMENTS!$AD$2:$AD$180,$L$37,ANNOUNCEMENTS!$J$2:$J$180,C196)</f>
        <v>2</v>
      </c>
      <c r="AJ196" s="21">
        <f>COUNTIFS(ANNOUNCEMENTS!$E$2:$E$180,B196,ANNOUNCEMENTS!$Z$2:$Z$180,$H$37,ANNOUNCEMENTS!$J$2:$J$180,C196)+
COUNTIFS(ANNOUNCEMENTS!$E$2:$E$180,B196,ANNOUNCEMENTS!$Z$2:$Z$180,$I$37,ANNOUNCEMENTS!$J$2:$J$180,C196)+
COUNTIFS(ANNOUNCEMENTS!$E$2:$E$180,B196,ANNOUNCEMENTS!$Z$2:$Z$180,$P$37,ANNOUNCEMENTS!$J$2:$J$180,C196)+
COUNTIFS(ANNOUNCEMENTS!$E$2:$E$180,B196,ANNOUNCEMENTS!$AB$2:$AB$180,$H$37,ANNOUNCEMENTS!$J$2:$J$180,C196)+
COUNTIFS(ANNOUNCEMENTS!$E$2:$E$180,B196,ANNOUNCEMENTS!$AB$2:$AB$180,$I$37,ANNOUNCEMENTS!$J$2:$J$180,C196)+
COUNTIFS(ANNOUNCEMENTS!$E$2:$E$180,B196,ANNOUNCEMENTS!$AB$2:$AB$180,$P$37,ANNOUNCEMENTS!$J$2:$J$180,C196)+
COUNTIFS(ANNOUNCEMENTS!$E$2:$E$180,B196,ANNOUNCEMENTS!$AD$2:$AD$180,$H$37,ANNOUNCEMENTS!$J$2:$J$180,C196)+
COUNTIFS(ANNOUNCEMENTS!$E$2:$E$180,B196,ANNOUNCEMENTS!$AD$2:$AD$180,$I$37,ANNOUNCEMENTS!$J$2:$J$180,C196)+
COUNTIFS(ANNOUNCEMENTS!$E$2:$E$180,B196,ANNOUNCEMENTS!$AD$2:$AD$180,$P$37,ANNOUNCEMENTS!$J$2:$J$180,C196)</f>
        <v>1</v>
      </c>
      <c r="AK196" s="310" cm="1">
        <f t="array" ref="AK196">SUM(COUNTIFS(ANNOUNCEMENTS!$E$2:$E$180,B196,ANNOUNCEMENTS!$W$2:$W$180,$E$38:$E$40,ANNOUNCEMENTS!$J$2:$J$180,C196))</f>
        <v>3</v>
      </c>
      <c r="AL196" s="21" cm="1">
        <f t="array" ref="AL196">SUM(COUNTIFS(ANNOUNCEMENTS!$E$2:$E$180,B196,ANNOUNCEMENTS!$W$2:$W$180,$E$43:$E$44,ANNOUNCEMENTS!$J$2:$J$180,C196))</f>
        <v>0</v>
      </c>
      <c r="AM196" s="21">
        <f t="shared" si="77"/>
        <v>4</v>
      </c>
      <c r="AN196" s="21">
        <f t="shared" si="78"/>
        <v>1</v>
      </c>
      <c r="AO196" s="309" cm="1">
        <f t="array" ref="AO196">_xlfn.XLOOKUP(AO$159,CBIMPORT!$A$1:$AM$1,_xlfn.XLOOKUP($B196,CBIMPORT!$A$1:$A$40,CBIMPORT!$A$1:$AM$40))</f>
        <v>0</v>
      </c>
      <c r="AP196" s="308" cm="1">
        <f t="array" ref="AP196">_xlfn.XLOOKUP(AP$159,CBIMPORT!$A$1:$AM$1,_xlfn.XLOOKUP($B196,CBIMPORT!$A$1:$A$40,CBIMPORT!$A$1:$AM$40))</f>
        <v>74928</v>
      </c>
      <c r="AQ196" s="307" t="str" cm="1">
        <f t="array" ref="AQ196">_xlfn.XLOOKUP(AQ$159,CBIMPORT!$A$1:$AM$1,_xlfn.XLOOKUP($B196,CBIMPORT!$A$1:$A$40,CBIMPORT!$A$1:$AM$40))</f>
        <v>n.a.</v>
      </c>
      <c r="AS196" s="297"/>
      <c r="AT196" s="297"/>
      <c r="AU196" s="297"/>
      <c r="AV196" s="297"/>
      <c r="AW196" s="297"/>
      <c r="AX196" s="297"/>
      <c r="AY196" s="297"/>
    </row>
    <row r="197" spans="1:60" x14ac:dyDescent="0.35">
      <c r="A197" s="21" t="s">
        <v>2204</v>
      </c>
      <c r="B197" s="315" t="str">
        <f t="shared" si="71"/>
        <v>TuSimple</v>
      </c>
      <c r="C197" s="314" t="str">
        <f t="shared" si="72"/>
        <v>Trucking</v>
      </c>
      <c r="D197" s="313">
        <f>COUNTIFS(ANNOUNCEMENTS!$E$2:$E$180,$B197,ANNOUNCEMENTS!$J$2:$J$180,$C197)</f>
        <v>9</v>
      </c>
      <c r="E197" s="312" t="str" cm="1">
        <f t="array" ref="E197">_xlfn.ARRAYTOTEXT(
IF(D197&gt;0,_xlfn._xlws.FILTER(CHOOSE({1},
ANNOUNCEMENTS!$K$1:$K$180),
(ANNOUNCEMENTS!$E$1:$E$180=B197)*((ANNOUNCEMENTS!$J$1:$J$180=$C197)))))</f>
        <v>ZF; Navistar; Traton; Goodyear; Liberty Mutual Insurance; Ryder; Loadsmith; Hegelmann Group; DHL</v>
      </c>
      <c r="F197" s="306">
        <f t="shared" si="64"/>
        <v>3</v>
      </c>
      <c r="G197" s="310" t="str" cm="1">
        <f t="array" ref="G197">_xlfn.XLOOKUP($A197,'Industries all mentioned partne'!$A$2:$A$58,_xlfn.XLOOKUP(G$159,'Industries all mentioned partne'!$A$2:$DM$2,'Industries all mentioned partne'!$A$2:$DM$58))</f>
        <v>Logistics</v>
      </c>
      <c r="H197" s="91" cm="1">
        <f t="array" ref="H197">_xlfn.XLOOKUP($A197,'Industries all mentioned partne'!$A$2:$A$58,_xlfn.XLOOKUP(H$159,'Industries all mentioned partne'!$A$2:$DM$2,'Industries all mentioned partne'!$A$2:$DM$58))</f>
        <v>0.44444444444444442</v>
      </c>
      <c r="I197" s="310" t="str" cm="1">
        <f t="array" ref="I197">_xlfn.XLOOKUP($A197,'Industries all mentioned partne'!$A$2:$A$58,_xlfn.XLOOKUP(I$159,'Industries all mentioned partne'!$A$2:$DM$2,'Industries all mentioned partne'!$A$2:$DM$58))</f>
        <v>OEM Commercial Vehicles</v>
      </c>
      <c r="J197" s="91" cm="1">
        <f t="array" ref="J197">_xlfn.XLOOKUP($A197,'Industries all mentioned partne'!$A$2:$A$58,_xlfn.XLOOKUP(J$159,'Industries all mentioned partne'!$A$2:$DM$2,'Industries all mentioned partne'!$A$2:$DM$58))</f>
        <v>0.22222222222222221</v>
      </c>
      <c r="K197" s="310" t="str" cm="1">
        <f t="array" ref="K197">_xlfn.XLOOKUP($A197,'Industries all mentioned partne'!$A$2:$A$58,_xlfn.XLOOKUP(K$159,'Industries all mentioned partne'!$A$2:$DM$2,'Industries all mentioned partne'!$A$2:$DM$58))</f>
        <v>Autonomous Vehicles</v>
      </c>
      <c r="L197" s="91" cm="1">
        <f t="array" ref="L197">_xlfn.XLOOKUP($A197,'Industries all mentioned partne'!$A$2:$A$58,_xlfn.XLOOKUP(L$159,'Industries all mentioned partne'!$A$2:$DM$2,'Industries all mentioned partne'!$A$2:$DM$58))</f>
        <v>0.1111111111111111</v>
      </c>
      <c r="M197" s="311" t="str" cm="1">
        <f t="array" ref="M197">_xlfn.XLOOKUP($M$159,CBIMPORT!$A$1:$AN$1,_xlfn.XLOOKUP(B197,CBIMPORT!$A$1:$A$171,CBIMPORT!$A$1:$AN$171))</f>
        <v>L1</v>
      </c>
      <c r="N197" s="309" cm="1">
        <f t="array" ref="N197">_xlfn.XLOOKUP(N$159,CBIMPORT!$A$1:$AM$1,_xlfn.XLOOKUP($B197,CBIMPORT!$A$1:$A$40,CBIMPORT!$A$1:$AM$40))</f>
        <v>222</v>
      </c>
      <c r="O197" s="21">
        <f>COUNTIFS(ANNOUNCEMENTS!$E$2:$E$180,$B197,ANNOUNCEMENTS!$Z$2:$Z$180,O$159,ANNOUNCEMENTS!$J$2:$J$180,$C197)+
COUNTIFS(ANNOUNCEMENTS!$E$2:$E$180,$B197,ANNOUNCEMENTS!$AB$2:$AB$180,O$159,ANNOUNCEMENTS!$J$2:$J$180,$C197)+
COUNTIFS(ANNOUNCEMENTS!$E$2:$E$180,$B197,ANNOUNCEMENTS!$AD$2:$AD$180,O$159,ANNOUNCEMENTS!$J$2:$J$180,$C197)</f>
        <v>3</v>
      </c>
      <c r="P197" s="21">
        <f>COUNTIFS(ANNOUNCEMENTS!$E$2:$E$180,$B197,ANNOUNCEMENTS!$Z$2:$Z$180,P$159,ANNOUNCEMENTS!$J$2:$J$180,$C197)+
COUNTIFS(ANNOUNCEMENTS!$E$2:$E$180,$B197,ANNOUNCEMENTS!$AB$2:$AB$180,P$159,ANNOUNCEMENTS!$J$2:$J$180,$C197)+
COUNTIFS(ANNOUNCEMENTS!$E$2:$E$180,$B197,ANNOUNCEMENTS!$AD$2:$AD$180,P$159,ANNOUNCEMENTS!$J$2:$J$180,$C197)</f>
        <v>1</v>
      </c>
      <c r="Q197" s="21">
        <f>COUNTIFS(ANNOUNCEMENTS!$E$2:$E$180,$B197,ANNOUNCEMENTS!$Z$2:$Z$180,Q$159,ANNOUNCEMENTS!$J$2:$J$180,$C197)+
COUNTIFS(ANNOUNCEMENTS!$E$2:$E$180,$B197,ANNOUNCEMENTS!$AB$2:$AB$180,Q$159,ANNOUNCEMENTS!$J$2:$J$180,$C197)+
COUNTIFS(ANNOUNCEMENTS!$E$2:$E$180,$B197,ANNOUNCEMENTS!$AD$2:$AD$180,Q$159,ANNOUNCEMENTS!$J$2:$J$180,$C197)</f>
        <v>1</v>
      </c>
      <c r="R197" s="21">
        <f>COUNTIFS(ANNOUNCEMENTS!$E$2:$E$180,$B197,ANNOUNCEMENTS!$Z$2:$Z$180,R$159,ANNOUNCEMENTS!$J$2:$J$180,$C197)+
COUNTIFS(ANNOUNCEMENTS!$E$2:$E$180,$B197,ANNOUNCEMENTS!$AB$2:$AB$180,R$159,ANNOUNCEMENTS!$J$2:$J$180,$C197)+
COUNTIFS(ANNOUNCEMENTS!$E$2:$E$180,$B197,ANNOUNCEMENTS!$AD$2:$AD$180,R$159,ANNOUNCEMENTS!$J$2:$J$180,$C197)</f>
        <v>0</v>
      </c>
      <c r="S197" s="21">
        <f>COUNTIFS(ANNOUNCEMENTS!$E$2:$E$180,$B197,ANNOUNCEMENTS!$Z$2:$Z$180,S$159,ANNOUNCEMENTS!$J$2:$J$180,$C197)+
COUNTIFS(ANNOUNCEMENTS!$E$2:$E$180,$B197,ANNOUNCEMENTS!$AB$2:$AB$180,S$159,ANNOUNCEMENTS!$J$2:$J$180,$C197)+
COUNTIFS(ANNOUNCEMENTS!$E$2:$E$180,$B197,ANNOUNCEMENTS!$AD$2:$AD$180,S$159,ANNOUNCEMENTS!$J$2:$J$180,$C197)</f>
        <v>3</v>
      </c>
      <c r="T197" s="21">
        <f>COUNTIFS(ANNOUNCEMENTS!$E$2:$E$180,$B197,ANNOUNCEMENTS!$Z$2:$Z$180,T$159,ANNOUNCEMENTS!$J$2:$J$180,$C197)+
COUNTIFS(ANNOUNCEMENTS!$E$2:$E$180,$B197,ANNOUNCEMENTS!$AB$2:$AB$180,T$159,ANNOUNCEMENTS!$J$2:$J$180,$C197)+
COUNTIFS(ANNOUNCEMENTS!$E$2:$E$180,$B197,ANNOUNCEMENTS!$AD$2:$AD$180,T$159,ANNOUNCEMENTS!$J$2:$J$180,$C197)</f>
        <v>3</v>
      </c>
      <c r="U197" s="21">
        <f>COUNTIFS(ANNOUNCEMENTS!$E$2:$E$180,$B197,ANNOUNCEMENTS!$Z$2:$Z$180,U$159,ANNOUNCEMENTS!$J$2:$J$180,$C197)+
COUNTIFS(ANNOUNCEMENTS!$E$2:$E$180,$B197,ANNOUNCEMENTS!$AB$2:$AB$180,U$159,ANNOUNCEMENTS!$J$2:$J$180,$C197)+
COUNTIFS(ANNOUNCEMENTS!$E$2:$E$180,$B197,ANNOUNCEMENTS!$AD$2:$AD$180,U$159,ANNOUNCEMENTS!$J$2:$J$180,$C197)</f>
        <v>0</v>
      </c>
      <c r="V197" s="21">
        <f>COUNTIFS(ANNOUNCEMENTS!$E$2:$E$180,$B197,ANNOUNCEMENTS!$Z$2:$Z$180,V$159,ANNOUNCEMENTS!$J$2:$J$180,$C197)+
COUNTIFS(ANNOUNCEMENTS!$E$2:$E$180,$B197,ANNOUNCEMENTS!$AB$2:$AB$180,V$159,ANNOUNCEMENTS!$J$2:$J$180,$C197)+
COUNTIFS(ANNOUNCEMENTS!$E$2:$E$180,$B197,ANNOUNCEMENTS!$AD$2:$AD$180,V$159,ANNOUNCEMENTS!$J$2:$J$180,$C197)</f>
        <v>0</v>
      </c>
      <c r="W197" s="21">
        <f>COUNTIFS(ANNOUNCEMENTS!$E$2:$E$180,$B197,ANNOUNCEMENTS!$Z$2:$Z$180,W$159,ANNOUNCEMENTS!$J$2:$J$180,$C197)+
COUNTIFS(ANNOUNCEMENTS!$E$2:$E$180,$B197,ANNOUNCEMENTS!$AB$2:$AB$180,W$159,ANNOUNCEMENTS!$J$2:$J$180,$C197)+
COUNTIFS(ANNOUNCEMENTS!$E$2:$E$180,$B197,ANNOUNCEMENTS!$AD$2:$AD$180,W$159,ANNOUNCEMENTS!$J$2:$J$180,$C197)</f>
        <v>2</v>
      </c>
      <c r="X197" s="21">
        <f>COUNTIFS(ANNOUNCEMENTS!$E$2:$E$180,$B197,ANNOUNCEMENTS!$W$2:$W$180,X$159,ANNOUNCEMENTS!$J$2:$J$180,$C197)</f>
        <v>1</v>
      </c>
      <c r="Y197" s="21">
        <f>COUNTIFS(ANNOUNCEMENTS!$E$2:$E$180,$B197,ANNOUNCEMENTS!$W$2:$W$180,Y$159,ANNOUNCEMENTS!$J$2:$J$180,$C197)</f>
        <v>5</v>
      </c>
      <c r="Z197" s="21">
        <f>COUNTIFS(ANNOUNCEMENTS!$E$2:$E$180,$B197,ANNOUNCEMENTS!$W$2:$W$180,Z$159,ANNOUNCEMENTS!$J$2:$J$180,$C197)</f>
        <v>1</v>
      </c>
      <c r="AA197" s="21">
        <f>COUNTIFS(ANNOUNCEMENTS!$E$2:$E$180,$B197,ANNOUNCEMENTS!$W$2:$W$180,AA$159,ANNOUNCEMENTS!$J$2:$J$180,$C197)</f>
        <v>0</v>
      </c>
      <c r="AB197" s="21">
        <f>COUNTIFS(ANNOUNCEMENTS!$E$2:$E$180,$B197,ANNOUNCEMENTS!$W$2:$W$180,AB$159,ANNOUNCEMENTS!$J$2:$J$180,$C197)</f>
        <v>0</v>
      </c>
      <c r="AC197" s="21">
        <f>COUNTIFS(ANNOUNCEMENTS!$E$2:$E$180,$B197,ANNOUNCEMENTS!$W$2:$W$180,AC$159,ANNOUNCEMENTS!$J$2:$J$180,$C197)</f>
        <v>2</v>
      </c>
      <c r="AD197" s="21">
        <f>COUNTIFS(ANNOUNCEMENTS!$E$2:$E$180,$B197,ANNOUNCEMENTS!$W$2:$W$180,AD$159,ANNOUNCEMENTS!$J$2:$J$180,$C197)</f>
        <v>0</v>
      </c>
      <c r="AE197" s="311">
        <f t="shared" si="73"/>
        <v>1</v>
      </c>
      <c r="AF197" s="311">
        <f t="shared" si="74"/>
        <v>0</v>
      </c>
      <c r="AG197" s="311">
        <f t="shared" si="75"/>
        <v>0</v>
      </c>
      <c r="AH197" s="311">
        <f t="shared" si="76"/>
        <v>0</v>
      </c>
      <c r="AI197" s="21">
        <f>COUNTIFS(ANNOUNCEMENTS!$E$2:$E$180,B197,ANNOUNCEMENTS!$Z$2:$Z$180,$J$37,ANNOUNCEMENTS!$J$2:$J$180,C197)+
COUNTIFS(ANNOUNCEMENTS!$E$2:$E$180,B197,ANNOUNCEMENTS!$Z$2:$Z$180,$L$37,ANNOUNCEMENTS!$J$2:$J$180,C197)+
COUNTIFS(ANNOUNCEMENTS!$E$2:$E$180,B197,ANNOUNCEMENTS!$AB$2:$AB$180,$J$37,ANNOUNCEMENTS!$J$2:$J$180,C197)+
COUNTIFS(ANNOUNCEMENTS!$E$2:$E$180,B197,ANNOUNCEMENTS!$AB$2:$AB$180,$L$37,ANNOUNCEMENTS!$J$2:$J$180,C197)+
COUNTIFS(ANNOUNCEMENTS!$E$2:$E$180,B197,ANNOUNCEMENTS!$AD$2:$AD$180,$J$37,ANNOUNCEMENTS!$J$2:$J$180,C197)+
COUNTIFS(ANNOUNCEMENTS!$E$2:$E$180,B197,ANNOUNCEMENTS!$AD$2:$AD$180,$L$37,ANNOUNCEMENTS!$J$2:$J$180,C197)</f>
        <v>4</v>
      </c>
      <c r="AJ197" s="21">
        <f>COUNTIFS(ANNOUNCEMENTS!$E$2:$E$180,B197,ANNOUNCEMENTS!$Z$2:$Z$180,$H$37,ANNOUNCEMENTS!$J$2:$J$180,C197)+
COUNTIFS(ANNOUNCEMENTS!$E$2:$E$180,B197,ANNOUNCEMENTS!$Z$2:$Z$180,$I$37,ANNOUNCEMENTS!$J$2:$J$180,C197)+
COUNTIFS(ANNOUNCEMENTS!$E$2:$E$180,B197,ANNOUNCEMENTS!$Z$2:$Z$180,$P$37,ANNOUNCEMENTS!$J$2:$J$180,C197)+
COUNTIFS(ANNOUNCEMENTS!$E$2:$E$180,B197,ANNOUNCEMENTS!$AB$2:$AB$180,$H$37,ANNOUNCEMENTS!$J$2:$J$180,C197)+
COUNTIFS(ANNOUNCEMENTS!$E$2:$E$180,B197,ANNOUNCEMENTS!$AB$2:$AB$180,$I$37,ANNOUNCEMENTS!$J$2:$J$180,C197)+
COUNTIFS(ANNOUNCEMENTS!$E$2:$E$180,B197,ANNOUNCEMENTS!$AB$2:$AB$180,$P$37,ANNOUNCEMENTS!$J$2:$J$180,C197)+
COUNTIFS(ANNOUNCEMENTS!$E$2:$E$180,B197,ANNOUNCEMENTS!$AD$2:$AD$180,$H$37,ANNOUNCEMENTS!$J$2:$J$180,C197)+
COUNTIFS(ANNOUNCEMENTS!$E$2:$E$180,B197,ANNOUNCEMENTS!$AD$2:$AD$180,$I$37,ANNOUNCEMENTS!$J$2:$J$180,C197)+
COUNTIFS(ANNOUNCEMENTS!$E$2:$E$180,B197,ANNOUNCEMENTS!$AD$2:$AD$180,$P$37,ANNOUNCEMENTS!$J$2:$J$180,C197)</f>
        <v>6</v>
      </c>
      <c r="AK197" s="310" cm="1">
        <f t="array" ref="AK197">SUM(COUNTIFS(ANNOUNCEMENTS!$E$2:$E$180,B197,ANNOUNCEMENTS!$W$2:$W$180,$E$38:$E$40,ANNOUNCEMENTS!$J$2:$J$180,C197))</f>
        <v>7</v>
      </c>
      <c r="AL197" s="21" cm="1">
        <f t="array" ref="AL197">SUM(COUNTIFS(ANNOUNCEMENTS!$E$2:$E$180,B197,ANNOUNCEMENTS!$W$2:$W$180,$E$43:$E$44,ANNOUNCEMENTS!$J$2:$J$180,C197))</f>
        <v>2</v>
      </c>
      <c r="AM197" s="21">
        <f t="shared" si="77"/>
        <v>9</v>
      </c>
      <c r="AN197" s="21">
        <f t="shared" si="78"/>
        <v>3</v>
      </c>
      <c r="AO197" s="309" cm="1">
        <f t="array" ref="AO197">_xlfn.XLOOKUP(AO$159,CBIMPORT!$A$1:$AM$1,_xlfn.XLOOKUP($B197,CBIMPORT!$A$1:$A$40,CBIMPORT!$A$1:$AM$40))</f>
        <v>1</v>
      </c>
      <c r="AP197" s="308" cm="1">
        <f t="array" ref="AP197">_xlfn.XLOOKUP(AP$159,CBIMPORT!$A$1:$AM$1,_xlfn.XLOOKUP($B197,CBIMPORT!$A$1:$A$40,CBIMPORT!$A$1:$AM$40))</f>
        <v>700</v>
      </c>
      <c r="AQ197" s="307" cm="1">
        <f t="array" ref="AQ197">_xlfn.XLOOKUP(AQ$159,CBIMPORT!$A$1:$AM$1,_xlfn.XLOOKUP($B197,CBIMPORT!$A$1:$A$40,CBIMPORT!$A$1:$AM$40))</f>
        <v>648.071101</v>
      </c>
    </row>
    <row r="198" spans="1:60" x14ac:dyDescent="0.35">
      <c r="A198" s="303" t="s">
        <v>2205</v>
      </c>
      <c r="B198" s="315" t="str">
        <f t="shared" si="71"/>
        <v>Uber</v>
      </c>
      <c r="C198" s="314" t="str">
        <f t="shared" si="72"/>
        <v>Ridehailing</v>
      </c>
      <c r="D198" s="313">
        <f>COUNTIFS(ANNOUNCEMENTS!$E$2:$E$180,$B198,ANNOUNCEMENTS!$J$2:$J$180,$C198)</f>
        <v>1</v>
      </c>
      <c r="E198" s="312" t="str" cm="1">
        <f t="array" ref="E198">_xlfn.ARRAYTOTEXT(
IF(D198&gt;0,_xlfn._xlws.FILTER(CHOOSE({1},
ANNOUNCEMENTS!$K$1:$K$180),
(ANNOUNCEMENTS!$E$1:$E$180=B198)*((ANNOUNCEMENTS!$J$1:$J$180=$C198)))))</f>
        <v>Toyota</v>
      </c>
      <c r="F198" s="306">
        <f t="shared" si="64"/>
        <v>0</v>
      </c>
      <c r="G198" s="310" t="str" cm="1">
        <f t="array" ref="G198">_xlfn.XLOOKUP($A198,'Industries all mentioned partne'!$A$2:$A$58,_xlfn.XLOOKUP(G$159,'Industries all mentioned partne'!$A$2:$DM$2,'Industries all mentioned partne'!$A$2:$DM$58))</f>
        <v>OEM</v>
      </c>
      <c r="H198" s="91" cm="1">
        <f t="array" ref="H198">_xlfn.XLOOKUP($A198,'Industries all mentioned partne'!$A$2:$A$58,_xlfn.XLOOKUP(H$159,'Industries all mentioned partne'!$A$2:$DM$2,'Industries all mentioned partne'!$A$2:$DM$58))</f>
        <v>1</v>
      </c>
      <c r="I198" s="310" t="str" cm="1">
        <f t="array" ref="I198">_xlfn.XLOOKUP($A198,'Industries all mentioned partne'!$A$2:$A$58,_xlfn.XLOOKUP(I$159,'Industries all mentioned partne'!$A$2:$DM$2,'Industries all mentioned partne'!$A$2:$DM$58))</f>
        <v/>
      </c>
      <c r="J198" s="91" t="str" cm="1">
        <f t="array" ref="J198">_xlfn.XLOOKUP($A198,'Industries all mentioned partne'!$A$2:$A$58,_xlfn.XLOOKUP(J$159,'Industries all mentioned partne'!$A$2:$DM$2,'Industries all mentioned partne'!$A$2:$DM$58))</f>
        <v/>
      </c>
      <c r="K198" s="310" t="str" cm="1">
        <f t="array" ref="K198">_xlfn.XLOOKUP($A198,'Industries all mentioned partne'!$A$2:$A$58,_xlfn.XLOOKUP(K$159,'Industries all mentioned partne'!$A$2:$DM$2,'Industries all mentioned partne'!$A$2:$DM$58))</f>
        <v/>
      </c>
      <c r="L198" s="91" t="str" cm="1">
        <f t="array" ref="L198">_xlfn.XLOOKUP($A198,'Industries all mentioned partne'!$A$2:$A$58,_xlfn.XLOOKUP(L$159,'Industries all mentioned partne'!$A$2:$DM$2,'Industries all mentioned partne'!$A$2:$DM$58))</f>
        <v/>
      </c>
      <c r="M198" s="311" t="str" cm="1">
        <f t="array" ref="M198">_xlfn.XLOOKUP($M$159,CBIMPORT!$A$1:$AN$1,_xlfn.XLOOKUP(B198,CBIMPORT!$A$1:$A$171,CBIMPORT!$A$1:$AN$171))</f>
        <v>L4</v>
      </c>
      <c r="N198" s="309" cm="1">
        <f t="array" ref="N198">_xlfn.XLOOKUP(N$159,CBIMPORT!$A$1:$AM$1,_xlfn.XLOOKUP($B198,CBIMPORT!$A$1:$A$40,CBIMPORT!$A$1:$AM$40))</f>
        <v>1.0900000000000001</v>
      </c>
      <c r="O198" s="21">
        <f>COUNTIFS(ANNOUNCEMENTS!$E$2:$E$180,$B198,ANNOUNCEMENTS!$Z$2:$Z$180,O$159,ANNOUNCEMENTS!$J$2:$J$180,$C198)+
COUNTIFS(ANNOUNCEMENTS!$E$2:$E$180,$B198,ANNOUNCEMENTS!$AB$2:$AB$180,O$159,ANNOUNCEMENTS!$J$2:$J$180,$C198)+
COUNTIFS(ANNOUNCEMENTS!$E$2:$E$180,$B198,ANNOUNCEMENTS!$AD$2:$AD$180,O$159,ANNOUNCEMENTS!$J$2:$J$180,$C198)</f>
        <v>0</v>
      </c>
      <c r="P198" s="21">
        <f>COUNTIFS(ANNOUNCEMENTS!$E$2:$E$180,$B198,ANNOUNCEMENTS!$Z$2:$Z$180,P$159,ANNOUNCEMENTS!$J$2:$J$180,$C198)+
COUNTIFS(ANNOUNCEMENTS!$E$2:$E$180,$B198,ANNOUNCEMENTS!$AB$2:$AB$180,P$159,ANNOUNCEMENTS!$J$2:$J$180,$C198)+
COUNTIFS(ANNOUNCEMENTS!$E$2:$E$180,$B198,ANNOUNCEMENTS!$AD$2:$AD$180,P$159,ANNOUNCEMENTS!$J$2:$J$180,$C198)</f>
        <v>0</v>
      </c>
      <c r="Q198" s="21">
        <f>COUNTIFS(ANNOUNCEMENTS!$E$2:$E$180,$B198,ANNOUNCEMENTS!$Z$2:$Z$180,Q$159,ANNOUNCEMENTS!$J$2:$J$180,$C198)+
COUNTIFS(ANNOUNCEMENTS!$E$2:$E$180,$B198,ANNOUNCEMENTS!$AB$2:$AB$180,Q$159,ANNOUNCEMENTS!$J$2:$J$180,$C198)+
COUNTIFS(ANNOUNCEMENTS!$E$2:$E$180,$B198,ANNOUNCEMENTS!$AD$2:$AD$180,Q$159,ANNOUNCEMENTS!$J$2:$J$180,$C198)</f>
        <v>0</v>
      </c>
      <c r="R198" s="21">
        <f>COUNTIFS(ANNOUNCEMENTS!$E$2:$E$180,$B198,ANNOUNCEMENTS!$Z$2:$Z$180,R$159,ANNOUNCEMENTS!$J$2:$J$180,$C198)+
COUNTIFS(ANNOUNCEMENTS!$E$2:$E$180,$B198,ANNOUNCEMENTS!$AB$2:$AB$180,R$159,ANNOUNCEMENTS!$J$2:$J$180,$C198)+
COUNTIFS(ANNOUNCEMENTS!$E$2:$E$180,$B198,ANNOUNCEMENTS!$AD$2:$AD$180,R$159,ANNOUNCEMENTS!$J$2:$J$180,$C198)</f>
        <v>0</v>
      </c>
      <c r="S198" s="21">
        <f>COUNTIFS(ANNOUNCEMENTS!$E$2:$E$180,$B198,ANNOUNCEMENTS!$Z$2:$Z$180,S$159,ANNOUNCEMENTS!$J$2:$J$180,$C198)+
COUNTIFS(ANNOUNCEMENTS!$E$2:$E$180,$B198,ANNOUNCEMENTS!$AB$2:$AB$180,S$159,ANNOUNCEMENTS!$J$2:$J$180,$C198)+
COUNTIFS(ANNOUNCEMENTS!$E$2:$E$180,$B198,ANNOUNCEMENTS!$AD$2:$AD$180,S$159,ANNOUNCEMENTS!$J$2:$J$180,$C198)</f>
        <v>0</v>
      </c>
      <c r="T198" s="21">
        <f>COUNTIFS(ANNOUNCEMENTS!$E$2:$E$180,$B198,ANNOUNCEMENTS!$Z$2:$Z$180,T$159,ANNOUNCEMENTS!$J$2:$J$180,$C198)+
COUNTIFS(ANNOUNCEMENTS!$E$2:$E$180,$B198,ANNOUNCEMENTS!$AB$2:$AB$180,T$159,ANNOUNCEMENTS!$J$2:$J$180,$C198)+
COUNTIFS(ANNOUNCEMENTS!$E$2:$E$180,$B198,ANNOUNCEMENTS!$AD$2:$AD$180,T$159,ANNOUNCEMENTS!$J$2:$J$180,$C198)</f>
        <v>0</v>
      </c>
      <c r="U198" s="21">
        <f>COUNTIFS(ANNOUNCEMENTS!$E$2:$E$180,$B198,ANNOUNCEMENTS!$Z$2:$Z$180,U$159,ANNOUNCEMENTS!$J$2:$J$180,$C198)+
COUNTIFS(ANNOUNCEMENTS!$E$2:$E$180,$B198,ANNOUNCEMENTS!$AB$2:$AB$180,U$159,ANNOUNCEMENTS!$J$2:$J$180,$C198)+
COUNTIFS(ANNOUNCEMENTS!$E$2:$E$180,$B198,ANNOUNCEMENTS!$AD$2:$AD$180,U$159,ANNOUNCEMENTS!$J$2:$J$180,$C198)</f>
        <v>0</v>
      </c>
      <c r="V198" s="21">
        <f>COUNTIFS(ANNOUNCEMENTS!$E$2:$E$180,$B198,ANNOUNCEMENTS!$Z$2:$Z$180,V$159,ANNOUNCEMENTS!$J$2:$J$180,$C198)+
COUNTIFS(ANNOUNCEMENTS!$E$2:$E$180,$B198,ANNOUNCEMENTS!$AB$2:$AB$180,V$159,ANNOUNCEMENTS!$J$2:$J$180,$C198)+
COUNTIFS(ANNOUNCEMENTS!$E$2:$E$180,$B198,ANNOUNCEMENTS!$AD$2:$AD$180,V$159,ANNOUNCEMENTS!$J$2:$J$180,$C198)</f>
        <v>0</v>
      </c>
      <c r="W198" s="21">
        <f>COUNTIFS(ANNOUNCEMENTS!$E$2:$E$180,$B198,ANNOUNCEMENTS!$Z$2:$Z$180,W$159,ANNOUNCEMENTS!$J$2:$J$180,$C198)+
COUNTIFS(ANNOUNCEMENTS!$E$2:$E$180,$B198,ANNOUNCEMENTS!$AB$2:$AB$180,W$159,ANNOUNCEMENTS!$J$2:$J$180,$C198)+
COUNTIFS(ANNOUNCEMENTS!$E$2:$E$180,$B198,ANNOUNCEMENTS!$AD$2:$AD$180,W$159,ANNOUNCEMENTS!$J$2:$J$180,$C198)</f>
        <v>1</v>
      </c>
      <c r="X198" s="21">
        <f>COUNTIFS(ANNOUNCEMENTS!$E$2:$E$180,$B198,ANNOUNCEMENTS!$W$2:$W$180,X$159,ANNOUNCEMENTS!$J$2:$J$180,$C198)</f>
        <v>0</v>
      </c>
      <c r="Y198" s="21">
        <f>COUNTIFS(ANNOUNCEMENTS!$E$2:$E$180,$B198,ANNOUNCEMENTS!$W$2:$W$180,Y$159,ANNOUNCEMENTS!$J$2:$J$180,$C198)</f>
        <v>0</v>
      </c>
      <c r="Z198" s="21">
        <f>COUNTIFS(ANNOUNCEMENTS!$E$2:$E$180,$B198,ANNOUNCEMENTS!$W$2:$W$180,Z$159,ANNOUNCEMENTS!$J$2:$J$180,$C198)</f>
        <v>1</v>
      </c>
      <c r="AA198" s="21">
        <f>COUNTIFS(ANNOUNCEMENTS!$E$2:$E$180,$B198,ANNOUNCEMENTS!$W$2:$W$180,AA$159,ANNOUNCEMENTS!$J$2:$J$180,$C198)</f>
        <v>0</v>
      </c>
      <c r="AB198" s="21">
        <f>COUNTIFS(ANNOUNCEMENTS!$E$2:$E$180,$B198,ANNOUNCEMENTS!$W$2:$W$180,AB$159,ANNOUNCEMENTS!$J$2:$J$180,$C198)</f>
        <v>0</v>
      </c>
      <c r="AC198" s="21">
        <f>COUNTIFS(ANNOUNCEMENTS!$E$2:$E$180,$B198,ANNOUNCEMENTS!$W$2:$W$180,AC$159,ANNOUNCEMENTS!$J$2:$J$180,$C198)</f>
        <v>0</v>
      </c>
      <c r="AD198" s="21">
        <f>COUNTIFS(ANNOUNCEMENTS!$E$2:$E$180,$B198,ANNOUNCEMENTS!$W$2:$W$180,AD$159,ANNOUNCEMENTS!$J$2:$J$180,$C198)</f>
        <v>0</v>
      </c>
      <c r="AE198" s="311">
        <f t="shared" si="73"/>
        <v>0</v>
      </c>
      <c r="AF198" s="311">
        <f t="shared" si="74"/>
        <v>0</v>
      </c>
      <c r="AG198" s="311">
        <f t="shared" si="75"/>
        <v>0</v>
      </c>
      <c r="AH198" s="311">
        <f t="shared" si="76"/>
        <v>1</v>
      </c>
      <c r="AI198" s="21">
        <f>COUNTIFS(ANNOUNCEMENTS!$E$2:$E$180,B198,ANNOUNCEMENTS!$Z$2:$Z$180,$J$37,ANNOUNCEMENTS!$J$2:$J$180,C198)+
COUNTIFS(ANNOUNCEMENTS!$E$2:$E$180,B198,ANNOUNCEMENTS!$Z$2:$Z$180,$L$37,ANNOUNCEMENTS!$J$2:$J$180,C198)+
COUNTIFS(ANNOUNCEMENTS!$E$2:$E$180,B198,ANNOUNCEMENTS!$AB$2:$AB$180,$J$37,ANNOUNCEMENTS!$J$2:$J$180,C198)+
COUNTIFS(ANNOUNCEMENTS!$E$2:$E$180,B198,ANNOUNCEMENTS!$AB$2:$AB$180,$L$37,ANNOUNCEMENTS!$J$2:$J$180,C198)+
COUNTIFS(ANNOUNCEMENTS!$E$2:$E$180,B198,ANNOUNCEMENTS!$AD$2:$AD$180,$J$37,ANNOUNCEMENTS!$J$2:$J$180,C198)+
COUNTIFS(ANNOUNCEMENTS!$E$2:$E$180,B198,ANNOUNCEMENTS!$AD$2:$AD$180,$L$37,ANNOUNCEMENTS!$J$2:$J$180,C198)</f>
        <v>0</v>
      </c>
      <c r="AJ198" s="21">
        <f>COUNTIFS(ANNOUNCEMENTS!$E$2:$E$180,B198,ANNOUNCEMENTS!$Z$2:$Z$180,$H$37,ANNOUNCEMENTS!$J$2:$J$180,C198)+
COUNTIFS(ANNOUNCEMENTS!$E$2:$E$180,B198,ANNOUNCEMENTS!$Z$2:$Z$180,$I$37,ANNOUNCEMENTS!$J$2:$J$180,C198)+
COUNTIFS(ANNOUNCEMENTS!$E$2:$E$180,B198,ANNOUNCEMENTS!$Z$2:$Z$180,$P$37,ANNOUNCEMENTS!$J$2:$J$180,C198)+
COUNTIFS(ANNOUNCEMENTS!$E$2:$E$180,B198,ANNOUNCEMENTS!$AB$2:$AB$180,$H$37,ANNOUNCEMENTS!$J$2:$J$180,C198)+
COUNTIFS(ANNOUNCEMENTS!$E$2:$E$180,B198,ANNOUNCEMENTS!$AB$2:$AB$180,$I$37,ANNOUNCEMENTS!$J$2:$J$180,C198)+
COUNTIFS(ANNOUNCEMENTS!$E$2:$E$180,B198,ANNOUNCEMENTS!$AB$2:$AB$180,$P$37,ANNOUNCEMENTS!$J$2:$J$180,C198)+
COUNTIFS(ANNOUNCEMENTS!$E$2:$E$180,B198,ANNOUNCEMENTS!$AD$2:$AD$180,$H$37,ANNOUNCEMENTS!$J$2:$J$180,C198)+
COUNTIFS(ANNOUNCEMENTS!$E$2:$E$180,B198,ANNOUNCEMENTS!$AD$2:$AD$180,$I$37,ANNOUNCEMENTS!$J$2:$J$180,C198)+
COUNTIFS(ANNOUNCEMENTS!$E$2:$E$180,B198,ANNOUNCEMENTS!$AD$2:$AD$180,$P$37,ANNOUNCEMENTS!$J$2:$J$180,C198)</f>
        <v>1</v>
      </c>
      <c r="AK198" s="310" cm="1">
        <f t="array" ref="AK198">SUM(COUNTIFS(ANNOUNCEMENTS!$E$2:$E$180,B198,ANNOUNCEMENTS!$W$2:$W$180,$E$38:$E$40,ANNOUNCEMENTS!$J$2:$J$180,C198))</f>
        <v>1</v>
      </c>
      <c r="AL198" s="21" cm="1">
        <f t="array" ref="AL198">SUM(COUNTIFS(ANNOUNCEMENTS!$E$2:$E$180,B198,ANNOUNCEMENTS!$W$2:$W$180,$E$43:$E$44,ANNOUNCEMENTS!$J$2:$J$180,C198))</f>
        <v>0</v>
      </c>
      <c r="AM198" s="21">
        <f t="shared" si="77"/>
        <v>1</v>
      </c>
      <c r="AN198" s="21">
        <f t="shared" si="78"/>
        <v>0</v>
      </c>
      <c r="AO198" s="309" cm="1">
        <f t="array" ref="AO198">_xlfn.XLOOKUP(AO$159,CBIMPORT!$A$1:$AM$1,_xlfn.XLOOKUP($B198,CBIMPORT!$A$1:$A$40,CBIMPORT!$A$1:$AM$40))</f>
        <v>1</v>
      </c>
      <c r="AP198" s="308" cm="1">
        <f t="array" ref="AP198">_xlfn.XLOOKUP(AP$159,CBIMPORT!$A$1:$AM$1,_xlfn.XLOOKUP($B198,CBIMPORT!$A$1:$A$40,CBIMPORT!$A$1:$AM$40))</f>
        <v>3000</v>
      </c>
      <c r="AQ198" s="307" cm="1">
        <f t="array" ref="AQ198">_xlfn.XLOOKUP(AQ$159,CBIMPORT!$A$1:$AM$1,_xlfn.XLOOKUP($B198,CBIMPORT!$A$1:$A$40,CBIMPORT!$A$1:$AM$40))</f>
        <v>25212.45</v>
      </c>
    </row>
    <row r="199" spans="1:60" x14ac:dyDescent="0.35">
      <c r="A199" s="303" t="s">
        <v>2206</v>
      </c>
      <c r="B199" s="315" t="str">
        <f t="shared" si="71"/>
        <v>Uber Freight</v>
      </c>
      <c r="C199" s="314" t="str">
        <f t="shared" si="72"/>
        <v>Trucking</v>
      </c>
      <c r="D199" s="313">
        <f>COUNTIFS(ANNOUNCEMENTS!$E$2:$E$180,$B199,ANNOUNCEMENTS!$J$2:$J$180,$C199)</f>
        <v>3</v>
      </c>
      <c r="E199" s="312" t="str" cm="1">
        <f t="array" ref="E199">_xlfn.ARRAYTOTEXT(
IF(D199&gt;0,_xlfn._xlws.FILTER(CHOOSE({1},
ANNOUNCEMENTS!$K$1:$K$180),
(ANNOUNCEMENTS!$E$1:$E$180=B199)*((ANNOUNCEMENTS!$J$1:$J$180=$C199)))))</f>
        <v>Volvo Autonomous Solutions; Waymo; Waabi</v>
      </c>
      <c r="F199" s="306">
        <f t="shared" si="64"/>
        <v>0</v>
      </c>
      <c r="G199" s="310" t="str" cm="1">
        <f t="array" ref="G199">_xlfn.XLOOKUP($A199,'Industries all mentioned partne'!$A$2:$A$58,_xlfn.XLOOKUP(G$159,'Industries all mentioned partne'!$A$2:$DM$2,'Industries all mentioned partne'!$A$2:$DM$58))</f>
        <v>Autonomous Vehicles</v>
      </c>
      <c r="H199" s="91" cm="1">
        <f t="array" ref="H199">_xlfn.XLOOKUP($A199,'Industries all mentioned partne'!$A$2:$A$58,_xlfn.XLOOKUP(H$159,'Industries all mentioned partne'!$A$2:$DM$2,'Industries all mentioned partne'!$A$2:$DM$58))</f>
        <v>1</v>
      </c>
      <c r="I199" s="310" t="str" cm="1">
        <f t="array" ref="I199">_xlfn.XLOOKUP($A199,'Industries all mentioned partne'!$A$2:$A$58,_xlfn.XLOOKUP(I$159,'Industries all mentioned partne'!$A$2:$DM$2,'Industries all mentioned partne'!$A$2:$DM$58))</f>
        <v/>
      </c>
      <c r="J199" s="91" t="str" cm="1">
        <f t="array" ref="J199">_xlfn.XLOOKUP($A199,'Industries all mentioned partne'!$A$2:$A$58,_xlfn.XLOOKUP(J$159,'Industries all mentioned partne'!$A$2:$DM$2,'Industries all mentioned partne'!$A$2:$DM$58))</f>
        <v/>
      </c>
      <c r="K199" s="310" t="str" cm="1">
        <f t="array" ref="K199">_xlfn.XLOOKUP($A199,'Industries all mentioned partne'!$A$2:$A$58,_xlfn.XLOOKUP(K$159,'Industries all mentioned partne'!$A$2:$DM$2,'Industries all mentioned partne'!$A$2:$DM$58))</f>
        <v/>
      </c>
      <c r="L199" s="91" t="str" cm="1">
        <f t="array" ref="L199">_xlfn.XLOOKUP($A199,'Industries all mentioned partne'!$A$2:$A$58,_xlfn.XLOOKUP(L$159,'Industries all mentioned partne'!$A$2:$DM$2,'Industries all mentioned partne'!$A$2:$DM$58))</f>
        <v/>
      </c>
      <c r="M199" s="311" t="str" cm="1">
        <f t="array" ref="M199">_xlfn.XLOOKUP($M$159,CBIMPORT!$A$1:$AN$1,_xlfn.XLOOKUP(B199,CBIMPORT!$A$1:$A$171,CBIMPORT!$A$1:$AN$171))</f>
        <v>L4</v>
      </c>
      <c r="N199" s="309" t="str" cm="1">
        <f t="array" ref="N199">_xlfn.XLOOKUP(N$159,CBIMPORT!$A$1:$AM$1,_xlfn.XLOOKUP($B199,CBIMPORT!$A$1:$A$40,CBIMPORT!$A$1:$AM$40))</f>
        <v>n.a.</v>
      </c>
      <c r="O199" s="21">
        <f>COUNTIFS(ANNOUNCEMENTS!$E$2:$E$180,$B199,ANNOUNCEMENTS!$Z$2:$Z$180,O$159,ANNOUNCEMENTS!$J$2:$J$180,$C199)+
COUNTIFS(ANNOUNCEMENTS!$E$2:$E$180,$B199,ANNOUNCEMENTS!$AB$2:$AB$180,O$159,ANNOUNCEMENTS!$J$2:$J$180,$C199)+
COUNTIFS(ANNOUNCEMENTS!$E$2:$E$180,$B199,ANNOUNCEMENTS!$AD$2:$AD$180,O$159,ANNOUNCEMENTS!$J$2:$J$180,$C199)</f>
        <v>0</v>
      </c>
      <c r="P199" s="21">
        <f>COUNTIFS(ANNOUNCEMENTS!$E$2:$E$180,$B199,ANNOUNCEMENTS!$Z$2:$Z$180,P$159,ANNOUNCEMENTS!$J$2:$J$180,$C199)+
COUNTIFS(ANNOUNCEMENTS!$E$2:$E$180,$B199,ANNOUNCEMENTS!$AB$2:$AB$180,P$159,ANNOUNCEMENTS!$J$2:$J$180,$C199)+
COUNTIFS(ANNOUNCEMENTS!$E$2:$E$180,$B199,ANNOUNCEMENTS!$AD$2:$AD$180,P$159,ANNOUNCEMENTS!$J$2:$J$180,$C199)</f>
        <v>0</v>
      </c>
      <c r="Q199" s="21">
        <f>COUNTIFS(ANNOUNCEMENTS!$E$2:$E$180,$B199,ANNOUNCEMENTS!$Z$2:$Z$180,Q$159,ANNOUNCEMENTS!$J$2:$J$180,$C199)+
COUNTIFS(ANNOUNCEMENTS!$E$2:$E$180,$B199,ANNOUNCEMENTS!$AB$2:$AB$180,Q$159,ANNOUNCEMENTS!$J$2:$J$180,$C199)+
COUNTIFS(ANNOUNCEMENTS!$E$2:$E$180,$B199,ANNOUNCEMENTS!$AD$2:$AD$180,Q$159,ANNOUNCEMENTS!$J$2:$J$180,$C199)</f>
        <v>2</v>
      </c>
      <c r="R199" s="21">
        <f>COUNTIFS(ANNOUNCEMENTS!$E$2:$E$180,$B199,ANNOUNCEMENTS!$Z$2:$Z$180,R$159,ANNOUNCEMENTS!$J$2:$J$180,$C199)+
COUNTIFS(ANNOUNCEMENTS!$E$2:$E$180,$B199,ANNOUNCEMENTS!$AB$2:$AB$180,R$159,ANNOUNCEMENTS!$J$2:$J$180,$C199)+
COUNTIFS(ANNOUNCEMENTS!$E$2:$E$180,$B199,ANNOUNCEMENTS!$AD$2:$AD$180,R$159,ANNOUNCEMENTS!$J$2:$J$180,$C199)</f>
        <v>0</v>
      </c>
      <c r="S199" s="21">
        <f>COUNTIFS(ANNOUNCEMENTS!$E$2:$E$180,$B199,ANNOUNCEMENTS!$Z$2:$Z$180,S$159,ANNOUNCEMENTS!$J$2:$J$180,$C199)+
COUNTIFS(ANNOUNCEMENTS!$E$2:$E$180,$B199,ANNOUNCEMENTS!$AB$2:$AB$180,S$159,ANNOUNCEMENTS!$J$2:$J$180,$C199)+
COUNTIFS(ANNOUNCEMENTS!$E$2:$E$180,$B199,ANNOUNCEMENTS!$AD$2:$AD$180,S$159,ANNOUNCEMENTS!$J$2:$J$180,$C199)</f>
        <v>1</v>
      </c>
      <c r="T199" s="21">
        <f>COUNTIFS(ANNOUNCEMENTS!$E$2:$E$180,$B199,ANNOUNCEMENTS!$Z$2:$Z$180,T$159,ANNOUNCEMENTS!$J$2:$J$180,$C199)+
COUNTIFS(ANNOUNCEMENTS!$E$2:$E$180,$B199,ANNOUNCEMENTS!$AB$2:$AB$180,T$159,ANNOUNCEMENTS!$J$2:$J$180,$C199)+
COUNTIFS(ANNOUNCEMENTS!$E$2:$E$180,$B199,ANNOUNCEMENTS!$AD$2:$AD$180,T$159,ANNOUNCEMENTS!$J$2:$J$180,$C199)</f>
        <v>0</v>
      </c>
      <c r="U199" s="21">
        <f>COUNTIFS(ANNOUNCEMENTS!$E$2:$E$180,$B199,ANNOUNCEMENTS!$Z$2:$Z$180,U$159,ANNOUNCEMENTS!$J$2:$J$180,$C199)+
COUNTIFS(ANNOUNCEMENTS!$E$2:$E$180,$B199,ANNOUNCEMENTS!$AB$2:$AB$180,U$159,ANNOUNCEMENTS!$J$2:$J$180,$C199)+
COUNTIFS(ANNOUNCEMENTS!$E$2:$E$180,$B199,ANNOUNCEMENTS!$AD$2:$AD$180,U$159,ANNOUNCEMENTS!$J$2:$J$180,$C199)</f>
        <v>0</v>
      </c>
      <c r="V199" s="21">
        <f>COUNTIFS(ANNOUNCEMENTS!$E$2:$E$180,$B199,ANNOUNCEMENTS!$Z$2:$Z$180,V$159,ANNOUNCEMENTS!$J$2:$J$180,$C199)+
COUNTIFS(ANNOUNCEMENTS!$E$2:$E$180,$B199,ANNOUNCEMENTS!$AB$2:$AB$180,V$159,ANNOUNCEMENTS!$J$2:$J$180,$C199)+
COUNTIFS(ANNOUNCEMENTS!$E$2:$E$180,$B199,ANNOUNCEMENTS!$AD$2:$AD$180,V$159,ANNOUNCEMENTS!$J$2:$J$180,$C199)</f>
        <v>0</v>
      </c>
      <c r="W199" s="21">
        <f>COUNTIFS(ANNOUNCEMENTS!$E$2:$E$180,$B199,ANNOUNCEMENTS!$Z$2:$Z$180,W$159,ANNOUNCEMENTS!$J$2:$J$180,$C199)+
COUNTIFS(ANNOUNCEMENTS!$E$2:$E$180,$B199,ANNOUNCEMENTS!$AB$2:$AB$180,W$159,ANNOUNCEMENTS!$J$2:$J$180,$C199)+
COUNTIFS(ANNOUNCEMENTS!$E$2:$E$180,$B199,ANNOUNCEMENTS!$AD$2:$AD$180,W$159,ANNOUNCEMENTS!$J$2:$J$180,$C199)</f>
        <v>0</v>
      </c>
      <c r="X199" s="21">
        <f>COUNTIFS(ANNOUNCEMENTS!$E$2:$E$180,$B199,ANNOUNCEMENTS!$W$2:$W$180,X$159,ANNOUNCEMENTS!$J$2:$J$180,$C199)</f>
        <v>0</v>
      </c>
      <c r="Y199" s="21">
        <f>COUNTIFS(ANNOUNCEMENTS!$E$2:$E$180,$B199,ANNOUNCEMENTS!$W$2:$W$180,Y$159,ANNOUNCEMENTS!$J$2:$J$180,$C199)</f>
        <v>1</v>
      </c>
      <c r="Z199" s="21">
        <f>COUNTIFS(ANNOUNCEMENTS!$E$2:$E$180,$B199,ANNOUNCEMENTS!$W$2:$W$180,Z$159,ANNOUNCEMENTS!$J$2:$J$180,$C199)</f>
        <v>0</v>
      </c>
      <c r="AA199" s="21">
        <f>COUNTIFS(ANNOUNCEMENTS!$E$2:$E$180,$B199,ANNOUNCEMENTS!$W$2:$W$180,AA$159,ANNOUNCEMENTS!$J$2:$J$180,$C199)</f>
        <v>2</v>
      </c>
      <c r="AB199" s="21">
        <f>COUNTIFS(ANNOUNCEMENTS!$E$2:$E$180,$B199,ANNOUNCEMENTS!$W$2:$W$180,AB$159,ANNOUNCEMENTS!$J$2:$J$180,$C199)</f>
        <v>0</v>
      </c>
      <c r="AC199" s="21">
        <f>COUNTIFS(ANNOUNCEMENTS!$E$2:$E$180,$B199,ANNOUNCEMENTS!$W$2:$W$180,AC$159,ANNOUNCEMENTS!$J$2:$J$180,$C199)</f>
        <v>0</v>
      </c>
      <c r="AD199" s="21">
        <f>COUNTIFS(ANNOUNCEMENTS!$E$2:$E$180,$B199,ANNOUNCEMENTS!$W$2:$W$180,AD$159,ANNOUNCEMENTS!$J$2:$J$180,$C199)</f>
        <v>0</v>
      </c>
      <c r="AE199" s="311">
        <f t="shared" si="73"/>
        <v>0</v>
      </c>
      <c r="AF199" s="311">
        <f t="shared" si="74"/>
        <v>0</v>
      </c>
      <c r="AG199" s="311">
        <f t="shared" si="75"/>
        <v>0</v>
      </c>
      <c r="AH199" s="311">
        <f t="shared" si="76"/>
        <v>1</v>
      </c>
      <c r="AI199" s="21">
        <f>COUNTIFS(ANNOUNCEMENTS!$E$2:$E$180,B199,ANNOUNCEMENTS!$Z$2:$Z$180,$J$37,ANNOUNCEMENTS!$J$2:$J$180,C199)+
COUNTIFS(ANNOUNCEMENTS!$E$2:$E$180,B199,ANNOUNCEMENTS!$Z$2:$Z$180,$L$37,ANNOUNCEMENTS!$J$2:$J$180,C199)+
COUNTIFS(ANNOUNCEMENTS!$E$2:$E$180,B199,ANNOUNCEMENTS!$AB$2:$AB$180,$J$37,ANNOUNCEMENTS!$J$2:$J$180,C199)+
COUNTIFS(ANNOUNCEMENTS!$E$2:$E$180,B199,ANNOUNCEMENTS!$AB$2:$AB$180,$L$37,ANNOUNCEMENTS!$J$2:$J$180,C199)+
COUNTIFS(ANNOUNCEMENTS!$E$2:$E$180,B199,ANNOUNCEMENTS!$AD$2:$AD$180,$J$37,ANNOUNCEMENTS!$J$2:$J$180,C199)+
COUNTIFS(ANNOUNCEMENTS!$E$2:$E$180,B199,ANNOUNCEMENTS!$AD$2:$AD$180,$L$37,ANNOUNCEMENTS!$J$2:$J$180,C199)</f>
        <v>3</v>
      </c>
      <c r="AJ199" s="21">
        <f>COUNTIFS(ANNOUNCEMENTS!$E$2:$E$180,B199,ANNOUNCEMENTS!$Z$2:$Z$180,$H$37,ANNOUNCEMENTS!$J$2:$J$180,C199)+
COUNTIFS(ANNOUNCEMENTS!$E$2:$E$180,B199,ANNOUNCEMENTS!$Z$2:$Z$180,$I$37,ANNOUNCEMENTS!$J$2:$J$180,C199)+
COUNTIFS(ANNOUNCEMENTS!$E$2:$E$180,B199,ANNOUNCEMENTS!$Z$2:$Z$180,$P$37,ANNOUNCEMENTS!$J$2:$J$180,C199)+
COUNTIFS(ANNOUNCEMENTS!$E$2:$E$180,B199,ANNOUNCEMENTS!$AB$2:$AB$180,$H$37,ANNOUNCEMENTS!$J$2:$J$180,C199)+
COUNTIFS(ANNOUNCEMENTS!$E$2:$E$180,B199,ANNOUNCEMENTS!$AB$2:$AB$180,$I$37,ANNOUNCEMENTS!$J$2:$J$180,C199)+
COUNTIFS(ANNOUNCEMENTS!$E$2:$E$180,B199,ANNOUNCEMENTS!$AB$2:$AB$180,$P$37,ANNOUNCEMENTS!$J$2:$J$180,C199)+
COUNTIFS(ANNOUNCEMENTS!$E$2:$E$180,B199,ANNOUNCEMENTS!$AD$2:$AD$180,$H$37,ANNOUNCEMENTS!$J$2:$J$180,C199)+
COUNTIFS(ANNOUNCEMENTS!$E$2:$E$180,B199,ANNOUNCEMENTS!$AD$2:$AD$180,$I$37,ANNOUNCEMENTS!$J$2:$J$180,C199)+
COUNTIFS(ANNOUNCEMENTS!$E$2:$E$180,B199,ANNOUNCEMENTS!$AD$2:$AD$180,$P$37,ANNOUNCEMENTS!$J$2:$J$180,C199)</f>
        <v>0</v>
      </c>
      <c r="AK199" s="310" cm="1">
        <f t="array" ref="AK199">SUM(COUNTIFS(ANNOUNCEMENTS!$E$2:$E$180,B199,ANNOUNCEMENTS!$W$2:$W$180,$E$38:$E$40,ANNOUNCEMENTS!$J$2:$J$180,C199))</f>
        <v>1</v>
      </c>
      <c r="AL199" s="21" cm="1">
        <f t="array" ref="AL199">SUM(COUNTIFS(ANNOUNCEMENTS!$E$2:$E$180,B199,ANNOUNCEMENTS!$W$2:$W$180,$E$43:$E$44,ANNOUNCEMENTS!$J$2:$J$180,C199))</f>
        <v>0</v>
      </c>
      <c r="AM199" s="21">
        <f t="shared" si="77"/>
        <v>3</v>
      </c>
      <c r="AN199" s="21">
        <f t="shared" si="78"/>
        <v>0</v>
      </c>
      <c r="AO199" s="309" cm="1">
        <f t="array" ref="AO199">_xlfn.XLOOKUP(AO$159,CBIMPORT!$A$1:$AM$1,_xlfn.XLOOKUP($B199,CBIMPORT!$A$1:$A$40,CBIMPORT!$A$1:$AM$40))</f>
        <v>0</v>
      </c>
      <c r="AP199" s="308" cm="1">
        <f t="array" ref="AP199">_xlfn.XLOOKUP(AP$159,CBIMPORT!$A$1:$AM$1,_xlfn.XLOOKUP($B199,CBIMPORT!$A$1:$A$40,CBIMPORT!$A$1:$AM$40))</f>
        <v>3000</v>
      </c>
      <c r="AQ199" s="307" cm="1">
        <f t="array" ref="AQ199">_xlfn.XLOOKUP(AQ$159,CBIMPORT!$A$1:$AM$1,_xlfn.XLOOKUP($B199,CBIMPORT!$A$1:$A$40,CBIMPORT!$A$1:$AM$40))</f>
        <v>1050</v>
      </c>
    </row>
    <row r="200" spans="1:60" x14ac:dyDescent="0.35">
      <c r="A200" s="303" t="s">
        <v>2207</v>
      </c>
      <c r="B200" s="315" t="str">
        <f t="shared" si="71"/>
        <v>Udelv</v>
      </c>
      <c r="C200" s="314" t="str">
        <f t="shared" si="72"/>
        <v>Last-Mile</v>
      </c>
      <c r="D200" s="313">
        <f>COUNTIFS(ANNOUNCEMENTS!$E$2:$E$180,$B200,ANNOUNCEMENTS!$J$2:$J$180,$C200)</f>
        <v>4</v>
      </c>
      <c r="E200" s="312" t="str" cm="1">
        <f t="array" ref="E200">_xlfn.ARRAYTOTEXT(
IF(D200&gt;0,_xlfn._xlws.FILTER(CHOOSE({1},
ANNOUNCEMENTS!$K$1:$K$180),
(ANNOUNCEMENTS!$E$1:$E$180=B200)*((ANNOUNCEMENTS!$J$1:$J$180=$C200)))))</f>
        <v>Walmart; Farmstead; H-E-B; Mobileye</v>
      </c>
      <c r="F200" s="306">
        <f t="shared" si="64"/>
        <v>2</v>
      </c>
      <c r="G200" s="310" t="str" cm="1">
        <f t="array" ref="G200">_xlfn.XLOOKUP($A200,'Industries all mentioned partne'!$A$2:$A$58,_xlfn.XLOOKUP(G$159,'Industries all mentioned partne'!$A$2:$DM$2,'Industries all mentioned partne'!$A$2:$DM$58))</f>
        <v>Retail</v>
      </c>
      <c r="H200" s="91" cm="1">
        <f t="array" ref="H200">_xlfn.XLOOKUP($A200,'Industries all mentioned partne'!$A$2:$A$58,_xlfn.XLOOKUP(H$159,'Industries all mentioned partne'!$A$2:$DM$2,'Industries all mentioned partne'!$A$2:$DM$58))</f>
        <v>0.5</v>
      </c>
      <c r="I200" s="310" t="str" cm="1">
        <f t="array" ref="I200">_xlfn.XLOOKUP($A200,'Industries all mentioned partne'!$A$2:$A$58,_xlfn.XLOOKUP(I$159,'Industries all mentioned partne'!$A$2:$DM$2,'Industries all mentioned partne'!$A$2:$DM$58))</f>
        <v>Autonomous Vehicles</v>
      </c>
      <c r="J200" s="91" cm="1">
        <f t="array" ref="J200">_xlfn.XLOOKUP($A200,'Industries all mentioned partne'!$A$2:$A$58,_xlfn.XLOOKUP(J$159,'Industries all mentioned partne'!$A$2:$DM$2,'Industries all mentioned partne'!$A$2:$DM$58))</f>
        <v>0.25</v>
      </c>
      <c r="K200" s="310" t="str" cm="1">
        <f t="array" ref="K200">_xlfn.XLOOKUP($A200,'Industries all mentioned partne'!$A$2:$A$58,_xlfn.XLOOKUP(K$159,'Industries all mentioned partne'!$A$2:$DM$2,'Industries all mentioned partne'!$A$2:$DM$58))</f>
        <v>Autonomous Vehicles</v>
      </c>
      <c r="L200" s="91" cm="1">
        <f t="array" ref="L200">_xlfn.XLOOKUP($A200,'Industries all mentioned partne'!$A$2:$A$58,_xlfn.XLOOKUP(L$159,'Industries all mentioned partne'!$A$2:$DM$2,'Industries all mentioned partne'!$A$2:$DM$58))</f>
        <v>0.25</v>
      </c>
      <c r="M200" s="311" t="str" cm="1">
        <f t="array" ref="M200">_xlfn.XLOOKUP($M$159,CBIMPORT!$A$1:$AN$1,_xlfn.XLOOKUP(B200,CBIMPORT!$A$1:$A$171,CBIMPORT!$A$1:$AN$171))</f>
        <v>L2</v>
      </c>
      <c r="N200" s="309" cm="1">
        <f t="array" ref="N200">_xlfn.XLOOKUP(N$159,CBIMPORT!$A$1:$AM$1,_xlfn.XLOOKUP($B200,CBIMPORT!$A$1:$A$40,CBIMPORT!$A$1:$AM$40))</f>
        <v>10</v>
      </c>
      <c r="O200" s="21">
        <f>COUNTIFS(ANNOUNCEMENTS!$E$2:$E$180,$B200,ANNOUNCEMENTS!$Z$2:$Z$180,O$159,ANNOUNCEMENTS!$J$2:$J$180,$C200)+
COUNTIFS(ANNOUNCEMENTS!$E$2:$E$180,$B200,ANNOUNCEMENTS!$AB$2:$AB$180,O$159,ANNOUNCEMENTS!$J$2:$J$180,$C200)+
COUNTIFS(ANNOUNCEMENTS!$E$2:$E$180,$B200,ANNOUNCEMENTS!$AD$2:$AD$180,O$159,ANNOUNCEMENTS!$J$2:$J$180,$C200)</f>
        <v>1</v>
      </c>
      <c r="P200" s="21">
        <f>COUNTIFS(ANNOUNCEMENTS!$E$2:$E$180,$B200,ANNOUNCEMENTS!$Z$2:$Z$180,P$159,ANNOUNCEMENTS!$J$2:$J$180,$C200)+
COUNTIFS(ANNOUNCEMENTS!$E$2:$E$180,$B200,ANNOUNCEMENTS!$AB$2:$AB$180,P$159,ANNOUNCEMENTS!$J$2:$J$180,$C200)+
COUNTIFS(ANNOUNCEMENTS!$E$2:$E$180,$B200,ANNOUNCEMENTS!$AD$2:$AD$180,P$159,ANNOUNCEMENTS!$J$2:$J$180,$C200)</f>
        <v>0</v>
      </c>
      <c r="Q200" s="21">
        <f>COUNTIFS(ANNOUNCEMENTS!$E$2:$E$180,$B200,ANNOUNCEMENTS!$Z$2:$Z$180,Q$159,ANNOUNCEMENTS!$J$2:$J$180,$C200)+
COUNTIFS(ANNOUNCEMENTS!$E$2:$E$180,$B200,ANNOUNCEMENTS!$AB$2:$AB$180,Q$159,ANNOUNCEMENTS!$J$2:$J$180,$C200)+
COUNTIFS(ANNOUNCEMENTS!$E$2:$E$180,$B200,ANNOUNCEMENTS!$AD$2:$AD$180,Q$159,ANNOUNCEMENTS!$J$2:$J$180,$C200)</f>
        <v>3</v>
      </c>
      <c r="R200" s="21">
        <f>COUNTIFS(ANNOUNCEMENTS!$E$2:$E$180,$B200,ANNOUNCEMENTS!$Z$2:$Z$180,R$159,ANNOUNCEMENTS!$J$2:$J$180,$C200)+
COUNTIFS(ANNOUNCEMENTS!$E$2:$E$180,$B200,ANNOUNCEMENTS!$AB$2:$AB$180,R$159,ANNOUNCEMENTS!$J$2:$J$180,$C200)+
COUNTIFS(ANNOUNCEMENTS!$E$2:$E$180,$B200,ANNOUNCEMENTS!$AD$2:$AD$180,R$159,ANNOUNCEMENTS!$J$2:$J$180,$C200)</f>
        <v>0</v>
      </c>
      <c r="S200" s="21">
        <f>COUNTIFS(ANNOUNCEMENTS!$E$2:$E$180,$B200,ANNOUNCEMENTS!$Z$2:$Z$180,S$159,ANNOUNCEMENTS!$J$2:$J$180,$C200)+
COUNTIFS(ANNOUNCEMENTS!$E$2:$E$180,$B200,ANNOUNCEMENTS!$AB$2:$AB$180,S$159,ANNOUNCEMENTS!$J$2:$J$180,$C200)+
COUNTIFS(ANNOUNCEMENTS!$E$2:$E$180,$B200,ANNOUNCEMENTS!$AD$2:$AD$180,S$159,ANNOUNCEMENTS!$J$2:$J$180,$C200)</f>
        <v>0</v>
      </c>
      <c r="T200" s="21">
        <f>COUNTIFS(ANNOUNCEMENTS!$E$2:$E$180,$B200,ANNOUNCEMENTS!$Z$2:$Z$180,T$159,ANNOUNCEMENTS!$J$2:$J$180,$C200)+
COUNTIFS(ANNOUNCEMENTS!$E$2:$E$180,$B200,ANNOUNCEMENTS!$AB$2:$AB$180,T$159,ANNOUNCEMENTS!$J$2:$J$180,$C200)+
COUNTIFS(ANNOUNCEMENTS!$E$2:$E$180,$B200,ANNOUNCEMENTS!$AD$2:$AD$180,T$159,ANNOUNCEMENTS!$J$2:$J$180,$C200)</f>
        <v>0</v>
      </c>
      <c r="U200" s="21">
        <f>COUNTIFS(ANNOUNCEMENTS!$E$2:$E$180,$B200,ANNOUNCEMENTS!$Z$2:$Z$180,U$159,ANNOUNCEMENTS!$J$2:$J$180,$C200)+
COUNTIFS(ANNOUNCEMENTS!$E$2:$E$180,$B200,ANNOUNCEMENTS!$AB$2:$AB$180,U$159,ANNOUNCEMENTS!$J$2:$J$180,$C200)+
COUNTIFS(ANNOUNCEMENTS!$E$2:$E$180,$B200,ANNOUNCEMENTS!$AD$2:$AD$180,U$159,ANNOUNCEMENTS!$J$2:$J$180,$C200)</f>
        <v>0</v>
      </c>
      <c r="V200" s="21">
        <f>COUNTIFS(ANNOUNCEMENTS!$E$2:$E$180,$B200,ANNOUNCEMENTS!$Z$2:$Z$180,V$159,ANNOUNCEMENTS!$J$2:$J$180,$C200)+
COUNTIFS(ANNOUNCEMENTS!$E$2:$E$180,$B200,ANNOUNCEMENTS!$AB$2:$AB$180,V$159,ANNOUNCEMENTS!$J$2:$J$180,$C200)+
COUNTIFS(ANNOUNCEMENTS!$E$2:$E$180,$B200,ANNOUNCEMENTS!$AD$2:$AD$180,V$159,ANNOUNCEMENTS!$J$2:$J$180,$C200)</f>
        <v>0</v>
      </c>
      <c r="W200" s="21">
        <f>COUNTIFS(ANNOUNCEMENTS!$E$2:$E$180,$B200,ANNOUNCEMENTS!$Z$2:$Z$180,W$159,ANNOUNCEMENTS!$J$2:$J$180,$C200)+
COUNTIFS(ANNOUNCEMENTS!$E$2:$E$180,$B200,ANNOUNCEMENTS!$AB$2:$AB$180,W$159,ANNOUNCEMENTS!$J$2:$J$180,$C200)+
COUNTIFS(ANNOUNCEMENTS!$E$2:$E$180,$B200,ANNOUNCEMENTS!$AD$2:$AD$180,W$159,ANNOUNCEMENTS!$J$2:$J$180,$C200)</f>
        <v>0</v>
      </c>
      <c r="X200" s="21">
        <f>COUNTIFS(ANNOUNCEMENTS!$E$2:$E$180,$B200,ANNOUNCEMENTS!$W$2:$W$180,X$159,ANNOUNCEMENTS!$J$2:$J$180,$C200)</f>
        <v>0</v>
      </c>
      <c r="Y200" s="21">
        <f>COUNTIFS(ANNOUNCEMENTS!$E$2:$E$180,$B200,ANNOUNCEMENTS!$W$2:$W$180,Y$159,ANNOUNCEMENTS!$J$2:$J$180,$C200)</f>
        <v>3</v>
      </c>
      <c r="Z200" s="21">
        <f>COUNTIFS(ANNOUNCEMENTS!$E$2:$E$180,$B200,ANNOUNCEMENTS!$W$2:$W$180,Z$159,ANNOUNCEMENTS!$J$2:$J$180,$C200)</f>
        <v>0</v>
      </c>
      <c r="AA200" s="21">
        <f>COUNTIFS(ANNOUNCEMENTS!$E$2:$E$180,$B200,ANNOUNCEMENTS!$W$2:$W$180,AA$159,ANNOUNCEMENTS!$J$2:$J$180,$C200)</f>
        <v>1</v>
      </c>
      <c r="AB200" s="21">
        <f>COUNTIFS(ANNOUNCEMENTS!$E$2:$E$180,$B200,ANNOUNCEMENTS!$W$2:$W$180,AB$159,ANNOUNCEMENTS!$J$2:$J$180,$C200)</f>
        <v>0</v>
      </c>
      <c r="AC200" s="21">
        <f>COUNTIFS(ANNOUNCEMENTS!$E$2:$E$180,$B200,ANNOUNCEMENTS!$W$2:$W$180,AC$159,ANNOUNCEMENTS!$J$2:$J$180,$C200)</f>
        <v>0</v>
      </c>
      <c r="AD200" s="21">
        <f>COUNTIFS(ANNOUNCEMENTS!$E$2:$E$180,$B200,ANNOUNCEMENTS!$W$2:$W$180,AD$159,ANNOUNCEMENTS!$J$2:$J$180,$C200)</f>
        <v>0</v>
      </c>
      <c r="AE200" s="311">
        <f t="shared" si="73"/>
        <v>0</v>
      </c>
      <c r="AF200" s="311">
        <f t="shared" si="74"/>
        <v>1</v>
      </c>
      <c r="AG200" s="311">
        <f t="shared" si="75"/>
        <v>0</v>
      </c>
      <c r="AH200" s="311">
        <f t="shared" si="76"/>
        <v>0</v>
      </c>
      <c r="AI200" s="21">
        <f>COUNTIFS(ANNOUNCEMENTS!$E$2:$E$180,B200,ANNOUNCEMENTS!$Z$2:$Z$180,$J$37,ANNOUNCEMENTS!$J$2:$J$180,C200)+
COUNTIFS(ANNOUNCEMENTS!$E$2:$E$180,B200,ANNOUNCEMENTS!$Z$2:$Z$180,$L$37,ANNOUNCEMENTS!$J$2:$J$180,C200)+
COUNTIFS(ANNOUNCEMENTS!$E$2:$E$180,B200,ANNOUNCEMENTS!$AB$2:$AB$180,$J$37,ANNOUNCEMENTS!$J$2:$J$180,C200)+
COUNTIFS(ANNOUNCEMENTS!$E$2:$E$180,B200,ANNOUNCEMENTS!$AB$2:$AB$180,$L$37,ANNOUNCEMENTS!$J$2:$J$180,C200)+
COUNTIFS(ANNOUNCEMENTS!$E$2:$E$180,B200,ANNOUNCEMENTS!$AD$2:$AD$180,$J$37,ANNOUNCEMENTS!$J$2:$J$180,C200)+
COUNTIFS(ANNOUNCEMENTS!$E$2:$E$180,B200,ANNOUNCEMENTS!$AD$2:$AD$180,$L$37,ANNOUNCEMENTS!$J$2:$J$180,C200)</f>
        <v>3</v>
      </c>
      <c r="AJ200" s="21">
        <f>COUNTIFS(ANNOUNCEMENTS!$E$2:$E$180,B200,ANNOUNCEMENTS!$Z$2:$Z$180,$H$37,ANNOUNCEMENTS!$J$2:$J$180,C200)+
COUNTIFS(ANNOUNCEMENTS!$E$2:$E$180,B200,ANNOUNCEMENTS!$Z$2:$Z$180,$I$37,ANNOUNCEMENTS!$J$2:$J$180,C200)+
COUNTIFS(ANNOUNCEMENTS!$E$2:$E$180,B200,ANNOUNCEMENTS!$Z$2:$Z$180,$P$37,ANNOUNCEMENTS!$J$2:$J$180,C200)+
COUNTIFS(ANNOUNCEMENTS!$E$2:$E$180,B200,ANNOUNCEMENTS!$AB$2:$AB$180,$H$37,ANNOUNCEMENTS!$J$2:$J$180,C200)+
COUNTIFS(ANNOUNCEMENTS!$E$2:$E$180,B200,ANNOUNCEMENTS!$AB$2:$AB$180,$I$37,ANNOUNCEMENTS!$J$2:$J$180,C200)+
COUNTIFS(ANNOUNCEMENTS!$E$2:$E$180,B200,ANNOUNCEMENTS!$AB$2:$AB$180,$P$37,ANNOUNCEMENTS!$J$2:$J$180,C200)+
COUNTIFS(ANNOUNCEMENTS!$E$2:$E$180,B200,ANNOUNCEMENTS!$AD$2:$AD$180,$H$37,ANNOUNCEMENTS!$J$2:$J$180,C200)+
COUNTIFS(ANNOUNCEMENTS!$E$2:$E$180,B200,ANNOUNCEMENTS!$AD$2:$AD$180,$I$37,ANNOUNCEMENTS!$J$2:$J$180,C200)+
COUNTIFS(ANNOUNCEMENTS!$E$2:$E$180,B200,ANNOUNCEMENTS!$AD$2:$AD$180,$P$37,ANNOUNCEMENTS!$J$2:$J$180,C200)</f>
        <v>1</v>
      </c>
      <c r="AK200" s="310" cm="1">
        <f t="array" ref="AK200">SUM(COUNTIFS(ANNOUNCEMENTS!$E$2:$E$180,B200,ANNOUNCEMENTS!$W$2:$W$180,$E$38:$E$40,ANNOUNCEMENTS!$J$2:$J$180,C200))</f>
        <v>3</v>
      </c>
      <c r="AL200" s="21" cm="1">
        <f t="array" ref="AL200">SUM(COUNTIFS(ANNOUNCEMENTS!$E$2:$E$180,B200,ANNOUNCEMENTS!$W$2:$W$180,$E$43:$E$44,ANNOUNCEMENTS!$J$2:$J$180,C200))</f>
        <v>0</v>
      </c>
      <c r="AM200" s="21">
        <f t="shared" si="77"/>
        <v>4</v>
      </c>
      <c r="AN200" s="21">
        <f t="shared" si="78"/>
        <v>2</v>
      </c>
      <c r="AO200" s="309" cm="1">
        <f t="array" ref="AO200">_xlfn.XLOOKUP(AO$159,CBIMPORT!$A$1:$AM$1,_xlfn.XLOOKUP($B200,CBIMPORT!$A$1:$A$40,CBIMPORT!$A$1:$AM$40))</f>
        <v>0</v>
      </c>
      <c r="AP200" s="308" cm="1">
        <f t="array" ref="AP200">_xlfn.XLOOKUP(AP$159,CBIMPORT!$A$1:$AM$1,_xlfn.XLOOKUP($B200,CBIMPORT!$A$1:$A$40,CBIMPORT!$A$1:$AM$40))</f>
        <v>30</v>
      </c>
      <c r="AQ200" s="307" t="str" cm="1">
        <f t="array" ref="AQ200">_xlfn.XLOOKUP(AQ$159,CBIMPORT!$A$1:$AM$1,_xlfn.XLOOKUP($B200,CBIMPORT!$A$1:$A$40,CBIMPORT!$A$1:$AM$40))</f>
        <v>n.a.</v>
      </c>
    </row>
    <row r="201" spans="1:60" x14ac:dyDescent="0.35">
      <c r="A201" s="21" t="s">
        <v>2208</v>
      </c>
      <c r="B201" s="315" t="str">
        <f t="shared" si="71"/>
        <v>Waabi</v>
      </c>
      <c r="C201" s="314" t="str">
        <f t="shared" si="72"/>
        <v>Trucking</v>
      </c>
      <c r="D201" s="313">
        <f>COUNTIFS(ANNOUNCEMENTS!$E$2:$E$180,$B201,ANNOUNCEMENTS!$J$2:$J$180,$C201)</f>
        <v>2</v>
      </c>
      <c r="E201" s="312" t="str" cm="1">
        <f t="array" ref="E201">_xlfn.ARRAYTOTEXT(
IF(D201&gt;0,_xlfn._xlws.FILTER(CHOOSE({1},
ANNOUNCEMENTS!$K$1:$K$180),
(ANNOUNCEMENTS!$E$1:$E$180=B201)*((ANNOUNCEMENTS!$J$1:$J$180=$C201)))))</f>
        <v>MIT Center for Transportation &amp; Logistics; Uber Freight</v>
      </c>
      <c r="F201" s="306">
        <f t="shared" si="64"/>
        <v>0</v>
      </c>
      <c r="G201" s="310" t="str" cm="1">
        <f t="array" ref="G201">_xlfn.XLOOKUP($A201,'Industries all mentioned partne'!$A$2:$A$58,_xlfn.XLOOKUP(G$159,'Industries all mentioned partne'!$A$2:$DM$2,'Industries all mentioned partne'!$A$2:$DM$58))</f>
        <v>Mobility Services Booking</v>
      </c>
      <c r="H201" s="91" cm="1">
        <f t="array" ref="H201">_xlfn.XLOOKUP($A201,'Industries all mentioned partne'!$A$2:$A$58,_xlfn.XLOOKUP(H$159,'Industries all mentioned partne'!$A$2:$DM$2,'Industries all mentioned partne'!$A$2:$DM$58))</f>
        <v>0.5</v>
      </c>
      <c r="I201" s="310" t="str" cm="1">
        <f t="array" ref="I201">_xlfn.XLOOKUP($A201,'Industries all mentioned partne'!$A$2:$A$58,_xlfn.XLOOKUP(I$159,'Industries all mentioned partne'!$A$2:$DM$2,'Industries all mentioned partne'!$A$2:$DM$58))</f>
        <v>Mobility Services Booking</v>
      </c>
      <c r="J201" s="91" cm="1">
        <f t="array" ref="J201">_xlfn.XLOOKUP($A201,'Industries all mentioned partne'!$A$2:$A$58,_xlfn.XLOOKUP(J$159,'Industries all mentioned partne'!$A$2:$DM$2,'Industries all mentioned partne'!$A$2:$DM$58))</f>
        <v>0.5</v>
      </c>
      <c r="K201" s="310" t="str" cm="1">
        <f t="array" ref="K201">_xlfn.XLOOKUP($A201,'Industries all mentioned partne'!$A$2:$A$58,_xlfn.XLOOKUP(K$159,'Industries all mentioned partne'!$A$2:$DM$2,'Industries all mentioned partne'!$A$2:$DM$58))</f>
        <v/>
      </c>
      <c r="L201" s="91" t="str" cm="1">
        <f t="array" ref="L201">_xlfn.XLOOKUP($A201,'Industries all mentioned partne'!$A$2:$A$58,_xlfn.XLOOKUP(L$159,'Industries all mentioned partne'!$A$2:$DM$2,'Industries all mentioned partne'!$A$2:$DM$58))</f>
        <v/>
      </c>
      <c r="M201" s="311" t="str" cm="1">
        <f t="array" ref="M201">_xlfn.XLOOKUP($M$159,CBIMPORT!$A$1:$AN$1,_xlfn.XLOOKUP(B201,CBIMPORT!$A$1:$A$171,CBIMPORT!$A$1:$AN$171))</f>
        <v>L1</v>
      </c>
      <c r="N201" s="309" cm="1">
        <f t="array" ref="N201">_xlfn.XLOOKUP(N$159,CBIMPORT!$A$1:$AM$1,_xlfn.XLOOKUP($B201,CBIMPORT!$A$1:$A$40,CBIMPORT!$A$1:$AM$40))</f>
        <v>1</v>
      </c>
      <c r="O201" s="21">
        <f>COUNTIFS(ANNOUNCEMENTS!$E$2:$E$180,$B201,ANNOUNCEMENTS!$Z$2:$Z$180,O$159,ANNOUNCEMENTS!$J$2:$J$180,$C201)+
COUNTIFS(ANNOUNCEMENTS!$E$2:$E$180,$B201,ANNOUNCEMENTS!$AB$2:$AB$180,O$159,ANNOUNCEMENTS!$J$2:$J$180,$C201)+
COUNTIFS(ANNOUNCEMENTS!$E$2:$E$180,$B201,ANNOUNCEMENTS!$AD$2:$AD$180,O$159,ANNOUNCEMENTS!$J$2:$J$180,$C201)</f>
        <v>0</v>
      </c>
      <c r="P201" s="21">
        <f>COUNTIFS(ANNOUNCEMENTS!$E$2:$E$180,$B201,ANNOUNCEMENTS!$Z$2:$Z$180,P$159,ANNOUNCEMENTS!$J$2:$J$180,$C201)+
COUNTIFS(ANNOUNCEMENTS!$E$2:$E$180,$B201,ANNOUNCEMENTS!$AB$2:$AB$180,P$159,ANNOUNCEMENTS!$J$2:$J$180,$C201)+
COUNTIFS(ANNOUNCEMENTS!$E$2:$E$180,$B201,ANNOUNCEMENTS!$AD$2:$AD$180,P$159,ANNOUNCEMENTS!$J$2:$J$180,$C201)</f>
        <v>0</v>
      </c>
      <c r="Q201" s="21">
        <f>COUNTIFS(ANNOUNCEMENTS!$E$2:$E$180,$B201,ANNOUNCEMENTS!$Z$2:$Z$180,Q$159,ANNOUNCEMENTS!$J$2:$J$180,$C201)+
COUNTIFS(ANNOUNCEMENTS!$E$2:$E$180,$B201,ANNOUNCEMENTS!$AB$2:$AB$180,Q$159,ANNOUNCEMENTS!$J$2:$J$180,$C201)+
COUNTIFS(ANNOUNCEMENTS!$E$2:$E$180,$B201,ANNOUNCEMENTS!$AD$2:$AD$180,Q$159,ANNOUNCEMENTS!$J$2:$J$180,$C201)</f>
        <v>1</v>
      </c>
      <c r="R201" s="21">
        <f>COUNTIFS(ANNOUNCEMENTS!$E$2:$E$180,$B201,ANNOUNCEMENTS!$Z$2:$Z$180,R$159,ANNOUNCEMENTS!$J$2:$J$180,$C201)+
COUNTIFS(ANNOUNCEMENTS!$E$2:$E$180,$B201,ANNOUNCEMENTS!$AB$2:$AB$180,R$159,ANNOUNCEMENTS!$J$2:$J$180,$C201)+
COUNTIFS(ANNOUNCEMENTS!$E$2:$E$180,$B201,ANNOUNCEMENTS!$AD$2:$AD$180,R$159,ANNOUNCEMENTS!$J$2:$J$180,$C201)</f>
        <v>0</v>
      </c>
      <c r="S201" s="21">
        <f>COUNTIFS(ANNOUNCEMENTS!$E$2:$E$180,$B201,ANNOUNCEMENTS!$Z$2:$Z$180,S$159,ANNOUNCEMENTS!$J$2:$J$180,$C201)+
COUNTIFS(ANNOUNCEMENTS!$E$2:$E$180,$B201,ANNOUNCEMENTS!$AB$2:$AB$180,S$159,ANNOUNCEMENTS!$J$2:$J$180,$C201)+
COUNTIFS(ANNOUNCEMENTS!$E$2:$E$180,$B201,ANNOUNCEMENTS!$AD$2:$AD$180,S$159,ANNOUNCEMENTS!$J$2:$J$180,$C201)</f>
        <v>0</v>
      </c>
      <c r="T201" s="21">
        <f>COUNTIFS(ANNOUNCEMENTS!$E$2:$E$180,$B201,ANNOUNCEMENTS!$Z$2:$Z$180,T$159,ANNOUNCEMENTS!$J$2:$J$180,$C201)+
COUNTIFS(ANNOUNCEMENTS!$E$2:$E$180,$B201,ANNOUNCEMENTS!$AB$2:$AB$180,T$159,ANNOUNCEMENTS!$J$2:$J$180,$C201)+
COUNTIFS(ANNOUNCEMENTS!$E$2:$E$180,$B201,ANNOUNCEMENTS!$AD$2:$AD$180,T$159,ANNOUNCEMENTS!$J$2:$J$180,$C201)</f>
        <v>1</v>
      </c>
      <c r="U201" s="21">
        <f>COUNTIFS(ANNOUNCEMENTS!$E$2:$E$180,$B201,ANNOUNCEMENTS!$Z$2:$Z$180,U$159,ANNOUNCEMENTS!$J$2:$J$180,$C201)+
COUNTIFS(ANNOUNCEMENTS!$E$2:$E$180,$B201,ANNOUNCEMENTS!$AB$2:$AB$180,U$159,ANNOUNCEMENTS!$J$2:$J$180,$C201)+
COUNTIFS(ANNOUNCEMENTS!$E$2:$E$180,$B201,ANNOUNCEMENTS!$AD$2:$AD$180,U$159,ANNOUNCEMENTS!$J$2:$J$180,$C201)</f>
        <v>0</v>
      </c>
      <c r="V201" s="21">
        <f>COUNTIFS(ANNOUNCEMENTS!$E$2:$E$180,$B201,ANNOUNCEMENTS!$Z$2:$Z$180,V$159,ANNOUNCEMENTS!$J$2:$J$180,$C201)+
COUNTIFS(ANNOUNCEMENTS!$E$2:$E$180,$B201,ANNOUNCEMENTS!$AB$2:$AB$180,V$159,ANNOUNCEMENTS!$J$2:$J$180,$C201)+
COUNTIFS(ANNOUNCEMENTS!$E$2:$E$180,$B201,ANNOUNCEMENTS!$AD$2:$AD$180,V$159,ANNOUNCEMENTS!$J$2:$J$180,$C201)</f>
        <v>0</v>
      </c>
      <c r="W201" s="21">
        <f>COUNTIFS(ANNOUNCEMENTS!$E$2:$E$180,$B201,ANNOUNCEMENTS!$Z$2:$Z$180,W$159,ANNOUNCEMENTS!$J$2:$J$180,$C201)+
COUNTIFS(ANNOUNCEMENTS!$E$2:$E$180,$B201,ANNOUNCEMENTS!$AB$2:$AB$180,W$159,ANNOUNCEMENTS!$J$2:$J$180,$C201)+
COUNTIFS(ANNOUNCEMENTS!$E$2:$E$180,$B201,ANNOUNCEMENTS!$AD$2:$AD$180,W$159,ANNOUNCEMENTS!$J$2:$J$180,$C201)</f>
        <v>0</v>
      </c>
      <c r="X201" s="21">
        <f>COUNTIFS(ANNOUNCEMENTS!$E$2:$E$180,$B201,ANNOUNCEMENTS!$W$2:$W$180,X$159,ANNOUNCEMENTS!$J$2:$J$180,$C201)</f>
        <v>0</v>
      </c>
      <c r="Y201" s="21">
        <f>COUNTIFS(ANNOUNCEMENTS!$E$2:$E$180,$B201,ANNOUNCEMENTS!$W$2:$W$180,Y$159,ANNOUNCEMENTS!$J$2:$J$180,$C201)</f>
        <v>1</v>
      </c>
      <c r="Z201" s="21">
        <f>COUNTIFS(ANNOUNCEMENTS!$E$2:$E$180,$B201,ANNOUNCEMENTS!$W$2:$W$180,Z$159,ANNOUNCEMENTS!$J$2:$J$180,$C201)</f>
        <v>0</v>
      </c>
      <c r="AA201" s="21">
        <f>COUNTIFS(ANNOUNCEMENTS!$E$2:$E$180,$B201,ANNOUNCEMENTS!$W$2:$W$180,AA$159,ANNOUNCEMENTS!$J$2:$J$180,$C201)</f>
        <v>1</v>
      </c>
      <c r="AB201" s="21">
        <f>COUNTIFS(ANNOUNCEMENTS!$E$2:$E$180,$B201,ANNOUNCEMENTS!$W$2:$W$180,AB$159,ANNOUNCEMENTS!$J$2:$J$180,$C201)</f>
        <v>0</v>
      </c>
      <c r="AC201" s="21">
        <f>COUNTIFS(ANNOUNCEMENTS!$E$2:$E$180,$B201,ANNOUNCEMENTS!$W$2:$W$180,AC$159,ANNOUNCEMENTS!$J$2:$J$180,$C201)</f>
        <v>0</v>
      </c>
      <c r="AD201" s="21">
        <f>COUNTIFS(ANNOUNCEMENTS!$E$2:$E$180,$B201,ANNOUNCEMENTS!$W$2:$W$180,AD$159,ANNOUNCEMENTS!$J$2:$J$180,$C201)</f>
        <v>0</v>
      </c>
      <c r="AE201" s="311">
        <f t="shared" si="73"/>
        <v>1</v>
      </c>
      <c r="AF201" s="311">
        <f t="shared" si="74"/>
        <v>0</v>
      </c>
      <c r="AG201" s="311">
        <f t="shared" si="75"/>
        <v>0</v>
      </c>
      <c r="AH201" s="311">
        <f t="shared" si="76"/>
        <v>0</v>
      </c>
      <c r="AI201" s="21">
        <f>COUNTIFS(ANNOUNCEMENTS!$E$2:$E$180,B201,ANNOUNCEMENTS!$Z$2:$Z$180,$J$37,ANNOUNCEMENTS!$J$2:$J$180,C201)+
COUNTIFS(ANNOUNCEMENTS!$E$2:$E$180,B201,ANNOUNCEMENTS!$Z$2:$Z$180,$L$37,ANNOUNCEMENTS!$J$2:$J$180,C201)+
COUNTIFS(ANNOUNCEMENTS!$E$2:$E$180,B201,ANNOUNCEMENTS!$AB$2:$AB$180,$J$37,ANNOUNCEMENTS!$J$2:$J$180,C201)+
COUNTIFS(ANNOUNCEMENTS!$E$2:$E$180,B201,ANNOUNCEMENTS!$AB$2:$AB$180,$L$37,ANNOUNCEMENTS!$J$2:$J$180,C201)+
COUNTIFS(ANNOUNCEMENTS!$E$2:$E$180,B201,ANNOUNCEMENTS!$AD$2:$AD$180,$J$37,ANNOUNCEMENTS!$J$2:$J$180,C201)+
COUNTIFS(ANNOUNCEMENTS!$E$2:$E$180,B201,ANNOUNCEMENTS!$AD$2:$AD$180,$L$37,ANNOUNCEMENTS!$J$2:$J$180,C201)</f>
        <v>1</v>
      </c>
      <c r="AJ201" s="21">
        <f>COUNTIFS(ANNOUNCEMENTS!$E$2:$E$180,B201,ANNOUNCEMENTS!$Z$2:$Z$180,$H$37,ANNOUNCEMENTS!$J$2:$J$180,C201)+
COUNTIFS(ANNOUNCEMENTS!$E$2:$E$180,B201,ANNOUNCEMENTS!$Z$2:$Z$180,$I$37,ANNOUNCEMENTS!$J$2:$J$180,C201)+
COUNTIFS(ANNOUNCEMENTS!$E$2:$E$180,B201,ANNOUNCEMENTS!$Z$2:$Z$180,$P$37,ANNOUNCEMENTS!$J$2:$J$180,C201)+
COUNTIFS(ANNOUNCEMENTS!$E$2:$E$180,B201,ANNOUNCEMENTS!$AB$2:$AB$180,$H$37,ANNOUNCEMENTS!$J$2:$J$180,C201)+
COUNTIFS(ANNOUNCEMENTS!$E$2:$E$180,B201,ANNOUNCEMENTS!$AB$2:$AB$180,$I$37,ANNOUNCEMENTS!$J$2:$J$180,C201)+
COUNTIFS(ANNOUNCEMENTS!$E$2:$E$180,B201,ANNOUNCEMENTS!$AB$2:$AB$180,$P$37,ANNOUNCEMENTS!$J$2:$J$180,C201)+
COUNTIFS(ANNOUNCEMENTS!$E$2:$E$180,B201,ANNOUNCEMENTS!$AD$2:$AD$180,$H$37,ANNOUNCEMENTS!$J$2:$J$180,C201)+
COUNTIFS(ANNOUNCEMENTS!$E$2:$E$180,B201,ANNOUNCEMENTS!$AD$2:$AD$180,$I$37,ANNOUNCEMENTS!$J$2:$J$180,C201)+
COUNTIFS(ANNOUNCEMENTS!$E$2:$E$180,B201,ANNOUNCEMENTS!$AD$2:$AD$180,$P$37,ANNOUNCEMENTS!$J$2:$J$180,C201)</f>
        <v>0</v>
      </c>
      <c r="AK201" s="310" cm="1">
        <f t="array" ref="AK201">SUM(COUNTIFS(ANNOUNCEMENTS!$E$2:$E$180,B201,ANNOUNCEMENTS!$W$2:$W$180,$E$38:$E$40,ANNOUNCEMENTS!$J$2:$J$180,C201))</f>
        <v>1</v>
      </c>
      <c r="AL201" s="21" cm="1">
        <f t="array" ref="AL201">SUM(COUNTIFS(ANNOUNCEMENTS!$E$2:$E$180,B201,ANNOUNCEMENTS!$W$2:$W$180,$E$43:$E$44,ANNOUNCEMENTS!$J$2:$J$180,C201))</f>
        <v>0</v>
      </c>
      <c r="AM201" s="21">
        <f t="shared" si="77"/>
        <v>2</v>
      </c>
      <c r="AN201" s="21">
        <f t="shared" si="78"/>
        <v>0</v>
      </c>
      <c r="AO201" s="309" cm="1">
        <f t="array" ref="AO201">_xlfn.XLOOKUP(AO$159,CBIMPORT!$A$1:$AM$1,_xlfn.XLOOKUP($B201,CBIMPORT!$A$1:$A$40,CBIMPORT!$A$1:$AM$40))</f>
        <v>0</v>
      </c>
      <c r="AP201" s="308" cm="1">
        <f t="array" ref="AP201">_xlfn.XLOOKUP(AP$159,CBIMPORT!$A$1:$AM$1,_xlfn.XLOOKUP($B201,CBIMPORT!$A$1:$A$40,CBIMPORT!$A$1:$AM$40))</f>
        <v>110</v>
      </c>
      <c r="AQ201" s="307" cm="1">
        <f t="array" ref="AQ201">_xlfn.XLOOKUP(AQ$159,CBIMPORT!$A$1:$AM$1,_xlfn.XLOOKUP($B201,CBIMPORT!$A$1:$A$40,CBIMPORT!$A$1:$AM$40))</f>
        <v>73</v>
      </c>
    </row>
    <row r="202" spans="1:60" x14ac:dyDescent="0.35">
      <c r="A202" s="303" t="s">
        <v>2209</v>
      </c>
      <c r="B202" s="315" t="str">
        <f t="shared" si="71"/>
        <v>Waymo</v>
      </c>
      <c r="C202" s="314" t="str">
        <f t="shared" si="72"/>
        <v>Ridehailing</v>
      </c>
      <c r="D202" s="313">
        <f>COUNTIFS(ANNOUNCEMENTS!$E$2:$E$180,$B202,ANNOUNCEMENTS!$J$2:$J$180,$C202)</f>
        <v>6</v>
      </c>
      <c r="E202" s="312" t="str" cm="1">
        <f t="array" ref="E202">_xlfn.ARRAYTOTEXT(
IF(D202&gt;0,_xlfn._xlws.FILTER(CHOOSE({1},
ANNOUNCEMENTS!$K$1:$K$180),
(ANNOUNCEMENTS!$E$1:$E$180=B202)*((ANNOUNCEMENTS!$J$1:$J$180=$C202)))))</f>
        <v>Fiat Chrysler Automobiles; Avis; Valley Metro; Lyft; Alliance Ventures (Renault, Nissan, Mitsubishi); Volvo Car Group</v>
      </c>
      <c r="F202" s="306">
        <f>IF(ISERROR(L301),"NO PARTNER",L301)</f>
        <v>2</v>
      </c>
      <c r="G202" s="310" t="str" cm="1">
        <f t="array" ref="G202">_xlfn.XLOOKUP($A202,'Industries all mentioned partne'!$A$2:$A$58,_xlfn.XLOOKUP(G$159,'Industries all mentioned partne'!$A$2:$DM$2,'Industries all mentioned partne'!$A$2:$DM$58))</f>
        <v>OEM</v>
      </c>
      <c r="H202" s="91" cm="1">
        <f t="array" ref="H202">_xlfn.XLOOKUP($A202,'Industries all mentioned partne'!$A$2:$A$58,_xlfn.XLOOKUP(H$159,'Industries all mentioned partne'!$A$2:$DM$2,'Industries all mentioned partne'!$A$2:$DM$58))</f>
        <v>0.33333333333333331</v>
      </c>
      <c r="I202" s="310" t="str" cm="1">
        <f t="array" ref="I202">_xlfn.XLOOKUP($A202,'Industries all mentioned partne'!$A$2:$A$58,_xlfn.XLOOKUP(I$159,'Industries all mentioned partne'!$A$2:$DM$2,'Industries all mentioned partne'!$A$2:$DM$58))</f>
        <v>Transport Operator</v>
      </c>
      <c r="J202" s="91" cm="1">
        <f t="array" ref="J202">_xlfn.XLOOKUP($A202,'Industries all mentioned partne'!$A$2:$A$58,_xlfn.XLOOKUP(J$159,'Industries all mentioned partne'!$A$2:$DM$2,'Industries all mentioned partne'!$A$2:$DM$58))</f>
        <v>0.16666666666666666</v>
      </c>
      <c r="K202" s="310" t="str" cm="1">
        <f t="array" ref="K202">_xlfn.XLOOKUP($A202,'Industries all mentioned partne'!$A$2:$A$58,_xlfn.XLOOKUP(K$159,'Industries all mentioned partne'!$A$2:$DM$2,'Industries all mentioned partne'!$A$2:$DM$58))</f>
        <v>Transport Operator</v>
      </c>
      <c r="L202" s="91" cm="1">
        <f t="array" ref="L202">_xlfn.XLOOKUP($A202,'Industries all mentioned partne'!$A$2:$A$58,_xlfn.XLOOKUP(L$159,'Industries all mentioned partne'!$A$2:$DM$2,'Industries all mentioned partne'!$A$2:$DM$58))</f>
        <v>0.16666666666666666</v>
      </c>
      <c r="M202" s="311" t="str" cm="1">
        <f t="array" ref="M202">_xlfn.XLOOKUP($M$159,CBIMPORT!$A$1:$AN$1,_xlfn.XLOOKUP(B202,CBIMPORT!$A$1:$A$171,CBIMPORT!$A$1:$AN$171))</f>
        <v>L1</v>
      </c>
      <c r="N202" s="309" cm="1">
        <f t="array" ref="N202">_xlfn.XLOOKUP(N$159,CBIMPORT!$A$1:$AM$1,_xlfn.XLOOKUP($B202,CBIMPORT!$A$1:$A$40,CBIMPORT!$A$1:$AM$40))</f>
        <v>2.1379999999999999</v>
      </c>
      <c r="O202" s="21">
        <f>COUNTIFS(ANNOUNCEMENTS!$E$2:$E$180,$B202,ANNOUNCEMENTS!$Z$2:$Z$180,O$159,ANNOUNCEMENTS!$J$2:$J$180,$C202)+
COUNTIFS(ANNOUNCEMENTS!$E$2:$E$180,$B202,ANNOUNCEMENTS!$AB$2:$AB$180,O$159,ANNOUNCEMENTS!$J$2:$J$180,$C202)+
COUNTIFS(ANNOUNCEMENTS!$E$2:$E$180,$B202,ANNOUNCEMENTS!$AD$2:$AD$180,O$159,ANNOUNCEMENTS!$J$2:$J$180,$C202)</f>
        <v>2</v>
      </c>
      <c r="P202" s="21">
        <f>COUNTIFS(ANNOUNCEMENTS!$E$2:$E$180,$B202,ANNOUNCEMENTS!$Z$2:$Z$180,P$159,ANNOUNCEMENTS!$J$2:$J$180,$C202)+
COUNTIFS(ANNOUNCEMENTS!$E$2:$E$180,$B202,ANNOUNCEMENTS!$AB$2:$AB$180,P$159,ANNOUNCEMENTS!$J$2:$J$180,$C202)+
COUNTIFS(ANNOUNCEMENTS!$E$2:$E$180,$B202,ANNOUNCEMENTS!$AD$2:$AD$180,P$159,ANNOUNCEMENTS!$J$2:$J$180,$C202)</f>
        <v>0</v>
      </c>
      <c r="Q202" s="21">
        <f>COUNTIFS(ANNOUNCEMENTS!$E$2:$E$180,$B202,ANNOUNCEMENTS!$Z$2:$Z$180,Q$159,ANNOUNCEMENTS!$J$2:$J$180,$C202)+
COUNTIFS(ANNOUNCEMENTS!$E$2:$E$180,$B202,ANNOUNCEMENTS!$AB$2:$AB$180,Q$159,ANNOUNCEMENTS!$J$2:$J$180,$C202)+
COUNTIFS(ANNOUNCEMENTS!$E$2:$E$180,$B202,ANNOUNCEMENTS!$AD$2:$AD$180,Q$159,ANNOUNCEMENTS!$J$2:$J$180,$C202)</f>
        <v>1</v>
      </c>
      <c r="R202" s="21">
        <f>COUNTIFS(ANNOUNCEMENTS!$E$2:$E$180,$B202,ANNOUNCEMENTS!$Z$2:$Z$180,R$159,ANNOUNCEMENTS!$J$2:$J$180,$C202)+
COUNTIFS(ANNOUNCEMENTS!$E$2:$E$180,$B202,ANNOUNCEMENTS!$AB$2:$AB$180,R$159,ANNOUNCEMENTS!$J$2:$J$180,$C202)+
COUNTIFS(ANNOUNCEMENTS!$E$2:$E$180,$B202,ANNOUNCEMENTS!$AD$2:$AD$180,R$159,ANNOUNCEMENTS!$J$2:$J$180,$C202)</f>
        <v>0</v>
      </c>
      <c r="S202" s="21">
        <f>COUNTIFS(ANNOUNCEMENTS!$E$2:$E$180,$B202,ANNOUNCEMENTS!$Z$2:$Z$180,S$159,ANNOUNCEMENTS!$J$2:$J$180,$C202)+
COUNTIFS(ANNOUNCEMENTS!$E$2:$E$180,$B202,ANNOUNCEMENTS!$AB$2:$AB$180,S$159,ANNOUNCEMENTS!$J$2:$J$180,$C202)+
COUNTIFS(ANNOUNCEMENTS!$E$2:$E$180,$B202,ANNOUNCEMENTS!$AD$2:$AD$180,S$159,ANNOUNCEMENTS!$J$2:$J$180,$C202)</f>
        <v>1</v>
      </c>
      <c r="T202" s="21">
        <f>COUNTIFS(ANNOUNCEMENTS!$E$2:$E$180,$B202,ANNOUNCEMENTS!$Z$2:$Z$180,T$159,ANNOUNCEMENTS!$J$2:$J$180,$C202)+
COUNTIFS(ANNOUNCEMENTS!$E$2:$E$180,$B202,ANNOUNCEMENTS!$AB$2:$AB$180,T$159,ANNOUNCEMENTS!$J$2:$J$180,$C202)+
COUNTIFS(ANNOUNCEMENTS!$E$2:$E$180,$B202,ANNOUNCEMENTS!$AD$2:$AD$180,T$159,ANNOUNCEMENTS!$J$2:$J$180,$C202)</f>
        <v>3</v>
      </c>
      <c r="U202" s="21">
        <f>COUNTIFS(ANNOUNCEMENTS!$E$2:$E$180,$B202,ANNOUNCEMENTS!$Z$2:$Z$180,U$159,ANNOUNCEMENTS!$J$2:$J$180,$C202)+
COUNTIFS(ANNOUNCEMENTS!$E$2:$E$180,$B202,ANNOUNCEMENTS!$AB$2:$AB$180,U$159,ANNOUNCEMENTS!$J$2:$J$180,$C202)+
COUNTIFS(ANNOUNCEMENTS!$E$2:$E$180,$B202,ANNOUNCEMENTS!$AD$2:$AD$180,U$159,ANNOUNCEMENTS!$J$2:$J$180,$C202)</f>
        <v>0</v>
      </c>
      <c r="V202" s="21">
        <f>COUNTIFS(ANNOUNCEMENTS!$E$2:$E$180,$B202,ANNOUNCEMENTS!$Z$2:$Z$180,V$159,ANNOUNCEMENTS!$J$2:$J$180,$C202)+
COUNTIFS(ANNOUNCEMENTS!$E$2:$E$180,$B202,ANNOUNCEMENTS!$AB$2:$AB$180,V$159,ANNOUNCEMENTS!$J$2:$J$180,$C202)+
COUNTIFS(ANNOUNCEMENTS!$E$2:$E$180,$B202,ANNOUNCEMENTS!$AD$2:$AD$180,V$159,ANNOUNCEMENTS!$J$2:$J$180,$C202)</f>
        <v>0</v>
      </c>
      <c r="W202" s="21">
        <f>COUNTIFS(ANNOUNCEMENTS!$E$2:$E$180,$B202,ANNOUNCEMENTS!$Z$2:$Z$180,W$159,ANNOUNCEMENTS!$J$2:$J$180,$C202)+
COUNTIFS(ANNOUNCEMENTS!$E$2:$E$180,$B202,ANNOUNCEMENTS!$AB$2:$AB$180,W$159,ANNOUNCEMENTS!$J$2:$J$180,$C202)+
COUNTIFS(ANNOUNCEMENTS!$E$2:$E$180,$B202,ANNOUNCEMENTS!$AD$2:$AD$180,W$159,ANNOUNCEMENTS!$J$2:$J$180,$C202)</f>
        <v>0</v>
      </c>
      <c r="X202" s="21">
        <f>COUNTIFS(ANNOUNCEMENTS!$E$2:$E$180,$B202,ANNOUNCEMENTS!$W$2:$W$180,X$159,ANNOUNCEMENTS!$J$2:$J$180,$C202)</f>
        <v>0</v>
      </c>
      <c r="Y202" s="21">
        <f>COUNTIFS(ANNOUNCEMENTS!$E$2:$E$180,$B202,ANNOUNCEMENTS!$W$2:$W$180,Y$159,ANNOUNCEMENTS!$J$2:$J$180,$C202)</f>
        <v>3</v>
      </c>
      <c r="Z202" s="21">
        <f>COUNTIFS(ANNOUNCEMENTS!$E$2:$E$180,$B202,ANNOUNCEMENTS!$W$2:$W$180,Z$159,ANNOUNCEMENTS!$J$2:$J$180,$C202)</f>
        <v>0</v>
      </c>
      <c r="AA202" s="21">
        <f>COUNTIFS(ANNOUNCEMENTS!$E$2:$E$180,$B202,ANNOUNCEMENTS!$W$2:$W$180,AA$159,ANNOUNCEMENTS!$J$2:$J$180,$C202)</f>
        <v>0</v>
      </c>
      <c r="AB202" s="21">
        <f>COUNTIFS(ANNOUNCEMENTS!$E$2:$E$180,$B202,ANNOUNCEMENTS!$W$2:$W$180,AB$159,ANNOUNCEMENTS!$J$2:$J$180,$C202)</f>
        <v>3</v>
      </c>
      <c r="AC202" s="21">
        <f>COUNTIFS(ANNOUNCEMENTS!$E$2:$E$180,$B202,ANNOUNCEMENTS!$W$2:$W$180,AC$159,ANNOUNCEMENTS!$J$2:$J$180,$C202)</f>
        <v>0</v>
      </c>
      <c r="AD202" s="21">
        <f>COUNTIFS(ANNOUNCEMENTS!$E$2:$E$180,$B202,ANNOUNCEMENTS!$W$2:$W$180,AD$159,ANNOUNCEMENTS!$J$2:$J$180,$C202)</f>
        <v>0</v>
      </c>
      <c r="AE202" s="311">
        <f t="shared" si="73"/>
        <v>1</v>
      </c>
      <c r="AF202" s="311">
        <f t="shared" si="74"/>
        <v>0</v>
      </c>
      <c r="AG202" s="311">
        <f t="shared" si="75"/>
        <v>0</v>
      </c>
      <c r="AH202" s="311">
        <f t="shared" si="76"/>
        <v>0</v>
      </c>
      <c r="AI202" s="21">
        <f>COUNTIFS(ANNOUNCEMENTS!$E$2:$E$180,B202,ANNOUNCEMENTS!$Z$2:$Z$180,$J$37,ANNOUNCEMENTS!$J$2:$J$180,C202)+
COUNTIFS(ANNOUNCEMENTS!$E$2:$E$180,B202,ANNOUNCEMENTS!$Z$2:$Z$180,$L$37,ANNOUNCEMENTS!$J$2:$J$180,C202)+
COUNTIFS(ANNOUNCEMENTS!$E$2:$E$180,B202,ANNOUNCEMENTS!$AB$2:$AB$180,$J$37,ANNOUNCEMENTS!$J$2:$J$180,C202)+
COUNTIFS(ANNOUNCEMENTS!$E$2:$E$180,B202,ANNOUNCEMENTS!$AB$2:$AB$180,$L$37,ANNOUNCEMENTS!$J$2:$J$180,C202)+
COUNTIFS(ANNOUNCEMENTS!$E$2:$E$180,B202,ANNOUNCEMENTS!$AD$2:$AD$180,$J$37,ANNOUNCEMENTS!$J$2:$J$180,C202)+
COUNTIFS(ANNOUNCEMENTS!$E$2:$E$180,B202,ANNOUNCEMENTS!$AD$2:$AD$180,$L$37,ANNOUNCEMENTS!$J$2:$J$180,C202)</f>
        <v>2</v>
      </c>
      <c r="AJ202" s="21">
        <f>COUNTIFS(ANNOUNCEMENTS!$E$2:$E$180,B202,ANNOUNCEMENTS!$Z$2:$Z$180,$H$37,ANNOUNCEMENTS!$J$2:$J$180,C202)+
COUNTIFS(ANNOUNCEMENTS!$E$2:$E$180,B202,ANNOUNCEMENTS!$Z$2:$Z$180,$I$37,ANNOUNCEMENTS!$J$2:$J$180,C202)+
COUNTIFS(ANNOUNCEMENTS!$E$2:$E$180,B202,ANNOUNCEMENTS!$Z$2:$Z$180,$P$37,ANNOUNCEMENTS!$J$2:$J$180,C202)+
COUNTIFS(ANNOUNCEMENTS!$E$2:$E$180,B202,ANNOUNCEMENTS!$AB$2:$AB$180,$H$37,ANNOUNCEMENTS!$J$2:$J$180,C202)+
COUNTIFS(ANNOUNCEMENTS!$E$2:$E$180,B202,ANNOUNCEMENTS!$AB$2:$AB$180,$I$37,ANNOUNCEMENTS!$J$2:$J$180,C202)+
COUNTIFS(ANNOUNCEMENTS!$E$2:$E$180,B202,ANNOUNCEMENTS!$AB$2:$AB$180,$P$37,ANNOUNCEMENTS!$J$2:$J$180,C202)+
COUNTIFS(ANNOUNCEMENTS!$E$2:$E$180,B202,ANNOUNCEMENTS!$AD$2:$AD$180,$H$37,ANNOUNCEMENTS!$J$2:$J$180,C202)+
COUNTIFS(ANNOUNCEMENTS!$E$2:$E$180,B202,ANNOUNCEMENTS!$AD$2:$AD$180,$I$37,ANNOUNCEMENTS!$J$2:$J$180,C202)+
COUNTIFS(ANNOUNCEMENTS!$E$2:$E$180,B202,ANNOUNCEMENTS!$AD$2:$AD$180,$P$37,ANNOUNCEMENTS!$J$2:$J$180,C202)</f>
        <v>2</v>
      </c>
      <c r="AK202" s="310" cm="1">
        <f t="array" ref="AK202">SUM(COUNTIFS(ANNOUNCEMENTS!$E$2:$E$180,B202,ANNOUNCEMENTS!$W$2:$W$180,$E$38:$E$40,ANNOUNCEMENTS!$J$2:$J$180,C202))</f>
        <v>3</v>
      </c>
      <c r="AL202" s="21" cm="1">
        <f t="array" ref="AL202">SUM(COUNTIFS(ANNOUNCEMENTS!$E$2:$E$180,B202,ANNOUNCEMENTS!$W$2:$W$180,$E$43:$E$44,ANNOUNCEMENTS!$J$2:$J$180,C202))</f>
        <v>0</v>
      </c>
      <c r="AM202" s="21">
        <f t="shared" si="77"/>
        <v>6</v>
      </c>
      <c r="AN202" s="21">
        <f t="shared" si="78"/>
        <v>2</v>
      </c>
      <c r="AO202" s="309" cm="1">
        <f t="array" ref="AO202">_xlfn.XLOOKUP(AO$159,CBIMPORT!$A$1:$AM$1,_xlfn.XLOOKUP($B202,CBIMPORT!$A$1:$A$40,CBIMPORT!$A$1:$AM$40))</f>
        <v>0</v>
      </c>
      <c r="AP202" s="308" cm="1">
        <f t="array" ref="AP202">_xlfn.XLOOKUP(AP$159,CBIMPORT!$A$1:$AM$1,_xlfn.XLOOKUP($B202,CBIMPORT!$A$1:$A$40,CBIMPORT!$A$1:$AM$40))</f>
        <v>3000</v>
      </c>
      <c r="AQ202" s="307" cm="1">
        <f t="array" ref="AQ202">_xlfn.XLOOKUP(AQ$159,CBIMPORT!$A$1:$AM$1,_xlfn.XLOOKUP($B202,CBIMPORT!$A$1:$A$40,CBIMPORT!$A$1:$AM$40))</f>
        <v>5500</v>
      </c>
    </row>
    <row r="203" spans="1:60" hidden="1" x14ac:dyDescent="0.35">
      <c r="A203" s="303" t="s">
        <v>2163</v>
      </c>
      <c r="B203" s="315" t="str">
        <f t="shared" si="71"/>
        <v>Waymo</v>
      </c>
      <c r="C203" s="314" t="str">
        <f t="shared" si="72"/>
        <v>Other</v>
      </c>
      <c r="D203" s="313">
        <f>COUNTIFS(ANNOUNCEMENTS!$E$2:$E$180,$B203,ANNOUNCEMENTS!$J$2:$J$180,$C203)</f>
        <v>3</v>
      </c>
      <c r="E203" s="312" t="str" cm="1">
        <f t="array" ref="E203">_xlfn.ARRAYTOTEXT(
IF(D203&gt;0,_xlfn._xlws.FILTER(CHOOSE({1},
ANNOUNCEMENTS!$K$1:$K$180),
(ANNOUNCEMENTS!$E$1:$E$180=B203)*((ANNOUNCEMENTS!$J$1:$J$180=$C203)))))</f>
        <v>Verily; Swiss Re; AAA Northern California, Nevada &amp; Utah</v>
      </c>
      <c r="F203" s="306">
        <f t="shared" ref="F203:F215" si="79">L302</f>
        <v>1</v>
      </c>
      <c r="G203" s="310" t="str" cm="1">
        <f t="array" ref="G203">_xlfn.XLOOKUP($A203,'Industries all mentioned partne'!$A$2:$A$58,_xlfn.XLOOKUP(G$159,'Industries all mentioned partne'!$A$2:$DM$2,'Industries all mentioned partne'!$A$2:$DM$58))</f>
        <v>Insurance</v>
      </c>
      <c r="H203" s="91" cm="1">
        <f t="array" ref="H203">_xlfn.XLOOKUP($A203,'Industries all mentioned partne'!$A$2:$A$58,_xlfn.XLOOKUP(H$159,'Industries all mentioned partne'!$A$2:$DM$2,'Industries all mentioned partne'!$A$2:$DM$58))</f>
        <v>0.66666666666666663</v>
      </c>
      <c r="I203" s="310" t="str" cm="1">
        <f t="array" ref="I203">_xlfn.XLOOKUP($A203,'Industries all mentioned partne'!$A$2:$A$58,_xlfn.XLOOKUP(I$159,'Industries all mentioned partne'!$A$2:$DM$2,'Industries all mentioned partne'!$A$2:$DM$58))</f>
        <v>Health Care Analytics</v>
      </c>
      <c r="J203" s="91" cm="1">
        <f t="array" ref="J203">_xlfn.XLOOKUP($A203,'Industries all mentioned partne'!$A$2:$A$58,_xlfn.XLOOKUP(J$159,'Industries all mentioned partne'!$A$2:$DM$2,'Industries all mentioned partne'!$A$2:$DM$58))</f>
        <v>0.33333333333333331</v>
      </c>
      <c r="K203" s="310" t="str" cm="1">
        <f t="array" ref="K203">_xlfn.XLOOKUP($A203,'Industries all mentioned partne'!$A$2:$A$58,_xlfn.XLOOKUP(K$159,'Industries all mentioned partne'!$A$2:$DM$2,'Industries all mentioned partne'!$A$2:$DM$58))</f>
        <v/>
      </c>
      <c r="L203" s="91" t="str" cm="1">
        <f t="array" ref="L203">_xlfn.XLOOKUP($A203,'Industries all mentioned partne'!$A$2:$A$58,_xlfn.XLOOKUP(L$159,'Industries all mentioned partne'!$A$2:$DM$2,'Industries all mentioned partne'!$A$2:$DM$58))</f>
        <v/>
      </c>
      <c r="M203" s="311" t="str" cm="1">
        <f t="array" ref="M203">_xlfn.XLOOKUP($M$159,CBIMPORT!$A$1:$AN$1,_xlfn.XLOOKUP(B203,CBIMPORT!$A$1:$A$171,CBIMPORT!$A$1:$AN$171))</f>
        <v>L1</v>
      </c>
      <c r="N203" s="309" cm="1">
        <f t="array" ref="N203">_xlfn.XLOOKUP(N$159,CBIMPORT!$A$1:$AM$1,_xlfn.XLOOKUP($B203,CBIMPORT!$A$1:$A$40,CBIMPORT!$A$1:$AM$40))</f>
        <v>2.1379999999999999</v>
      </c>
      <c r="O203" s="21">
        <f>COUNTIFS(ANNOUNCEMENTS!$E$2:$E$180,$B203,ANNOUNCEMENTS!$Z$2:$Z$180,O$159,ANNOUNCEMENTS!$J$2:$J$180,$C203)+
COUNTIFS(ANNOUNCEMENTS!$E$2:$E$180,$B203,ANNOUNCEMENTS!$AB$2:$AB$180,O$159,ANNOUNCEMENTS!$J$2:$J$180,$C203)+
COUNTIFS(ANNOUNCEMENTS!$E$2:$E$180,$B203,ANNOUNCEMENTS!$AD$2:$AD$180,O$159,ANNOUNCEMENTS!$J$2:$J$180,$C203)</f>
        <v>0</v>
      </c>
      <c r="P203" s="21">
        <f>COUNTIFS(ANNOUNCEMENTS!$E$2:$E$180,$B203,ANNOUNCEMENTS!$Z$2:$Z$180,P$159,ANNOUNCEMENTS!$J$2:$J$180,$C203)+
COUNTIFS(ANNOUNCEMENTS!$E$2:$E$180,$B203,ANNOUNCEMENTS!$AB$2:$AB$180,P$159,ANNOUNCEMENTS!$J$2:$J$180,$C203)+
COUNTIFS(ANNOUNCEMENTS!$E$2:$E$180,$B203,ANNOUNCEMENTS!$AD$2:$AD$180,P$159,ANNOUNCEMENTS!$J$2:$J$180,$C203)</f>
        <v>0</v>
      </c>
      <c r="Q203" s="21">
        <f>COUNTIFS(ANNOUNCEMENTS!$E$2:$E$180,$B203,ANNOUNCEMENTS!$Z$2:$Z$180,Q$159,ANNOUNCEMENTS!$J$2:$J$180,$C203)+
COUNTIFS(ANNOUNCEMENTS!$E$2:$E$180,$B203,ANNOUNCEMENTS!$AB$2:$AB$180,Q$159,ANNOUNCEMENTS!$J$2:$J$180,$C203)+
COUNTIFS(ANNOUNCEMENTS!$E$2:$E$180,$B203,ANNOUNCEMENTS!$AD$2:$AD$180,Q$159,ANNOUNCEMENTS!$J$2:$J$180,$C203)</f>
        <v>0</v>
      </c>
      <c r="R203" s="21">
        <f>COUNTIFS(ANNOUNCEMENTS!$E$2:$E$180,$B203,ANNOUNCEMENTS!$Z$2:$Z$180,R$159,ANNOUNCEMENTS!$J$2:$J$180,$C203)+
COUNTIFS(ANNOUNCEMENTS!$E$2:$E$180,$B203,ANNOUNCEMENTS!$AB$2:$AB$180,R$159,ANNOUNCEMENTS!$J$2:$J$180,$C203)+
COUNTIFS(ANNOUNCEMENTS!$E$2:$E$180,$B203,ANNOUNCEMENTS!$AD$2:$AD$180,R$159,ANNOUNCEMENTS!$J$2:$J$180,$C203)</f>
        <v>1</v>
      </c>
      <c r="S203" s="21">
        <f>COUNTIFS(ANNOUNCEMENTS!$E$2:$E$180,$B203,ANNOUNCEMENTS!$Z$2:$Z$180,S$159,ANNOUNCEMENTS!$J$2:$J$180,$C203)+
COUNTIFS(ANNOUNCEMENTS!$E$2:$E$180,$B203,ANNOUNCEMENTS!$AB$2:$AB$180,S$159,ANNOUNCEMENTS!$J$2:$J$180,$C203)+
COUNTIFS(ANNOUNCEMENTS!$E$2:$E$180,$B203,ANNOUNCEMENTS!$AD$2:$AD$180,S$159,ANNOUNCEMENTS!$J$2:$J$180,$C203)</f>
        <v>0</v>
      </c>
      <c r="T203" s="21">
        <f>COUNTIFS(ANNOUNCEMENTS!$E$2:$E$180,$B203,ANNOUNCEMENTS!$Z$2:$Z$180,T$159,ANNOUNCEMENTS!$J$2:$J$180,$C203)+
COUNTIFS(ANNOUNCEMENTS!$E$2:$E$180,$B203,ANNOUNCEMENTS!$AB$2:$AB$180,T$159,ANNOUNCEMENTS!$J$2:$J$180,$C203)+
COUNTIFS(ANNOUNCEMENTS!$E$2:$E$180,$B203,ANNOUNCEMENTS!$AD$2:$AD$180,T$159,ANNOUNCEMENTS!$J$2:$J$180,$C203)</f>
        <v>1</v>
      </c>
      <c r="U203" s="21">
        <f>COUNTIFS(ANNOUNCEMENTS!$E$2:$E$180,$B203,ANNOUNCEMENTS!$Z$2:$Z$180,U$159,ANNOUNCEMENTS!$J$2:$J$180,$C203)+
COUNTIFS(ANNOUNCEMENTS!$E$2:$E$180,$B203,ANNOUNCEMENTS!$AB$2:$AB$180,U$159,ANNOUNCEMENTS!$J$2:$J$180,$C203)+
COUNTIFS(ANNOUNCEMENTS!$E$2:$E$180,$B203,ANNOUNCEMENTS!$AD$2:$AD$180,U$159,ANNOUNCEMENTS!$J$2:$J$180,$C203)</f>
        <v>0</v>
      </c>
      <c r="V203" s="21">
        <f>COUNTIFS(ANNOUNCEMENTS!$E$2:$E$180,$B203,ANNOUNCEMENTS!$Z$2:$Z$180,V$159,ANNOUNCEMENTS!$J$2:$J$180,$C203)+
COUNTIFS(ANNOUNCEMENTS!$E$2:$E$180,$B203,ANNOUNCEMENTS!$AB$2:$AB$180,V$159,ANNOUNCEMENTS!$J$2:$J$180,$C203)+
COUNTIFS(ANNOUNCEMENTS!$E$2:$E$180,$B203,ANNOUNCEMENTS!$AD$2:$AD$180,V$159,ANNOUNCEMENTS!$J$2:$J$180,$C203)</f>
        <v>1</v>
      </c>
      <c r="W203" s="21">
        <f>COUNTIFS(ANNOUNCEMENTS!$E$2:$E$180,$B203,ANNOUNCEMENTS!$Z$2:$Z$180,W$159,ANNOUNCEMENTS!$J$2:$J$180,$C203)+
COUNTIFS(ANNOUNCEMENTS!$E$2:$E$180,$B203,ANNOUNCEMENTS!$AB$2:$AB$180,W$159,ANNOUNCEMENTS!$J$2:$J$180,$C203)+
COUNTIFS(ANNOUNCEMENTS!$E$2:$E$180,$B203,ANNOUNCEMENTS!$AD$2:$AD$180,W$159,ANNOUNCEMENTS!$J$2:$J$180,$C203)</f>
        <v>0</v>
      </c>
      <c r="X203" s="21">
        <f>COUNTIFS(ANNOUNCEMENTS!$E$2:$E$180,$B203,ANNOUNCEMENTS!$W$2:$W$180,X$159,ANNOUNCEMENTS!$J$2:$J$180,$C203)</f>
        <v>1</v>
      </c>
      <c r="Y203" s="21">
        <f>COUNTIFS(ANNOUNCEMENTS!$E$2:$E$180,$B203,ANNOUNCEMENTS!$W$2:$W$180,Y$159,ANNOUNCEMENTS!$J$2:$J$180,$C203)</f>
        <v>2</v>
      </c>
      <c r="Z203" s="21">
        <f>COUNTIFS(ANNOUNCEMENTS!$E$2:$E$180,$B203,ANNOUNCEMENTS!$W$2:$W$180,Z$159,ANNOUNCEMENTS!$J$2:$J$180,$C203)</f>
        <v>0</v>
      </c>
      <c r="AA203" s="21">
        <f>COUNTIFS(ANNOUNCEMENTS!$E$2:$E$180,$B203,ANNOUNCEMENTS!$W$2:$W$180,AA$159,ANNOUNCEMENTS!$J$2:$J$180,$C203)</f>
        <v>0</v>
      </c>
      <c r="AB203" s="21">
        <f>COUNTIFS(ANNOUNCEMENTS!$E$2:$E$180,$B203,ANNOUNCEMENTS!$W$2:$W$180,AB$159,ANNOUNCEMENTS!$J$2:$J$180,$C203)</f>
        <v>0</v>
      </c>
      <c r="AC203" s="21">
        <f>COUNTIFS(ANNOUNCEMENTS!$E$2:$E$180,$B203,ANNOUNCEMENTS!$W$2:$W$180,AC$159,ANNOUNCEMENTS!$J$2:$J$180,$C203)</f>
        <v>0</v>
      </c>
      <c r="AD203" s="21">
        <f>COUNTIFS(ANNOUNCEMENTS!$E$2:$E$180,$B203,ANNOUNCEMENTS!$W$2:$W$180,AD$159,ANNOUNCEMENTS!$J$2:$J$180,$C203)</f>
        <v>0</v>
      </c>
      <c r="AE203" s="311">
        <f t="shared" si="73"/>
        <v>1</v>
      </c>
      <c r="AF203" s="311">
        <f t="shared" si="74"/>
        <v>0</v>
      </c>
      <c r="AG203" s="311">
        <f t="shared" si="75"/>
        <v>0</v>
      </c>
      <c r="AH203" s="311">
        <f t="shared" si="76"/>
        <v>0</v>
      </c>
      <c r="AI203" s="21">
        <f>COUNTIFS(ANNOUNCEMENTS!$E$2:$E$180,B203,ANNOUNCEMENTS!$Z$2:$Z$180,$J$37,ANNOUNCEMENTS!$J$2:$J$180,C203)+
COUNTIFS(ANNOUNCEMENTS!$E$2:$E$180,B203,ANNOUNCEMENTS!$Z$2:$Z$180,$L$37,ANNOUNCEMENTS!$J$2:$J$180,C203)+
COUNTIFS(ANNOUNCEMENTS!$E$2:$E$180,B203,ANNOUNCEMENTS!$AB$2:$AB$180,$J$37,ANNOUNCEMENTS!$J$2:$J$180,C203)+
COUNTIFS(ANNOUNCEMENTS!$E$2:$E$180,B203,ANNOUNCEMENTS!$AB$2:$AB$180,$L$37,ANNOUNCEMENTS!$J$2:$J$180,C203)+
COUNTIFS(ANNOUNCEMENTS!$E$2:$E$180,B203,ANNOUNCEMENTS!$AD$2:$AD$180,$J$37,ANNOUNCEMENTS!$J$2:$J$180,C203)+
COUNTIFS(ANNOUNCEMENTS!$E$2:$E$180,B203,ANNOUNCEMENTS!$AD$2:$AD$180,$L$37,ANNOUNCEMENTS!$J$2:$J$180,C203)</f>
        <v>0</v>
      </c>
      <c r="AJ203" s="21">
        <f>COUNTIFS(ANNOUNCEMENTS!$E$2:$E$180,B203,ANNOUNCEMENTS!$Z$2:$Z$180,$H$37,ANNOUNCEMENTS!$J$2:$J$180,C203)+
COUNTIFS(ANNOUNCEMENTS!$E$2:$E$180,B203,ANNOUNCEMENTS!$Z$2:$Z$180,$I$37,ANNOUNCEMENTS!$J$2:$J$180,C203)+
COUNTIFS(ANNOUNCEMENTS!$E$2:$E$180,B203,ANNOUNCEMENTS!$Z$2:$Z$180,$P$37,ANNOUNCEMENTS!$J$2:$J$180,C203)+
COUNTIFS(ANNOUNCEMENTS!$E$2:$E$180,B203,ANNOUNCEMENTS!$AB$2:$AB$180,$H$37,ANNOUNCEMENTS!$J$2:$J$180,C203)+
COUNTIFS(ANNOUNCEMENTS!$E$2:$E$180,B203,ANNOUNCEMENTS!$AB$2:$AB$180,$I$37,ANNOUNCEMENTS!$J$2:$J$180,C203)+
COUNTIFS(ANNOUNCEMENTS!$E$2:$E$180,B203,ANNOUNCEMENTS!$AB$2:$AB$180,$P$37,ANNOUNCEMENTS!$J$2:$J$180,C203)+
COUNTIFS(ANNOUNCEMENTS!$E$2:$E$180,B203,ANNOUNCEMENTS!$AD$2:$AD$180,$H$37,ANNOUNCEMENTS!$J$2:$J$180,C203)+
COUNTIFS(ANNOUNCEMENTS!$E$2:$E$180,B203,ANNOUNCEMENTS!$AD$2:$AD$180,$I$37,ANNOUNCEMENTS!$J$2:$J$180,C203)+
COUNTIFS(ANNOUNCEMENTS!$E$2:$E$180,B203,ANNOUNCEMENTS!$AD$2:$AD$180,$P$37,ANNOUNCEMENTS!$J$2:$J$180,C203)</f>
        <v>0</v>
      </c>
      <c r="AK203" s="310" cm="1">
        <f t="array" ref="AK203">SUM(COUNTIFS(ANNOUNCEMENTS!$E$2:$E$180,B203,ANNOUNCEMENTS!$W$2:$W$180,$E$38:$E$40,ANNOUNCEMENTS!$J$2:$J$180,C203))</f>
        <v>3</v>
      </c>
      <c r="AL203" s="21" cm="1">
        <f t="array" ref="AL203">SUM(COUNTIFS(ANNOUNCEMENTS!$E$2:$E$180,B203,ANNOUNCEMENTS!$W$2:$W$180,$E$43:$E$44,ANNOUNCEMENTS!$J$2:$J$180,C203))</f>
        <v>0</v>
      </c>
      <c r="AM203" s="21">
        <f t="shared" si="77"/>
        <v>3</v>
      </c>
      <c r="AN203" s="21">
        <f t="shared" si="78"/>
        <v>1</v>
      </c>
      <c r="AO203" s="309" cm="1">
        <f t="array" ref="AO203">_xlfn.XLOOKUP(AO$159,CBIMPORT!$A$1:$AM$1,_xlfn.XLOOKUP($B203,CBIMPORT!$A$1:$A$40,CBIMPORT!$A$1:$AM$40))</f>
        <v>0</v>
      </c>
      <c r="AP203" s="308" cm="1">
        <f t="array" ref="AP203">_xlfn.XLOOKUP(AP$159,CBIMPORT!$A$1:$AM$1,_xlfn.XLOOKUP($B203,CBIMPORT!$A$1:$A$40,CBIMPORT!$A$1:$AM$40))</f>
        <v>3000</v>
      </c>
      <c r="AQ203" s="307" cm="1">
        <f t="array" ref="AQ203">_xlfn.XLOOKUP(AQ$159,CBIMPORT!$A$1:$AM$1,_xlfn.XLOOKUP($B203,CBIMPORT!$A$1:$A$40,CBIMPORT!$A$1:$AM$40))</f>
        <v>5500</v>
      </c>
    </row>
    <row r="204" spans="1:60" x14ac:dyDescent="0.35">
      <c r="A204" s="303" t="s">
        <v>2210</v>
      </c>
      <c r="B204" s="315" t="str">
        <f t="shared" si="71"/>
        <v>Wayve</v>
      </c>
      <c r="C204" s="314" t="str">
        <f t="shared" si="72"/>
        <v>Last-Mile</v>
      </c>
      <c r="D204" s="313">
        <f>COUNTIFS(ANNOUNCEMENTS!$E$2:$E$180,$B204,ANNOUNCEMENTS!$J$2:$J$180,$C204)</f>
        <v>2</v>
      </c>
      <c r="E204" s="312" t="str" cm="1">
        <f t="array" ref="E204">_xlfn.ARRAYTOTEXT(
IF(D204&gt;0,_xlfn._xlws.FILTER(CHOOSE({1},
ANNOUNCEMENTS!$K$1:$K$180),
(ANNOUNCEMENTS!$E$1:$E$180=B204)*((ANNOUNCEMENTS!$J$1:$J$180=$C204)))))</f>
        <v>Asda; Ocado Group</v>
      </c>
      <c r="F204" s="306">
        <f t="shared" si="79"/>
        <v>1</v>
      </c>
      <c r="G204" s="310" t="str" cm="1">
        <f t="array" ref="G204">_xlfn.XLOOKUP($A204,'Industries all mentioned partne'!$A$2:$A$58,_xlfn.XLOOKUP(G$159,'Industries all mentioned partne'!$A$2:$DM$2,'Industries all mentioned partne'!$A$2:$DM$58))</f>
        <v>Retail</v>
      </c>
      <c r="H204" s="91" cm="1">
        <f t="array" ref="H204">_xlfn.XLOOKUP($A204,'Industries all mentioned partne'!$A$2:$A$58,_xlfn.XLOOKUP(H$159,'Industries all mentioned partne'!$A$2:$DM$2,'Industries all mentioned partne'!$A$2:$DM$58))</f>
        <v>1</v>
      </c>
      <c r="I204" s="310" t="str" cm="1">
        <f t="array" ref="I204">_xlfn.XLOOKUP($A204,'Industries all mentioned partne'!$A$2:$A$58,_xlfn.XLOOKUP(I$159,'Industries all mentioned partne'!$A$2:$DM$2,'Industries all mentioned partne'!$A$2:$DM$58))</f>
        <v/>
      </c>
      <c r="J204" s="91" t="str" cm="1">
        <f t="array" ref="J204">_xlfn.XLOOKUP($A204,'Industries all mentioned partne'!$A$2:$A$58,_xlfn.XLOOKUP(J$159,'Industries all mentioned partne'!$A$2:$DM$2,'Industries all mentioned partne'!$A$2:$DM$58))</f>
        <v/>
      </c>
      <c r="K204" s="310" t="str" cm="1">
        <f t="array" ref="K204">_xlfn.XLOOKUP($A204,'Industries all mentioned partne'!$A$2:$A$58,_xlfn.XLOOKUP(K$159,'Industries all mentioned partne'!$A$2:$DM$2,'Industries all mentioned partne'!$A$2:$DM$58))</f>
        <v/>
      </c>
      <c r="L204" s="91" t="str" cm="1">
        <f t="array" ref="L204">_xlfn.XLOOKUP($A204,'Industries all mentioned partne'!$A$2:$A$58,_xlfn.XLOOKUP(L$159,'Industries all mentioned partne'!$A$2:$DM$2,'Industries all mentioned partne'!$A$2:$DM$58))</f>
        <v/>
      </c>
      <c r="M204" s="311" t="str" cm="1">
        <f t="array" ref="M204">_xlfn.XLOOKUP($M$159,CBIMPORT!$A$1:$AN$1,_xlfn.XLOOKUP(B204,CBIMPORT!$A$1:$A$171,CBIMPORT!$A$1:$AN$171))</f>
        <v>L1</v>
      </c>
      <c r="N204" s="309" cm="1">
        <f t="array" ref="N204">_xlfn.XLOOKUP(N$159,CBIMPORT!$A$1:$AM$1,_xlfn.XLOOKUP($B204,CBIMPORT!$A$1:$A$40,CBIMPORT!$A$1:$AM$40))</f>
        <v>0</v>
      </c>
      <c r="O204" s="21">
        <f>COUNTIFS(ANNOUNCEMENTS!$E$2:$E$180,$B204,ANNOUNCEMENTS!$Z$2:$Z$180,O$159,ANNOUNCEMENTS!$J$2:$J$180,$C204)+
COUNTIFS(ANNOUNCEMENTS!$E$2:$E$180,$B204,ANNOUNCEMENTS!$AB$2:$AB$180,O$159,ANNOUNCEMENTS!$J$2:$J$180,$C204)+
COUNTIFS(ANNOUNCEMENTS!$E$2:$E$180,$B204,ANNOUNCEMENTS!$AD$2:$AD$180,O$159,ANNOUNCEMENTS!$J$2:$J$180,$C204)</f>
        <v>0</v>
      </c>
      <c r="P204" s="21">
        <f>COUNTIFS(ANNOUNCEMENTS!$E$2:$E$180,$B204,ANNOUNCEMENTS!$Z$2:$Z$180,P$159,ANNOUNCEMENTS!$J$2:$J$180,$C204)+
COUNTIFS(ANNOUNCEMENTS!$E$2:$E$180,$B204,ANNOUNCEMENTS!$AB$2:$AB$180,P$159,ANNOUNCEMENTS!$J$2:$J$180,$C204)+
COUNTIFS(ANNOUNCEMENTS!$E$2:$E$180,$B204,ANNOUNCEMENTS!$AD$2:$AD$180,P$159,ANNOUNCEMENTS!$J$2:$J$180,$C204)</f>
        <v>0</v>
      </c>
      <c r="Q204" s="21">
        <f>COUNTIFS(ANNOUNCEMENTS!$E$2:$E$180,$B204,ANNOUNCEMENTS!$Z$2:$Z$180,Q$159,ANNOUNCEMENTS!$J$2:$J$180,$C204)+
COUNTIFS(ANNOUNCEMENTS!$E$2:$E$180,$B204,ANNOUNCEMENTS!$AB$2:$AB$180,Q$159,ANNOUNCEMENTS!$J$2:$J$180,$C204)+
COUNTIFS(ANNOUNCEMENTS!$E$2:$E$180,$B204,ANNOUNCEMENTS!$AD$2:$AD$180,Q$159,ANNOUNCEMENTS!$J$2:$J$180,$C204)</f>
        <v>2</v>
      </c>
      <c r="R204" s="21">
        <f>COUNTIFS(ANNOUNCEMENTS!$E$2:$E$180,$B204,ANNOUNCEMENTS!$Z$2:$Z$180,R$159,ANNOUNCEMENTS!$J$2:$J$180,$C204)+
COUNTIFS(ANNOUNCEMENTS!$E$2:$E$180,$B204,ANNOUNCEMENTS!$AB$2:$AB$180,R$159,ANNOUNCEMENTS!$J$2:$J$180,$C204)+
COUNTIFS(ANNOUNCEMENTS!$E$2:$E$180,$B204,ANNOUNCEMENTS!$AD$2:$AD$180,R$159,ANNOUNCEMENTS!$J$2:$J$180,$C204)</f>
        <v>0</v>
      </c>
      <c r="S204" s="21">
        <f>COUNTIFS(ANNOUNCEMENTS!$E$2:$E$180,$B204,ANNOUNCEMENTS!$Z$2:$Z$180,S$159,ANNOUNCEMENTS!$J$2:$J$180,$C204)+
COUNTIFS(ANNOUNCEMENTS!$E$2:$E$180,$B204,ANNOUNCEMENTS!$AB$2:$AB$180,S$159,ANNOUNCEMENTS!$J$2:$J$180,$C204)+
COUNTIFS(ANNOUNCEMENTS!$E$2:$E$180,$B204,ANNOUNCEMENTS!$AD$2:$AD$180,S$159,ANNOUNCEMENTS!$J$2:$J$180,$C204)</f>
        <v>0</v>
      </c>
      <c r="T204" s="21">
        <f>COUNTIFS(ANNOUNCEMENTS!$E$2:$E$180,$B204,ANNOUNCEMENTS!$Z$2:$Z$180,T$159,ANNOUNCEMENTS!$J$2:$J$180,$C204)+
COUNTIFS(ANNOUNCEMENTS!$E$2:$E$180,$B204,ANNOUNCEMENTS!$AB$2:$AB$180,T$159,ANNOUNCEMENTS!$J$2:$J$180,$C204)+
COUNTIFS(ANNOUNCEMENTS!$E$2:$E$180,$B204,ANNOUNCEMENTS!$AD$2:$AD$180,T$159,ANNOUNCEMENTS!$J$2:$J$180,$C204)</f>
        <v>2</v>
      </c>
      <c r="U204" s="21">
        <f>COUNTIFS(ANNOUNCEMENTS!$E$2:$E$180,$B204,ANNOUNCEMENTS!$Z$2:$Z$180,U$159,ANNOUNCEMENTS!$J$2:$J$180,$C204)+
COUNTIFS(ANNOUNCEMENTS!$E$2:$E$180,$B204,ANNOUNCEMENTS!$AB$2:$AB$180,U$159,ANNOUNCEMENTS!$J$2:$J$180,$C204)+
COUNTIFS(ANNOUNCEMENTS!$E$2:$E$180,$B204,ANNOUNCEMENTS!$AD$2:$AD$180,U$159,ANNOUNCEMENTS!$J$2:$J$180,$C204)</f>
        <v>0</v>
      </c>
      <c r="V204" s="21">
        <f>COUNTIFS(ANNOUNCEMENTS!$E$2:$E$180,$B204,ANNOUNCEMENTS!$Z$2:$Z$180,V$159,ANNOUNCEMENTS!$J$2:$J$180,$C204)+
COUNTIFS(ANNOUNCEMENTS!$E$2:$E$180,$B204,ANNOUNCEMENTS!$AB$2:$AB$180,V$159,ANNOUNCEMENTS!$J$2:$J$180,$C204)+
COUNTIFS(ANNOUNCEMENTS!$E$2:$E$180,$B204,ANNOUNCEMENTS!$AD$2:$AD$180,V$159,ANNOUNCEMENTS!$J$2:$J$180,$C204)</f>
        <v>0</v>
      </c>
      <c r="W204" s="21">
        <f>COUNTIFS(ANNOUNCEMENTS!$E$2:$E$180,$B204,ANNOUNCEMENTS!$Z$2:$Z$180,W$159,ANNOUNCEMENTS!$J$2:$J$180,$C204)+
COUNTIFS(ANNOUNCEMENTS!$E$2:$E$180,$B204,ANNOUNCEMENTS!$AB$2:$AB$180,W$159,ANNOUNCEMENTS!$J$2:$J$180,$C204)+
COUNTIFS(ANNOUNCEMENTS!$E$2:$E$180,$B204,ANNOUNCEMENTS!$AD$2:$AD$180,W$159,ANNOUNCEMENTS!$J$2:$J$180,$C204)</f>
        <v>0</v>
      </c>
      <c r="X204" s="21">
        <f>COUNTIFS(ANNOUNCEMENTS!$E$2:$E$180,$B204,ANNOUNCEMENTS!$W$2:$W$180,X$159,ANNOUNCEMENTS!$J$2:$J$180,$C204)</f>
        <v>0</v>
      </c>
      <c r="Y204" s="21">
        <f>COUNTIFS(ANNOUNCEMENTS!$E$2:$E$180,$B204,ANNOUNCEMENTS!$W$2:$W$180,Y$159,ANNOUNCEMENTS!$J$2:$J$180,$C204)</f>
        <v>1</v>
      </c>
      <c r="Z204" s="21">
        <f>COUNTIFS(ANNOUNCEMENTS!$E$2:$E$180,$B204,ANNOUNCEMENTS!$W$2:$W$180,Z$159,ANNOUNCEMENTS!$J$2:$J$180,$C204)</f>
        <v>0</v>
      </c>
      <c r="AA204" s="21">
        <f>COUNTIFS(ANNOUNCEMENTS!$E$2:$E$180,$B204,ANNOUNCEMENTS!$W$2:$W$180,AA$159,ANNOUNCEMENTS!$J$2:$J$180,$C204)</f>
        <v>1</v>
      </c>
      <c r="AB204" s="21">
        <f>COUNTIFS(ANNOUNCEMENTS!$E$2:$E$180,$B204,ANNOUNCEMENTS!$W$2:$W$180,AB$159,ANNOUNCEMENTS!$J$2:$J$180,$C204)</f>
        <v>0</v>
      </c>
      <c r="AC204" s="21">
        <f>COUNTIFS(ANNOUNCEMENTS!$E$2:$E$180,$B204,ANNOUNCEMENTS!$W$2:$W$180,AC$159,ANNOUNCEMENTS!$J$2:$J$180,$C204)</f>
        <v>0</v>
      </c>
      <c r="AD204" s="21">
        <f>COUNTIFS(ANNOUNCEMENTS!$E$2:$E$180,$B204,ANNOUNCEMENTS!$W$2:$W$180,AD$159,ANNOUNCEMENTS!$J$2:$J$180,$C204)</f>
        <v>0</v>
      </c>
      <c r="AE204" s="311">
        <f t="shared" si="73"/>
        <v>1</v>
      </c>
      <c r="AF204" s="311">
        <f t="shared" si="74"/>
        <v>0</v>
      </c>
      <c r="AG204" s="311">
        <f t="shared" si="75"/>
        <v>0</v>
      </c>
      <c r="AH204" s="311">
        <f t="shared" si="76"/>
        <v>0</v>
      </c>
      <c r="AI204" s="21">
        <f>COUNTIFS(ANNOUNCEMENTS!$E$2:$E$180,B204,ANNOUNCEMENTS!$Z$2:$Z$180,$J$37,ANNOUNCEMENTS!$J$2:$J$180,C204)+
COUNTIFS(ANNOUNCEMENTS!$E$2:$E$180,B204,ANNOUNCEMENTS!$Z$2:$Z$180,$L$37,ANNOUNCEMENTS!$J$2:$J$180,C204)+
COUNTIFS(ANNOUNCEMENTS!$E$2:$E$180,B204,ANNOUNCEMENTS!$AB$2:$AB$180,$J$37,ANNOUNCEMENTS!$J$2:$J$180,C204)+
COUNTIFS(ANNOUNCEMENTS!$E$2:$E$180,B204,ANNOUNCEMENTS!$AB$2:$AB$180,$L$37,ANNOUNCEMENTS!$J$2:$J$180,C204)+
COUNTIFS(ANNOUNCEMENTS!$E$2:$E$180,B204,ANNOUNCEMENTS!$AD$2:$AD$180,$J$37,ANNOUNCEMENTS!$J$2:$J$180,C204)+
COUNTIFS(ANNOUNCEMENTS!$E$2:$E$180,B204,ANNOUNCEMENTS!$AD$2:$AD$180,$L$37,ANNOUNCEMENTS!$J$2:$J$180,C204)</f>
        <v>2</v>
      </c>
      <c r="AJ204" s="21">
        <f>COUNTIFS(ANNOUNCEMENTS!$E$2:$E$180,B204,ANNOUNCEMENTS!$Z$2:$Z$180,$H$37,ANNOUNCEMENTS!$J$2:$J$180,C204)+
COUNTIFS(ANNOUNCEMENTS!$E$2:$E$180,B204,ANNOUNCEMENTS!$Z$2:$Z$180,$I$37,ANNOUNCEMENTS!$J$2:$J$180,C204)+
COUNTIFS(ANNOUNCEMENTS!$E$2:$E$180,B204,ANNOUNCEMENTS!$Z$2:$Z$180,$P$37,ANNOUNCEMENTS!$J$2:$J$180,C204)+
COUNTIFS(ANNOUNCEMENTS!$E$2:$E$180,B204,ANNOUNCEMENTS!$AB$2:$AB$180,$H$37,ANNOUNCEMENTS!$J$2:$J$180,C204)+
COUNTIFS(ANNOUNCEMENTS!$E$2:$E$180,B204,ANNOUNCEMENTS!$AB$2:$AB$180,$I$37,ANNOUNCEMENTS!$J$2:$J$180,C204)+
COUNTIFS(ANNOUNCEMENTS!$E$2:$E$180,B204,ANNOUNCEMENTS!$AB$2:$AB$180,$P$37,ANNOUNCEMENTS!$J$2:$J$180,C204)+
COUNTIFS(ANNOUNCEMENTS!$E$2:$E$180,B204,ANNOUNCEMENTS!$AD$2:$AD$180,$H$37,ANNOUNCEMENTS!$J$2:$J$180,C204)+
COUNTIFS(ANNOUNCEMENTS!$E$2:$E$180,B204,ANNOUNCEMENTS!$AD$2:$AD$180,$I$37,ANNOUNCEMENTS!$J$2:$J$180,C204)+
COUNTIFS(ANNOUNCEMENTS!$E$2:$E$180,B204,ANNOUNCEMENTS!$AD$2:$AD$180,$P$37,ANNOUNCEMENTS!$J$2:$J$180,C204)</f>
        <v>0</v>
      </c>
      <c r="AK204" s="310" cm="1">
        <f t="array" ref="AK204">SUM(COUNTIFS(ANNOUNCEMENTS!$E$2:$E$180,B204,ANNOUNCEMENTS!$W$2:$W$180,$E$38:$E$40,ANNOUNCEMENTS!$J$2:$J$180,C204))</f>
        <v>1</v>
      </c>
      <c r="AL204" s="21" cm="1">
        <f t="array" ref="AL204">SUM(COUNTIFS(ANNOUNCEMENTS!$E$2:$E$180,B204,ANNOUNCEMENTS!$W$2:$W$180,$E$43:$E$44,ANNOUNCEMENTS!$J$2:$J$180,C204))</f>
        <v>0</v>
      </c>
      <c r="AM204" s="21">
        <f t="shared" si="77"/>
        <v>2</v>
      </c>
      <c r="AN204" s="21">
        <f t="shared" si="78"/>
        <v>1</v>
      </c>
      <c r="AO204" s="309" cm="1">
        <f t="array" ref="AO204">_xlfn.XLOOKUP(AO$159,CBIMPORT!$A$1:$AM$1,_xlfn.XLOOKUP($B204,CBIMPORT!$A$1:$A$40,CBIMPORT!$A$1:$AM$40))</f>
        <v>0</v>
      </c>
      <c r="AP204" s="308" cm="1">
        <f t="array" ref="AP204">_xlfn.XLOOKUP(AP$159,CBIMPORT!$A$1:$AM$1,_xlfn.XLOOKUP($B204,CBIMPORT!$A$1:$A$40,CBIMPORT!$A$1:$AM$40))</f>
        <v>175</v>
      </c>
      <c r="AQ204" s="307" cm="1">
        <f t="array" ref="AQ204">_xlfn.XLOOKUP(AQ$159,CBIMPORT!$A$1:$AM$1,_xlfn.XLOOKUP($B204,CBIMPORT!$A$1:$A$40,CBIMPORT!$A$1:$AM$40))</f>
        <v>257.21844499999997</v>
      </c>
    </row>
    <row r="205" spans="1:60" hidden="1" x14ac:dyDescent="0.35">
      <c r="A205" s="303" t="s">
        <v>2164</v>
      </c>
      <c r="B205" s="315" t="str">
        <f t="shared" si="71"/>
        <v>ZF</v>
      </c>
      <c r="C205" s="314" t="str">
        <f t="shared" si="72"/>
        <v>Other</v>
      </c>
      <c r="D205" s="313">
        <f>COUNTIFS(ANNOUNCEMENTS!$E$2:$E$180,$B205,ANNOUNCEMENTS!$J$2:$J$180,$C205)</f>
        <v>1</v>
      </c>
      <c r="E205" s="312" t="str" cm="1">
        <f t="array" ref="E205">_xlfn.ARRAYTOTEXT(
IF(D205&gt;0,_xlfn._xlws.FILTER(CHOOSE({1},
ANNOUNCEMENTS!$K$1:$K$180),
(ANNOUNCEMENTS!$E$1:$E$180=B205)*((ANNOUNCEMENTS!$J$1:$J$180=$C205)))))</f>
        <v>NIO</v>
      </c>
      <c r="F205" s="306">
        <f t="shared" si="79"/>
        <v>1</v>
      </c>
      <c r="G205" s="310" t="str" cm="1">
        <f t="array" ref="G205">_xlfn.XLOOKUP($A205,'Industries all mentioned partne'!$A$2:$A$58,_xlfn.XLOOKUP(G$159,'Industries all mentioned partne'!$A$2:$DM$2,'Industries all mentioned partne'!$A$2:$DM$58))</f>
        <v>OEM</v>
      </c>
      <c r="H205" s="91" cm="1">
        <f t="array" ref="H205">_xlfn.XLOOKUP($A205,'Industries all mentioned partne'!$A$2:$A$58,_xlfn.XLOOKUP(H$159,'Industries all mentioned partne'!$A$2:$DM$2,'Industries all mentioned partne'!$A$2:$DM$58))</f>
        <v>1</v>
      </c>
      <c r="I205" s="310" t="str" cm="1">
        <f t="array" ref="I205">_xlfn.XLOOKUP($A205,'Industries all mentioned partne'!$A$2:$A$58,_xlfn.XLOOKUP(I$159,'Industries all mentioned partne'!$A$2:$DM$2,'Industries all mentioned partne'!$A$2:$DM$58))</f>
        <v/>
      </c>
      <c r="J205" s="91" t="str" cm="1">
        <f t="array" ref="J205">_xlfn.XLOOKUP($A205,'Industries all mentioned partne'!$A$2:$A$58,_xlfn.XLOOKUP(J$159,'Industries all mentioned partne'!$A$2:$DM$2,'Industries all mentioned partne'!$A$2:$DM$58))</f>
        <v/>
      </c>
      <c r="K205" s="310" t="str" cm="1">
        <f t="array" ref="K205">_xlfn.XLOOKUP($A205,'Industries all mentioned partne'!$A$2:$A$58,_xlfn.XLOOKUP(K$159,'Industries all mentioned partne'!$A$2:$DM$2,'Industries all mentioned partne'!$A$2:$DM$58))</f>
        <v/>
      </c>
      <c r="L205" s="91" t="str" cm="1">
        <f t="array" ref="L205">_xlfn.XLOOKUP($A205,'Industries all mentioned partne'!$A$2:$A$58,_xlfn.XLOOKUP(L$159,'Industries all mentioned partne'!$A$2:$DM$2,'Industries all mentioned partne'!$A$2:$DM$58))</f>
        <v/>
      </c>
      <c r="M205" s="311" t="str" cm="1">
        <f t="array" ref="M205">_xlfn.XLOOKUP($M$159,CBIMPORT!$A$1:$AN$1,_xlfn.XLOOKUP(B205,CBIMPORT!$A$1:$A$171,CBIMPORT!$A$1:$AN$171))</f>
        <v>L2</v>
      </c>
      <c r="N205" s="309" cm="1">
        <f t="array" ref="N205">_xlfn.XLOOKUP(N$159,CBIMPORT!$A$1:$AM$1,_xlfn.XLOOKUP($B205,CBIMPORT!$A$1:$A$40,CBIMPORT!$A$1:$AM$40))</f>
        <v>5.7859999999999996</v>
      </c>
      <c r="O205" s="21">
        <f>COUNTIFS(ANNOUNCEMENTS!$E$2:$E$180,$B205,ANNOUNCEMENTS!$Z$2:$Z$180,O$159,ANNOUNCEMENTS!$J$2:$J$180,$C205)+
COUNTIFS(ANNOUNCEMENTS!$E$2:$E$180,$B205,ANNOUNCEMENTS!$AB$2:$AB$180,O$159,ANNOUNCEMENTS!$J$2:$J$180,$C205)+
COUNTIFS(ANNOUNCEMENTS!$E$2:$E$180,$B205,ANNOUNCEMENTS!$AD$2:$AD$180,O$159,ANNOUNCEMENTS!$J$2:$J$180,$C205)</f>
        <v>0</v>
      </c>
      <c r="P205" s="21">
        <f>COUNTIFS(ANNOUNCEMENTS!$E$2:$E$180,$B205,ANNOUNCEMENTS!$Z$2:$Z$180,P$159,ANNOUNCEMENTS!$J$2:$J$180,$C205)+
COUNTIFS(ANNOUNCEMENTS!$E$2:$E$180,$B205,ANNOUNCEMENTS!$AB$2:$AB$180,P$159,ANNOUNCEMENTS!$J$2:$J$180,$C205)+
COUNTIFS(ANNOUNCEMENTS!$E$2:$E$180,$B205,ANNOUNCEMENTS!$AD$2:$AD$180,P$159,ANNOUNCEMENTS!$J$2:$J$180,$C205)</f>
        <v>0</v>
      </c>
      <c r="Q205" s="21">
        <f>COUNTIFS(ANNOUNCEMENTS!$E$2:$E$180,$B205,ANNOUNCEMENTS!$Z$2:$Z$180,Q$159,ANNOUNCEMENTS!$J$2:$J$180,$C205)+
COUNTIFS(ANNOUNCEMENTS!$E$2:$E$180,$B205,ANNOUNCEMENTS!$AB$2:$AB$180,Q$159,ANNOUNCEMENTS!$J$2:$J$180,$C205)+
COUNTIFS(ANNOUNCEMENTS!$E$2:$E$180,$B205,ANNOUNCEMENTS!$AD$2:$AD$180,Q$159,ANNOUNCEMENTS!$J$2:$J$180,$C205)</f>
        <v>0</v>
      </c>
      <c r="R205" s="21">
        <f>COUNTIFS(ANNOUNCEMENTS!$E$2:$E$180,$B205,ANNOUNCEMENTS!$Z$2:$Z$180,R$159,ANNOUNCEMENTS!$J$2:$J$180,$C205)+
COUNTIFS(ANNOUNCEMENTS!$E$2:$E$180,$B205,ANNOUNCEMENTS!$AB$2:$AB$180,R$159,ANNOUNCEMENTS!$J$2:$J$180,$C205)+
COUNTIFS(ANNOUNCEMENTS!$E$2:$E$180,$B205,ANNOUNCEMENTS!$AD$2:$AD$180,R$159,ANNOUNCEMENTS!$J$2:$J$180,$C205)</f>
        <v>0</v>
      </c>
      <c r="S205" s="21">
        <f>COUNTIFS(ANNOUNCEMENTS!$E$2:$E$180,$B205,ANNOUNCEMENTS!$Z$2:$Z$180,S$159,ANNOUNCEMENTS!$J$2:$J$180,$C205)+
COUNTIFS(ANNOUNCEMENTS!$E$2:$E$180,$B205,ANNOUNCEMENTS!$AB$2:$AB$180,S$159,ANNOUNCEMENTS!$J$2:$J$180,$C205)+
COUNTIFS(ANNOUNCEMENTS!$E$2:$E$180,$B205,ANNOUNCEMENTS!$AD$2:$AD$180,S$159,ANNOUNCEMENTS!$J$2:$J$180,$C205)</f>
        <v>0</v>
      </c>
      <c r="T205" s="21">
        <f>COUNTIFS(ANNOUNCEMENTS!$E$2:$E$180,$B205,ANNOUNCEMENTS!$Z$2:$Z$180,T$159,ANNOUNCEMENTS!$J$2:$J$180,$C205)+
COUNTIFS(ANNOUNCEMENTS!$E$2:$E$180,$B205,ANNOUNCEMENTS!$AB$2:$AB$180,T$159,ANNOUNCEMENTS!$J$2:$J$180,$C205)+
COUNTIFS(ANNOUNCEMENTS!$E$2:$E$180,$B205,ANNOUNCEMENTS!$AD$2:$AD$180,T$159,ANNOUNCEMENTS!$J$2:$J$180,$C205)</f>
        <v>0</v>
      </c>
      <c r="U205" s="21">
        <f>COUNTIFS(ANNOUNCEMENTS!$E$2:$E$180,$B205,ANNOUNCEMENTS!$Z$2:$Z$180,U$159,ANNOUNCEMENTS!$J$2:$J$180,$C205)+
COUNTIFS(ANNOUNCEMENTS!$E$2:$E$180,$B205,ANNOUNCEMENTS!$AB$2:$AB$180,U$159,ANNOUNCEMENTS!$J$2:$J$180,$C205)+
COUNTIFS(ANNOUNCEMENTS!$E$2:$E$180,$B205,ANNOUNCEMENTS!$AD$2:$AD$180,U$159,ANNOUNCEMENTS!$J$2:$J$180,$C205)</f>
        <v>0</v>
      </c>
      <c r="V205" s="21">
        <f>COUNTIFS(ANNOUNCEMENTS!$E$2:$E$180,$B205,ANNOUNCEMENTS!$Z$2:$Z$180,V$159,ANNOUNCEMENTS!$J$2:$J$180,$C205)+
COUNTIFS(ANNOUNCEMENTS!$E$2:$E$180,$B205,ANNOUNCEMENTS!$AB$2:$AB$180,V$159,ANNOUNCEMENTS!$J$2:$J$180,$C205)+
COUNTIFS(ANNOUNCEMENTS!$E$2:$E$180,$B205,ANNOUNCEMENTS!$AD$2:$AD$180,V$159,ANNOUNCEMENTS!$J$2:$J$180,$C205)</f>
        <v>1</v>
      </c>
      <c r="W205" s="21">
        <f>COUNTIFS(ANNOUNCEMENTS!$E$2:$E$180,$B205,ANNOUNCEMENTS!$Z$2:$Z$180,W$159,ANNOUNCEMENTS!$J$2:$J$180,$C205)+
COUNTIFS(ANNOUNCEMENTS!$E$2:$E$180,$B205,ANNOUNCEMENTS!$AB$2:$AB$180,W$159,ANNOUNCEMENTS!$J$2:$J$180,$C205)+
COUNTIFS(ANNOUNCEMENTS!$E$2:$E$180,$B205,ANNOUNCEMENTS!$AD$2:$AD$180,W$159,ANNOUNCEMENTS!$J$2:$J$180,$C205)</f>
        <v>1</v>
      </c>
      <c r="X205" s="21">
        <f>COUNTIFS(ANNOUNCEMENTS!$E$2:$E$180,$B205,ANNOUNCEMENTS!$W$2:$W$180,X$159,ANNOUNCEMENTS!$J$2:$J$180,$C205)</f>
        <v>0</v>
      </c>
      <c r="Y205" s="21">
        <f>COUNTIFS(ANNOUNCEMENTS!$E$2:$E$180,$B205,ANNOUNCEMENTS!$W$2:$W$180,Y$159,ANNOUNCEMENTS!$J$2:$J$180,$C205)</f>
        <v>1</v>
      </c>
      <c r="Z205" s="21">
        <f>COUNTIFS(ANNOUNCEMENTS!$E$2:$E$180,$B205,ANNOUNCEMENTS!$W$2:$W$180,Z$159,ANNOUNCEMENTS!$J$2:$J$180,$C205)</f>
        <v>0</v>
      </c>
      <c r="AA205" s="21">
        <f>COUNTIFS(ANNOUNCEMENTS!$E$2:$E$180,$B205,ANNOUNCEMENTS!$W$2:$W$180,AA$159,ANNOUNCEMENTS!$J$2:$J$180,$C205)</f>
        <v>0</v>
      </c>
      <c r="AB205" s="21">
        <f>COUNTIFS(ANNOUNCEMENTS!$E$2:$E$180,$B205,ANNOUNCEMENTS!$W$2:$W$180,AB$159,ANNOUNCEMENTS!$J$2:$J$180,$C205)</f>
        <v>0</v>
      </c>
      <c r="AC205" s="21">
        <f>COUNTIFS(ANNOUNCEMENTS!$E$2:$E$180,$B205,ANNOUNCEMENTS!$W$2:$W$180,AC$159,ANNOUNCEMENTS!$J$2:$J$180,$C205)</f>
        <v>0</v>
      </c>
      <c r="AD205" s="21">
        <f>COUNTIFS(ANNOUNCEMENTS!$E$2:$E$180,$B205,ANNOUNCEMENTS!$W$2:$W$180,AD$159,ANNOUNCEMENTS!$J$2:$J$180,$C205)</f>
        <v>0</v>
      </c>
      <c r="AE205" s="311">
        <f t="shared" si="73"/>
        <v>0</v>
      </c>
      <c r="AF205" s="311">
        <f t="shared" si="74"/>
        <v>1</v>
      </c>
      <c r="AG205" s="311">
        <f t="shared" si="75"/>
        <v>0</v>
      </c>
      <c r="AH205" s="311">
        <f t="shared" si="76"/>
        <v>0</v>
      </c>
      <c r="AI205" s="21">
        <f>COUNTIFS(ANNOUNCEMENTS!$E$2:$E$180,B205,ANNOUNCEMENTS!$Z$2:$Z$180,$J$37,ANNOUNCEMENTS!$J$2:$J$180,C205)+
COUNTIFS(ANNOUNCEMENTS!$E$2:$E$180,B205,ANNOUNCEMENTS!$Z$2:$Z$180,$L$37,ANNOUNCEMENTS!$J$2:$J$180,C205)+
COUNTIFS(ANNOUNCEMENTS!$E$2:$E$180,B205,ANNOUNCEMENTS!$AB$2:$AB$180,$J$37,ANNOUNCEMENTS!$J$2:$J$180,C205)+
COUNTIFS(ANNOUNCEMENTS!$E$2:$E$180,B205,ANNOUNCEMENTS!$AB$2:$AB$180,$L$37,ANNOUNCEMENTS!$J$2:$J$180,C205)+
COUNTIFS(ANNOUNCEMENTS!$E$2:$E$180,B205,ANNOUNCEMENTS!$AD$2:$AD$180,$J$37,ANNOUNCEMENTS!$J$2:$J$180,C205)+
COUNTIFS(ANNOUNCEMENTS!$E$2:$E$180,B205,ANNOUNCEMENTS!$AD$2:$AD$180,$L$37,ANNOUNCEMENTS!$J$2:$J$180,C205)</f>
        <v>0</v>
      </c>
      <c r="AJ205" s="21">
        <f>COUNTIFS(ANNOUNCEMENTS!$E$2:$E$180,B205,ANNOUNCEMENTS!$Z$2:$Z$180,$H$37,ANNOUNCEMENTS!$J$2:$J$180,C205)+
COUNTIFS(ANNOUNCEMENTS!$E$2:$E$180,B205,ANNOUNCEMENTS!$Z$2:$Z$180,$I$37,ANNOUNCEMENTS!$J$2:$J$180,C205)+
COUNTIFS(ANNOUNCEMENTS!$E$2:$E$180,B205,ANNOUNCEMENTS!$Z$2:$Z$180,$P$37,ANNOUNCEMENTS!$J$2:$J$180,C205)+
COUNTIFS(ANNOUNCEMENTS!$E$2:$E$180,B205,ANNOUNCEMENTS!$AB$2:$AB$180,$H$37,ANNOUNCEMENTS!$J$2:$J$180,C205)+
COUNTIFS(ANNOUNCEMENTS!$E$2:$E$180,B205,ANNOUNCEMENTS!$AB$2:$AB$180,$I$37,ANNOUNCEMENTS!$J$2:$J$180,C205)+
COUNTIFS(ANNOUNCEMENTS!$E$2:$E$180,B205,ANNOUNCEMENTS!$AB$2:$AB$180,$P$37,ANNOUNCEMENTS!$J$2:$J$180,C205)+
COUNTIFS(ANNOUNCEMENTS!$E$2:$E$180,B205,ANNOUNCEMENTS!$AD$2:$AD$180,$H$37,ANNOUNCEMENTS!$J$2:$J$180,C205)+
COUNTIFS(ANNOUNCEMENTS!$E$2:$E$180,B205,ANNOUNCEMENTS!$AD$2:$AD$180,$I$37,ANNOUNCEMENTS!$J$2:$J$180,C205)+
COUNTIFS(ANNOUNCEMENTS!$E$2:$E$180,B205,ANNOUNCEMENTS!$AD$2:$AD$180,$P$37,ANNOUNCEMENTS!$J$2:$J$180,C205)</f>
        <v>1</v>
      </c>
      <c r="AK205" s="310" cm="1">
        <f t="array" ref="AK205">SUM(COUNTIFS(ANNOUNCEMENTS!$E$2:$E$180,B205,ANNOUNCEMENTS!$W$2:$W$180,$E$38:$E$40,ANNOUNCEMENTS!$J$2:$J$180,C205))</f>
        <v>1</v>
      </c>
      <c r="AL205" s="21" cm="1">
        <f t="array" ref="AL205">SUM(COUNTIFS(ANNOUNCEMENTS!$E$2:$E$180,B205,ANNOUNCEMENTS!$W$2:$W$180,$E$43:$E$44,ANNOUNCEMENTS!$J$2:$J$180,C205))</f>
        <v>0</v>
      </c>
      <c r="AM205" s="21">
        <f t="shared" si="77"/>
        <v>1</v>
      </c>
      <c r="AN205" s="21">
        <f t="shared" si="78"/>
        <v>1</v>
      </c>
      <c r="AO205" s="309" cm="1">
        <f t="array" ref="AO205">_xlfn.XLOOKUP(AO$159,CBIMPORT!$A$1:$AM$1,_xlfn.XLOOKUP($B205,CBIMPORT!$A$1:$A$40,CBIMPORT!$A$1:$AM$40))</f>
        <v>0</v>
      </c>
      <c r="AP205" s="308" cm="1">
        <f t="array" ref="AP205">_xlfn.XLOOKUP(AP$159,CBIMPORT!$A$1:$AM$1,_xlfn.XLOOKUP($B205,CBIMPORT!$A$1:$A$40,CBIMPORT!$A$1:$AM$40))</f>
        <v>3000</v>
      </c>
      <c r="AQ205" s="307" t="str" cm="1">
        <f t="array" ref="AQ205">_xlfn.XLOOKUP(AQ$159,CBIMPORT!$A$1:$AM$1,_xlfn.XLOOKUP($B205,CBIMPORT!$A$1:$A$40,CBIMPORT!$A$1:$AM$40))</f>
        <v>n.a.</v>
      </c>
    </row>
    <row r="206" spans="1:60" x14ac:dyDescent="0.35">
      <c r="A206" s="303" t="s">
        <v>2211</v>
      </c>
      <c r="B206" s="315" t="str">
        <f t="shared" si="71"/>
        <v>ZF</v>
      </c>
      <c r="C206" s="314" t="str">
        <f t="shared" si="72"/>
        <v>Ridepooling</v>
      </c>
      <c r="D206" s="313">
        <f>COUNTIFS(ANNOUNCEMENTS!$E$2:$E$180,$B206,ANNOUNCEMENTS!$J$2:$J$180,$C206)</f>
        <v>4</v>
      </c>
      <c r="E206" s="312" t="str" cm="1">
        <f t="array" ref="E206">_xlfn.ARRAYTOTEXT(
IF(D206&gt;0,_xlfn._xlws.FILTER(CHOOSE({1},
ANNOUNCEMENTS!$K$1:$K$180),
(ANNOUNCEMENTS!$E$1:$E$180=B206)*((ANNOUNCEMENTS!$J$1:$J$180=$C206)))))</f>
        <v>Anheuser - Busch InBev;Bosch;Microsoft; DB Regio; Beep; Transdev;e.GO</v>
      </c>
      <c r="F206" s="306">
        <f t="shared" si="79"/>
        <v>1</v>
      </c>
      <c r="G206" s="310" t="str" cm="1">
        <f t="array" ref="G206">_xlfn.XLOOKUP($A206,'Industries all mentioned partne'!$A$2:$A$58,_xlfn.XLOOKUP(G$159,'Industries all mentioned partne'!$A$2:$DM$2,'Industries all mentioned partne'!$A$2:$DM$58))</f>
        <v>Transport Operator</v>
      </c>
      <c r="H206" s="91" cm="1">
        <f t="array" ref="H206">_xlfn.XLOOKUP($A206,'Industries all mentioned partne'!$A$2:$A$58,_xlfn.XLOOKUP(H$159,'Industries all mentioned partne'!$A$2:$DM$2,'Industries all mentioned partne'!$A$2:$DM$58))</f>
        <v>0.42857142857142855</v>
      </c>
      <c r="I206" s="310" t="str" cm="1">
        <f t="array" ref="I206">_xlfn.XLOOKUP($A206,'Industries all mentioned partne'!$A$2:$A$58,_xlfn.XLOOKUP(I$159,'Industries all mentioned partne'!$A$2:$DM$2,'Industries all mentioned partne'!$A$2:$DM$58))</f>
        <v>Food &amp; Beverage</v>
      </c>
      <c r="J206" s="91" cm="1">
        <f t="array" ref="J206">_xlfn.XLOOKUP($A206,'Industries all mentioned partne'!$A$2:$A$58,_xlfn.XLOOKUP(J$159,'Industries all mentioned partne'!$A$2:$DM$2,'Industries all mentioned partne'!$A$2:$DM$58))</f>
        <v>0.14285714285714285</v>
      </c>
      <c r="K206" s="310" t="str" cm="1">
        <f t="array" ref="K206">_xlfn.XLOOKUP($A206,'Industries all mentioned partne'!$A$2:$A$58,_xlfn.XLOOKUP(K$159,'Industries all mentioned partne'!$A$2:$DM$2,'Industries all mentioned partne'!$A$2:$DM$58))</f>
        <v>Food &amp; Beverage</v>
      </c>
      <c r="L206" s="91" cm="1">
        <f t="array" ref="L206">_xlfn.XLOOKUP($A206,'Industries all mentioned partne'!$A$2:$A$58,_xlfn.XLOOKUP(L$159,'Industries all mentioned partne'!$A$2:$DM$2,'Industries all mentioned partne'!$A$2:$DM$58))</f>
        <v>0.14285714285714285</v>
      </c>
      <c r="M206" s="311" t="str" cm="1">
        <f t="array" ref="M206">_xlfn.XLOOKUP($M$159,CBIMPORT!$A$1:$AN$1,_xlfn.XLOOKUP(B206,CBIMPORT!$A$1:$A$171,CBIMPORT!$A$1:$AN$171))</f>
        <v>L2</v>
      </c>
      <c r="N206" s="309" cm="1">
        <f t="array" ref="N206">_xlfn.XLOOKUP(N$159,CBIMPORT!$A$1:$AM$1,_xlfn.XLOOKUP($B206,CBIMPORT!$A$1:$A$40,CBIMPORT!$A$1:$AM$40))</f>
        <v>5.7859999999999996</v>
      </c>
      <c r="O206" s="21">
        <f>COUNTIFS(ANNOUNCEMENTS!$E$2:$E$180,$B206,ANNOUNCEMENTS!$Z$2:$Z$180,O$159,ANNOUNCEMENTS!$J$2:$J$180,$C206)+
COUNTIFS(ANNOUNCEMENTS!$E$2:$E$180,$B206,ANNOUNCEMENTS!$AB$2:$AB$180,O$159,ANNOUNCEMENTS!$J$2:$J$180,$C206)+
COUNTIFS(ANNOUNCEMENTS!$E$2:$E$180,$B206,ANNOUNCEMENTS!$AD$2:$AD$180,O$159,ANNOUNCEMENTS!$J$2:$J$180,$C206)</f>
        <v>1</v>
      </c>
      <c r="P206" s="21">
        <f>COUNTIFS(ANNOUNCEMENTS!$E$2:$E$180,$B206,ANNOUNCEMENTS!$Z$2:$Z$180,P$159,ANNOUNCEMENTS!$J$2:$J$180,$C206)+
COUNTIFS(ANNOUNCEMENTS!$E$2:$E$180,$B206,ANNOUNCEMENTS!$AB$2:$AB$180,P$159,ANNOUNCEMENTS!$J$2:$J$180,$C206)+
COUNTIFS(ANNOUNCEMENTS!$E$2:$E$180,$B206,ANNOUNCEMENTS!$AD$2:$AD$180,P$159,ANNOUNCEMENTS!$J$2:$J$180,$C206)</f>
        <v>0</v>
      </c>
      <c r="Q206" s="21">
        <f>COUNTIFS(ANNOUNCEMENTS!$E$2:$E$180,$B206,ANNOUNCEMENTS!$Z$2:$Z$180,Q$159,ANNOUNCEMENTS!$J$2:$J$180,$C206)+
COUNTIFS(ANNOUNCEMENTS!$E$2:$E$180,$B206,ANNOUNCEMENTS!$AB$2:$AB$180,Q$159,ANNOUNCEMENTS!$J$2:$J$180,$C206)+
COUNTIFS(ANNOUNCEMENTS!$E$2:$E$180,$B206,ANNOUNCEMENTS!$AD$2:$AD$180,Q$159,ANNOUNCEMENTS!$J$2:$J$180,$C206)</f>
        <v>2</v>
      </c>
      <c r="R206" s="21">
        <f>COUNTIFS(ANNOUNCEMENTS!$E$2:$E$180,$B206,ANNOUNCEMENTS!$Z$2:$Z$180,R$159,ANNOUNCEMENTS!$J$2:$J$180,$C206)+
COUNTIFS(ANNOUNCEMENTS!$E$2:$E$180,$B206,ANNOUNCEMENTS!$AB$2:$AB$180,R$159,ANNOUNCEMENTS!$J$2:$J$180,$C206)+
COUNTIFS(ANNOUNCEMENTS!$E$2:$E$180,$B206,ANNOUNCEMENTS!$AD$2:$AD$180,R$159,ANNOUNCEMENTS!$J$2:$J$180,$C206)</f>
        <v>0</v>
      </c>
      <c r="S206" s="21">
        <f>COUNTIFS(ANNOUNCEMENTS!$E$2:$E$180,$B206,ANNOUNCEMENTS!$Z$2:$Z$180,S$159,ANNOUNCEMENTS!$J$2:$J$180,$C206)+
COUNTIFS(ANNOUNCEMENTS!$E$2:$E$180,$B206,ANNOUNCEMENTS!$AB$2:$AB$180,S$159,ANNOUNCEMENTS!$J$2:$J$180,$C206)+
COUNTIFS(ANNOUNCEMENTS!$E$2:$E$180,$B206,ANNOUNCEMENTS!$AD$2:$AD$180,S$159,ANNOUNCEMENTS!$J$2:$J$180,$C206)</f>
        <v>0</v>
      </c>
      <c r="T206" s="21">
        <f>COUNTIFS(ANNOUNCEMENTS!$E$2:$E$180,$B206,ANNOUNCEMENTS!$Z$2:$Z$180,T$159,ANNOUNCEMENTS!$J$2:$J$180,$C206)+
COUNTIFS(ANNOUNCEMENTS!$E$2:$E$180,$B206,ANNOUNCEMENTS!$AB$2:$AB$180,T$159,ANNOUNCEMENTS!$J$2:$J$180,$C206)+
COUNTIFS(ANNOUNCEMENTS!$E$2:$E$180,$B206,ANNOUNCEMENTS!$AD$2:$AD$180,T$159,ANNOUNCEMENTS!$J$2:$J$180,$C206)</f>
        <v>1</v>
      </c>
      <c r="U206" s="21">
        <f>COUNTIFS(ANNOUNCEMENTS!$E$2:$E$180,$B206,ANNOUNCEMENTS!$Z$2:$Z$180,U$159,ANNOUNCEMENTS!$J$2:$J$180,$C206)+
COUNTIFS(ANNOUNCEMENTS!$E$2:$E$180,$B206,ANNOUNCEMENTS!$AB$2:$AB$180,U$159,ANNOUNCEMENTS!$J$2:$J$180,$C206)+
COUNTIFS(ANNOUNCEMENTS!$E$2:$E$180,$B206,ANNOUNCEMENTS!$AD$2:$AD$180,U$159,ANNOUNCEMENTS!$J$2:$J$180,$C206)</f>
        <v>0</v>
      </c>
      <c r="V206" s="21">
        <f>COUNTIFS(ANNOUNCEMENTS!$E$2:$E$180,$B206,ANNOUNCEMENTS!$Z$2:$Z$180,V$159,ANNOUNCEMENTS!$J$2:$J$180,$C206)+
COUNTIFS(ANNOUNCEMENTS!$E$2:$E$180,$B206,ANNOUNCEMENTS!$AB$2:$AB$180,V$159,ANNOUNCEMENTS!$J$2:$J$180,$C206)+
COUNTIFS(ANNOUNCEMENTS!$E$2:$E$180,$B206,ANNOUNCEMENTS!$AD$2:$AD$180,V$159,ANNOUNCEMENTS!$J$2:$J$180,$C206)</f>
        <v>0</v>
      </c>
      <c r="W206" s="21">
        <f>COUNTIFS(ANNOUNCEMENTS!$E$2:$E$180,$B206,ANNOUNCEMENTS!$Z$2:$Z$180,W$159,ANNOUNCEMENTS!$J$2:$J$180,$C206)+
COUNTIFS(ANNOUNCEMENTS!$E$2:$E$180,$B206,ANNOUNCEMENTS!$AB$2:$AB$180,W$159,ANNOUNCEMENTS!$J$2:$J$180,$C206)+
COUNTIFS(ANNOUNCEMENTS!$E$2:$E$180,$B206,ANNOUNCEMENTS!$AD$2:$AD$180,W$159,ANNOUNCEMENTS!$J$2:$J$180,$C206)</f>
        <v>0</v>
      </c>
      <c r="X206" s="21">
        <f>COUNTIFS(ANNOUNCEMENTS!$E$2:$E$180,$B206,ANNOUNCEMENTS!$W$2:$W$180,X$159,ANNOUNCEMENTS!$J$2:$J$180,$C206)</f>
        <v>0</v>
      </c>
      <c r="Y206" s="21">
        <f>COUNTIFS(ANNOUNCEMENTS!$E$2:$E$180,$B206,ANNOUNCEMENTS!$W$2:$W$180,Y$159,ANNOUNCEMENTS!$J$2:$J$180,$C206)</f>
        <v>2</v>
      </c>
      <c r="Z206" s="21">
        <f>COUNTIFS(ANNOUNCEMENTS!$E$2:$E$180,$B206,ANNOUNCEMENTS!$W$2:$W$180,Z$159,ANNOUNCEMENTS!$J$2:$J$180,$C206)</f>
        <v>0</v>
      </c>
      <c r="AA206" s="21">
        <f>COUNTIFS(ANNOUNCEMENTS!$E$2:$E$180,$B206,ANNOUNCEMENTS!$W$2:$W$180,AA$159,ANNOUNCEMENTS!$J$2:$J$180,$C206)</f>
        <v>2</v>
      </c>
      <c r="AB206" s="21">
        <f>COUNTIFS(ANNOUNCEMENTS!$E$2:$E$180,$B206,ANNOUNCEMENTS!$W$2:$W$180,AB$159,ANNOUNCEMENTS!$J$2:$J$180,$C206)</f>
        <v>0</v>
      </c>
      <c r="AC206" s="21">
        <f>COUNTIFS(ANNOUNCEMENTS!$E$2:$E$180,$B206,ANNOUNCEMENTS!$W$2:$W$180,AC$159,ANNOUNCEMENTS!$J$2:$J$180,$C206)</f>
        <v>0</v>
      </c>
      <c r="AD206" s="21">
        <f>COUNTIFS(ANNOUNCEMENTS!$E$2:$E$180,$B206,ANNOUNCEMENTS!$W$2:$W$180,AD$159,ANNOUNCEMENTS!$J$2:$J$180,$C206)</f>
        <v>0</v>
      </c>
      <c r="AE206" s="311">
        <f t="shared" si="73"/>
        <v>0</v>
      </c>
      <c r="AF206" s="311">
        <f t="shared" si="74"/>
        <v>1</v>
      </c>
      <c r="AG206" s="311">
        <f t="shared" si="75"/>
        <v>0</v>
      </c>
      <c r="AH206" s="311">
        <f t="shared" si="76"/>
        <v>0</v>
      </c>
      <c r="AI206" s="21">
        <f>COUNTIFS(ANNOUNCEMENTS!$E$2:$E$180,B206,ANNOUNCEMENTS!$Z$2:$Z$180,$J$37,ANNOUNCEMENTS!$J$2:$J$180,C206)+
COUNTIFS(ANNOUNCEMENTS!$E$2:$E$180,B206,ANNOUNCEMENTS!$Z$2:$Z$180,$L$37,ANNOUNCEMENTS!$J$2:$J$180,C206)+
COUNTIFS(ANNOUNCEMENTS!$E$2:$E$180,B206,ANNOUNCEMENTS!$AB$2:$AB$180,$J$37,ANNOUNCEMENTS!$J$2:$J$180,C206)+
COUNTIFS(ANNOUNCEMENTS!$E$2:$E$180,B206,ANNOUNCEMENTS!$AB$2:$AB$180,$L$37,ANNOUNCEMENTS!$J$2:$J$180,C206)+
COUNTIFS(ANNOUNCEMENTS!$E$2:$E$180,B206,ANNOUNCEMENTS!$AD$2:$AD$180,$J$37,ANNOUNCEMENTS!$J$2:$J$180,C206)+
COUNTIFS(ANNOUNCEMENTS!$E$2:$E$180,B206,ANNOUNCEMENTS!$AD$2:$AD$180,$L$37,ANNOUNCEMENTS!$J$2:$J$180,C206)</f>
        <v>2</v>
      </c>
      <c r="AJ206" s="21">
        <f>COUNTIFS(ANNOUNCEMENTS!$E$2:$E$180,B206,ANNOUNCEMENTS!$Z$2:$Z$180,$H$37,ANNOUNCEMENTS!$J$2:$J$180,C206)+
COUNTIFS(ANNOUNCEMENTS!$E$2:$E$180,B206,ANNOUNCEMENTS!$Z$2:$Z$180,$I$37,ANNOUNCEMENTS!$J$2:$J$180,C206)+
COUNTIFS(ANNOUNCEMENTS!$E$2:$E$180,B206,ANNOUNCEMENTS!$Z$2:$Z$180,$P$37,ANNOUNCEMENTS!$J$2:$J$180,C206)+
COUNTIFS(ANNOUNCEMENTS!$E$2:$E$180,B206,ANNOUNCEMENTS!$AB$2:$AB$180,$H$37,ANNOUNCEMENTS!$J$2:$J$180,C206)+
COUNTIFS(ANNOUNCEMENTS!$E$2:$E$180,B206,ANNOUNCEMENTS!$AB$2:$AB$180,$I$37,ANNOUNCEMENTS!$J$2:$J$180,C206)+
COUNTIFS(ANNOUNCEMENTS!$E$2:$E$180,B206,ANNOUNCEMENTS!$AB$2:$AB$180,$P$37,ANNOUNCEMENTS!$J$2:$J$180,C206)+
COUNTIFS(ANNOUNCEMENTS!$E$2:$E$180,B206,ANNOUNCEMENTS!$AD$2:$AD$180,$H$37,ANNOUNCEMENTS!$J$2:$J$180,C206)+
COUNTIFS(ANNOUNCEMENTS!$E$2:$E$180,B206,ANNOUNCEMENTS!$AD$2:$AD$180,$I$37,ANNOUNCEMENTS!$J$2:$J$180,C206)+
COUNTIFS(ANNOUNCEMENTS!$E$2:$E$180,B206,ANNOUNCEMENTS!$AD$2:$AD$180,$P$37,ANNOUNCEMENTS!$J$2:$J$180,C206)</f>
        <v>1</v>
      </c>
      <c r="AK206" s="310" cm="1">
        <f t="array" ref="AK206">SUM(COUNTIFS(ANNOUNCEMENTS!$E$2:$E$180,B206,ANNOUNCEMENTS!$W$2:$W$180,$E$38:$E$40,ANNOUNCEMENTS!$J$2:$J$180,C206))</f>
        <v>2</v>
      </c>
      <c r="AL206" s="21" cm="1">
        <f t="array" ref="AL206">SUM(COUNTIFS(ANNOUNCEMENTS!$E$2:$E$180,B206,ANNOUNCEMENTS!$W$2:$W$180,$E$43:$E$44,ANNOUNCEMENTS!$J$2:$J$180,C206))</f>
        <v>0</v>
      </c>
      <c r="AM206" s="21">
        <f t="shared" si="77"/>
        <v>4</v>
      </c>
      <c r="AN206" s="21">
        <f t="shared" si="78"/>
        <v>1</v>
      </c>
      <c r="AO206" s="309" cm="1">
        <f t="array" ref="AO206">_xlfn.XLOOKUP(AO$159,CBIMPORT!$A$1:$AM$1,_xlfn.XLOOKUP($B206,CBIMPORT!$A$1:$A$40,CBIMPORT!$A$1:$AM$40))</f>
        <v>0</v>
      </c>
      <c r="AP206" s="308" cm="1">
        <f t="array" ref="AP206">_xlfn.XLOOKUP(AP$159,CBIMPORT!$A$1:$AM$1,_xlfn.XLOOKUP($B206,CBIMPORT!$A$1:$A$40,CBIMPORT!$A$1:$AM$40))</f>
        <v>3000</v>
      </c>
      <c r="AQ206" s="307" t="str" cm="1">
        <f t="array" ref="AQ206">_xlfn.XLOOKUP(AQ$159,CBIMPORT!$A$1:$AM$1,_xlfn.XLOOKUP($B206,CBIMPORT!$A$1:$A$40,CBIMPORT!$A$1:$AM$40))</f>
        <v>n.a.</v>
      </c>
    </row>
    <row r="207" spans="1:60" x14ac:dyDescent="0.35">
      <c r="A207" s="21" t="s">
        <v>2212</v>
      </c>
      <c r="B207" s="315" t="str">
        <f t="shared" si="71"/>
        <v>Starship Technologies</v>
      </c>
      <c r="C207" s="314" t="str">
        <f t="shared" si="72"/>
        <v>Last-Mile</v>
      </c>
      <c r="D207" s="313">
        <f>COUNTIFS(ANNOUNCEMENTS!$E$2:$E$180,$B207,ANNOUNCEMENTS!$J$2:$J$180,$C207)</f>
        <v>1</v>
      </c>
      <c r="E207" s="312" t="str" cm="1">
        <f t="array" ref="E207">_xlfn.ARRAYTOTEXT(
IF(D207&gt;0,_xlfn._xlws.FILTER(CHOOSE({1},
ANNOUNCEMENTS!$K$1:$K$180),
(ANNOUNCEMENTS!$E$1:$E$180=B207)*((ANNOUNCEMENTS!$J$1:$J$180=$C207)))))</f>
        <v>Bolt</v>
      </c>
      <c r="F207" s="306">
        <f t="shared" si="79"/>
        <v>0</v>
      </c>
      <c r="G207" s="310" t="str" cm="1">
        <f t="array" ref="G207">_xlfn.XLOOKUP($A207,'Industries all mentioned partne'!$A$2:$A$58,_xlfn.XLOOKUP(G$159,'Industries all mentioned partne'!$A$2:$DM$2,'Industries all mentioned partne'!$A$2:$DM$58))</f>
        <v>Mobility Services Booking</v>
      </c>
      <c r="H207" s="91" cm="1">
        <f t="array" ref="H207">_xlfn.XLOOKUP($A207,'Industries all mentioned partne'!$A$2:$A$58,_xlfn.XLOOKUP(H$159,'Industries all mentioned partne'!$A$2:$DM$2,'Industries all mentioned partne'!$A$2:$DM$58))</f>
        <v>1</v>
      </c>
      <c r="I207" s="310" t="str" cm="1">
        <f t="array" ref="I207">_xlfn.XLOOKUP($A207,'Industries all mentioned partne'!$A$2:$A$58,_xlfn.XLOOKUP(I$159,'Industries all mentioned partne'!$A$2:$DM$2,'Industries all mentioned partne'!$A$2:$DM$58))</f>
        <v/>
      </c>
      <c r="J207" s="91" t="str" cm="1">
        <f t="array" ref="J207">_xlfn.XLOOKUP($A207,'Industries all mentioned partne'!$A$2:$A$58,_xlfn.XLOOKUP(J$159,'Industries all mentioned partne'!$A$2:$DM$2,'Industries all mentioned partne'!$A$2:$DM$58))</f>
        <v/>
      </c>
      <c r="K207" s="310" t="str" cm="1">
        <f t="array" ref="K207">_xlfn.XLOOKUP($A207,'Industries all mentioned partne'!$A$2:$A$58,_xlfn.XLOOKUP(K$159,'Industries all mentioned partne'!$A$2:$DM$2,'Industries all mentioned partne'!$A$2:$DM$58))</f>
        <v/>
      </c>
      <c r="L207" s="91" t="str" cm="1">
        <f t="array" ref="L207">_xlfn.XLOOKUP($A207,'Industries all mentioned partne'!$A$2:$A$58,_xlfn.XLOOKUP(L$159,'Industries all mentioned partne'!$A$2:$DM$2,'Industries all mentioned partne'!$A$2:$DM$58))</f>
        <v/>
      </c>
      <c r="M207" s="311" t="str" cm="1">
        <f t="array" ref="M207">_xlfn.XLOOKUP($M$159,CBIMPORT!$A$1:$AN$1,_xlfn.XLOOKUP(B207,CBIMPORT!$A$1:$A$171,CBIMPORT!$A$1:$AN$171))</f>
        <v>L2</v>
      </c>
      <c r="N207" s="309" t="str" cm="1">
        <f t="array" ref="N207">_xlfn.XLOOKUP(N$159,CBIMPORT!$A$1:$AM$1,_xlfn.XLOOKUP($B207,CBIMPORT!$A$1:$A$40,CBIMPORT!$A$1:$AM$40))</f>
        <v>n.a.</v>
      </c>
      <c r="O207" s="21">
        <f>COUNTIFS(ANNOUNCEMENTS!$E$2:$E$180,$B207,ANNOUNCEMENTS!$Z$2:$Z$180,O$159,ANNOUNCEMENTS!$J$2:$J$180,$C207)+
COUNTIFS(ANNOUNCEMENTS!$E$2:$E$180,$B207,ANNOUNCEMENTS!$AB$2:$AB$180,O$159,ANNOUNCEMENTS!$J$2:$J$180,$C207)+
COUNTIFS(ANNOUNCEMENTS!$E$2:$E$180,$B207,ANNOUNCEMENTS!$AD$2:$AD$180,O$159,ANNOUNCEMENTS!$J$2:$J$180,$C207)</f>
        <v>0</v>
      </c>
      <c r="P207" s="21">
        <f>COUNTIFS(ANNOUNCEMENTS!$E$2:$E$180,$B207,ANNOUNCEMENTS!$Z$2:$Z$180,P$159,ANNOUNCEMENTS!$J$2:$J$180,$C207)+
COUNTIFS(ANNOUNCEMENTS!$E$2:$E$180,$B207,ANNOUNCEMENTS!$AB$2:$AB$180,P$159,ANNOUNCEMENTS!$J$2:$J$180,$C207)+
COUNTIFS(ANNOUNCEMENTS!$E$2:$E$180,$B207,ANNOUNCEMENTS!$AD$2:$AD$180,P$159,ANNOUNCEMENTS!$J$2:$J$180,$C207)</f>
        <v>0</v>
      </c>
      <c r="Q207" s="21">
        <f>COUNTIFS(ANNOUNCEMENTS!$E$2:$E$180,$B207,ANNOUNCEMENTS!$Z$2:$Z$180,Q$159,ANNOUNCEMENTS!$J$2:$J$180,$C207)+
COUNTIFS(ANNOUNCEMENTS!$E$2:$E$180,$B207,ANNOUNCEMENTS!$AB$2:$AB$180,Q$159,ANNOUNCEMENTS!$J$2:$J$180,$C207)+
COUNTIFS(ANNOUNCEMENTS!$E$2:$E$180,$B207,ANNOUNCEMENTS!$AD$2:$AD$180,Q$159,ANNOUNCEMENTS!$J$2:$J$180,$C207)</f>
        <v>1</v>
      </c>
      <c r="R207" s="21">
        <f>COUNTIFS(ANNOUNCEMENTS!$E$2:$E$180,$B207,ANNOUNCEMENTS!$Z$2:$Z$180,R$159,ANNOUNCEMENTS!$J$2:$J$180,$C207)+
COUNTIFS(ANNOUNCEMENTS!$E$2:$E$180,$B207,ANNOUNCEMENTS!$AB$2:$AB$180,R$159,ANNOUNCEMENTS!$J$2:$J$180,$C207)+
COUNTIFS(ANNOUNCEMENTS!$E$2:$E$180,$B207,ANNOUNCEMENTS!$AD$2:$AD$180,R$159,ANNOUNCEMENTS!$J$2:$J$180,$C207)</f>
        <v>0</v>
      </c>
      <c r="S207" s="21">
        <f>COUNTIFS(ANNOUNCEMENTS!$E$2:$E$180,$B207,ANNOUNCEMENTS!$Z$2:$Z$180,S$159,ANNOUNCEMENTS!$J$2:$J$180,$C207)+
COUNTIFS(ANNOUNCEMENTS!$E$2:$E$180,$B207,ANNOUNCEMENTS!$AB$2:$AB$180,S$159,ANNOUNCEMENTS!$J$2:$J$180,$C207)+
COUNTIFS(ANNOUNCEMENTS!$E$2:$E$180,$B207,ANNOUNCEMENTS!$AD$2:$AD$180,S$159,ANNOUNCEMENTS!$J$2:$J$180,$C207)</f>
        <v>0</v>
      </c>
      <c r="T207" s="21">
        <f>COUNTIFS(ANNOUNCEMENTS!$E$2:$E$180,$B207,ANNOUNCEMENTS!$Z$2:$Z$180,T$159,ANNOUNCEMENTS!$J$2:$J$180,$C207)+
COUNTIFS(ANNOUNCEMENTS!$E$2:$E$180,$B207,ANNOUNCEMENTS!$AB$2:$AB$180,T$159,ANNOUNCEMENTS!$J$2:$J$180,$C207)+
COUNTIFS(ANNOUNCEMENTS!$E$2:$E$180,$B207,ANNOUNCEMENTS!$AD$2:$AD$180,T$159,ANNOUNCEMENTS!$J$2:$J$180,$C207)</f>
        <v>0</v>
      </c>
      <c r="U207" s="21">
        <f>COUNTIFS(ANNOUNCEMENTS!$E$2:$E$180,$B207,ANNOUNCEMENTS!$Z$2:$Z$180,U$159,ANNOUNCEMENTS!$J$2:$J$180,$C207)+
COUNTIFS(ANNOUNCEMENTS!$E$2:$E$180,$B207,ANNOUNCEMENTS!$AB$2:$AB$180,U$159,ANNOUNCEMENTS!$J$2:$J$180,$C207)+
COUNTIFS(ANNOUNCEMENTS!$E$2:$E$180,$B207,ANNOUNCEMENTS!$AD$2:$AD$180,U$159,ANNOUNCEMENTS!$J$2:$J$180,$C207)</f>
        <v>0</v>
      </c>
      <c r="V207" s="21">
        <f>COUNTIFS(ANNOUNCEMENTS!$E$2:$E$180,$B207,ANNOUNCEMENTS!$Z$2:$Z$180,V$159,ANNOUNCEMENTS!$J$2:$J$180,$C207)+
COUNTIFS(ANNOUNCEMENTS!$E$2:$E$180,$B207,ANNOUNCEMENTS!$AB$2:$AB$180,V$159,ANNOUNCEMENTS!$J$2:$J$180,$C207)+
COUNTIFS(ANNOUNCEMENTS!$E$2:$E$180,$B207,ANNOUNCEMENTS!$AD$2:$AD$180,V$159,ANNOUNCEMENTS!$J$2:$J$180,$C207)</f>
        <v>0</v>
      </c>
      <c r="W207" s="21">
        <f>COUNTIFS(ANNOUNCEMENTS!$E$2:$E$180,$B207,ANNOUNCEMENTS!$Z$2:$Z$180,W$159,ANNOUNCEMENTS!$J$2:$J$180,$C207)+
COUNTIFS(ANNOUNCEMENTS!$E$2:$E$180,$B207,ANNOUNCEMENTS!$AB$2:$AB$180,W$159,ANNOUNCEMENTS!$J$2:$J$180,$C207)+
COUNTIFS(ANNOUNCEMENTS!$E$2:$E$180,$B207,ANNOUNCEMENTS!$AD$2:$AD$180,W$159,ANNOUNCEMENTS!$J$2:$J$180,$C207)</f>
        <v>0</v>
      </c>
      <c r="X207" s="21">
        <f>COUNTIFS(ANNOUNCEMENTS!$E$2:$E$180,$B207,ANNOUNCEMENTS!$Z$2:$Z$180,V$159,ANNOUNCEMENTS!$J$2:$J$180,$C207)+
COUNTIFS(ANNOUNCEMENTS!$E$2:$E$180,$B207,ANNOUNCEMENTS!$AB$2:$AB$180,V$159,ANNOUNCEMENTS!$J$2:$J$180,$C207)+
COUNTIFS(ANNOUNCEMENTS!$E$2:$E$180,$B207,ANNOUNCEMENTS!$AD$2:$AD$180,V$159,ANNOUNCEMENTS!$J$2:$J$180,$C207)</f>
        <v>0</v>
      </c>
      <c r="Y207" s="21">
        <f>COUNTIFS(ANNOUNCEMENTS!$E$2:$E$180,$B207,ANNOUNCEMENTS!$Z$2:$Z$180,W$159,ANNOUNCEMENTS!$J$2:$J$180,$C207)+
COUNTIFS(ANNOUNCEMENTS!$E$2:$E$180,$B207,ANNOUNCEMENTS!$AB$2:$AB$180,W$159,ANNOUNCEMENTS!$J$2:$J$180,$C207)+
COUNTIFS(ANNOUNCEMENTS!$E$2:$E$180,$B207,ANNOUNCEMENTS!$AD$2:$AD$180,W$159,ANNOUNCEMENTS!$J$2:$J$180,$C207)</f>
        <v>0</v>
      </c>
      <c r="Z207" s="21">
        <f>COUNTIFS(ANNOUNCEMENTS!$E$2:$E$180,$B207,ANNOUNCEMENTS!$W$2:$W$180,X$159,ANNOUNCEMENTS!$J$2:$J$180,$C207)</f>
        <v>0</v>
      </c>
      <c r="AA207" s="21">
        <f>COUNTIFS(ANNOUNCEMENTS!$E$2:$E$180,$B207,ANNOUNCEMENTS!$W$2:$W$180,Y$159,ANNOUNCEMENTS!$J$2:$J$180,$C207)</f>
        <v>1</v>
      </c>
      <c r="AB207" s="21">
        <f>COUNTIFS(ANNOUNCEMENTS!$E$2:$E$180,$B207,ANNOUNCEMENTS!$W$2:$W$180,Z$159,ANNOUNCEMENTS!$J$2:$J$180,$C207)</f>
        <v>0</v>
      </c>
      <c r="AC207" s="21">
        <f>COUNTIFS(ANNOUNCEMENTS!$E$2:$E$180,$B207,ANNOUNCEMENTS!$W$2:$W$180,AA$159,ANNOUNCEMENTS!$J$2:$J$180,$C207)</f>
        <v>0</v>
      </c>
      <c r="AD207" s="21">
        <f>COUNTIFS(ANNOUNCEMENTS!$E$2:$E$180,$B207,ANNOUNCEMENTS!$W$2:$W$180,AB$159,ANNOUNCEMENTS!$J$2:$J$180,$C207)</f>
        <v>0</v>
      </c>
      <c r="AE207" s="311">
        <f t="shared" si="73"/>
        <v>0</v>
      </c>
      <c r="AF207" s="311">
        <f t="shared" si="74"/>
        <v>1</v>
      </c>
      <c r="AG207" s="311">
        <f t="shared" si="75"/>
        <v>0</v>
      </c>
      <c r="AH207" s="311">
        <f t="shared" si="76"/>
        <v>0</v>
      </c>
      <c r="AI207" s="21">
        <f>COUNTIFS(ANNOUNCEMENTS!$E$2:$E$180,B207,ANNOUNCEMENTS!$Z$2:$Z$180,$J$37,ANNOUNCEMENTS!$J$2:$J$180,C207)+
COUNTIFS(ANNOUNCEMENTS!$E$2:$E$180,B207,ANNOUNCEMENTS!$Z$2:$Z$180,$L$37,ANNOUNCEMENTS!$J$2:$J$180,C207)+
COUNTIFS(ANNOUNCEMENTS!$E$2:$E$180,B207,ANNOUNCEMENTS!$AB$2:$AB$180,$J$37,ANNOUNCEMENTS!$J$2:$J$180,C207)+
COUNTIFS(ANNOUNCEMENTS!$E$2:$E$180,B207,ANNOUNCEMENTS!$AB$2:$AB$180,$L$37,ANNOUNCEMENTS!$J$2:$J$180,C207)+
COUNTIFS(ANNOUNCEMENTS!$E$2:$E$180,B207,ANNOUNCEMENTS!$AD$2:$AD$180,$J$37,ANNOUNCEMENTS!$J$2:$J$180,C207)+
COUNTIFS(ANNOUNCEMENTS!$E$2:$E$180,B207,ANNOUNCEMENTS!$AD$2:$AD$180,$L$37,ANNOUNCEMENTS!$J$2:$J$180,C207)</f>
        <v>1</v>
      </c>
      <c r="AJ207" s="21">
        <f>COUNTIFS(ANNOUNCEMENTS!$E$2:$E$180,B207,ANNOUNCEMENTS!$Z$2:$Z$180,$H$37,ANNOUNCEMENTS!$J$2:$J$180,C207)+
COUNTIFS(ANNOUNCEMENTS!$E$2:$E$180,B207,ANNOUNCEMENTS!$Z$2:$Z$180,$I$37,ANNOUNCEMENTS!$J$2:$J$180,C207)+
COUNTIFS(ANNOUNCEMENTS!$E$2:$E$180,B207,ANNOUNCEMENTS!$Z$2:$Z$180,$P$37,ANNOUNCEMENTS!$J$2:$J$180,C207)+
COUNTIFS(ANNOUNCEMENTS!$E$2:$E$180,B207,ANNOUNCEMENTS!$AB$2:$AB$180,$H$37,ANNOUNCEMENTS!$J$2:$J$180,C207)+
COUNTIFS(ANNOUNCEMENTS!$E$2:$E$180,B207,ANNOUNCEMENTS!$AB$2:$AB$180,$I$37,ANNOUNCEMENTS!$J$2:$J$180,C207)+
COUNTIFS(ANNOUNCEMENTS!$E$2:$E$180,B207,ANNOUNCEMENTS!$AB$2:$AB$180,$P$37,ANNOUNCEMENTS!$J$2:$J$180,C207)+
COUNTIFS(ANNOUNCEMENTS!$E$2:$E$180,B207,ANNOUNCEMENTS!$AD$2:$AD$180,$H$37,ANNOUNCEMENTS!$J$2:$J$180,C207)+
COUNTIFS(ANNOUNCEMENTS!$E$2:$E$180,B207,ANNOUNCEMENTS!$AD$2:$AD$180,$I$37,ANNOUNCEMENTS!$J$2:$J$180,C207)+
COUNTIFS(ANNOUNCEMENTS!$E$2:$E$180,B207,ANNOUNCEMENTS!$AD$2:$AD$180,$P$37,ANNOUNCEMENTS!$J$2:$J$180,C207)</f>
        <v>0</v>
      </c>
      <c r="AK207" s="310" cm="1">
        <f t="array" ref="AK207">SUM(COUNTIFS(ANNOUNCEMENTS!$E$2:$E$180,B207,ANNOUNCEMENTS!$W$2:$W$180,$E$38:$E$40,ANNOUNCEMENTS!$J$2:$J$180,C207))</f>
        <v>1</v>
      </c>
      <c r="AL207" s="21" cm="1">
        <f t="array" ref="AL207">SUM(COUNTIFS(ANNOUNCEMENTS!$E$2:$E$180,B207,ANNOUNCEMENTS!$W$2:$W$180,$E$43:$E$44,ANNOUNCEMENTS!$J$2:$J$180,C207))</f>
        <v>0</v>
      </c>
      <c r="AM207" s="21">
        <f t="shared" si="77"/>
        <v>1</v>
      </c>
      <c r="AN207" s="21">
        <f t="shared" si="78"/>
        <v>0</v>
      </c>
      <c r="AO207" s="309" cm="1">
        <f t="array" ref="AO207">_xlfn.XLOOKUP(AO$159,CBIMPORT!$A$1:$AM$1,_xlfn.XLOOKUP($B207,CBIMPORT!$A$1:$A$40,CBIMPORT!$A$1:$AM$40))</f>
        <v>0</v>
      </c>
      <c r="AP207" s="308" cm="1">
        <f t="array" ref="AP207">_xlfn.XLOOKUP(AP$159,CBIMPORT!$A$1:$AM$1,_xlfn.XLOOKUP($B207,CBIMPORT!$A$1:$A$40,CBIMPORT!$A$1:$AM$40))</f>
        <v>375</v>
      </c>
      <c r="AQ207" s="307" cm="1">
        <f t="array" ref="AQ207">_xlfn.XLOOKUP(AQ$159,CBIMPORT!$A$1:$AM$1,_xlfn.XLOOKUP($B207,CBIMPORT!$A$1:$A$40,CBIMPORT!$A$1:$AM$40))</f>
        <v>197.715822</v>
      </c>
      <c r="AS207" s="297"/>
      <c r="AT207" s="297"/>
      <c r="AU207" s="297"/>
      <c r="AV207" s="297"/>
      <c r="AW207" s="297"/>
      <c r="AX207" s="297"/>
      <c r="AY207" s="297"/>
      <c r="AZ207" s="297"/>
      <c r="BA207" s="297"/>
      <c r="BB207" s="297"/>
      <c r="BC207" s="297"/>
      <c r="BD207" s="297"/>
      <c r="BE207" s="297"/>
      <c r="BF207" s="297"/>
    </row>
    <row r="208" spans="1:60" x14ac:dyDescent="0.35">
      <c r="A208" s="303" t="s">
        <v>2309</v>
      </c>
      <c r="B208" s="315" t="str">
        <f t="shared" si="71"/>
        <v>Via</v>
      </c>
      <c r="C208" s="314" t="str">
        <f t="shared" si="72"/>
        <v>Ridepooling</v>
      </c>
      <c r="D208" s="313">
        <f>COUNTIFS(ANNOUNCEMENTS!$E$2:$E$180,$B208,ANNOUNCEMENTS!$J$2:$J$180,$C208)</f>
        <v>1</v>
      </c>
      <c r="E208" s="312" t="str" cm="1">
        <f t="array" ref="E208">_xlfn.ARRAYTOTEXT(
IF(D208&gt;0,_xlfn._xlws.FILTER(CHOOSE({1},
ANNOUNCEMENTS!$K$1:$K$180),
(ANNOUNCEMENTS!$E$1:$E$180=B208)*((ANNOUNCEMENTS!$J$1:$J$180=$C208)))))</f>
        <v>May Mobility</v>
      </c>
      <c r="F208" s="306">
        <f t="shared" si="79"/>
        <v>0</v>
      </c>
      <c r="G208" s="310" t="str" cm="1">
        <f t="array" ref="G208">_xlfn.XLOOKUP($A208,'Industries all mentioned partne'!$A$2:$A$58,_xlfn.XLOOKUP(G$159,'Industries all mentioned partne'!$A$2:$DM$2,'Industries all mentioned partne'!$A$2:$DM$58))</f>
        <v>Autonomous Vehicles</v>
      </c>
      <c r="H208" s="91" cm="1">
        <f t="array" ref="H208">_xlfn.XLOOKUP($A208,'Industries all mentioned partne'!$A$2:$A$58,_xlfn.XLOOKUP(H$159,'Industries all mentioned partne'!$A$2:$DM$2,'Industries all mentioned partne'!$A$2:$DM$58))</f>
        <v>1</v>
      </c>
      <c r="I208" s="310" t="str" cm="1">
        <f t="array" ref="I208">_xlfn.XLOOKUP($A208,'Industries all mentioned partne'!$A$2:$A$58,_xlfn.XLOOKUP(I$159,'Industries all mentioned partne'!$A$2:$DM$2,'Industries all mentioned partne'!$A$2:$DM$58))</f>
        <v/>
      </c>
      <c r="J208" s="91" t="str" cm="1">
        <f t="array" ref="J208">_xlfn.XLOOKUP($A208,'Industries all mentioned partne'!$A$2:$A$58,_xlfn.XLOOKUP(J$159,'Industries all mentioned partne'!$A$2:$DM$2,'Industries all mentioned partne'!$A$2:$DM$58))</f>
        <v/>
      </c>
      <c r="K208" s="310" t="str" cm="1">
        <f t="array" ref="K208">_xlfn.XLOOKUP($A208,'Industries all mentioned partne'!$A$2:$A$58,_xlfn.XLOOKUP(K$159,'Industries all mentioned partne'!$A$2:$DM$2,'Industries all mentioned partne'!$A$2:$DM$58))</f>
        <v/>
      </c>
      <c r="L208" s="91" t="str" cm="1">
        <f t="array" ref="L208">_xlfn.XLOOKUP($A208,'Industries all mentioned partne'!$A$2:$A$58,_xlfn.XLOOKUP(L$159,'Industries all mentioned partne'!$A$2:$DM$2,'Industries all mentioned partne'!$A$2:$DM$58))</f>
        <v/>
      </c>
      <c r="M208" s="311" t="str" cm="1">
        <f t="array" ref="M208">_xlfn.XLOOKUP($M$159,CBIMPORT!$A$1:$AN$1,_xlfn.XLOOKUP(B208,CBIMPORT!$A$1:$A$171,CBIMPORT!$A$1:$AN$171))</f>
        <v>L3</v>
      </c>
      <c r="N208" s="309" cm="1">
        <f t="array" ref="N208">_xlfn.XLOOKUP(N$159,CBIMPORT!$A$1:$AM$1,_xlfn.XLOOKUP($B208,CBIMPORT!$A$1:$A$40,CBIMPORT!$A$1:$AM$40))</f>
        <v>20</v>
      </c>
      <c r="O208" s="21">
        <f>COUNTIFS(ANNOUNCEMENTS!$E$2:$E$180,$B208,ANNOUNCEMENTS!$Z$2:$Z$180,O$159,ANNOUNCEMENTS!$J$2:$J$180,$C208)+
COUNTIFS(ANNOUNCEMENTS!$E$2:$E$180,$B208,ANNOUNCEMENTS!$AB$2:$AB$180,O$159,ANNOUNCEMENTS!$J$2:$J$180,$C208)+
COUNTIFS(ANNOUNCEMENTS!$E$2:$E$180,$B208,ANNOUNCEMENTS!$AD$2:$AD$180,O$159,ANNOUNCEMENTS!$J$2:$J$180,$C208)</f>
        <v>0</v>
      </c>
      <c r="P208" s="21">
        <f>COUNTIFS(ANNOUNCEMENTS!$E$2:$E$180,$B208,ANNOUNCEMENTS!$Z$2:$Z$180,P$159,ANNOUNCEMENTS!$J$2:$J$180,$C208)+
COUNTIFS(ANNOUNCEMENTS!$E$2:$E$180,$B208,ANNOUNCEMENTS!$AB$2:$AB$180,P$159,ANNOUNCEMENTS!$J$2:$J$180,$C208)+
COUNTIFS(ANNOUNCEMENTS!$E$2:$E$180,$B208,ANNOUNCEMENTS!$AD$2:$AD$180,P$159,ANNOUNCEMENTS!$J$2:$J$180,$C208)</f>
        <v>0</v>
      </c>
      <c r="Q208" s="21">
        <f>COUNTIFS(ANNOUNCEMENTS!$E$2:$E$180,$B208,ANNOUNCEMENTS!$Z$2:$Z$180,Q$159,ANNOUNCEMENTS!$J$2:$J$180,$C208)+
COUNTIFS(ANNOUNCEMENTS!$E$2:$E$180,$B208,ANNOUNCEMENTS!$AB$2:$AB$180,Q$159,ANNOUNCEMENTS!$J$2:$J$180,$C208)+
COUNTIFS(ANNOUNCEMENTS!$E$2:$E$180,$B208,ANNOUNCEMENTS!$AD$2:$AD$180,Q$159,ANNOUNCEMENTS!$J$2:$J$180,$C208)</f>
        <v>1</v>
      </c>
      <c r="R208" s="21">
        <f>COUNTIFS(ANNOUNCEMENTS!$E$2:$E$180,$B208,ANNOUNCEMENTS!$Z$2:$Z$180,R$159,ANNOUNCEMENTS!$J$2:$J$180,$C208)+
COUNTIFS(ANNOUNCEMENTS!$E$2:$E$180,$B208,ANNOUNCEMENTS!$AB$2:$AB$180,R$159,ANNOUNCEMENTS!$J$2:$J$180,$C208)+
COUNTIFS(ANNOUNCEMENTS!$E$2:$E$180,$B208,ANNOUNCEMENTS!$AD$2:$AD$180,R$159,ANNOUNCEMENTS!$J$2:$J$180,$C208)</f>
        <v>0</v>
      </c>
      <c r="S208" s="21">
        <f>COUNTIFS(ANNOUNCEMENTS!$E$2:$E$180,$B208,ANNOUNCEMENTS!$Z$2:$Z$180,S$159,ANNOUNCEMENTS!$J$2:$J$180,$C208)+
COUNTIFS(ANNOUNCEMENTS!$E$2:$E$180,$B208,ANNOUNCEMENTS!$AB$2:$AB$180,S$159,ANNOUNCEMENTS!$J$2:$J$180,$C208)+
COUNTIFS(ANNOUNCEMENTS!$E$2:$E$180,$B208,ANNOUNCEMENTS!$AD$2:$AD$180,S$159,ANNOUNCEMENTS!$J$2:$J$180,$C208)</f>
        <v>0</v>
      </c>
      <c r="T208" s="21">
        <f>COUNTIFS(ANNOUNCEMENTS!$E$2:$E$180,$B208,ANNOUNCEMENTS!$Z$2:$Z$180,T$159,ANNOUNCEMENTS!$J$2:$J$180,$C208)+
COUNTIFS(ANNOUNCEMENTS!$E$2:$E$180,$B208,ANNOUNCEMENTS!$AB$2:$AB$180,T$159,ANNOUNCEMENTS!$J$2:$J$180,$C208)+
COUNTIFS(ANNOUNCEMENTS!$E$2:$E$180,$B208,ANNOUNCEMENTS!$AD$2:$AD$180,T$159,ANNOUNCEMENTS!$J$2:$J$180,$C208)</f>
        <v>0</v>
      </c>
      <c r="U208" s="21">
        <f>COUNTIFS(ANNOUNCEMENTS!$E$2:$E$180,$B208,ANNOUNCEMENTS!$Z$2:$Z$180,U$159,ANNOUNCEMENTS!$J$2:$J$180,$C208)+
COUNTIFS(ANNOUNCEMENTS!$E$2:$E$180,$B208,ANNOUNCEMENTS!$AB$2:$AB$180,U$159,ANNOUNCEMENTS!$J$2:$J$180,$C208)+
COUNTIFS(ANNOUNCEMENTS!$E$2:$E$180,$B208,ANNOUNCEMENTS!$AD$2:$AD$180,U$159,ANNOUNCEMENTS!$J$2:$J$180,$C208)</f>
        <v>0</v>
      </c>
      <c r="V208" s="21">
        <f>COUNTIFS(ANNOUNCEMENTS!$E$2:$E$180,$B208,ANNOUNCEMENTS!$Z$2:$Z$180,V$159,ANNOUNCEMENTS!$J$2:$J$180,$C208)+
COUNTIFS(ANNOUNCEMENTS!$E$2:$E$180,$B208,ANNOUNCEMENTS!$AB$2:$AB$180,V$159,ANNOUNCEMENTS!$J$2:$J$180,$C208)+
COUNTIFS(ANNOUNCEMENTS!$E$2:$E$180,$B208,ANNOUNCEMENTS!$AD$2:$AD$180,V$159,ANNOUNCEMENTS!$J$2:$J$180,$C208)</f>
        <v>0</v>
      </c>
      <c r="W208" s="21">
        <f>COUNTIFS(ANNOUNCEMENTS!$E$2:$E$180,$B208,ANNOUNCEMENTS!$Z$2:$Z$180,W$159,ANNOUNCEMENTS!$J$2:$J$180,$C208)+
COUNTIFS(ANNOUNCEMENTS!$E$2:$E$180,$B208,ANNOUNCEMENTS!$AB$2:$AB$180,W$159,ANNOUNCEMENTS!$J$2:$J$180,$C208)+
COUNTIFS(ANNOUNCEMENTS!$E$2:$E$180,$B208,ANNOUNCEMENTS!$AD$2:$AD$180,W$159,ANNOUNCEMENTS!$J$2:$J$180,$C208)</f>
        <v>0</v>
      </c>
      <c r="X208" s="21">
        <f>COUNTIFS(ANNOUNCEMENTS!$E$2:$E$180,$B208,ANNOUNCEMENTS!$W$2:$W$180,X$159,ANNOUNCEMENTS!$J$2:$J$180,$C208)</f>
        <v>0</v>
      </c>
      <c r="Y208" s="21">
        <f>COUNTIFS(ANNOUNCEMENTS!$E$2:$E$180,$B208,ANNOUNCEMENTS!$W$2:$W$180,Y$159,ANNOUNCEMENTS!$J$2:$J$180,$C208)</f>
        <v>0</v>
      </c>
      <c r="Z208" s="21">
        <f>COUNTIFS(ANNOUNCEMENTS!$E$2:$E$180,$B208,ANNOUNCEMENTS!$W$2:$W$180,Z$159,ANNOUNCEMENTS!$J$2:$J$180,$C208)</f>
        <v>0</v>
      </c>
      <c r="AA208" s="21">
        <f>COUNTIFS(ANNOUNCEMENTS!$E$2:$E$180,$B208,ANNOUNCEMENTS!$W$2:$W$180,AA$159,ANNOUNCEMENTS!$J$2:$J$180,$C208)</f>
        <v>1</v>
      </c>
      <c r="AB208" s="21">
        <f>COUNTIFS(ANNOUNCEMENTS!$E$2:$E$180,$B208,ANNOUNCEMENTS!$W$2:$W$180,AB$159,ANNOUNCEMENTS!$J$2:$J$180,$C208)</f>
        <v>0</v>
      </c>
      <c r="AC208" s="21">
        <f>COUNTIFS(ANNOUNCEMENTS!$E$2:$E$180,$B208,ANNOUNCEMENTS!$W$2:$W$180,AC$159,ANNOUNCEMENTS!$J$2:$J$180,$C208)</f>
        <v>0</v>
      </c>
      <c r="AD208" s="21">
        <f>COUNTIFS(ANNOUNCEMENTS!$E$2:$E$180,$B208,ANNOUNCEMENTS!$W$2:$W$180,AD$159,ANNOUNCEMENTS!$J$2:$J$180,$C208)</f>
        <v>0</v>
      </c>
      <c r="AE208" s="311">
        <f t="shared" si="73"/>
        <v>0</v>
      </c>
      <c r="AF208" s="311">
        <f t="shared" si="74"/>
        <v>0</v>
      </c>
      <c r="AG208" s="311">
        <f t="shared" si="75"/>
        <v>1</v>
      </c>
      <c r="AH208" s="311">
        <f t="shared" si="76"/>
        <v>0</v>
      </c>
      <c r="AI208" s="21">
        <f>COUNTIFS(ANNOUNCEMENTS!$E$2:$E$180,B208,ANNOUNCEMENTS!$Z$2:$Z$180,$J$37,ANNOUNCEMENTS!$J$2:$J$180,C208)+
COUNTIFS(ANNOUNCEMENTS!$E$2:$E$180,B208,ANNOUNCEMENTS!$Z$2:$Z$180,$L$37,ANNOUNCEMENTS!$J$2:$J$180,C208)+
COUNTIFS(ANNOUNCEMENTS!$E$2:$E$180,B208,ANNOUNCEMENTS!$AB$2:$AB$180,$J$37,ANNOUNCEMENTS!$J$2:$J$180,C208)+
COUNTIFS(ANNOUNCEMENTS!$E$2:$E$180,B208,ANNOUNCEMENTS!$AB$2:$AB$180,$L$37,ANNOUNCEMENTS!$J$2:$J$180,C208)+
COUNTIFS(ANNOUNCEMENTS!$E$2:$E$180,B208,ANNOUNCEMENTS!$AD$2:$AD$180,$J$37,ANNOUNCEMENTS!$J$2:$J$180,C208)+
COUNTIFS(ANNOUNCEMENTS!$E$2:$E$180,B208,ANNOUNCEMENTS!$AD$2:$AD$180,$L$37,ANNOUNCEMENTS!$J$2:$J$180,C208)</f>
        <v>1</v>
      </c>
      <c r="AJ208" s="21">
        <f>COUNTIFS(ANNOUNCEMENTS!$E$2:$E$180,B208,ANNOUNCEMENTS!$Z$2:$Z$180,$H$37,ANNOUNCEMENTS!$J$2:$J$180,C208)+
COUNTIFS(ANNOUNCEMENTS!$E$2:$E$180,B208,ANNOUNCEMENTS!$Z$2:$Z$180,$I$37,ANNOUNCEMENTS!$J$2:$J$180,C208)+
COUNTIFS(ANNOUNCEMENTS!$E$2:$E$180,B208,ANNOUNCEMENTS!$Z$2:$Z$180,$P$37,ANNOUNCEMENTS!$J$2:$J$180,C208)+
COUNTIFS(ANNOUNCEMENTS!$E$2:$E$180,B208,ANNOUNCEMENTS!$AB$2:$AB$180,$H$37,ANNOUNCEMENTS!$J$2:$J$180,C208)+
COUNTIFS(ANNOUNCEMENTS!$E$2:$E$180,B208,ANNOUNCEMENTS!$AB$2:$AB$180,$I$37,ANNOUNCEMENTS!$J$2:$J$180,C208)+
COUNTIFS(ANNOUNCEMENTS!$E$2:$E$180,B208,ANNOUNCEMENTS!$AB$2:$AB$180,$P$37,ANNOUNCEMENTS!$J$2:$J$180,C208)+
COUNTIFS(ANNOUNCEMENTS!$E$2:$E$180,B208,ANNOUNCEMENTS!$AD$2:$AD$180,$H$37,ANNOUNCEMENTS!$J$2:$J$180,C208)+
COUNTIFS(ANNOUNCEMENTS!$E$2:$E$180,B208,ANNOUNCEMENTS!$AD$2:$AD$180,$I$37,ANNOUNCEMENTS!$J$2:$J$180,C208)+
COUNTIFS(ANNOUNCEMENTS!$E$2:$E$180,B208,ANNOUNCEMENTS!$AD$2:$AD$180,$P$37,ANNOUNCEMENTS!$J$2:$J$180,C208)</f>
        <v>0</v>
      </c>
      <c r="AK208" s="310" cm="1">
        <f t="array" ref="AK208">SUM(COUNTIFS(ANNOUNCEMENTS!$E$2:$E$180,B208,ANNOUNCEMENTS!$W$2:$W$180,$E$38:$E$40,ANNOUNCEMENTS!$J$2:$J$180,C208))</f>
        <v>0</v>
      </c>
      <c r="AL208" s="21" cm="1">
        <f t="array" ref="AL208">SUM(COUNTIFS(ANNOUNCEMENTS!$E$2:$E$180,B208,ANNOUNCEMENTS!$W$2:$W$180,$E$43:$E$44,ANNOUNCEMENTS!$J$2:$J$180,C208))</f>
        <v>0</v>
      </c>
      <c r="AM208" s="21">
        <f t="shared" si="77"/>
        <v>1</v>
      </c>
      <c r="AN208" s="21">
        <f t="shared" si="78"/>
        <v>0</v>
      </c>
      <c r="AO208" s="309" cm="1">
        <f t="array" ref="AO208">_xlfn.XLOOKUP(AO$159,CBIMPORT!$A$1:$AM$1,_xlfn.XLOOKUP($B208,CBIMPORT!$A$1:$A$40,CBIMPORT!$A$1:$AM$40))</f>
        <v>0</v>
      </c>
      <c r="AP208" s="308" cm="1">
        <f t="array" ref="AP208">_xlfn.XLOOKUP(AP$159,CBIMPORT!$A$1:$AM$1,_xlfn.XLOOKUP($B208,CBIMPORT!$A$1:$A$40,CBIMPORT!$A$1:$AM$40))</f>
        <v>3000</v>
      </c>
      <c r="AQ208" s="307" cm="1">
        <f t="array" ref="AQ208">_xlfn.XLOOKUP(AQ$159,CBIMPORT!$A$1:$AM$1,_xlfn.XLOOKUP($B208,CBIMPORT!$A$1:$A$40,CBIMPORT!$A$1:$AM$40))</f>
        <v>887.06411100000003</v>
      </c>
    </row>
    <row r="209" spans="1:71" x14ac:dyDescent="0.35">
      <c r="A209" s="303" t="s">
        <v>2213</v>
      </c>
      <c r="B209" s="315" t="str">
        <f t="shared" si="71"/>
        <v>Lohr</v>
      </c>
      <c r="C209" s="314" t="str">
        <f t="shared" si="72"/>
        <v>Ridepooling</v>
      </c>
      <c r="D209" s="313">
        <f>COUNTIFS(ANNOUNCEMENTS!$E$2:$E$180,$B209,ANNOUNCEMENTS!$J$2:$J$180,$C209)</f>
        <v>1</v>
      </c>
      <c r="E209" s="312" t="str" cm="1">
        <f t="array" ref="E209">_xlfn.ARRAYTOTEXT(
IF(D209&gt;0,_xlfn._xlws.FILTER(CHOOSE({1},
ANNOUNCEMENTS!$K$1:$K$180),
(ANNOUNCEMENTS!$E$1:$E$180=B209)*((ANNOUNCEMENTS!$J$1:$J$180=$C209)))))</f>
        <v>Navya</v>
      </c>
      <c r="F209" s="306">
        <f t="shared" si="79"/>
        <v>1</v>
      </c>
      <c r="G209" s="310" t="str" cm="1">
        <f t="array" ref="G209">_xlfn.XLOOKUP($A209,'Industries all mentioned partne'!$A$2:$A$58,_xlfn.XLOOKUP(G$159,'Industries all mentioned partne'!$A$2:$DM$2,'Industries all mentioned partne'!$A$2:$DM$58))</f>
        <v>Autonomous Vehicles</v>
      </c>
      <c r="H209" s="91" cm="1">
        <f t="array" ref="H209">_xlfn.XLOOKUP($A209,'Industries all mentioned partne'!$A$2:$A$58,_xlfn.XLOOKUP(H$159,'Industries all mentioned partne'!$A$2:$DM$2,'Industries all mentioned partne'!$A$2:$DM$58))</f>
        <v>1</v>
      </c>
      <c r="I209" s="310" t="str" cm="1">
        <f t="array" ref="I209">_xlfn.XLOOKUP($A209,'Industries all mentioned partne'!$A$2:$A$58,_xlfn.XLOOKUP(I$159,'Industries all mentioned partne'!$A$2:$DM$2,'Industries all mentioned partne'!$A$2:$DM$58))</f>
        <v/>
      </c>
      <c r="J209" s="91" t="str" cm="1">
        <f t="array" ref="J209">_xlfn.XLOOKUP($A209,'Industries all mentioned partne'!$A$2:$A$58,_xlfn.XLOOKUP(J$159,'Industries all mentioned partne'!$A$2:$DM$2,'Industries all mentioned partne'!$A$2:$DM$58))</f>
        <v/>
      </c>
      <c r="K209" s="310" t="str" cm="1">
        <f t="array" ref="K209">_xlfn.XLOOKUP($A209,'Industries all mentioned partne'!$A$2:$A$58,_xlfn.XLOOKUP(K$159,'Industries all mentioned partne'!$A$2:$DM$2,'Industries all mentioned partne'!$A$2:$DM$58))</f>
        <v/>
      </c>
      <c r="L209" s="91" t="str" cm="1">
        <f t="array" ref="L209">_xlfn.XLOOKUP($A209,'Industries all mentioned partne'!$A$2:$A$58,_xlfn.XLOOKUP(L$159,'Industries all mentioned partne'!$A$2:$DM$2,'Industries all mentioned partne'!$A$2:$DM$58))</f>
        <v/>
      </c>
      <c r="M209" s="311" t="str" cm="1">
        <f t="array" ref="M209">_xlfn.XLOOKUP($M$159,CBIMPORT!$A$1:$AN$1,_xlfn.XLOOKUP(B209,CBIMPORT!$A$1:$A$171,CBIMPORT!$A$1:$AN$171))</f>
        <v>L2</v>
      </c>
      <c r="N209" s="309" t="str" cm="1">
        <f t="array" ref="N209">_xlfn.XLOOKUP(N$159,CBIMPORT!$A$1:$AM$1,_xlfn.XLOOKUP($B209,CBIMPORT!$A$1:$A$40,CBIMPORT!$A$1:$AM$40))</f>
        <v>n.a.</v>
      </c>
      <c r="O209" s="21">
        <f>COUNTIFS(ANNOUNCEMENTS!$E$2:$E$180,$B209,ANNOUNCEMENTS!$Z$2:$Z$180,O$159,ANNOUNCEMENTS!$J$2:$J$180,$C209)+
COUNTIFS(ANNOUNCEMENTS!$E$2:$E$180,$B209,ANNOUNCEMENTS!$AB$2:$AB$180,O$159,ANNOUNCEMENTS!$J$2:$J$180,$C209)+
COUNTIFS(ANNOUNCEMENTS!$E$2:$E$180,$B209,ANNOUNCEMENTS!$AD$2:$AD$180,O$159,ANNOUNCEMENTS!$J$2:$J$180,$C209)</f>
        <v>0</v>
      </c>
      <c r="P209" s="21">
        <f>COUNTIFS(ANNOUNCEMENTS!$E$2:$E$180,$B209,ANNOUNCEMENTS!$Z$2:$Z$180,P$159,ANNOUNCEMENTS!$J$2:$J$180,$C209)+
COUNTIFS(ANNOUNCEMENTS!$E$2:$E$180,$B209,ANNOUNCEMENTS!$AB$2:$AB$180,P$159,ANNOUNCEMENTS!$J$2:$J$180,$C209)+
COUNTIFS(ANNOUNCEMENTS!$E$2:$E$180,$B209,ANNOUNCEMENTS!$AD$2:$AD$180,P$159,ANNOUNCEMENTS!$J$2:$J$180,$C209)</f>
        <v>1</v>
      </c>
      <c r="Q209" s="21">
        <f>COUNTIFS(ANNOUNCEMENTS!$E$2:$E$180,$B209,ANNOUNCEMENTS!$Z$2:$Z$180,Q$159,ANNOUNCEMENTS!$J$2:$J$180,$C209)+
COUNTIFS(ANNOUNCEMENTS!$E$2:$E$180,$B209,ANNOUNCEMENTS!$AB$2:$AB$180,Q$159,ANNOUNCEMENTS!$J$2:$J$180,$C209)+
COUNTIFS(ANNOUNCEMENTS!$E$2:$E$180,$B209,ANNOUNCEMENTS!$AD$2:$AD$180,Q$159,ANNOUNCEMENTS!$J$2:$J$180,$C209)</f>
        <v>0</v>
      </c>
      <c r="R209" s="21">
        <f>COUNTIFS(ANNOUNCEMENTS!$E$2:$E$180,$B209,ANNOUNCEMENTS!$Z$2:$Z$180,R$159,ANNOUNCEMENTS!$J$2:$J$180,$C209)+
COUNTIFS(ANNOUNCEMENTS!$E$2:$E$180,$B209,ANNOUNCEMENTS!$AB$2:$AB$180,R$159,ANNOUNCEMENTS!$J$2:$J$180,$C209)+
COUNTIFS(ANNOUNCEMENTS!$E$2:$E$180,$B209,ANNOUNCEMENTS!$AD$2:$AD$180,R$159,ANNOUNCEMENTS!$J$2:$J$180,$C209)</f>
        <v>0</v>
      </c>
      <c r="S209" s="21">
        <f>COUNTIFS(ANNOUNCEMENTS!$E$2:$E$180,$B209,ANNOUNCEMENTS!$Z$2:$Z$180,S$159,ANNOUNCEMENTS!$J$2:$J$180,$C209)+
COUNTIFS(ANNOUNCEMENTS!$E$2:$E$180,$B209,ANNOUNCEMENTS!$AB$2:$AB$180,S$159,ANNOUNCEMENTS!$J$2:$J$180,$C209)+
COUNTIFS(ANNOUNCEMENTS!$E$2:$E$180,$B209,ANNOUNCEMENTS!$AD$2:$AD$180,S$159,ANNOUNCEMENTS!$J$2:$J$180,$C209)</f>
        <v>0</v>
      </c>
      <c r="T209" s="21">
        <f>COUNTIFS(ANNOUNCEMENTS!$E$2:$E$180,$B209,ANNOUNCEMENTS!$Z$2:$Z$180,T$159,ANNOUNCEMENTS!$J$2:$J$180,$C209)+
COUNTIFS(ANNOUNCEMENTS!$E$2:$E$180,$B209,ANNOUNCEMENTS!$AB$2:$AB$180,T$159,ANNOUNCEMENTS!$J$2:$J$180,$C209)+
COUNTIFS(ANNOUNCEMENTS!$E$2:$E$180,$B209,ANNOUNCEMENTS!$AD$2:$AD$180,T$159,ANNOUNCEMENTS!$J$2:$J$180,$C209)</f>
        <v>0</v>
      </c>
      <c r="U209" s="21">
        <f>COUNTIFS(ANNOUNCEMENTS!$E$2:$E$180,$B209,ANNOUNCEMENTS!$Z$2:$Z$180,U$159,ANNOUNCEMENTS!$J$2:$J$180,$C209)+
COUNTIFS(ANNOUNCEMENTS!$E$2:$E$180,$B209,ANNOUNCEMENTS!$AB$2:$AB$180,U$159,ANNOUNCEMENTS!$J$2:$J$180,$C209)+
COUNTIFS(ANNOUNCEMENTS!$E$2:$E$180,$B209,ANNOUNCEMENTS!$AD$2:$AD$180,U$159,ANNOUNCEMENTS!$J$2:$J$180,$C209)</f>
        <v>0</v>
      </c>
      <c r="V209" s="21">
        <f>COUNTIFS(ANNOUNCEMENTS!$E$2:$E$180,$B209,ANNOUNCEMENTS!$Z$2:$Z$180,V$159,ANNOUNCEMENTS!$J$2:$J$180,$C209)+
COUNTIFS(ANNOUNCEMENTS!$E$2:$E$180,$B209,ANNOUNCEMENTS!$AB$2:$AB$180,V$159,ANNOUNCEMENTS!$J$2:$J$180,$C209)+
COUNTIFS(ANNOUNCEMENTS!$E$2:$E$180,$B209,ANNOUNCEMENTS!$AD$2:$AD$180,V$159,ANNOUNCEMENTS!$J$2:$J$180,$C209)</f>
        <v>0</v>
      </c>
      <c r="W209" s="21">
        <f>COUNTIFS(ANNOUNCEMENTS!$E$2:$E$180,$B209,ANNOUNCEMENTS!$Z$2:$Z$180,W$159,ANNOUNCEMENTS!$J$2:$J$180,$C209)+
COUNTIFS(ANNOUNCEMENTS!$E$2:$E$180,$B209,ANNOUNCEMENTS!$AB$2:$AB$180,W$159,ANNOUNCEMENTS!$J$2:$J$180,$C209)+
COUNTIFS(ANNOUNCEMENTS!$E$2:$E$180,$B209,ANNOUNCEMENTS!$AD$2:$AD$180,W$159,ANNOUNCEMENTS!$J$2:$J$180,$C209)</f>
        <v>0</v>
      </c>
      <c r="X209" s="21">
        <f>COUNTIFS(ANNOUNCEMENTS!$E$2:$E$180,$B209,ANNOUNCEMENTS!$W$2:$W$180,X$159,ANNOUNCEMENTS!$J$2:$J$180,$C209)</f>
        <v>0</v>
      </c>
      <c r="Y209" s="21">
        <f>COUNTIFS(ANNOUNCEMENTS!$E$2:$E$180,$B209,ANNOUNCEMENTS!$W$2:$W$180,Y$159,ANNOUNCEMENTS!$J$2:$J$180,$C209)</f>
        <v>1</v>
      </c>
      <c r="Z209" s="21">
        <f>COUNTIFS(ANNOUNCEMENTS!$E$2:$E$180,$B209,ANNOUNCEMENTS!$W$2:$W$180,Z$159,ANNOUNCEMENTS!$J$2:$J$180,$C209)</f>
        <v>0</v>
      </c>
      <c r="AA209" s="21">
        <f>COUNTIFS(ANNOUNCEMENTS!$E$2:$E$180,$B209,ANNOUNCEMENTS!$W$2:$W$180,AA$159,ANNOUNCEMENTS!$J$2:$J$180,$C209)</f>
        <v>0</v>
      </c>
      <c r="AB209" s="21">
        <f>COUNTIFS(ANNOUNCEMENTS!$E$2:$E$180,$B209,ANNOUNCEMENTS!$W$2:$W$180,AB$159,ANNOUNCEMENTS!$J$2:$J$180,$C209)</f>
        <v>0</v>
      </c>
      <c r="AC209" s="21">
        <f>COUNTIFS(ANNOUNCEMENTS!$E$2:$E$180,$B209,ANNOUNCEMENTS!$W$2:$W$180,AC$159,ANNOUNCEMENTS!$J$2:$J$180,$C209)</f>
        <v>0</v>
      </c>
      <c r="AD209" s="21">
        <f>COUNTIFS(ANNOUNCEMENTS!$E$2:$E$180,$B209,ANNOUNCEMENTS!$W$2:$W$180,AD$159,ANNOUNCEMENTS!$J$2:$J$180,$C209)</f>
        <v>0</v>
      </c>
      <c r="AE209" s="311">
        <f t="shared" si="73"/>
        <v>0</v>
      </c>
      <c r="AF209" s="311">
        <f t="shared" si="74"/>
        <v>1</v>
      </c>
      <c r="AG209" s="311">
        <f t="shared" si="75"/>
        <v>0</v>
      </c>
      <c r="AH209" s="311">
        <f t="shared" si="76"/>
        <v>0</v>
      </c>
      <c r="AI209" s="21">
        <f>COUNTIFS(ANNOUNCEMENTS!$E$2:$E$180,B209,ANNOUNCEMENTS!$Z$2:$Z$180,$J$37,ANNOUNCEMENTS!$J$2:$J$180,C209)+
COUNTIFS(ANNOUNCEMENTS!$E$2:$E$180,B209,ANNOUNCEMENTS!$Z$2:$Z$180,$L$37,ANNOUNCEMENTS!$J$2:$J$180,C209)+
COUNTIFS(ANNOUNCEMENTS!$E$2:$E$180,B209,ANNOUNCEMENTS!$AB$2:$AB$180,$J$37,ANNOUNCEMENTS!$J$2:$J$180,C209)+
COUNTIFS(ANNOUNCEMENTS!$E$2:$E$180,B209,ANNOUNCEMENTS!$AB$2:$AB$180,$L$37,ANNOUNCEMENTS!$J$2:$J$180,C209)+
COUNTIFS(ANNOUNCEMENTS!$E$2:$E$180,B209,ANNOUNCEMENTS!$AD$2:$AD$180,$J$37,ANNOUNCEMENTS!$J$2:$J$180,C209)+
COUNTIFS(ANNOUNCEMENTS!$E$2:$E$180,B209,ANNOUNCEMENTS!$AD$2:$AD$180,$L$37,ANNOUNCEMENTS!$J$2:$J$180,C209)</f>
        <v>0</v>
      </c>
      <c r="AJ209" s="21">
        <f>COUNTIFS(ANNOUNCEMENTS!$E$2:$E$180,B209,ANNOUNCEMENTS!$Z$2:$Z$180,$H$37,ANNOUNCEMENTS!$J$2:$J$180,C209)+
COUNTIFS(ANNOUNCEMENTS!$E$2:$E$180,B209,ANNOUNCEMENTS!$Z$2:$Z$180,$I$37,ANNOUNCEMENTS!$J$2:$J$180,C209)+
COUNTIFS(ANNOUNCEMENTS!$E$2:$E$180,B209,ANNOUNCEMENTS!$Z$2:$Z$180,$P$37,ANNOUNCEMENTS!$J$2:$J$180,C209)+
COUNTIFS(ANNOUNCEMENTS!$E$2:$E$180,B209,ANNOUNCEMENTS!$AB$2:$AB$180,$H$37,ANNOUNCEMENTS!$J$2:$J$180,C209)+
COUNTIFS(ANNOUNCEMENTS!$E$2:$E$180,B209,ANNOUNCEMENTS!$AB$2:$AB$180,$I$37,ANNOUNCEMENTS!$J$2:$J$180,C209)+
COUNTIFS(ANNOUNCEMENTS!$E$2:$E$180,B209,ANNOUNCEMENTS!$AB$2:$AB$180,$P$37,ANNOUNCEMENTS!$J$2:$J$180,C209)+
COUNTIFS(ANNOUNCEMENTS!$E$2:$E$180,B209,ANNOUNCEMENTS!$AD$2:$AD$180,$H$37,ANNOUNCEMENTS!$J$2:$J$180,C209)+
COUNTIFS(ANNOUNCEMENTS!$E$2:$E$180,B209,ANNOUNCEMENTS!$AD$2:$AD$180,$I$37,ANNOUNCEMENTS!$J$2:$J$180,C209)+
COUNTIFS(ANNOUNCEMENTS!$E$2:$E$180,B209,ANNOUNCEMENTS!$AD$2:$AD$180,$P$37,ANNOUNCEMENTS!$J$2:$J$180,C209)</f>
        <v>1</v>
      </c>
      <c r="AK209" s="310" cm="1">
        <f t="array" ref="AK209">SUM(COUNTIFS(ANNOUNCEMENTS!$E$2:$E$180,B209,ANNOUNCEMENTS!$W$2:$W$180,$E$38:$E$40,ANNOUNCEMENTS!$J$2:$J$180,C209))</f>
        <v>1</v>
      </c>
      <c r="AL209" s="21" cm="1">
        <f t="array" ref="AL209">SUM(COUNTIFS(ANNOUNCEMENTS!$E$2:$E$180,B209,ANNOUNCEMENTS!$W$2:$W$180,$E$43:$E$44,ANNOUNCEMENTS!$J$2:$J$180,C209))</f>
        <v>0</v>
      </c>
      <c r="AM209" s="21">
        <f t="shared" si="77"/>
        <v>1</v>
      </c>
      <c r="AN209" s="21">
        <f t="shared" si="78"/>
        <v>1</v>
      </c>
      <c r="AO209" s="309" cm="1">
        <f t="array" ref="AO209">_xlfn.XLOOKUP(AO$159,CBIMPORT!$A$1:$AM$1,_xlfn.XLOOKUP($B209,CBIMPORT!$A$1:$A$40,CBIMPORT!$A$1:$AM$40))</f>
        <v>0</v>
      </c>
      <c r="AP209" s="308" cm="1">
        <f t="array" ref="AP209">_xlfn.XLOOKUP(AP$159,CBIMPORT!$A$1:$AM$1,_xlfn.XLOOKUP($B209,CBIMPORT!$A$1:$A$40,CBIMPORT!$A$1:$AM$40))</f>
        <v>75</v>
      </c>
      <c r="AQ209" s="307" t="str" cm="1">
        <f t="array" ref="AQ209">_xlfn.XLOOKUP(AQ$159,CBIMPORT!$A$1:$AM$1,_xlfn.XLOOKUP($B209,CBIMPORT!$A$1:$A$40,CBIMPORT!$A$1:$AM$40))</f>
        <v>n.a.</v>
      </c>
    </row>
    <row r="210" spans="1:71" x14ac:dyDescent="0.35">
      <c r="A210" s="21" t="s">
        <v>2214</v>
      </c>
      <c r="B210" s="315" t="str">
        <f t="shared" si="71"/>
        <v>Uber Eats</v>
      </c>
      <c r="C210" s="314" t="str">
        <f t="shared" si="72"/>
        <v>Last-Mile</v>
      </c>
      <c r="D210" s="313">
        <f>COUNTIFS(ANNOUNCEMENTS!$E$2:$E$180,$B210,ANNOUNCEMENTS!$J$2:$J$180,$C210)</f>
        <v>2</v>
      </c>
      <c r="E210" s="312" t="str" cm="1">
        <f t="array" ref="E210">_xlfn.ARRAYTOTEXT(
IF(D210&gt;0,_xlfn._xlws.FILTER(CHOOSE({1},
ANNOUNCEMENTS!$K$1:$K$180),
(ANNOUNCEMENTS!$E$1:$E$180=B210)*((ANNOUNCEMENTS!$J$1:$J$180=$C210)))))</f>
        <v>Nuro; ServeRobotics</v>
      </c>
      <c r="F210" s="306">
        <f t="shared" si="79"/>
        <v>0</v>
      </c>
      <c r="G210" s="310" t="str" cm="1">
        <f t="array" ref="G210">_xlfn.XLOOKUP($A210,'Industries all mentioned partne'!$A$2:$A$58,_xlfn.XLOOKUP(G$159,'Industries all mentioned partne'!$A$2:$DM$2,'Industries all mentioned partne'!$A$2:$DM$58))</f>
        <v>Autonomous Vehicles</v>
      </c>
      <c r="H210" s="91" cm="1">
        <f t="array" ref="H210">_xlfn.XLOOKUP($A210,'Industries all mentioned partne'!$A$2:$A$58,_xlfn.XLOOKUP(H$159,'Industries all mentioned partne'!$A$2:$DM$2,'Industries all mentioned partne'!$A$2:$DM$58))</f>
        <v>1</v>
      </c>
      <c r="I210" s="310" t="str" cm="1">
        <f t="array" ref="I210">_xlfn.XLOOKUP($A210,'Industries all mentioned partne'!$A$2:$A$58,_xlfn.XLOOKUP(I$159,'Industries all mentioned partne'!$A$2:$DM$2,'Industries all mentioned partne'!$A$2:$DM$58))</f>
        <v/>
      </c>
      <c r="J210" s="91" t="str" cm="1">
        <f t="array" ref="J210">_xlfn.XLOOKUP($A210,'Industries all mentioned partne'!$A$2:$A$58,_xlfn.XLOOKUP(J$159,'Industries all mentioned partne'!$A$2:$DM$2,'Industries all mentioned partne'!$A$2:$DM$58))</f>
        <v/>
      </c>
      <c r="K210" s="310" t="str" cm="1">
        <f t="array" ref="K210">_xlfn.XLOOKUP($A210,'Industries all mentioned partne'!$A$2:$A$58,_xlfn.XLOOKUP(K$159,'Industries all mentioned partne'!$A$2:$DM$2,'Industries all mentioned partne'!$A$2:$DM$58))</f>
        <v/>
      </c>
      <c r="L210" s="91" t="str" cm="1">
        <f t="array" ref="L210">_xlfn.XLOOKUP($A210,'Industries all mentioned partne'!$A$2:$A$58,_xlfn.XLOOKUP(L$159,'Industries all mentioned partne'!$A$2:$DM$2,'Industries all mentioned partne'!$A$2:$DM$58))</f>
        <v/>
      </c>
      <c r="M210" s="311" t="str" cm="1">
        <f t="array" ref="M210">_xlfn.XLOOKUP($M$159,CBIMPORT!$A$1:$AN$1,_xlfn.XLOOKUP(B210,CBIMPORT!$A$1:$A$171,CBIMPORT!$A$1:$AN$171))</f>
        <v>L4</v>
      </c>
      <c r="N210" s="309" t="str" cm="1">
        <f t="array" ref="N210">_xlfn.XLOOKUP(N$159,CBIMPORT!$A$1:$AM$1,_xlfn.XLOOKUP($B210,CBIMPORT!$A$1:$A$40,CBIMPORT!$A$1:$AM$40))</f>
        <v>n.a.</v>
      </c>
      <c r="O210" s="21">
        <f>COUNTIFS(ANNOUNCEMENTS!$E$2:$E$180,$B210,ANNOUNCEMENTS!$Z$2:$Z$180,O$159,ANNOUNCEMENTS!$J$2:$J$180,$C210)+
COUNTIFS(ANNOUNCEMENTS!$E$2:$E$180,$B210,ANNOUNCEMENTS!$AB$2:$AB$180,O$159,ANNOUNCEMENTS!$J$2:$J$180,$C210)+
COUNTIFS(ANNOUNCEMENTS!$E$2:$E$180,$B210,ANNOUNCEMENTS!$AD$2:$AD$180,O$159,ANNOUNCEMENTS!$J$2:$J$180,$C210)</f>
        <v>0</v>
      </c>
      <c r="P210" s="21">
        <f>COUNTIFS(ANNOUNCEMENTS!$E$2:$E$180,$B210,ANNOUNCEMENTS!$Z$2:$Z$180,P$159,ANNOUNCEMENTS!$J$2:$J$180,$C210)+
COUNTIFS(ANNOUNCEMENTS!$E$2:$E$180,$B210,ANNOUNCEMENTS!$AB$2:$AB$180,P$159,ANNOUNCEMENTS!$J$2:$J$180,$C210)+
COUNTIFS(ANNOUNCEMENTS!$E$2:$E$180,$B210,ANNOUNCEMENTS!$AD$2:$AD$180,P$159,ANNOUNCEMENTS!$J$2:$J$180,$C210)</f>
        <v>0</v>
      </c>
      <c r="Q210" s="21">
        <f>COUNTIFS(ANNOUNCEMENTS!$E$2:$E$180,$B210,ANNOUNCEMENTS!$Z$2:$Z$180,Q$159,ANNOUNCEMENTS!$J$2:$J$180,$C210)+
COUNTIFS(ANNOUNCEMENTS!$E$2:$E$180,$B210,ANNOUNCEMENTS!$AB$2:$AB$180,Q$159,ANNOUNCEMENTS!$J$2:$J$180,$C210)+
COUNTIFS(ANNOUNCEMENTS!$E$2:$E$180,$B210,ANNOUNCEMENTS!$AD$2:$AD$180,Q$159,ANNOUNCEMENTS!$J$2:$J$180,$C210)</f>
        <v>2</v>
      </c>
      <c r="R210" s="21">
        <f>COUNTIFS(ANNOUNCEMENTS!$E$2:$E$180,$B210,ANNOUNCEMENTS!$Z$2:$Z$180,R$159,ANNOUNCEMENTS!$J$2:$J$180,$C210)+
COUNTIFS(ANNOUNCEMENTS!$E$2:$E$180,$B210,ANNOUNCEMENTS!$AB$2:$AB$180,R$159,ANNOUNCEMENTS!$J$2:$J$180,$C210)+
COUNTIFS(ANNOUNCEMENTS!$E$2:$E$180,$B210,ANNOUNCEMENTS!$AD$2:$AD$180,R$159,ANNOUNCEMENTS!$J$2:$J$180,$C210)</f>
        <v>0</v>
      </c>
      <c r="S210" s="21">
        <f>COUNTIFS(ANNOUNCEMENTS!$E$2:$E$180,$B210,ANNOUNCEMENTS!$Z$2:$Z$180,S$159,ANNOUNCEMENTS!$J$2:$J$180,$C210)+
COUNTIFS(ANNOUNCEMENTS!$E$2:$E$180,$B210,ANNOUNCEMENTS!$AB$2:$AB$180,S$159,ANNOUNCEMENTS!$J$2:$J$180,$C210)+
COUNTIFS(ANNOUNCEMENTS!$E$2:$E$180,$B210,ANNOUNCEMENTS!$AD$2:$AD$180,S$159,ANNOUNCEMENTS!$J$2:$J$180,$C210)</f>
        <v>0</v>
      </c>
      <c r="T210" s="21">
        <f>COUNTIFS(ANNOUNCEMENTS!$E$2:$E$180,$B210,ANNOUNCEMENTS!$Z$2:$Z$180,T$159,ANNOUNCEMENTS!$J$2:$J$180,$C210)+
COUNTIFS(ANNOUNCEMENTS!$E$2:$E$180,$B210,ANNOUNCEMENTS!$AB$2:$AB$180,T$159,ANNOUNCEMENTS!$J$2:$J$180,$C210)+
COUNTIFS(ANNOUNCEMENTS!$E$2:$E$180,$B210,ANNOUNCEMENTS!$AD$2:$AD$180,T$159,ANNOUNCEMENTS!$J$2:$J$180,$C210)</f>
        <v>0</v>
      </c>
      <c r="U210" s="21">
        <f>COUNTIFS(ANNOUNCEMENTS!$E$2:$E$180,$B210,ANNOUNCEMENTS!$Z$2:$Z$180,U$159,ANNOUNCEMENTS!$J$2:$J$180,$C210)+
COUNTIFS(ANNOUNCEMENTS!$E$2:$E$180,$B210,ANNOUNCEMENTS!$AB$2:$AB$180,U$159,ANNOUNCEMENTS!$J$2:$J$180,$C210)+
COUNTIFS(ANNOUNCEMENTS!$E$2:$E$180,$B210,ANNOUNCEMENTS!$AD$2:$AD$180,U$159,ANNOUNCEMENTS!$J$2:$J$180,$C210)</f>
        <v>0</v>
      </c>
      <c r="V210" s="21">
        <f>COUNTIFS(ANNOUNCEMENTS!$E$2:$E$180,$B210,ANNOUNCEMENTS!$Z$2:$Z$180,V$159,ANNOUNCEMENTS!$J$2:$J$180,$C210)+
COUNTIFS(ANNOUNCEMENTS!$E$2:$E$180,$B210,ANNOUNCEMENTS!$AB$2:$AB$180,V$159,ANNOUNCEMENTS!$J$2:$J$180,$C210)+
COUNTIFS(ANNOUNCEMENTS!$E$2:$E$180,$B210,ANNOUNCEMENTS!$AD$2:$AD$180,V$159,ANNOUNCEMENTS!$J$2:$J$180,$C210)</f>
        <v>0</v>
      </c>
      <c r="W210" s="21">
        <f>COUNTIFS(ANNOUNCEMENTS!$E$2:$E$180,$B210,ANNOUNCEMENTS!$Z$2:$Z$180,W$159,ANNOUNCEMENTS!$J$2:$J$180,$C210)+
COUNTIFS(ANNOUNCEMENTS!$E$2:$E$180,$B210,ANNOUNCEMENTS!$AB$2:$AB$180,W$159,ANNOUNCEMENTS!$J$2:$J$180,$C210)+
COUNTIFS(ANNOUNCEMENTS!$E$2:$E$180,$B210,ANNOUNCEMENTS!$AD$2:$AD$180,W$159,ANNOUNCEMENTS!$J$2:$J$180,$C210)</f>
        <v>0</v>
      </c>
      <c r="X210" s="21">
        <f>COUNTIFS(ANNOUNCEMENTS!$E$2:$E$180,$B210,ANNOUNCEMENTS!$W$2:$W$180,X$159,ANNOUNCEMENTS!$J$2:$J$180,$C210)</f>
        <v>0</v>
      </c>
      <c r="Y210" s="21">
        <f>COUNTIFS(ANNOUNCEMENTS!$E$2:$E$180,$B210,ANNOUNCEMENTS!$W$2:$W$180,Y$159,ANNOUNCEMENTS!$J$2:$J$180,$C210)</f>
        <v>1</v>
      </c>
      <c r="Z210" s="21">
        <f>COUNTIFS(ANNOUNCEMENTS!$E$2:$E$180,$B210,ANNOUNCEMENTS!$W$2:$W$180,Z$159,ANNOUNCEMENTS!$J$2:$J$180,$C210)</f>
        <v>0</v>
      </c>
      <c r="AA210" s="21">
        <f>COUNTIFS(ANNOUNCEMENTS!$E$2:$E$180,$B210,ANNOUNCEMENTS!$W$2:$W$180,AA$159,ANNOUNCEMENTS!$J$2:$J$180,$C210)</f>
        <v>1</v>
      </c>
      <c r="AB210" s="21">
        <f>COUNTIFS(ANNOUNCEMENTS!$E$2:$E$180,$B210,ANNOUNCEMENTS!$W$2:$W$180,AB$159,ANNOUNCEMENTS!$J$2:$J$180,$C210)</f>
        <v>0</v>
      </c>
      <c r="AC210" s="21">
        <f>COUNTIFS(ANNOUNCEMENTS!$E$2:$E$180,$B210,ANNOUNCEMENTS!$W$2:$W$180,AC$159,ANNOUNCEMENTS!$J$2:$J$180,$C210)</f>
        <v>0</v>
      </c>
      <c r="AD210" s="21">
        <f>COUNTIFS(ANNOUNCEMENTS!$E$2:$E$180,$B210,ANNOUNCEMENTS!$W$2:$W$180,AD$159,ANNOUNCEMENTS!$J$2:$J$180,$C210)</f>
        <v>0</v>
      </c>
      <c r="AE210" s="311">
        <f t="shared" si="73"/>
        <v>0</v>
      </c>
      <c r="AF210" s="311">
        <f t="shared" si="74"/>
        <v>0</v>
      </c>
      <c r="AG210" s="311">
        <f t="shared" si="75"/>
        <v>0</v>
      </c>
      <c r="AH210" s="311">
        <f t="shared" si="76"/>
        <v>1</v>
      </c>
      <c r="AI210" s="21">
        <f>COUNTIFS(ANNOUNCEMENTS!$E$2:$E$180,B210,ANNOUNCEMENTS!$Z$2:$Z$180,$J$37,ANNOUNCEMENTS!$J$2:$J$180,C210)+
COUNTIFS(ANNOUNCEMENTS!$E$2:$E$180,B210,ANNOUNCEMENTS!$Z$2:$Z$180,$L$37,ANNOUNCEMENTS!$J$2:$J$180,C210)+
COUNTIFS(ANNOUNCEMENTS!$E$2:$E$180,B210,ANNOUNCEMENTS!$AB$2:$AB$180,$J$37,ANNOUNCEMENTS!$J$2:$J$180,C210)+
COUNTIFS(ANNOUNCEMENTS!$E$2:$E$180,B210,ANNOUNCEMENTS!$AB$2:$AB$180,$L$37,ANNOUNCEMENTS!$J$2:$J$180,C210)+
COUNTIFS(ANNOUNCEMENTS!$E$2:$E$180,B210,ANNOUNCEMENTS!$AD$2:$AD$180,$J$37,ANNOUNCEMENTS!$J$2:$J$180,C210)+
COUNTIFS(ANNOUNCEMENTS!$E$2:$E$180,B210,ANNOUNCEMENTS!$AD$2:$AD$180,$L$37,ANNOUNCEMENTS!$J$2:$J$180,C210)</f>
        <v>2</v>
      </c>
      <c r="AJ210" s="21">
        <f>COUNTIFS(ANNOUNCEMENTS!$E$2:$E$180,B210,ANNOUNCEMENTS!$Z$2:$Z$180,$H$37,ANNOUNCEMENTS!$J$2:$J$180,C210)+
COUNTIFS(ANNOUNCEMENTS!$E$2:$E$180,B210,ANNOUNCEMENTS!$Z$2:$Z$180,$I$37,ANNOUNCEMENTS!$J$2:$J$180,C210)+
COUNTIFS(ANNOUNCEMENTS!$E$2:$E$180,B210,ANNOUNCEMENTS!$Z$2:$Z$180,$P$37,ANNOUNCEMENTS!$J$2:$J$180,C210)+
COUNTIFS(ANNOUNCEMENTS!$E$2:$E$180,B210,ANNOUNCEMENTS!$AB$2:$AB$180,$H$37,ANNOUNCEMENTS!$J$2:$J$180,C210)+
COUNTIFS(ANNOUNCEMENTS!$E$2:$E$180,B210,ANNOUNCEMENTS!$AB$2:$AB$180,$I$37,ANNOUNCEMENTS!$J$2:$J$180,C210)+
COUNTIFS(ANNOUNCEMENTS!$E$2:$E$180,B210,ANNOUNCEMENTS!$AB$2:$AB$180,$P$37,ANNOUNCEMENTS!$J$2:$J$180,C210)+
COUNTIFS(ANNOUNCEMENTS!$E$2:$E$180,B210,ANNOUNCEMENTS!$AD$2:$AD$180,$H$37,ANNOUNCEMENTS!$J$2:$J$180,C210)+
COUNTIFS(ANNOUNCEMENTS!$E$2:$E$180,B210,ANNOUNCEMENTS!$AD$2:$AD$180,$I$37,ANNOUNCEMENTS!$J$2:$J$180,C210)+
COUNTIFS(ANNOUNCEMENTS!$E$2:$E$180,B210,ANNOUNCEMENTS!$AD$2:$AD$180,$P$37,ANNOUNCEMENTS!$J$2:$J$180,C210)</f>
        <v>0</v>
      </c>
      <c r="AK210" s="310" cm="1">
        <f t="array" ref="AK210">SUM(COUNTIFS(ANNOUNCEMENTS!$E$2:$E$180,B210,ANNOUNCEMENTS!$W$2:$W$180,$E$38:$E$40,ANNOUNCEMENTS!$J$2:$J$180,C210))</f>
        <v>1</v>
      </c>
      <c r="AL210" s="21" cm="1">
        <f t="array" ref="AL210">SUM(COUNTIFS(ANNOUNCEMENTS!$E$2:$E$180,B210,ANNOUNCEMENTS!$W$2:$W$180,$E$43:$E$44,ANNOUNCEMENTS!$J$2:$J$180,C210))</f>
        <v>0</v>
      </c>
      <c r="AM210" s="21">
        <f t="shared" si="77"/>
        <v>2</v>
      </c>
      <c r="AN210" s="21">
        <f t="shared" si="78"/>
        <v>0</v>
      </c>
      <c r="AO210" s="309" cm="1">
        <f t="array" ref="AO210">_xlfn.XLOOKUP(AO$159,CBIMPORT!$A$1:$AM$1,_xlfn.XLOOKUP($B210,CBIMPORT!$A$1:$A$40,CBIMPORT!$A$1:$AM$40))</f>
        <v>0</v>
      </c>
      <c r="AP210" s="308" cm="1">
        <f t="array" ref="AP210">_xlfn.XLOOKUP(AP$159,CBIMPORT!$A$1:$AM$1,_xlfn.XLOOKUP($B210,CBIMPORT!$A$1:$A$40,CBIMPORT!$A$1:$AM$40))</f>
        <v>175</v>
      </c>
      <c r="AQ210" s="307" t="str" cm="1">
        <f t="array" ref="AQ210">_xlfn.XLOOKUP(AQ$159,CBIMPORT!$A$1:$AM$1,_xlfn.XLOOKUP($B210,CBIMPORT!$A$1:$A$40,CBIMPORT!$A$1:$AM$40))</f>
        <v>n.a.</v>
      </c>
    </row>
    <row r="211" spans="1:71" x14ac:dyDescent="0.35">
      <c r="A211" s="303" t="s">
        <v>2215</v>
      </c>
      <c r="B211" s="315" t="str">
        <f t="shared" si="71"/>
        <v>Torc</v>
      </c>
      <c r="C211" s="314" t="str">
        <f t="shared" si="72"/>
        <v>Ridepooling</v>
      </c>
      <c r="D211" s="313">
        <f>COUNTIFS(ANNOUNCEMENTS!$E$2:$E$180,$B211,ANNOUNCEMENTS!$J$2:$J$180,$C211)</f>
        <v>1</v>
      </c>
      <c r="E211" s="312" t="str" cm="1">
        <f t="array" ref="E211">_xlfn.ARRAYTOTEXT(
IF(D211&gt;0,_xlfn._xlws.FILTER(CHOOSE({1},
ANNOUNCEMENTS!$K$1:$K$180),
(ANNOUNCEMENTS!$E$1:$E$180=B211)*((ANNOUNCEMENTS!$J$1:$J$180=$C211)))))</f>
        <v>Transdev</v>
      </c>
      <c r="F211" s="306">
        <f t="shared" si="79"/>
        <v>0</v>
      </c>
      <c r="G211" s="310" t="str" cm="1">
        <f t="array" ref="G211">_xlfn.XLOOKUP($A211,'Industries all mentioned partne'!$A$2:$A$58,_xlfn.XLOOKUP(G$159,'Industries all mentioned partne'!$A$2:$DM$2,'Industries all mentioned partne'!$A$2:$DM$58))</f>
        <v>Transport Operator</v>
      </c>
      <c r="H211" s="91" cm="1">
        <f t="array" ref="H211">_xlfn.XLOOKUP($A211,'Industries all mentioned partne'!$A$2:$A$58,_xlfn.XLOOKUP(H$159,'Industries all mentioned partne'!$A$2:$DM$2,'Industries all mentioned partne'!$A$2:$DM$58))</f>
        <v>1</v>
      </c>
      <c r="I211" s="310" t="str" cm="1">
        <f t="array" ref="I211">_xlfn.XLOOKUP($A211,'Industries all mentioned partne'!$A$2:$A$58,_xlfn.XLOOKUP(I$159,'Industries all mentioned partne'!$A$2:$DM$2,'Industries all mentioned partne'!$A$2:$DM$58))</f>
        <v/>
      </c>
      <c r="J211" s="91" t="str" cm="1">
        <f t="array" ref="J211">_xlfn.XLOOKUP($A211,'Industries all mentioned partne'!$A$2:$A$58,_xlfn.XLOOKUP(J$159,'Industries all mentioned partne'!$A$2:$DM$2,'Industries all mentioned partne'!$A$2:$DM$58))</f>
        <v/>
      </c>
      <c r="K211" s="310" t="str" cm="1">
        <f t="array" ref="K211">_xlfn.XLOOKUP($A211,'Industries all mentioned partne'!$A$2:$A$58,_xlfn.XLOOKUP(K$159,'Industries all mentioned partne'!$A$2:$DM$2,'Industries all mentioned partne'!$A$2:$DM$58))</f>
        <v/>
      </c>
      <c r="L211" s="91" t="str" cm="1">
        <f t="array" ref="L211">_xlfn.XLOOKUP($A211,'Industries all mentioned partne'!$A$2:$A$58,_xlfn.XLOOKUP(L$159,'Industries all mentioned partne'!$A$2:$DM$2,'Industries all mentioned partne'!$A$2:$DM$58))</f>
        <v/>
      </c>
      <c r="M211" s="311" t="str" cm="1">
        <f t="array" ref="M211">_xlfn.XLOOKUP($M$159,CBIMPORT!$A$1:$AN$1,_xlfn.XLOOKUP(B211,CBIMPORT!$A$1:$A$171,CBIMPORT!$A$1:$AN$171))</f>
        <v>L1</v>
      </c>
      <c r="N211" s="309" cm="1">
        <f t="array" ref="N211">_xlfn.XLOOKUP(N$159,CBIMPORT!$A$1:$AM$1,_xlfn.XLOOKUP($B211,CBIMPORT!$A$1:$A$40,CBIMPORT!$A$1:$AM$40))</f>
        <v>1</v>
      </c>
      <c r="O211" s="21">
        <f>COUNTIFS(ANNOUNCEMENTS!$E$2:$E$180,$B211,ANNOUNCEMENTS!$Z$2:$Z$180,O$159,ANNOUNCEMENTS!$J$2:$J$180,$C211)+
COUNTIFS(ANNOUNCEMENTS!$E$2:$E$180,$B211,ANNOUNCEMENTS!$AB$2:$AB$180,O$159,ANNOUNCEMENTS!$J$2:$J$180,$C211)+
COUNTIFS(ANNOUNCEMENTS!$E$2:$E$180,$B211,ANNOUNCEMENTS!$AD$2:$AD$180,O$159,ANNOUNCEMENTS!$J$2:$J$180,$C211)</f>
        <v>0</v>
      </c>
      <c r="P211" s="21">
        <f>COUNTIFS(ANNOUNCEMENTS!$E$2:$E$180,$B211,ANNOUNCEMENTS!$Z$2:$Z$180,P$159,ANNOUNCEMENTS!$J$2:$J$180,$C211)+
COUNTIFS(ANNOUNCEMENTS!$E$2:$E$180,$B211,ANNOUNCEMENTS!$AB$2:$AB$180,P$159,ANNOUNCEMENTS!$J$2:$J$180,$C211)+
COUNTIFS(ANNOUNCEMENTS!$E$2:$E$180,$B211,ANNOUNCEMENTS!$AD$2:$AD$180,P$159,ANNOUNCEMENTS!$J$2:$J$180,$C211)</f>
        <v>0</v>
      </c>
      <c r="Q211" s="21">
        <f>COUNTIFS(ANNOUNCEMENTS!$E$2:$E$180,$B211,ANNOUNCEMENTS!$Z$2:$Z$180,Q$159,ANNOUNCEMENTS!$J$2:$J$180,$C211)+
COUNTIFS(ANNOUNCEMENTS!$E$2:$E$180,$B211,ANNOUNCEMENTS!$AB$2:$AB$180,Q$159,ANNOUNCEMENTS!$J$2:$J$180,$C211)+
COUNTIFS(ANNOUNCEMENTS!$E$2:$E$180,$B211,ANNOUNCEMENTS!$AD$2:$AD$180,Q$159,ANNOUNCEMENTS!$J$2:$J$180,$C211)</f>
        <v>1</v>
      </c>
      <c r="R211" s="21">
        <f>COUNTIFS(ANNOUNCEMENTS!$E$2:$E$180,$B211,ANNOUNCEMENTS!$Z$2:$Z$180,R$159,ANNOUNCEMENTS!$J$2:$J$180,$C211)+
COUNTIFS(ANNOUNCEMENTS!$E$2:$E$180,$B211,ANNOUNCEMENTS!$AB$2:$AB$180,R$159,ANNOUNCEMENTS!$J$2:$J$180,$C211)+
COUNTIFS(ANNOUNCEMENTS!$E$2:$E$180,$B211,ANNOUNCEMENTS!$AD$2:$AD$180,R$159,ANNOUNCEMENTS!$J$2:$J$180,$C211)</f>
        <v>0</v>
      </c>
      <c r="S211" s="21">
        <f>COUNTIFS(ANNOUNCEMENTS!$E$2:$E$180,$B211,ANNOUNCEMENTS!$Z$2:$Z$180,S$159,ANNOUNCEMENTS!$J$2:$J$180,$C211)+
COUNTIFS(ANNOUNCEMENTS!$E$2:$E$180,$B211,ANNOUNCEMENTS!$AB$2:$AB$180,S$159,ANNOUNCEMENTS!$J$2:$J$180,$C211)+
COUNTIFS(ANNOUNCEMENTS!$E$2:$E$180,$B211,ANNOUNCEMENTS!$AD$2:$AD$180,S$159,ANNOUNCEMENTS!$J$2:$J$180,$C211)</f>
        <v>0</v>
      </c>
      <c r="T211" s="21">
        <f>COUNTIFS(ANNOUNCEMENTS!$E$2:$E$180,$B211,ANNOUNCEMENTS!$Z$2:$Z$180,T$159,ANNOUNCEMENTS!$J$2:$J$180,$C211)+
COUNTIFS(ANNOUNCEMENTS!$E$2:$E$180,$B211,ANNOUNCEMENTS!$AB$2:$AB$180,T$159,ANNOUNCEMENTS!$J$2:$J$180,$C211)+
COUNTIFS(ANNOUNCEMENTS!$E$2:$E$180,$B211,ANNOUNCEMENTS!$AD$2:$AD$180,T$159,ANNOUNCEMENTS!$J$2:$J$180,$C211)</f>
        <v>1</v>
      </c>
      <c r="U211" s="21">
        <f>COUNTIFS(ANNOUNCEMENTS!$E$2:$E$180,$B211,ANNOUNCEMENTS!$Z$2:$Z$180,U$159,ANNOUNCEMENTS!$J$2:$J$180,$C211)+
COUNTIFS(ANNOUNCEMENTS!$E$2:$E$180,$B211,ANNOUNCEMENTS!$AB$2:$AB$180,U$159,ANNOUNCEMENTS!$J$2:$J$180,$C211)+
COUNTIFS(ANNOUNCEMENTS!$E$2:$E$180,$B211,ANNOUNCEMENTS!$AD$2:$AD$180,U$159,ANNOUNCEMENTS!$J$2:$J$180,$C211)</f>
        <v>0</v>
      </c>
      <c r="V211" s="21">
        <f>COUNTIFS(ANNOUNCEMENTS!$E$2:$E$180,$B211,ANNOUNCEMENTS!$Z$2:$Z$180,V$159,ANNOUNCEMENTS!$J$2:$J$180,$C211)+
COUNTIFS(ANNOUNCEMENTS!$E$2:$E$180,$B211,ANNOUNCEMENTS!$AB$2:$AB$180,V$159,ANNOUNCEMENTS!$J$2:$J$180,$C211)+
COUNTIFS(ANNOUNCEMENTS!$E$2:$E$180,$B211,ANNOUNCEMENTS!$AD$2:$AD$180,V$159,ANNOUNCEMENTS!$J$2:$J$180,$C211)</f>
        <v>0</v>
      </c>
      <c r="W211" s="21">
        <f>COUNTIFS(ANNOUNCEMENTS!$E$2:$E$180,$B211,ANNOUNCEMENTS!$Z$2:$Z$180,W$159,ANNOUNCEMENTS!$J$2:$J$180,$C211)+
COUNTIFS(ANNOUNCEMENTS!$E$2:$E$180,$B211,ANNOUNCEMENTS!$AB$2:$AB$180,W$159,ANNOUNCEMENTS!$J$2:$J$180,$C211)+
COUNTIFS(ANNOUNCEMENTS!$E$2:$E$180,$B211,ANNOUNCEMENTS!$AD$2:$AD$180,W$159,ANNOUNCEMENTS!$J$2:$J$180,$C211)</f>
        <v>0</v>
      </c>
      <c r="X211" s="21">
        <f>COUNTIFS(ANNOUNCEMENTS!$E$2:$E$180,$B211,ANNOUNCEMENTS!$W$2:$W$180,X$159,ANNOUNCEMENTS!$J$2:$J$180,$C211)</f>
        <v>0</v>
      </c>
      <c r="Y211" s="21">
        <f>COUNTIFS(ANNOUNCEMENTS!$E$2:$E$180,$B211,ANNOUNCEMENTS!$W$2:$W$180,Y$159,ANNOUNCEMENTS!$J$2:$J$180,$C211)</f>
        <v>0</v>
      </c>
      <c r="Z211" s="21">
        <f>COUNTIFS(ANNOUNCEMENTS!$E$2:$E$180,$B211,ANNOUNCEMENTS!$W$2:$W$180,Z$159,ANNOUNCEMENTS!$J$2:$J$180,$C211)</f>
        <v>1</v>
      </c>
      <c r="AA211" s="21">
        <f>COUNTIFS(ANNOUNCEMENTS!$E$2:$E$180,$B211,ANNOUNCEMENTS!$W$2:$W$180,AA$159,ANNOUNCEMENTS!$J$2:$J$180,$C211)</f>
        <v>0</v>
      </c>
      <c r="AB211" s="21">
        <f>COUNTIFS(ANNOUNCEMENTS!$E$2:$E$180,$B211,ANNOUNCEMENTS!$W$2:$W$180,AB$159,ANNOUNCEMENTS!$J$2:$J$180,$C211)</f>
        <v>0</v>
      </c>
      <c r="AC211" s="21">
        <f>COUNTIFS(ANNOUNCEMENTS!$E$2:$E$180,$B211,ANNOUNCEMENTS!$W$2:$W$180,AC$159,ANNOUNCEMENTS!$J$2:$J$180,$C211)</f>
        <v>0</v>
      </c>
      <c r="AD211" s="21">
        <f>COUNTIFS(ANNOUNCEMENTS!$E$2:$E$180,$B211,ANNOUNCEMENTS!$W$2:$W$180,AD$159,ANNOUNCEMENTS!$J$2:$J$180,$C211)</f>
        <v>0</v>
      </c>
      <c r="AE211" s="311">
        <f t="shared" si="73"/>
        <v>1</v>
      </c>
      <c r="AF211" s="311">
        <f t="shared" si="74"/>
        <v>0</v>
      </c>
      <c r="AG211" s="311">
        <f t="shared" si="75"/>
        <v>0</v>
      </c>
      <c r="AH211" s="311">
        <f t="shared" si="76"/>
        <v>0</v>
      </c>
      <c r="AI211" s="21">
        <f>COUNTIFS(ANNOUNCEMENTS!$E$2:$E$180,B211,ANNOUNCEMENTS!$Z$2:$Z$180,$J$37,ANNOUNCEMENTS!$J$2:$J$180,C211)+
COUNTIFS(ANNOUNCEMENTS!$E$2:$E$180,B211,ANNOUNCEMENTS!$Z$2:$Z$180,$L$37,ANNOUNCEMENTS!$J$2:$J$180,C211)+
COUNTIFS(ANNOUNCEMENTS!$E$2:$E$180,B211,ANNOUNCEMENTS!$AB$2:$AB$180,$J$37,ANNOUNCEMENTS!$J$2:$J$180,C211)+
COUNTIFS(ANNOUNCEMENTS!$E$2:$E$180,B211,ANNOUNCEMENTS!$AB$2:$AB$180,$L$37,ANNOUNCEMENTS!$J$2:$J$180,C211)+
COUNTIFS(ANNOUNCEMENTS!$E$2:$E$180,B211,ANNOUNCEMENTS!$AD$2:$AD$180,$J$37,ANNOUNCEMENTS!$J$2:$J$180,C211)+
COUNTIFS(ANNOUNCEMENTS!$E$2:$E$180,B211,ANNOUNCEMENTS!$AD$2:$AD$180,$L$37,ANNOUNCEMENTS!$J$2:$J$180,C211)</f>
        <v>1</v>
      </c>
      <c r="AJ211" s="21">
        <f>COUNTIFS(ANNOUNCEMENTS!$E$2:$E$180,B211,ANNOUNCEMENTS!$Z$2:$Z$180,$H$37,ANNOUNCEMENTS!$J$2:$J$180,C211)+
COUNTIFS(ANNOUNCEMENTS!$E$2:$E$180,B211,ANNOUNCEMENTS!$Z$2:$Z$180,$I$37,ANNOUNCEMENTS!$J$2:$J$180,C211)+
COUNTIFS(ANNOUNCEMENTS!$E$2:$E$180,B211,ANNOUNCEMENTS!$Z$2:$Z$180,$P$37,ANNOUNCEMENTS!$J$2:$J$180,C211)+
COUNTIFS(ANNOUNCEMENTS!$E$2:$E$180,B211,ANNOUNCEMENTS!$AB$2:$AB$180,$H$37,ANNOUNCEMENTS!$J$2:$J$180,C211)+
COUNTIFS(ANNOUNCEMENTS!$E$2:$E$180,B211,ANNOUNCEMENTS!$AB$2:$AB$180,$I$37,ANNOUNCEMENTS!$J$2:$J$180,C211)+
COUNTIFS(ANNOUNCEMENTS!$E$2:$E$180,B211,ANNOUNCEMENTS!$AB$2:$AB$180,$P$37,ANNOUNCEMENTS!$J$2:$J$180,C211)+
COUNTIFS(ANNOUNCEMENTS!$E$2:$E$180,B211,ANNOUNCEMENTS!$AD$2:$AD$180,$H$37,ANNOUNCEMENTS!$J$2:$J$180,C211)+
COUNTIFS(ANNOUNCEMENTS!$E$2:$E$180,B211,ANNOUNCEMENTS!$AD$2:$AD$180,$I$37,ANNOUNCEMENTS!$J$2:$J$180,C211)+
COUNTIFS(ANNOUNCEMENTS!$E$2:$E$180,B211,ANNOUNCEMENTS!$AD$2:$AD$180,$P$37,ANNOUNCEMENTS!$J$2:$J$180,C211)</f>
        <v>0</v>
      </c>
      <c r="AK211" s="310" cm="1">
        <f t="array" ref="AK211">SUM(COUNTIFS(ANNOUNCEMENTS!$E$2:$E$180,B211,ANNOUNCEMENTS!$W$2:$W$180,$E$38:$E$40,ANNOUNCEMENTS!$J$2:$J$180,C211))</f>
        <v>1</v>
      </c>
      <c r="AL211" s="21" cm="1">
        <f t="array" ref="AL211">SUM(COUNTIFS(ANNOUNCEMENTS!$E$2:$E$180,B211,ANNOUNCEMENTS!$W$2:$W$180,$E$43:$E$44,ANNOUNCEMENTS!$J$2:$J$180,C211))</f>
        <v>0</v>
      </c>
      <c r="AM211" s="21">
        <f t="shared" si="77"/>
        <v>1</v>
      </c>
      <c r="AN211" s="21">
        <f t="shared" si="78"/>
        <v>0</v>
      </c>
      <c r="AO211" s="309" cm="1">
        <f t="array" ref="AO211">_xlfn.XLOOKUP(AO$159,CBIMPORT!$A$1:$AM$1,_xlfn.XLOOKUP($B211,CBIMPORT!$A$1:$A$40,CBIMPORT!$A$1:$AM$40))</f>
        <v>0</v>
      </c>
      <c r="AP211" s="308" cm="1">
        <f t="array" ref="AP211">_xlfn.XLOOKUP(AP$159,CBIMPORT!$A$1:$AM$1,_xlfn.XLOOKUP($B211,CBIMPORT!$A$1:$A$40,CBIMPORT!$A$1:$AM$40))</f>
        <v>175</v>
      </c>
      <c r="AQ211" s="307" t="str" cm="1">
        <f t="array" ref="AQ211">_xlfn.XLOOKUP(AQ$159,CBIMPORT!$A$1:$AM$1,_xlfn.XLOOKUP($B211,CBIMPORT!$A$1:$A$40,CBIMPORT!$A$1:$AM$40))</f>
        <v>n.a.</v>
      </c>
    </row>
    <row r="212" spans="1:71" x14ac:dyDescent="0.35">
      <c r="A212" s="303" t="s">
        <v>2216</v>
      </c>
      <c r="B212" s="315" t="str">
        <f t="shared" si="71"/>
        <v>ZF</v>
      </c>
      <c r="C212" s="314" t="str">
        <f t="shared" si="72"/>
        <v>Trucking</v>
      </c>
      <c r="D212" s="313">
        <f>COUNTIFS(ANNOUNCEMENTS!$E$2:$E$180,$B212,ANNOUNCEMENTS!$J$2:$J$180,$C212)</f>
        <v>1</v>
      </c>
      <c r="E212" s="312" t="str" cm="1">
        <f t="array" ref="E212">_xlfn.ARRAYTOTEXT(
IF(D212&gt;0,_xlfn._xlws.FILTER(CHOOSE({1},
ANNOUNCEMENTS!$K$1:$K$180),
(ANNOUNCEMENTS!$E$1:$E$180=B212)*((ANNOUNCEMENTS!$J$1:$J$180=$C212)))))</f>
        <v>TuSimple</v>
      </c>
      <c r="F212" s="306">
        <f t="shared" si="79"/>
        <v>1</v>
      </c>
      <c r="G212" s="310" t="str" cm="1">
        <f t="array" ref="G212">_xlfn.XLOOKUP($A212,'Industries all mentioned partne'!$A$2:$A$58,_xlfn.XLOOKUP(G$159,'Industries all mentioned partne'!$A$2:$DM$2,'Industries all mentioned partne'!$A$2:$DM$58))</f>
        <v>Autonomous Vehicles</v>
      </c>
      <c r="H212" s="91" cm="1">
        <f t="array" ref="H212">_xlfn.XLOOKUP($A212,'Industries all mentioned partne'!$A$2:$A$58,_xlfn.XLOOKUP(H$159,'Industries all mentioned partne'!$A$2:$DM$2,'Industries all mentioned partne'!$A$2:$DM$58))</f>
        <v>1</v>
      </c>
      <c r="I212" s="310" t="str" cm="1">
        <f t="array" ref="I212">_xlfn.XLOOKUP($A212,'Industries all mentioned partne'!$A$2:$A$58,_xlfn.XLOOKUP(I$159,'Industries all mentioned partne'!$A$2:$DM$2,'Industries all mentioned partne'!$A$2:$DM$58))</f>
        <v/>
      </c>
      <c r="J212" s="91" t="str" cm="1">
        <f t="array" ref="J212">_xlfn.XLOOKUP($A212,'Industries all mentioned partne'!$A$2:$A$58,_xlfn.XLOOKUP(J$159,'Industries all mentioned partne'!$A$2:$DM$2,'Industries all mentioned partne'!$A$2:$DM$58))</f>
        <v/>
      </c>
      <c r="K212" s="310" t="str" cm="1">
        <f t="array" ref="K212">_xlfn.XLOOKUP($A212,'Industries all mentioned partne'!$A$2:$A$58,_xlfn.XLOOKUP(K$159,'Industries all mentioned partne'!$A$2:$DM$2,'Industries all mentioned partne'!$A$2:$DM$58))</f>
        <v/>
      </c>
      <c r="L212" s="91" t="str" cm="1">
        <f t="array" ref="L212">_xlfn.XLOOKUP($A212,'Industries all mentioned partne'!$A$2:$A$58,_xlfn.XLOOKUP(L$159,'Industries all mentioned partne'!$A$2:$DM$2,'Industries all mentioned partne'!$A$2:$DM$58))</f>
        <v/>
      </c>
      <c r="M212" s="311" t="str" cm="1">
        <f t="array" ref="M212">_xlfn.XLOOKUP($M$159,CBIMPORT!$A$1:$AN$1,_xlfn.XLOOKUP(B212,CBIMPORT!$A$1:$A$171,CBIMPORT!$A$1:$AN$171))</f>
        <v>L2</v>
      </c>
      <c r="N212" s="309" cm="1">
        <f t="array" ref="N212">_xlfn.XLOOKUP(N$159,CBIMPORT!$A$1:$AM$1,_xlfn.XLOOKUP($B212,CBIMPORT!$A$1:$A$40,CBIMPORT!$A$1:$AM$40))</f>
        <v>5.7859999999999996</v>
      </c>
      <c r="O212" s="21">
        <f>COUNTIFS(ANNOUNCEMENTS!$E$2:$E$180,$B212,ANNOUNCEMENTS!$Z$2:$Z$180,O$159,ANNOUNCEMENTS!$J$2:$J$180,$C212)+
COUNTIFS(ANNOUNCEMENTS!$E$2:$E$180,$B212,ANNOUNCEMENTS!$AB$2:$AB$180,O$159,ANNOUNCEMENTS!$J$2:$J$180,$C212)+
COUNTIFS(ANNOUNCEMENTS!$E$2:$E$180,$B212,ANNOUNCEMENTS!$AD$2:$AD$180,O$159,ANNOUNCEMENTS!$J$2:$J$180,$C212)</f>
        <v>1</v>
      </c>
      <c r="P212" s="21">
        <f>COUNTIFS(ANNOUNCEMENTS!$E$2:$E$180,$B212,ANNOUNCEMENTS!$Z$2:$Z$180,P$159,ANNOUNCEMENTS!$J$2:$J$180,$C212)+
COUNTIFS(ANNOUNCEMENTS!$E$2:$E$180,$B212,ANNOUNCEMENTS!$AB$2:$AB$180,P$159,ANNOUNCEMENTS!$J$2:$J$180,$C212)+
COUNTIFS(ANNOUNCEMENTS!$E$2:$E$180,$B212,ANNOUNCEMENTS!$AD$2:$AD$180,P$159,ANNOUNCEMENTS!$J$2:$J$180,$C212)</f>
        <v>0</v>
      </c>
      <c r="Q212" s="21">
        <f>COUNTIFS(ANNOUNCEMENTS!$E$2:$E$180,$B212,ANNOUNCEMENTS!$Z$2:$Z$180,Q$159,ANNOUNCEMENTS!$J$2:$J$180,$C212)+
COUNTIFS(ANNOUNCEMENTS!$E$2:$E$180,$B212,ANNOUNCEMENTS!$AB$2:$AB$180,Q$159,ANNOUNCEMENTS!$J$2:$J$180,$C212)+
COUNTIFS(ANNOUNCEMENTS!$E$2:$E$180,$B212,ANNOUNCEMENTS!$AD$2:$AD$180,Q$159,ANNOUNCEMENTS!$J$2:$J$180,$C212)</f>
        <v>0</v>
      </c>
      <c r="R212" s="21">
        <f>COUNTIFS(ANNOUNCEMENTS!$E$2:$E$180,$B212,ANNOUNCEMENTS!$Z$2:$Z$180,R$159,ANNOUNCEMENTS!$J$2:$J$180,$C212)+
COUNTIFS(ANNOUNCEMENTS!$E$2:$E$180,$B212,ANNOUNCEMENTS!$AB$2:$AB$180,R$159,ANNOUNCEMENTS!$J$2:$J$180,$C212)+
COUNTIFS(ANNOUNCEMENTS!$E$2:$E$180,$B212,ANNOUNCEMENTS!$AD$2:$AD$180,R$159,ANNOUNCEMENTS!$J$2:$J$180,$C212)</f>
        <v>0</v>
      </c>
      <c r="S212" s="21">
        <f>COUNTIFS(ANNOUNCEMENTS!$E$2:$E$180,$B212,ANNOUNCEMENTS!$Z$2:$Z$180,S$159,ANNOUNCEMENTS!$J$2:$J$180,$C212)+
COUNTIFS(ANNOUNCEMENTS!$E$2:$E$180,$B212,ANNOUNCEMENTS!$AB$2:$AB$180,S$159,ANNOUNCEMENTS!$J$2:$J$180,$C212)+
COUNTIFS(ANNOUNCEMENTS!$E$2:$E$180,$B212,ANNOUNCEMENTS!$AD$2:$AD$180,S$159,ANNOUNCEMENTS!$J$2:$J$180,$C212)</f>
        <v>0</v>
      </c>
      <c r="T212" s="21">
        <f>COUNTIFS(ANNOUNCEMENTS!$E$2:$E$180,$B212,ANNOUNCEMENTS!$Z$2:$Z$180,T$159,ANNOUNCEMENTS!$J$2:$J$180,$C212)+
COUNTIFS(ANNOUNCEMENTS!$E$2:$E$180,$B212,ANNOUNCEMENTS!$AB$2:$AB$180,T$159,ANNOUNCEMENTS!$J$2:$J$180,$C212)+
COUNTIFS(ANNOUNCEMENTS!$E$2:$E$180,$B212,ANNOUNCEMENTS!$AD$2:$AD$180,T$159,ANNOUNCEMENTS!$J$2:$J$180,$C212)</f>
        <v>0</v>
      </c>
      <c r="U212" s="21">
        <f>COUNTIFS(ANNOUNCEMENTS!$E$2:$E$180,$B212,ANNOUNCEMENTS!$Z$2:$Z$180,U$159,ANNOUNCEMENTS!$J$2:$J$180,$C212)+
COUNTIFS(ANNOUNCEMENTS!$E$2:$E$180,$B212,ANNOUNCEMENTS!$AB$2:$AB$180,U$159,ANNOUNCEMENTS!$J$2:$J$180,$C212)+
COUNTIFS(ANNOUNCEMENTS!$E$2:$E$180,$B212,ANNOUNCEMENTS!$AD$2:$AD$180,U$159,ANNOUNCEMENTS!$J$2:$J$180,$C212)</f>
        <v>0</v>
      </c>
      <c r="V212" s="21">
        <f>COUNTIFS(ANNOUNCEMENTS!$E$2:$E$180,$B212,ANNOUNCEMENTS!$Z$2:$Z$180,V$159,ANNOUNCEMENTS!$J$2:$J$180,$C212)+
COUNTIFS(ANNOUNCEMENTS!$E$2:$E$180,$B212,ANNOUNCEMENTS!$AB$2:$AB$180,V$159,ANNOUNCEMENTS!$J$2:$J$180,$C212)+
COUNTIFS(ANNOUNCEMENTS!$E$2:$E$180,$B212,ANNOUNCEMENTS!$AD$2:$AD$180,V$159,ANNOUNCEMENTS!$J$2:$J$180,$C212)</f>
        <v>0</v>
      </c>
      <c r="W212" s="21">
        <f>COUNTIFS(ANNOUNCEMENTS!$E$2:$E$180,$B212,ANNOUNCEMENTS!$Z$2:$Z$180,W$159,ANNOUNCEMENTS!$J$2:$J$180,$C212)+
COUNTIFS(ANNOUNCEMENTS!$E$2:$E$180,$B212,ANNOUNCEMENTS!$AB$2:$AB$180,W$159,ANNOUNCEMENTS!$J$2:$J$180,$C212)+
COUNTIFS(ANNOUNCEMENTS!$E$2:$E$180,$B212,ANNOUNCEMENTS!$AD$2:$AD$180,W$159,ANNOUNCEMENTS!$J$2:$J$180,$C212)</f>
        <v>1</v>
      </c>
      <c r="X212" s="21">
        <f>COUNTIFS(ANNOUNCEMENTS!$E$2:$E$180,$B212,ANNOUNCEMENTS!$W$2:$W$180,X$159,ANNOUNCEMENTS!$J$2:$J$180,$C212)</f>
        <v>0</v>
      </c>
      <c r="Y212" s="21">
        <f>COUNTIFS(ANNOUNCEMENTS!$E$2:$E$180,$B212,ANNOUNCEMENTS!$W$2:$W$180,Y$159,ANNOUNCEMENTS!$J$2:$J$180,$C212)</f>
        <v>1</v>
      </c>
      <c r="Z212" s="21">
        <f>COUNTIFS(ANNOUNCEMENTS!$E$2:$E$180,$B212,ANNOUNCEMENTS!$W$2:$W$180,Z$159,ANNOUNCEMENTS!$J$2:$J$180,$C212)</f>
        <v>0</v>
      </c>
      <c r="AA212" s="21">
        <f>COUNTIFS(ANNOUNCEMENTS!$E$2:$E$180,$B212,ANNOUNCEMENTS!$W$2:$W$180,AA$159,ANNOUNCEMENTS!$J$2:$J$180,$C212)</f>
        <v>0</v>
      </c>
      <c r="AB212" s="21">
        <f>COUNTIFS(ANNOUNCEMENTS!$E$2:$E$180,$B212,ANNOUNCEMENTS!$W$2:$W$180,AB$159,ANNOUNCEMENTS!$J$2:$J$180,$C212)</f>
        <v>0</v>
      </c>
      <c r="AC212" s="21">
        <f>COUNTIFS(ANNOUNCEMENTS!$E$2:$E$180,$B212,ANNOUNCEMENTS!$W$2:$W$180,AC$159,ANNOUNCEMENTS!$J$2:$J$180,$C212)</f>
        <v>0</v>
      </c>
      <c r="AD212" s="21">
        <f>COUNTIFS(ANNOUNCEMENTS!$E$2:$E$180,$B212,ANNOUNCEMENTS!$W$2:$W$180,AD$159,ANNOUNCEMENTS!$J$2:$J$180,$C212)</f>
        <v>0</v>
      </c>
      <c r="AE212" s="311">
        <f t="shared" si="73"/>
        <v>0</v>
      </c>
      <c r="AF212" s="311">
        <f t="shared" si="74"/>
        <v>1</v>
      </c>
      <c r="AG212" s="311">
        <f t="shared" si="75"/>
        <v>0</v>
      </c>
      <c r="AH212" s="311">
        <f t="shared" si="76"/>
        <v>0</v>
      </c>
      <c r="AI212" s="21">
        <f>COUNTIFS(ANNOUNCEMENTS!$E$2:$E$180,B212,ANNOUNCEMENTS!$Z$2:$Z$180,$J$37,ANNOUNCEMENTS!$J$2:$J$180,C212)+
COUNTIFS(ANNOUNCEMENTS!$E$2:$E$180,B212,ANNOUNCEMENTS!$Z$2:$Z$180,$L$37,ANNOUNCEMENTS!$J$2:$J$180,C212)+
COUNTIFS(ANNOUNCEMENTS!$E$2:$E$180,B212,ANNOUNCEMENTS!$AB$2:$AB$180,$J$37,ANNOUNCEMENTS!$J$2:$J$180,C212)+
COUNTIFS(ANNOUNCEMENTS!$E$2:$E$180,B212,ANNOUNCEMENTS!$AB$2:$AB$180,$L$37,ANNOUNCEMENTS!$J$2:$J$180,C212)+
COUNTIFS(ANNOUNCEMENTS!$E$2:$E$180,B212,ANNOUNCEMENTS!$AD$2:$AD$180,$J$37,ANNOUNCEMENTS!$J$2:$J$180,C212)+
COUNTIFS(ANNOUNCEMENTS!$E$2:$E$180,B212,ANNOUNCEMENTS!$AD$2:$AD$180,$L$37,ANNOUNCEMENTS!$J$2:$J$180,C212)</f>
        <v>0</v>
      </c>
      <c r="AJ212" s="21">
        <f>COUNTIFS(ANNOUNCEMENTS!$E$2:$E$180,B212,ANNOUNCEMENTS!$Z$2:$Z$180,$H$37,ANNOUNCEMENTS!$J$2:$J$180,C212)+
COUNTIFS(ANNOUNCEMENTS!$E$2:$E$180,B212,ANNOUNCEMENTS!$Z$2:$Z$180,$I$37,ANNOUNCEMENTS!$J$2:$J$180,C212)+
COUNTIFS(ANNOUNCEMENTS!$E$2:$E$180,B212,ANNOUNCEMENTS!$Z$2:$Z$180,$P$37,ANNOUNCEMENTS!$J$2:$J$180,C212)+
COUNTIFS(ANNOUNCEMENTS!$E$2:$E$180,B212,ANNOUNCEMENTS!$AB$2:$AB$180,$H$37,ANNOUNCEMENTS!$J$2:$J$180,C212)+
COUNTIFS(ANNOUNCEMENTS!$E$2:$E$180,B212,ANNOUNCEMENTS!$AB$2:$AB$180,$I$37,ANNOUNCEMENTS!$J$2:$J$180,C212)+
COUNTIFS(ANNOUNCEMENTS!$E$2:$E$180,B212,ANNOUNCEMENTS!$AB$2:$AB$180,$P$37,ANNOUNCEMENTS!$J$2:$J$180,C212)+
COUNTIFS(ANNOUNCEMENTS!$E$2:$E$180,B212,ANNOUNCEMENTS!$AD$2:$AD$180,$H$37,ANNOUNCEMENTS!$J$2:$J$180,C212)+
COUNTIFS(ANNOUNCEMENTS!$E$2:$E$180,B212,ANNOUNCEMENTS!$AD$2:$AD$180,$I$37,ANNOUNCEMENTS!$J$2:$J$180,C212)+
COUNTIFS(ANNOUNCEMENTS!$E$2:$E$180,B212,ANNOUNCEMENTS!$AD$2:$AD$180,$P$37,ANNOUNCEMENTS!$J$2:$J$180,C212)</f>
        <v>2</v>
      </c>
      <c r="AK212" s="310" cm="1">
        <f t="array" ref="AK212">SUM(COUNTIFS(ANNOUNCEMENTS!$E$2:$E$180,B212,ANNOUNCEMENTS!$W$2:$W$180,$E$38:$E$40,ANNOUNCEMENTS!$J$2:$J$180,C212))</f>
        <v>1</v>
      </c>
      <c r="AL212" s="21" cm="1">
        <f t="array" ref="AL212">SUM(COUNTIFS(ANNOUNCEMENTS!$E$2:$E$180,B212,ANNOUNCEMENTS!$W$2:$W$180,$E$43:$E$44,ANNOUNCEMENTS!$J$2:$J$180,C212))</f>
        <v>0</v>
      </c>
      <c r="AM212" s="21">
        <f t="shared" si="77"/>
        <v>1</v>
      </c>
      <c r="AN212" s="21">
        <f t="shared" si="78"/>
        <v>1</v>
      </c>
      <c r="AO212" s="309" cm="1">
        <f t="array" ref="AO212">_xlfn.XLOOKUP(AO$159,CBIMPORT!$A$1:$AM$1,_xlfn.XLOOKUP($B212,CBIMPORT!$A$1:$A$40,CBIMPORT!$A$1:$AM$40))</f>
        <v>0</v>
      </c>
      <c r="AP212" s="308" cm="1">
        <f t="array" ref="AP212">_xlfn.XLOOKUP(AP$159,CBIMPORT!$A$1:$AM$1,_xlfn.XLOOKUP($B212,CBIMPORT!$A$1:$A$40,CBIMPORT!$A$1:$AM$40))</f>
        <v>3000</v>
      </c>
      <c r="AQ212" s="307" t="str" cm="1">
        <f t="array" ref="AQ212">_xlfn.XLOOKUP(AQ$159,CBIMPORT!$A$1:$AM$1,_xlfn.XLOOKUP($B212,CBIMPORT!$A$1:$A$40,CBIMPORT!$A$1:$AM$40))</f>
        <v>n.a.</v>
      </c>
    </row>
    <row r="213" spans="1:71" x14ac:dyDescent="0.35">
      <c r="A213" s="303" t="s">
        <v>2217</v>
      </c>
      <c r="B213" s="315" t="str">
        <f t="shared" si="71"/>
        <v>Waymo</v>
      </c>
      <c r="C213" s="314" t="str">
        <f t="shared" si="72"/>
        <v>Trucking</v>
      </c>
      <c r="D213" s="313">
        <f>COUNTIFS(ANNOUNCEMENTS!$E$2:$E$180,$B213,ANNOUNCEMENTS!$J$2:$J$180,$C213)</f>
        <v>1</v>
      </c>
      <c r="E213" s="312" t="str" cm="1">
        <f t="array" ref="E213">_xlfn.ARRAYTOTEXT(
IF(D213&gt;0,_xlfn._xlws.FILTER(CHOOSE({1},
ANNOUNCEMENTS!$K$1:$K$180),
(ANNOUNCEMENTS!$E$1:$E$180=B213)*((ANNOUNCEMENTS!$J$1:$J$180=$C213)))))</f>
        <v>Uber Freight</v>
      </c>
      <c r="F213" s="306">
        <f t="shared" si="79"/>
        <v>0</v>
      </c>
      <c r="G213" s="310" t="str" cm="1">
        <f t="array" ref="G213">_xlfn.XLOOKUP($A213,'Industries all mentioned partne'!$A$2:$A$58,_xlfn.XLOOKUP(G$159,'Industries all mentioned partne'!$A$2:$DM$2,'Industries all mentioned partne'!$A$2:$DM$58))</f>
        <v>Mobility Services Booking</v>
      </c>
      <c r="H213" s="91" cm="1">
        <f t="array" ref="H213">_xlfn.XLOOKUP($A213,'Industries all mentioned partne'!$A$2:$A$58,_xlfn.XLOOKUP(H$159,'Industries all mentioned partne'!$A$2:$DM$2,'Industries all mentioned partne'!$A$2:$DM$58))</f>
        <v>1</v>
      </c>
      <c r="I213" s="310" t="str" cm="1">
        <f t="array" ref="I213">_xlfn.XLOOKUP($A213,'Industries all mentioned partne'!$A$2:$A$58,_xlfn.XLOOKUP(I$159,'Industries all mentioned partne'!$A$2:$DM$2,'Industries all mentioned partne'!$A$2:$DM$58))</f>
        <v/>
      </c>
      <c r="J213" s="91" t="str" cm="1">
        <f t="array" ref="J213">_xlfn.XLOOKUP($A213,'Industries all mentioned partne'!$A$2:$A$58,_xlfn.XLOOKUP(J$159,'Industries all mentioned partne'!$A$2:$DM$2,'Industries all mentioned partne'!$A$2:$DM$58))</f>
        <v/>
      </c>
      <c r="K213" s="310" t="str" cm="1">
        <f t="array" ref="K213">_xlfn.XLOOKUP($A213,'Industries all mentioned partne'!$A$2:$A$58,_xlfn.XLOOKUP(K$159,'Industries all mentioned partne'!$A$2:$DM$2,'Industries all mentioned partne'!$A$2:$DM$58))</f>
        <v/>
      </c>
      <c r="L213" s="91" t="str" cm="1">
        <f t="array" ref="L213">_xlfn.XLOOKUP($A213,'Industries all mentioned partne'!$A$2:$A$58,_xlfn.XLOOKUP(L$159,'Industries all mentioned partne'!$A$2:$DM$2,'Industries all mentioned partne'!$A$2:$DM$58))</f>
        <v/>
      </c>
      <c r="M213" s="311" t="str" cm="1">
        <f t="array" ref="M213">_xlfn.XLOOKUP($M$159,CBIMPORT!$A$1:$AN$1,_xlfn.XLOOKUP(B213,CBIMPORT!$A$1:$A$171,CBIMPORT!$A$1:$AN$171))</f>
        <v>L1</v>
      </c>
      <c r="N213" s="309" cm="1">
        <f t="array" ref="N213">_xlfn.XLOOKUP(N$159,CBIMPORT!$A$1:$AM$1,_xlfn.XLOOKUP($B213,CBIMPORT!$A$1:$A$40,CBIMPORT!$A$1:$AM$40))</f>
        <v>2.1379999999999999</v>
      </c>
      <c r="O213" s="21">
        <f>COUNTIFS(ANNOUNCEMENTS!$E$2:$E$180,$B213,ANNOUNCEMENTS!$Z$2:$Z$180,O$159,ANNOUNCEMENTS!$J$2:$J$180,$C213)+
COUNTIFS(ANNOUNCEMENTS!$E$2:$E$180,$B213,ANNOUNCEMENTS!$AB$2:$AB$180,O$159,ANNOUNCEMENTS!$J$2:$J$180,$C213)+
COUNTIFS(ANNOUNCEMENTS!$E$2:$E$180,$B213,ANNOUNCEMENTS!$AD$2:$AD$180,O$159,ANNOUNCEMENTS!$J$2:$J$180,$C213)</f>
        <v>0</v>
      </c>
      <c r="P213" s="21">
        <f>COUNTIFS(ANNOUNCEMENTS!$E$2:$E$180,$B213,ANNOUNCEMENTS!$Z$2:$Z$180,P$159,ANNOUNCEMENTS!$J$2:$J$180,$C213)+
COUNTIFS(ANNOUNCEMENTS!$E$2:$E$180,$B213,ANNOUNCEMENTS!$AB$2:$AB$180,P$159,ANNOUNCEMENTS!$J$2:$J$180,$C213)+
COUNTIFS(ANNOUNCEMENTS!$E$2:$E$180,$B213,ANNOUNCEMENTS!$AD$2:$AD$180,P$159,ANNOUNCEMENTS!$J$2:$J$180,$C213)</f>
        <v>0</v>
      </c>
      <c r="Q213" s="21">
        <f>COUNTIFS(ANNOUNCEMENTS!$E$2:$E$180,$B213,ANNOUNCEMENTS!$Z$2:$Z$180,Q$159,ANNOUNCEMENTS!$J$2:$J$180,$C213)+
COUNTIFS(ANNOUNCEMENTS!$E$2:$E$180,$B213,ANNOUNCEMENTS!$AB$2:$AB$180,Q$159,ANNOUNCEMENTS!$J$2:$J$180,$C213)+
COUNTIFS(ANNOUNCEMENTS!$E$2:$E$180,$B213,ANNOUNCEMENTS!$AD$2:$AD$180,Q$159,ANNOUNCEMENTS!$J$2:$J$180,$C213)</f>
        <v>1</v>
      </c>
      <c r="R213" s="21">
        <f>COUNTIFS(ANNOUNCEMENTS!$E$2:$E$180,$B213,ANNOUNCEMENTS!$Z$2:$Z$180,R$159,ANNOUNCEMENTS!$J$2:$J$180,$C213)+
COUNTIFS(ANNOUNCEMENTS!$E$2:$E$180,$B213,ANNOUNCEMENTS!$AB$2:$AB$180,R$159,ANNOUNCEMENTS!$J$2:$J$180,$C213)+
COUNTIFS(ANNOUNCEMENTS!$E$2:$E$180,$B213,ANNOUNCEMENTS!$AD$2:$AD$180,R$159,ANNOUNCEMENTS!$J$2:$J$180,$C213)</f>
        <v>0</v>
      </c>
      <c r="S213" s="21">
        <f>COUNTIFS(ANNOUNCEMENTS!$E$2:$E$180,$B213,ANNOUNCEMENTS!$Z$2:$Z$180,S$159,ANNOUNCEMENTS!$J$2:$J$180,$C213)+
COUNTIFS(ANNOUNCEMENTS!$E$2:$E$180,$B213,ANNOUNCEMENTS!$AB$2:$AB$180,S$159,ANNOUNCEMENTS!$J$2:$J$180,$C213)+
COUNTIFS(ANNOUNCEMENTS!$E$2:$E$180,$B213,ANNOUNCEMENTS!$AD$2:$AD$180,S$159,ANNOUNCEMENTS!$J$2:$J$180,$C213)</f>
        <v>0</v>
      </c>
      <c r="T213" s="21">
        <f>COUNTIFS(ANNOUNCEMENTS!$E$2:$E$180,$B213,ANNOUNCEMENTS!$Z$2:$Z$180,T$159,ANNOUNCEMENTS!$J$2:$J$180,$C213)+
COUNTIFS(ANNOUNCEMENTS!$E$2:$E$180,$B213,ANNOUNCEMENTS!$AB$2:$AB$180,T$159,ANNOUNCEMENTS!$J$2:$J$180,$C213)+
COUNTIFS(ANNOUNCEMENTS!$E$2:$E$180,$B213,ANNOUNCEMENTS!$AD$2:$AD$180,T$159,ANNOUNCEMENTS!$J$2:$J$180,$C213)</f>
        <v>0</v>
      </c>
      <c r="U213" s="21">
        <f>COUNTIFS(ANNOUNCEMENTS!$E$2:$E$180,$B213,ANNOUNCEMENTS!$Z$2:$Z$180,U$159,ANNOUNCEMENTS!$J$2:$J$180,$C213)+
COUNTIFS(ANNOUNCEMENTS!$E$2:$E$180,$B213,ANNOUNCEMENTS!$AB$2:$AB$180,U$159,ANNOUNCEMENTS!$J$2:$J$180,$C213)+
COUNTIFS(ANNOUNCEMENTS!$E$2:$E$180,$B213,ANNOUNCEMENTS!$AD$2:$AD$180,U$159,ANNOUNCEMENTS!$J$2:$J$180,$C213)</f>
        <v>0</v>
      </c>
      <c r="V213" s="21">
        <f>COUNTIFS(ANNOUNCEMENTS!$E$2:$E$180,$B213,ANNOUNCEMENTS!$Z$2:$Z$180,V$159,ANNOUNCEMENTS!$J$2:$J$180,$C213)+
COUNTIFS(ANNOUNCEMENTS!$E$2:$E$180,$B213,ANNOUNCEMENTS!$AB$2:$AB$180,V$159,ANNOUNCEMENTS!$J$2:$J$180,$C213)+
COUNTIFS(ANNOUNCEMENTS!$E$2:$E$180,$B213,ANNOUNCEMENTS!$AD$2:$AD$180,V$159,ANNOUNCEMENTS!$J$2:$J$180,$C213)</f>
        <v>0</v>
      </c>
      <c r="W213" s="21">
        <f>COUNTIFS(ANNOUNCEMENTS!$E$2:$E$180,$B213,ANNOUNCEMENTS!$Z$2:$Z$180,W$159,ANNOUNCEMENTS!$J$2:$J$180,$C213)+
COUNTIFS(ANNOUNCEMENTS!$E$2:$E$180,$B213,ANNOUNCEMENTS!$AB$2:$AB$180,W$159,ANNOUNCEMENTS!$J$2:$J$180,$C213)+
COUNTIFS(ANNOUNCEMENTS!$E$2:$E$180,$B213,ANNOUNCEMENTS!$AD$2:$AD$180,W$159,ANNOUNCEMENTS!$J$2:$J$180,$C213)</f>
        <v>0</v>
      </c>
      <c r="X213" s="21">
        <f>COUNTIFS(ANNOUNCEMENTS!$E$2:$E$180,$B213,ANNOUNCEMENTS!$W$2:$W$180,X$159,ANNOUNCEMENTS!$J$2:$J$180,$C213)</f>
        <v>0</v>
      </c>
      <c r="Y213" s="21">
        <f>COUNTIFS(ANNOUNCEMENTS!$E$2:$E$180,$B213,ANNOUNCEMENTS!$W$2:$W$180,Y$159,ANNOUNCEMENTS!$J$2:$J$180,$C213)</f>
        <v>0</v>
      </c>
      <c r="Z213" s="21">
        <f>COUNTIFS(ANNOUNCEMENTS!$E$2:$E$180,$B213,ANNOUNCEMENTS!$W$2:$W$180,Z$159,ANNOUNCEMENTS!$J$2:$J$180,$C213)</f>
        <v>0</v>
      </c>
      <c r="AA213" s="21">
        <f>COUNTIFS(ANNOUNCEMENTS!$E$2:$E$180,$B213,ANNOUNCEMENTS!$W$2:$W$180,AA$159,ANNOUNCEMENTS!$J$2:$J$180,$C213)</f>
        <v>1</v>
      </c>
      <c r="AB213" s="21">
        <f>COUNTIFS(ANNOUNCEMENTS!$E$2:$E$180,$B213,ANNOUNCEMENTS!$W$2:$W$180,AB$159,ANNOUNCEMENTS!$J$2:$J$180,$C213)</f>
        <v>0</v>
      </c>
      <c r="AC213" s="21">
        <f>COUNTIFS(ANNOUNCEMENTS!$E$2:$E$180,$B213,ANNOUNCEMENTS!$W$2:$W$180,AC$159,ANNOUNCEMENTS!$J$2:$J$180,$C213)</f>
        <v>0</v>
      </c>
      <c r="AD213" s="21">
        <f>COUNTIFS(ANNOUNCEMENTS!$E$2:$E$180,$B213,ANNOUNCEMENTS!$W$2:$W$180,AD$159,ANNOUNCEMENTS!$J$2:$J$180,$C213)</f>
        <v>0</v>
      </c>
      <c r="AE213" s="311">
        <f t="shared" si="73"/>
        <v>1</v>
      </c>
      <c r="AF213" s="311">
        <f t="shared" si="74"/>
        <v>0</v>
      </c>
      <c r="AG213" s="311">
        <f t="shared" si="75"/>
        <v>0</v>
      </c>
      <c r="AH213" s="311">
        <f t="shared" si="76"/>
        <v>0</v>
      </c>
      <c r="AI213" s="21">
        <f>COUNTIFS(ANNOUNCEMENTS!$E$2:$E$180,B213,ANNOUNCEMENTS!$Z$2:$Z$180,$J$37,ANNOUNCEMENTS!$J$2:$J$180,C213)+
COUNTIFS(ANNOUNCEMENTS!$E$2:$E$180,B213,ANNOUNCEMENTS!$Z$2:$Z$180,$L$37,ANNOUNCEMENTS!$J$2:$J$180,C213)+
COUNTIFS(ANNOUNCEMENTS!$E$2:$E$180,B213,ANNOUNCEMENTS!$AB$2:$AB$180,$J$37,ANNOUNCEMENTS!$J$2:$J$180,C213)+
COUNTIFS(ANNOUNCEMENTS!$E$2:$E$180,B213,ANNOUNCEMENTS!$AB$2:$AB$180,$L$37,ANNOUNCEMENTS!$J$2:$J$180,C213)+
COUNTIFS(ANNOUNCEMENTS!$E$2:$E$180,B213,ANNOUNCEMENTS!$AD$2:$AD$180,$J$37,ANNOUNCEMENTS!$J$2:$J$180,C213)+
COUNTIFS(ANNOUNCEMENTS!$E$2:$E$180,B213,ANNOUNCEMENTS!$AD$2:$AD$180,$L$37,ANNOUNCEMENTS!$J$2:$J$180,C213)</f>
        <v>1</v>
      </c>
      <c r="AJ213" s="21">
        <f>COUNTIFS(ANNOUNCEMENTS!$E$2:$E$180,B213,ANNOUNCEMENTS!$Z$2:$Z$180,$H$37,ANNOUNCEMENTS!$J$2:$J$180,C213)+
COUNTIFS(ANNOUNCEMENTS!$E$2:$E$180,B213,ANNOUNCEMENTS!$Z$2:$Z$180,$I$37,ANNOUNCEMENTS!$J$2:$J$180,C213)+
COUNTIFS(ANNOUNCEMENTS!$E$2:$E$180,B213,ANNOUNCEMENTS!$Z$2:$Z$180,$P$37,ANNOUNCEMENTS!$J$2:$J$180,C213)+
COUNTIFS(ANNOUNCEMENTS!$E$2:$E$180,B213,ANNOUNCEMENTS!$AB$2:$AB$180,$H$37,ANNOUNCEMENTS!$J$2:$J$180,C213)+
COUNTIFS(ANNOUNCEMENTS!$E$2:$E$180,B213,ANNOUNCEMENTS!$AB$2:$AB$180,$I$37,ANNOUNCEMENTS!$J$2:$J$180,C213)+
COUNTIFS(ANNOUNCEMENTS!$E$2:$E$180,B213,ANNOUNCEMENTS!$AB$2:$AB$180,$P$37,ANNOUNCEMENTS!$J$2:$J$180,C213)+
COUNTIFS(ANNOUNCEMENTS!$E$2:$E$180,B213,ANNOUNCEMENTS!$AD$2:$AD$180,$H$37,ANNOUNCEMENTS!$J$2:$J$180,C213)+
COUNTIFS(ANNOUNCEMENTS!$E$2:$E$180,B213,ANNOUNCEMENTS!$AD$2:$AD$180,$I$37,ANNOUNCEMENTS!$J$2:$J$180,C213)+
COUNTIFS(ANNOUNCEMENTS!$E$2:$E$180,B213,ANNOUNCEMENTS!$AD$2:$AD$180,$P$37,ANNOUNCEMENTS!$J$2:$J$180,C213)</f>
        <v>0</v>
      </c>
      <c r="AK213" s="310" cm="1">
        <f t="array" ref="AK213">SUM(COUNTIFS(ANNOUNCEMENTS!$E$2:$E$180,B213,ANNOUNCEMENTS!$W$2:$W$180,$E$38:$E$40,ANNOUNCEMENTS!$J$2:$J$180,C213))</f>
        <v>0</v>
      </c>
      <c r="AL213" s="21" cm="1">
        <f t="array" ref="AL213">SUM(COUNTIFS(ANNOUNCEMENTS!$E$2:$E$180,B213,ANNOUNCEMENTS!$W$2:$W$180,$E$43:$E$44,ANNOUNCEMENTS!$J$2:$J$180,C213))</f>
        <v>0</v>
      </c>
      <c r="AM213" s="21">
        <f t="shared" si="77"/>
        <v>1</v>
      </c>
      <c r="AN213" s="21">
        <f t="shared" si="78"/>
        <v>0</v>
      </c>
      <c r="AO213" s="309" cm="1">
        <f t="array" ref="AO213">_xlfn.XLOOKUP(AO$159,CBIMPORT!$A$1:$AM$1,_xlfn.XLOOKUP($B213,CBIMPORT!$A$1:$A$40,CBIMPORT!$A$1:$AM$40))</f>
        <v>0</v>
      </c>
      <c r="AP213" s="308" cm="1">
        <f t="array" ref="AP213">_xlfn.XLOOKUP(AP$159,CBIMPORT!$A$1:$AM$1,_xlfn.XLOOKUP($B213,CBIMPORT!$A$1:$A$40,CBIMPORT!$A$1:$AM$40))</f>
        <v>3000</v>
      </c>
      <c r="AQ213" s="307" cm="1">
        <f t="array" ref="AQ213">_xlfn.XLOOKUP(AQ$159,CBIMPORT!$A$1:$AM$1,_xlfn.XLOOKUP($B213,CBIMPORT!$A$1:$A$40,CBIMPORT!$A$1:$AM$40))</f>
        <v>5500</v>
      </c>
    </row>
    <row r="214" spans="1:71" x14ac:dyDescent="0.35">
      <c r="A214" s="21" t="s">
        <v>2218</v>
      </c>
      <c r="B214" s="315" t="str">
        <f t="shared" si="71"/>
        <v>Lyft</v>
      </c>
      <c r="C214" s="314" t="str">
        <f t="shared" si="72"/>
        <v>Ridehailing</v>
      </c>
      <c r="D214" s="313">
        <f>COUNTIFS(ANNOUNCEMENTS!$E$2:$E$180,$B214,ANNOUNCEMENTS!$J$2:$J$180,$C214)</f>
        <v>1</v>
      </c>
      <c r="E214" s="312" t="str" cm="1">
        <f t="array" ref="E214">_xlfn.ARRAYTOTEXT(
IF(D214&gt;0,_xlfn._xlws.FILTER(CHOOSE({1},
ANNOUNCEMENTS!$K$1:$K$180),
(ANNOUNCEMENTS!$E$1:$E$180=B214)*((ANNOUNCEMENTS!$J$1:$J$180=$C214)))))</f>
        <v>Waymo</v>
      </c>
      <c r="F214" s="306">
        <f t="shared" si="79"/>
        <v>0</v>
      </c>
      <c r="G214" s="310" t="str" cm="1">
        <f t="array" ref="G214">_xlfn.XLOOKUP($A214,'Industries all mentioned partne'!$A$2:$A$58,_xlfn.XLOOKUP(G$159,'Industries all mentioned partne'!$A$2:$DM$2,'Industries all mentioned partne'!$A$2:$DM$58))</f>
        <v>Autonomous Vehicles</v>
      </c>
      <c r="H214" s="91" cm="1">
        <f t="array" ref="H214">_xlfn.XLOOKUP($A214,'Industries all mentioned partne'!$A$2:$A$58,_xlfn.XLOOKUP(H$159,'Industries all mentioned partne'!$A$2:$DM$2,'Industries all mentioned partne'!$A$2:$DM$58))</f>
        <v>1</v>
      </c>
      <c r="I214" s="310" t="str" cm="1">
        <f t="array" ref="I214">_xlfn.XLOOKUP($A214,'Industries all mentioned partne'!$A$2:$A$58,_xlfn.XLOOKUP(I$159,'Industries all mentioned partne'!$A$2:$DM$2,'Industries all mentioned partne'!$A$2:$DM$58))</f>
        <v/>
      </c>
      <c r="J214" s="91" t="str" cm="1">
        <f t="array" ref="J214">_xlfn.XLOOKUP($A214,'Industries all mentioned partne'!$A$2:$A$58,_xlfn.XLOOKUP(J$159,'Industries all mentioned partne'!$A$2:$DM$2,'Industries all mentioned partne'!$A$2:$DM$58))</f>
        <v/>
      </c>
      <c r="K214" s="310" t="str" cm="1">
        <f t="array" ref="K214">_xlfn.XLOOKUP($A214,'Industries all mentioned partne'!$A$2:$A$58,_xlfn.XLOOKUP(K$159,'Industries all mentioned partne'!$A$2:$DM$2,'Industries all mentioned partne'!$A$2:$DM$58))</f>
        <v/>
      </c>
      <c r="L214" s="91" t="str" cm="1">
        <f t="array" ref="L214">_xlfn.XLOOKUP($A214,'Industries all mentioned partne'!$A$2:$A$58,_xlfn.XLOOKUP(L$159,'Industries all mentioned partne'!$A$2:$DM$2,'Industries all mentioned partne'!$A$2:$DM$58))</f>
        <v/>
      </c>
      <c r="M214" s="311" t="str" cm="1">
        <f t="array" ref="M214">_xlfn.XLOOKUP($M$159,CBIMPORT!$A$1:$AN$1,_xlfn.XLOOKUP(B214,CBIMPORT!$A$1:$A$171,CBIMPORT!$A$1:$AN$171))</f>
        <v>L4</v>
      </c>
      <c r="N214" s="309" cm="1">
        <f t="array" ref="N214">_xlfn.XLOOKUP(N$159,CBIMPORT!$A$1:$AM$1,_xlfn.XLOOKUP($B214,CBIMPORT!$A$1:$A$40,CBIMPORT!$A$1:$AM$40))</f>
        <v>542</v>
      </c>
      <c r="O214" s="21">
        <f>COUNTIFS(ANNOUNCEMENTS!$E$2:$E$180,$B214,ANNOUNCEMENTS!$Z$2:$Z$180,O$159,ANNOUNCEMENTS!$J$2:$J$180,$C214)+
COUNTIFS(ANNOUNCEMENTS!$E$2:$E$180,$B214,ANNOUNCEMENTS!$AB$2:$AB$180,O$159,ANNOUNCEMENTS!$J$2:$J$180,$C214)+
COUNTIFS(ANNOUNCEMENTS!$E$2:$E$180,$B214,ANNOUNCEMENTS!$AD$2:$AD$180,O$159,ANNOUNCEMENTS!$J$2:$J$180,$C214)</f>
        <v>0</v>
      </c>
      <c r="P214" s="21">
        <f>COUNTIFS(ANNOUNCEMENTS!$E$2:$E$180,$B214,ANNOUNCEMENTS!$Z$2:$Z$180,P$159,ANNOUNCEMENTS!$J$2:$J$180,$C214)+
COUNTIFS(ANNOUNCEMENTS!$E$2:$E$180,$B214,ANNOUNCEMENTS!$AB$2:$AB$180,P$159,ANNOUNCEMENTS!$J$2:$J$180,$C214)+
COUNTIFS(ANNOUNCEMENTS!$E$2:$E$180,$B214,ANNOUNCEMENTS!$AD$2:$AD$180,P$159,ANNOUNCEMENTS!$J$2:$J$180,$C214)</f>
        <v>0</v>
      </c>
      <c r="Q214" s="21">
        <f>COUNTIFS(ANNOUNCEMENTS!$E$2:$E$180,$B214,ANNOUNCEMENTS!$Z$2:$Z$180,Q$159,ANNOUNCEMENTS!$J$2:$J$180,$C214)+
COUNTIFS(ANNOUNCEMENTS!$E$2:$E$180,$B214,ANNOUNCEMENTS!$AB$2:$AB$180,Q$159,ANNOUNCEMENTS!$J$2:$J$180,$C214)+
COUNTIFS(ANNOUNCEMENTS!$E$2:$E$180,$B214,ANNOUNCEMENTS!$AD$2:$AD$180,Q$159,ANNOUNCEMENTS!$J$2:$J$180,$C214)</f>
        <v>0</v>
      </c>
      <c r="R214" s="21">
        <f>COUNTIFS(ANNOUNCEMENTS!$E$2:$E$180,$B214,ANNOUNCEMENTS!$Z$2:$Z$180,R$159,ANNOUNCEMENTS!$J$2:$J$180,$C214)+
COUNTIFS(ANNOUNCEMENTS!$E$2:$E$180,$B214,ANNOUNCEMENTS!$AB$2:$AB$180,R$159,ANNOUNCEMENTS!$J$2:$J$180,$C214)+
COUNTIFS(ANNOUNCEMENTS!$E$2:$E$180,$B214,ANNOUNCEMENTS!$AD$2:$AD$180,R$159,ANNOUNCEMENTS!$J$2:$J$180,$C214)</f>
        <v>0</v>
      </c>
      <c r="S214" s="21">
        <f>COUNTIFS(ANNOUNCEMENTS!$E$2:$E$180,$B214,ANNOUNCEMENTS!$Z$2:$Z$180,S$159,ANNOUNCEMENTS!$J$2:$J$180,$C214)+
COUNTIFS(ANNOUNCEMENTS!$E$2:$E$180,$B214,ANNOUNCEMENTS!$AB$2:$AB$180,S$159,ANNOUNCEMENTS!$J$2:$J$180,$C214)+
COUNTIFS(ANNOUNCEMENTS!$E$2:$E$180,$B214,ANNOUNCEMENTS!$AD$2:$AD$180,S$159,ANNOUNCEMENTS!$J$2:$J$180,$C214)</f>
        <v>1</v>
      </c>
      <c r="T214" s="21">
        <f>COUNTIFS(ANNOUNCEMENTS!$E$2:$E$180,$B214,ANNOUNCEMENTS!$Z$2:$Z$180,T$159,ANNOUNCEMENTS!$J$2:$J$180,$C214)+
COUNTIFS(ANNOUNCEMENTS!$E$2:$E$180,$B214,ANNOUNCEMENTS!$AB$2:$AB$180,T$159,ANNOUNCEMENTS!$J$2:$J$180,$C214)+
COUNTIFS(ANNOUNCEMENTS!$E$2:$E$180,$B214,ANNOUNCEMENTS!$AD$2:$AD$180,T$159,ANNOUNCEMENTS!$J$2:$J$180,$C214)</f>
        <v>0</v>
      </c>
      <c r="U214" s="21">
        <f>COUNTIFS(ANNOUNCEMENTS!$E$2:$E$180,$B214,ANNOUNCEMENTS!$Z$2:$Z$180,U$159,ANNOUNCEMENTS!$J$2:$J$180,$C214)+
COUNTIFS(ANNOUNCEMENTS!$E$2:$E$180,$B214,ANNOUNCEMENTS!$AB$2:$AB$180,U$159,ANNOUNCEMENTS!$J$2:$J$180,$C214)+
COUNTIFS(ANNOUNCEMENTS!$E$2:$E$180,$B214,ANNOUNCEMENTS!$AD$2:$AD$180,U$159,ANNOUNCEMENTS!$J$2:$J$180,$C214)</f>
        <v>0</v>
      </c>
      <c r="V214" s="21">
        <f>COUNTIFS(ANNOUNCEMENTS!$E$2:$E$180,$B214,ANNOUNCEMENTS!$Z$2:$Z$180,V$159,ANNOUNCEMENTS!$J$2:$J$180,$C214)+
COUNTIFS(ANNOUNCEMENTS!$E$2:$E$180,$B214,ANNOUNCEMENTS!$AB$2:$AB$180,V$159,ANNOUNCEMENTS!$J$2:$J$180,$C214)+
COUNTIFS(ANNOUNCEMENTS!$E$2:$E$180,$B214,ANNOUNCEMENTS!$AD$2:$AD$180,V$159,ANNOUNCEMENTS!$J$2:$J$180,$C214)</f>
        <v>0</v>
      </c>
      <c r="W214" s="21">
        <f>COUNTIFS(ANNOUNCEMENTS!$E$2:$E$180,$B214,ANNOUNCEMENTS!$Z$2:$Z$180,W$159,ANNOUNCEMENTS!$J$2:$J$180,$C214)+
COUNTIFS(ANNOUNCEMENTS!$E$2:$E$180,$B214,ANNOUNCEMENTS!$AB$2:$AB$180,W$159,ANNOUNCEMENTS!$J$2:$J$180,$C214)+
COUNTIFS(ANNOUNCEMENTS!$E$2:$E$180,$B214,ANNOUNCEMENTS!$AD$2:$AD$180,W$159,ANNOUNCEMENTS!$J$2:$J$180,$C214)</f>
        <v>0</v>
      </c>
      <c r="X214" s="21">
        <f>COUNTIFS(ANNOUNCEMENTS!$E$2:$E$180,$B214,ANNOUNCEMENTS!$W$2:$W$180,X$159,ANNOUNCEMENTS!$J$2:$J$180,$C214)</f>
        <v>0</v>
      </c>
      <c r="Y214" s="21">
        <f>COUNTIFS(ANNOUNCEMENTS!$E$2:$E$180,$B214,ANNOUNCEMENTS!$W$2:$W$180,Y$159,ANNOUNCEMENTS!$J$2:$J$180,$C214)</f>
        <v>1</v>
      </c>
      <c r="Z214" s="21">
        <f>COUNTIFS(ANNOUNCEMENTS!$E$2:$E$180,$B214,ANNOUNCEMENTS!$W$2:$W$180,Z$159,ANNOUNCEMENTS!$J$2:$J$180,$C214)</f>
        <v>0</v>
      </c>
      <c r="AA214" s="21">
        <f>COUNTIFS(ANNOUNCEMENTS!$E$2:$E$180,$B214,ANNOUNCEMENTS!$W$2:$W$180,AA$159,ANNOUNCEMENTS!$J$2:$J$180,$C214)</f>
        <v>0</v>
      </c>
      <c r="AB214" s="21">
        <f>COUNTIFS(ANNOUNCEMENTS!$E$2:$E$180,$B214,ANNOUNCEMENTS!$W$2:$W$180,AB$159,ANNOUNCEMENTS!$J$2:$J$180,$C214)</f>
        <v>0</v>
      </c>
      <c r="AC214" s="21">
        <f>COUNTIFS(ANNOUNCEMENTS!$E$2:$E$180,$B214,ANNOUNCEMENTS!$W$2:$W$180,AC$159,ANNOUNCEMENTS!$J$2:$J$180,$C214)</f>
        <v>0</v>
      </c>
      <c r="AD214" s="21">
        <f>COUNTIFS(ANNOUNCEMENTS!$E$2:$E$180,$B214,ANNOUNCEMENTS!$W$2:$W$180,AD$159,ANNOUNCEMENTS!$J$2:$J$180,$C214)</f>
        <v>0</v>
      </c>
      <c r="AE214" s="311">
        <f t="shared" si="73"/>
        <v>0</v>
      </c>
      <c r="AF214" s="311">
        <f t="shared" si="74"/>
        <v>0</v>
      </c>
      <c r="AG214" s="311">
        <f t="shared" si="75"/>
        <v>0</v>
      </c>
      <c r="AH214" s="311">
        <f t="shared" si="76"/>
        <v>1</v>
      </c>
      <c r="AI214" s="21">
        <f>COUNTIFS(ANNOUNCEMENTS!$E$2:$E$180,B214,ANNOUNCEMENTS!$Z$2:$Z$180,$J$37,ANNOUNCEMENTS!$J$2:$J$180,C214)+
COUNTIFS(ANNOUNCEMENTS!$E$2:$E$180,B214,ANNOUNCEMENTS!$Z$2:$Z$180,$L$37,ANNOUNCEMENTS!$J$2:$J$180,C214)+
COUNTIFS(ANNOUNCEMENTS!$E$2:$E$180,B214,ANNOUNCEMENTS!$AB$2:$AB$180,$J$37,ANNOUNCEMENTS!$J$2:$J$180,C214)+
COUNTIFS(ANNOUNCEMENTS!$E$2:$E$180,B214,ANNOUNCEMENTS!$AB$2:$AB$180,$L$37,ANNOUNCEMENTS!$J$2:$J$180,C214)+
COUNTIFS(ANNOUNCEMENTS!$E$2:$E$180,B214,ANNOUNCEMENTS!$AD$2:$AD$180,$J$37,ANNOUNCEMENTS!$J$2:$J$180,C214)+
COUNTIFS(ANNOUNCEMENTS!$E$2:$E$180,B214,ANNOUNCEMENTS!$AD$2:$AD$180,$L$37,ANNOUNCEMENTS!$J$2:$J$180,C214)</f>
        <v>1</v>
      </c>
      <c r="AJ214" s="21">
        <f>COUNTIFS(ANNOUNCEMENTS!$E$2:$E$180,B214,ANNOUNCEMENTS!$Z$2:$Z$180,$H$37,ANNOUNCEMENTS!$J$2:$J$180,C214)+
COUNTIFS(ANNOUNCEMENTS!$E$2:$E$180,B214,ANNOUNCEMENTS!$Z$2:$Z$180,$I$37,ANNOUNCEMENTS!$J$2:$J$180,C214)+
COUNTIFS(ANNOUNCEMENTS!$E$2:$E$180,B214,ANNOUNCEMENTS!$Z$2:$Z$180,$P$37,ANNOUNCEMENTS!$J$2:$J$180,C214)+
COUNTIFS(ANNOUNCEMENTS!$E$2:$E$180,B214,ANNOUNCEMENTS!$AB$2:$AB$180,$H$37,ANNOUNCEMENTS!$J$2:$J$180,C214)+
COUNTIFS(ANNOUNCEMENTS!$E$2:$E$180,B214,ANNOUNCEMENTS!$AB$2:$AB$180,$I$37,ANNOUNCEMENTS!$J$2:$J$180,C214)+
COUNTIFS(ANNOUNCEMENTS!$E$2:$E$180,B214,ANNOUNCEMENTS!$AB$2:$AB$180,$P$37,ANNOUNCEMENTS!$J$2:$J$180,C214)+
COUNTIFS(ANNOUNCEMENTS!$E$2:$E$180,B214,ANNOUNCEMENTS!$AD$2:$AD$180,$H$37,ANNOUNCEMENTS!$J$2:$J$180,C214)+
COUNTIFS(ANNOUNCEMENTS!$E$2:$E$180,B214,ANNOUNCEMENTS!$AD$2:$AD$180,$I$37,ANNOUNCEMENTS!$J$2:$J$180,C214)+
COUNTIFS(ANNOUNCEMENTS!$E$2:$E$180,B214,ANNOUNCEMENTS!$AD$2:$AD$180,$P$37,ANNOUNCEMENTS!$J$2:$J$180,C214)</f>
        <v>0</v>
      </c>
      <c r="AK214" s="310" cm="1">
        <f t="array" ref="AK214">SUM(COUNTIFS(ANNOUNCEMENTS!$E$2:$E$180,B214,ANNOUNCEMENTS!$W$2:$W$180,$E$38:$E$40,ANNOUNCEMENTS!$J$2:$J$180,C214))</f>
        <v>1</v>
      </c>
      <c r="AL214" s="21" cm="1">
        <f t="array" ref="AL214">SUM(COUNTIFS(ANNOUNCEMENTS!$E$2:$E$180,B214,ANNOUNCEMENTS!$W$2:$W$180,$E$43:$E$44,ANNOUNCEMENTS!$J$2:$J$180,C214))</f>
        <v>0</v>
      </c>
      <c r="AM214" s="21">
        <f t="shared" si="77"/>
        <v>1</v>
      </c>
      <c r="AN214" s="21">
        <f t="shared" si="78"/>
        <v>0</v>
      </c>
      <c r="AO214" s="309" cm="1">
        <f t="array" ref="AO214">_xlfn.XLOOKUP(AO$159,CBIMPORT!$A$1:$AM$1,_xlfn.XLOOKUP($B214,CBIMPORT!$A$1:$A$40,CBIMPORT!$A$1:$AM$40))</f>
        <v>1</v>
      </c>
      <c r="AP214" s="308" cm="1">
        <f t="array" ref="AP214">_xlfn.XLOOKUP(AP$159,CBIMPORT!$A$1:$AM$1,_xlfn.XLOOKUP($B214,CBIMPORT!$A$1:$A$40,CBIMPORT!$A$1:$AM$40))</f>
        <v>4419</v>
      </c>
      <c r="AQ214" s="307" cm="1">
        <f t="array" ref="AQ214">_xlfn.XLOOKUP(AQ$159,CBIMPORT!$A$1:$AM$1,_xlfn.XLOOKUP($B214,CBIMPORT!$A$1:$A$40,CBIMPORT!$A$1:$AM$40))</f>
        <v>4913.6067780000003</v>
      </c>
      <c r="BG214" s="297"/>
    </row>
    <row r="215" spans="1:71" x14ac:dyDescent="0.35">
      <c r="A215" s="21" t="s">
        <v>2219</v>
      </c>
      <c r="B215" s="315" t="str">
        <f t="shared" si="71"/>
        <v>Waymo</v>
      </c>
      <c r="C215" s="314" t="str">
        <f t="shared" si="72"/>
        <v>Last-Mile</v>
      </c>
      <c r="D215" s="313">
        <f>COUNTIFS(ANNOUNCEMENTS!$E$2:$E$180,$B215,ANNOUNCEMENTS!$J$2:$J$180,$C215)</f>
        <v>1</v>
      </c>
      <c r="E215" s="312" t="str" cm="1">
        <f t="array" ref="E215">_xlfn.ARRAYTOTEXT(
IF(D215&gt;0,_xlfn._xlws.FILTER(CHOOSE({1},
ANNOUNCEMENTS!$K$1:$K$180),
(ANNOUNCEMENTS!$E$1:$E$180=B215)*((ANNOUNCEMENTS!$J$1:$J$180=$C215)))))</f>
        <v>Alliance Ventures (Renault, Nissan, Mitsubishi)</v>
      </c>
      <c r="F215" s="306">
        <f t="shared" si="79"/>
        <v>0</v>
      </c>
      <c r="G215" s="310" t="str" cm="1">
        <f t="array" ref="G215">_xlfn.XLOOKUP($A215,'Industries all mentioned partne'!$A$2:$A$58,_xlfn.XLOOKUP(G$159,'Industries all mentioned partne'!$A$2:$DM$2,'Industries all mentioned partne'!$A$2:$DM$58))</f>
        <v>Mobility Project</v>
      </c>
      <c r="H215" s="91" cm="1">
        <f t="array" ref="H215">_xlfn.XLOOKUP($A215,'Industries all mentioned partne'!$A$2:$A$58,_xlfn.XLOOKUP(H$159,'Industries all mentioned partne'!$A$2:$DM$2,'Industries all mentioned partne'!$A$2:$DM$58))</f>
        <v>1</v>
      </c>
      <c r="I215" s="310" t="str" cm="1">
        <f t="array" ref="I215">_xlfn.XLOOKUP($A215,'Industries all mentioned partne'!$A$2:$A$58,_xlfn.XLOOKUP(I$159,'Industries all mentioned partne'!$A$2:$DM$2,'Industries all mentioned partne'!$A$2:$DM$58))</f>
        <v/>
      </c>
      <c r="J215" s="91" t="str" cm="1">
        <f t="array" ref="J215">_xlfn.XLOOKUP($A215,'Industries all mentioned partne'!$A$2:$A$58,_xlfn.XLOOKUP(J$159,'Industries all mentioned partne'!$A$2:$DM$2,'Industries all mentioned partne'!$A$2:$DM$58))</f>
        <v/>
      </c>
      <c r="K215" s="310" t="str" cm="1">
        <f t="array" ref="K215">_xlfn.XLOOKUP($A215,'Industries all mentioned partne'!$A$2:$A$58,_xlfn.XLOOKUP(K$159,'Industries all mentioned partne'!$A$2:$DM$2,'Industries all mentioned partne'!$A$2:$DM$58))</f>
        <v/>
      </c>
      <c r="L215" s="91" t="str" cm="1">
        <f t="array" ref="L215">_xlfn.XLOOKUP($A215,'Industries all mentioned partne'!$A$2:$A$58,_xlfn.XLOOKUP(L$159,'Industries all mentioned partne'!$A$2:$DM$2,'Industries all mentioned partne'!$A$2:$DM$58))</f>
        <v/>
      </c>
      <c r="M215" s="311" t="str" cm="1">
        <f t="array" ref="M215">_xlfn.XLOOKUP($M$159,CBIMPORT!$A$1:$AN$1,_xlfn.XLOOKUP(B215,CBIMPORT!$A$1:$A$171,CBIMPORT!$A$1:$AN$171))</f>
        <v>L1</v>
      </c>
      <c r="N215" s="309" cm="1">
        <f t="array" ref="N215">_xlfn.XLOOKUP(N$159,CBIMPORT!$A$1:$AM$1,_xlfn.XLOOKUP($B215,CBIMPORT!$A$1:$A$40,CBIMPORT!$A$1:$AM$40))</f>
        <v>2.1379999999999999</v>
      </c>
      <c r="O215" s="21">
        <f>COUNTIFS(ANNOUNCEMENTS!$E$2:$E$180,$B215,ANNOUNCEMENTS!$Z$2:$Z$180,O$159,ANNOUNCEMENTS!$J$2:$J$180,$C215)+
COUNTIFS(ANNOUNCEMENTS!$E$2:$E$180,$B215,ANNOUNCEMENTS!$AB$2:$AB$180,O$159,ANNOUNCEMENTS!$J$2:$J$180,$C215)+
COUNTIFS(ANNOUNCEMENTS!$E$2:$E$180,$B215,ANNOUNCEMENTS!$AD$2:$AD$180,O$159,ANNOUNCEMENTS!$J$2:$J$180,$C215)</f>
        <v>0</v>
      </c>
      <c r="P215" s="21">
        <f>COUNTIFS(ANNOUNCEMENTS!$E$2:$E$180,$B215,ANNOUNCEMENTS!$Z$2:$Z$180,P$159,ANNOUNCEMENTS!$J$2:$J$180,$C215)+
COUNTIFS(ANNOUNCEMENTS!$E$2:$E$180,$B215,ANNOUNCEMENTS!$AB$2:$AB$180,P$159,ANNOUNCEMENTS!$J$2:$J$180,$C215)+
COUNTIFS(ANNOUNCEMENTS!$E$2:$E$180,$B215,ANNOUNCEMENTS!$AD$2:$AD$180,P$159,ANNOUNCEMENTS!$J$2:$J$180,$C215)</f>
        <v>0</v>
      </c>
      <c r="Q215" s="21">
        <f>COUNTIFS(ANNOUNCEMENTS!$E$2:$E$180,$B215,ANNOUNCEMENTS!$Z$2:$Z$180,Q$159,ANNOUNCEMENTS!$J$2:$J$180,$C215)+
COUNTIFS(ANNOUNCEMENTS!$E$2:$E$180,$B215,ANNOUNCEMENTS!$AB$2:$AB$180,Q$159,ANNOUNCEMENTS!$J$2:$J$180,$C215)+
COUNTIFS(ANNOUNCEMENTS!$E$2:$E$180,$B215,ANNOUNCEMENTS!$AD$2:$AD$180,Q$159,ANNOUNCEMENTS!$J$2:$J$180,$C215)</f>
        <v>0</v>
      </c>
      <c r="R215" s="21">
        <f>COUNTIFS(ANNOUNCEMENTS!$E$2:$E$180,$B215,ANNOUNCEMENTS!$Z$2:$Z$180,R$159,ANNOUNCEMENTS!$J$2:$J$180,$C215)+
COUNTIFS(ANNOUNCEMENTS!$E$2:$E$180,$B215,ANNOUNCEMENTS!$AB$2:$AB$180,R$159,ANNOUNCEMENTS!$J$2:$J$180,$C215)+
COUNTIFS(ANNOUNCEMENTS!$E$2:$E$180,$B215,ANNOUNCEMENTS!$AD$2:$AD$180,R$159,ANNOUNCEMENTS!$J$2:$J$180,$C215)</f>
        <v>0</v>
      </c>
      <c r="S215" s="21">
        <f>COUNTIFS(ANNOUNCEMENTS!$E$2:$E$180,$B215,ANNOUNCEMENTS!$Z$2:$Z$180,S$159,ANNOUNCEMENTS!$J$2:$J$180,$C215)+
COUNTIFS(ANNOUNCEMENTS!$E$2:$E$180,$B215,ANNOUNCEMENTS!$AB$2:$AB$180,S$159,ANNOUNCEMENTS!$J$2:$J$180,$C215)+
COUNTIFS(ANNOUNCEMENTS!$E$2:$E$180,$B215,ANNOUNCEMENTS!$AD$2:$AD$180,S$159,ANNOUNCEMENTS!$J$2:$J$180,$C215)</f>
        <v>0</v>
      </c>
      <c r="T215" s="21">
        <f>COUNTIFS(ANNOUNCEMENTS!$E$2:$E$180,$B215,ANNOUNCEMENTS!$Z$2:$Z$180,T$159,ANNOUNCEMENTS!$J$2:$J$180,$C215)+
COUNTIFS(ANNOUNCEMENTS!$E$2:$E$180,$B215,ANNOUNCEMENTS!$AB$2:$AB$180,T$159,ANNOUNCEMENTS!$J$2:$J$180,$C215)+
COUNTIFS(ANNOUNCEMENTS!$E$2:$E$180,$B215,ANNOUNCEMENTS!$AD$2:$AD$180,T$159,ANNOUNCEMENTS!$J$2:$J$180,$C215)</f>
        <v>1</v>
      </c>
      <c r="U215" s="21">
        <f>COUNTIFS(ANNOUNCEMENTS!$E$2:$E$180,$B215,ANNOUNCEMENTS!$Z$2:$Z$180,U$159,ANNOUNCEMENTS!$J$2:$J$180,$C215)+
COUNTIFS(ANNOUNCEMENTS!$E$2:$E$180,$B215,ANNOUNCEMENTS!$AB$2:$AB$180,U$159,ANNOUNCEMENTS!$J$2:$J$180,$C215)+
COUNTIFS(ANNOUNCEMENTS!$E$2:$E$180,$B215,ANNOUNCEMENTS!$AD$2:$AD$180,U$159,ANNOUNCEMENTS!$J$2:$J$180,$C215)</f>
        <v>0</v>
      </c>
      <c r="V215" s="21">
        <f>COUNTIFS(ANNOUNCEMENTS!$E$2:$E$180,$B215,ANNOUNCEMENTS!$Z$2:$Z$180,V$159,ANNOUNCEMENTS!$J$2:$J$180,$C215)+
COUNTIFS(ANNOUNCEMENTS!$E$2:$E$180,$B215,ANNOUNCEMENTS!$AB$2:$AB$180,V$159,ANNOUNCEMENTS!$J$2:$J$180,$C215)+
COUNTIFS(ANNOUNCEMENTS!$E$2:$E$180,$B215,ANNOUNCEMENTS!$AD$2:$AD$180,V$159,ANNOUNCEMENTS!$J$2:$J$180,$C215)</f>
        <v>0</v>
      </c>
      <c r="W215" s="21">
        <f>COUNTIFS(ANNOUNCEMENTS!$E$2:$E$180,$B215,ANNOUNCEMENTS!$Z$2:$Z$180,W$159,ANNOUNCEMENTS!$J$2:$J$180,$C215)+
COUNTIFS(ANNOUNCEMENTS!$E$2:$E$180,$B215,ANNOUNCEMENTS!$AB$2:$AB$180,W$159,ANNOUNCEMENTS!$J$2:$J$180,$C215)+
COUNTIFS(ANNOUNCEMENTS!$E$2:$E$180,$B215,ANNOUNCEMENTS!$AD$2:$AD$180,W$159,ANNOUNCEMENTS!$J$2:$J$180,$C215)</f>
        <v>0</v>
      </c>
      <c r="X215" s="21">
        <f>COUNTIFS(ANNOUNCEMENTS!$E$2:$E$180,$B215,ANNOUNCEMENTS!$W$2:$W$180,X$159,ANNOUNCEMENTS!$J$2:$J$180,$C215)</f>
        <v>0</v>
      </c>
      <c r="Y215" s="21">
        <f>COUNTIFS(ANNOUNCEMENTS!$E$2:$E$180,$B215,ANNOUNCEMENTS!$W$2:$W$180,Y$159,ANNOUNCEMENTS!$J$2:$J$180,$C215)</f>
        <v>0</v>
      </c>
      <c r="Z215" s="21">
        <f>COUNTIFS(ANNOUNCEMENTS!$E$2:$E$180,$B215,ANNOUNCEMENTS!$W$2:$W$180,Z$159,ANNOUNCEMENTS!$J$2:$J$180,$C215)</f>
        <v>0</v>
      </c>
      <c r="AA215" s="21">
        <f>COUNTIFS(ANNOUNCEMENTS!$E$2:$E$180,$B215,ANNOUNCEMENTS!$W$2:$W$180,AA$159,ANNOUNCEMENTS!$J$2:$J$180,$C215)</f>
        <v>0</v>
      </c>
      <c r="AB215" s="21">
        <f>COUNTIFS(ANNOUNCEMENTS!$E$2:$E$180,$B215,ANNOUNCEMENTS!$W$2:$W$180,AB$159,ANNOUNCEMENTS!$J$2:$J$180,$C215)</f>
        <v>1</v>
      </c>
      <c r="AC215" s="21">
        <f>COUNTIFS(ANNOUNCEMENTS!$E$2:$E$180,$B215,ANNOUNCEMENTS!$W$2:$W$180,AC$159,ANNOUNCEMENTS!$J$2:$J$180,$C215)</f>
        <v>0</v>
      </c>
      <c r="AD215" s="21">
        <f>COUNTIFS(ANNOUNCEMENTS!$E$2:$E$180,$B215,ANNOUNCEMENTS!$W$2:$W$180,AD$159,ANNOUNCEMENTS!$J$2:$J$180,$C215)</f>
        <v>0</v>
      </c>
      <c r="AE215" s="311">
        <f t="shared" si="73"/>
        <v>1</v>
      </c>
      <c r="AF215" s="311">
        <f t="shared" si="74"/>
        <v>0</v>
      </c>
      <c r="AG215" s="311">
        <f t="shared" si="75"/>
        <v>0</v>
      </c>
      <c r="AH215" s="311">
        <f t="shared" si="76"/>
        <v>0</v>
      </c>
      <c r="AI215" s="21">
        <f>COUNTIFS(ANNOUNCEMENTS!$E$2:$E$180,B215,ANNOUNCEMENTS!$Z$2:$Z$180,$J$37,ANNOUNCEMENTS!$J$2:$J$180,C215)+
COUNTIFS(ANNOUNCEMENTS!$E$2:$E$180,B215,ANNOUNCEMENTS!$Z$2:$Z$180,$L$37,ANNOUNCEMENTS!$J$2:$J$180,C215)+
COUNTIFS(ANNOUNCEMENTS!$E$2:$E$180,B215,ANNOUNCEMENTS!$AB$2:$AB$180,$J$37,ANNOUNCEMENTS!$J$2:$J$180,C215)+
COUNTIFS(ANNOUNCEMENTS!$E$2:$E$180,B215,ANNOUNCEMENTS!$AB$2:$AB$180,$L$37,ANNOUNCEMENTS!$J$2:$J$180,C215)+
COUNTIFS(ANNOUNCEMENTS!$E$2:$E$180,B215,ANNOUNCEMENTS!$AD$2:$AD$180,$J$37,ANNOUNCEMENTS!$J$2:$J$180,C215)+
COUNTIFS(ANNOUNCEMENTS!$E$2:$E$180,B215,ANNOUNCEMENTS!$AD$2:$AD$180,$L$37,ANNOUNCEMENTS!$J$2:$J$180,C215)</f>
        <v>0</v>
      </c>
      <c r="AJ215" s="21">
        <f>COUNTIFS(ANNOUNCEMENTS!$E$2:$E$180,B215,ANNOUNCEMENTS!$Z$2:$Z$180,$H$37,ANNOUNCEMENTS!$J$2:$J$180,C215)+
COUNTIFS(ANNOUNCEMENTS!$E$2:$E$180,B215,ANNOUNCEMENTS!$Z$2:$Z$180,$I$37,ANNOUNCEMENTS!$J$2:$J$180,C215)+
COUNTIFS(ANNOUNCEMENTS!$E$2:$E$180,B215,ANNOUNCEMENTS!$Z$2:$Z$180,$P$37,ANNOUNCEMENTS!$J$2:$J$180,C215)+
COUNTIFS(ANNOUNCEMENTS!$E$2:$E$180,B215,ANNOUNCEMENTS!$AB$2:$AB$180,$H$37,ANNOUNCEMENTS!$J$2:$J$180,C215)+
COUNTIFS(ANNOUNCEMENTS!$E$2:$E$180,B215,ANNOUNCEMENTS!$AB$2:$AB$180,$I$37,ANNOUNCEMENTS!$J$2:$J$180,C215)+
COUNTIFS(ANNOUNCEMENTS!$E$2:$E$180,B215,ANNOUNCEMENTS!$AB$2:$AB$180,$P$37,ANNOUNCEMENTS!$J$2:$J$180,C215)+
COUNTIFS(ANNOUNCEMENTS!$E$2:$E$180,B215,ANNOUNCEMENTS!$AD$2:$AD$180,$H$37,ANNOUNCEMENTS!$J$2:$J$180,C215)+
COUNTIFS(ANNOUNCEMENTS!$E$2:$E$180,B215,ANNOUNCEMENTS!$AD$2:$AD$180,$I$37,ANNOUNCEMENTS!$J$2:$J$180,C215)+
COUNTIFS(ANNOUNCEMENTS!$E$2:$E$180,B215,ANNOUNCEMENTS!$AD$2:$AD$180,$P$37,ANNOUNCEMENTS!$J$2:$J$180,C215)</f>
        <v>0</v>
      </c>
      <c r="AK215" s="310" cm="1">
        <f t="array" ref="AK215">SUM(COUNTIFS(ANNOUNCEMENTS!$E$2:$E$180,B215,ANNOUNCEMENTS!$W$2:$W$180,$E$38:$E$40,ANNOUNCEMENTS!$J$2:$J$180,C215))</f>
        <v>0</v>
      </c>
      <c r="AL215" s="21" cm="1">
        <f t="array" ref="AL215">SUM(COUNTIFS(ANNOUNCEMENTS!$E$2:$E$180,B215,ANNOUNCEMENTS!$W$2:$W$180,$E$43:$E$44,ANNOUNCEMENTS!$J$2:$J$180,C215))</f>
        <v>0</v>
      </c>
      <c r="AM215" s="21">
        <f t="shared" si="77"/>
        <v>1</v>
      </c>
      <c r="AN215" s="21">
        <f t="shared" si="78"/>
        <v>0</v>
      </c>
      <c r="AO215" s="309" cm="1">
        <f t="array" ref="AO215">_xlfn.XLOOKUP(AO$159,CBIMPORT!$A$1:$AM$1,_xlfn.XLOOKUP($B215,CBIMPORT!$A$1:$A$40,CBIMPORT!$A$1:$AM$40))</f>
        <v>0</v>
      </c>
      <c r="AP215" s="308" cm="1">
        <f t="array" ref="AP215">_xlfn.XLOOKUP(AP$159,CBIMPORT!$A$1:$AM$1,_xlfn.XLOOKUP($B215,CBIMPORT!$A$1:$A$40,CBIMPORT!$A$1:$AM$40))</f>
        <v>3000</v>
      </c>
      <c r="AQ215" s="307" cm="1">
        <f t="array" ref="AQ215">_xlfn.XLOOKUP(AQ$159,CBIMPORT!$A$1:$AM$1,_xlfn.XLOOKUP($B215,CBIMPORT!$A$1:$A$40,CBIMPORT!$A$1:$AM$40))</f>
        <v>5500</v>
      </c>
      <c r="BG215" s="297"/>
    </row>
    <row r="216" spans="1:71" x14ac:dyDescent="0.35">
      <c r="H216" s="306"/>
      <c r="M216" s="311"/>
      <c r="BB216" s="297"/>
      <c r="BC216" s="297"/>
      <c r="BD216" s="297"/>
      <c r="BE216" s="297"/>
      <c r="BF216" s="297"/>
      <c r="BG216" s="297"/>
      <c r="BH216" s="297"/>
      <c r="BI216" s="297"/>
      <c r="BJ216" s="297"/>
      <c r="BK216" s="297"/>
      <c r="BL216" s="297"/>
      <c r="BM216" s="297"/>
      <c r="BN216" s="297"/>
    </row>
    <row r="217" spans="1:71" ht="15" thickBot="1" x14ac:dyDescent="0.4">
      <c r="A217" s="305" t="s">
        <v>2100</v>
      </c>
      <c r="B217" s="290" t="str">
        <f>IF(ISNUMBER(B206),SUM(B182:B206),"")</f>
        <v/>
      </c>
      <c r="C217" s="290" t="str">
        <f>IF(ISNUMBER(C206),SUM(C182:C206),"")</f>
        <v/>
      </c>
      <c r="D217" s="296">
        <f>IF(ISNUMBER(D214),SUM(D160:D215),"")</f>
        <v>179</v>
      </c>
      <c r="E217" s="296" t="str">
        <f t="shared" ref="E217:AQ217" si="80">IF(ISNUMBER(E214),SUM(E160:E215),"")</f>
        <v/>
      </c>
      <c r="F217" s="296">
        <f t="shared" si="80"/>
        <v>60</v>
      </c>
      <c r="G217" s="296" t="str">
        <f t="shared" si="80"/>
        <v/>
      </c>
      <c r="H217" s="296">
        <f t="shared" si="80"/>
        <v>37.78429038281979</v>
      </c>
      <c r="I217" s="296" t="str">
        <f t="shared" si="80"/>
        <v/>
      </c>
      <c r="J217" s="296" t="str">
        <f t="shared" si="80"/>
        <v/>
      </c>
      <c r="K217" s="296" t="str">
        <f t="shared" si="80"/>
        <v/>
      </c>
      <c r="L217" s="296" t="str">
        <f t="shared" si="80"/>
        <v/>
      </c>
      <c r="M217" s="296" t="str">
        <f t="shared" si="80"/>
        <v/>
      </c>
      <c r="N217" s="296">
        <f t="shared" si="80"/>
        <v>4893</v>
      </c>
      <c r="O217" s="296">
        <f t="shared" si="80"/>
        <v>57</v>
      </c>
      <c r="P217" s="296">
        <f t="shared" si="80"/>
        <v>7</v>
      </c>
      <c r="Q217" s="296">
        <f t="shared" si="80"/>
        <v>49</v>
      </c>
      <c r="R217" s="296">
        <f t="shared" si="80"/>
        <v>10</v>
      </c>
      <c r="S217" s="296">
        <f t="shared" si="80"/>
        <v>24</v>
      </c>
      <c r="T217" s="296">
        <f t="shared" si="80"/>
        <v>33</v>
      </c>
      <c r="U217" s="296">
        <f t="shared" si="80"/>
        <v>3</v>
      </c>
      <c r="V217" s="296">
        <f t="shared" si="80"/>
        <v>6</v>
      </c>
      <c r="W217" s="296">
        <f t="shared" si="80"/>
        <v>20</v>
      </c>
      <c r="X217" s="296">
        <f t="shared" si="80"/>
        <v>9</v>
      </c>
      <c r="Y217" s="296">
        <f t="shared" si="80"/>
        <v>94</v>
      </c>
      <c r="Z217" s="296">
        <f t="shared" si="80"/>
        <v>15</v>
      </c>
      <c r="AA217" s="296">
        <f t="shared" si="80"/>
        <v>39</v>
      </c>
      <c r="AB217" s="296">
        <f t="shared" si="80"/>
        <v>6</v>
      </c>
      <c r="AC217" s="296">
        <f t="shared" si="80"/>
        <v>12</v>
      </c>
      <c r="AD217" s="296">
        <f t="shared" si="80"/>
        <v>4</v>
      </c>
      <c r="AE217" s="296">
        <f t="shared" si="80"/>
        <v>31</v>
      </c>
      <c r="AF217" s="296">
        <f t="shared" si="80"/>
        <v>15</v>
      </c>
      <c r="AG217" s="296">
        <f t="shared" si="80"/>
        <v>4</v>
      </c>
      <c r="AH217" s="296">
        <f t="shared" si="80"/>
        <v>6</v>
      </c>
      <c r="AI217" s="296">
        <f t="shared" si="80"/>
        <v>73</v>
      </c>
      <c r="AJ217" s="296">
        <f t="shared" si="80"/>
        <v>84</v>
      </c>
      <c r="AK217" s="296">
        <f t="shared" si="80"/>
        <v>119</v>
      </c>
      <c r="AL217" s="296">
        <f t="shared" si="80"/>
        <v>15</v>
      </c>
      <c r="AM217" s="296">
        <f t="shared" si="80"/>
        <v>179</v>
      </c>
      <c r="AN217" s="296">
        <f t="shared" si="80"/>
        <v>60</v>
      </c>
      <c r="AO217" s="296">
        <f t="shared" si="80"/>
        <v>9</v>
      </c>
      <c r="AP217" s="296">
        <f t="shared" si="80"/>
        <v>148741</v>
      </c>
      <c r="AQ217" s="296">
        <f t="shared" si="80"/>
        <v>122999.25567915</v>
      </c>
      <c r="AT217" s="296"/>
      <c r="AU217" s="296"/>
      <c r="AV217" s="296"/>
      <c r="AW217" s="296"/>
      <c r="AX217" s="296"/>
      <c r="AY217" s="296"/>
      <c r="AZ217" s="296"/>
      <c r="BA217" s="296"/>
      <c r="BB217" s="296"/>
      <c r="BC217" s="296"/>
      <c r="BD217" s="296"/>
      <c r="BE217" s="296"/>
      <c r="BF217" s="296">
        <f>IF(ISNUMBER(AM212),SUM(AM160:AM212),"")</f>
        <v>176</v>
      </c>
      <c r="BG217" s="297"/>
      <c r="BH217" s="297"/>
      <c r="BI217" s="297"/>
      <c r="BJ217" s="297"/>
      <c r="BK217" s="297"/>
      <c r="BL217" s="297"/>
      <c r="BM217" s="297"/>
      <c r="BN217" s="297"/>
      <c r="BO217" s="297"/>
      <c r="BP217" s="297"/>
      <c r="BQ217" s="297"/>
      <c r="BR217" s="297"/>
      <c r="BS217" s="297"/>
    </row>
    <row r="218" spans="1:71" ht="15" thickTop="1" x14ac:dyDescent="0.35">
      <c r="A218" s="304" t="s">
        <v>2101</v>
      </c>
      <c r="B218" s="290" t="str">
        <f>IF(ISNUMBER(B206),AVERAGE(B182:B206),"")</f>
        <v/>
      </c>
      <c r="C218" s="290" t="str">
        <f>IF(ISNUMBER(C206),AVERAGE(C182:C206),"")</f>
        <v/>
      </c>
      <c r="D218" s="296">
        <f>IF(ISNUMBER(D212),AVERAGE(D160:D215),"")</f>
        <v>3.1964285714285716</v>
      </c>
      <c r="E218" s="296" t="str">
        <f t="shared" ref="E218:AP218" si="81">IF(ISNUMBER(E212),AVERAGE(E160:E215),"")</f>
        <v/>
      </c>
      <c r="F218" s="296">
        <f t="shared" si="81"/>
        <v>1.0714285714285714</v>
      </c>
      <c r="G218" s="296" t="str">
        <f t="shared" si="81"/>
        <v/>
      </c>
      <c r="H218" s="296">
        <f t="shared" si="81"/>
        <v>0.68698709786945078</v>
      </c>
      <c r="I218" s="296" t="str">
        <f t="shared" si="81"/>
        <v/>
      </c>
      <c r="J218" s="296" t="str">
        <f t="shared" si="81"/>
        <v/>
      </c>
      <c r="K218" s="296" t="str">
        <f t="shared" si="81"/>
        <v/>
      </c>
      <c r="L218" s="296" t="str">
        <f t="shared" si="81"/>
        <v/>
      </c>
      <c r="M218" s="296" t="str">
        <f t="shared" si="81"/>
        <v/>
      </c>
      <c r="N218" s="296">
        <f t="shared" si="81"/>
        <v>108.73333333333333</v>
      </c>
      <c r="O218" s="296">
        <f t="shared" si="81"/>
        <v>1.0178571428571428</v>
      </c>
      <c r="P218" s="296">
        <f t="shared" si="81"/>
        <v>0.125</v>
      </c>
      <c r="Q218" s="296">
        <f t="shared" si="81"/>
        <v>0.875</v>
      </c>
      <c r="R218" s="296">
        <f t="shared" si="81"/>
        <v>0.17857142857142858</v>
      </c>
      <c r="S218" s="296">
        <f t="shared" si="81"/>
        <v>0.42857142857142855</v>
      </c>
      <c r="T218" s="296">
        <f t="shared" si="81"/>
        <v>0.5892857142857143</v>
      </c>
      <c r="U218" s="296">
        <f t="shared" si="81"/>
        <v>5.3571428571428568E-2</v>
      </c>
      <c r="V218" s="296">
        <f t="shared" si="81"/>
        <v>0.10714285714285714</v>
      </c>
      <c r="W218" s="296">
        <f t="shared" si="81"/>
        <v>0.35714285714285715</v>
      </c>
      <c r="X218" s="296">
        <f t="shared" si="81"/>
        <v>0.16071428571428573</v>
      </c>
      <c r="Y218" s="296">
        <f t="shared" si="81"/>
        <v>1.6785714285714286</v>
      </c>
      <c r="Z218" s="296">
        <f t="shared" si="81"/>
        <v>0.26785714285714285</v>
      </c>
      <c r="AA218" s="296">
        <f t="shared" si="81"/>
        <v>0.6964285714285714</v>
      </c>
      <c r="AB218" s="296">
        <f t="shared" si="81"/>
        <v>0.10714285714285714</v>
      </c>
      <c r="AC218" s="296">
        <f t="shared" si="81"/>
        <v>0.21428571428571427</v>
      </c>
      <c r="AD218" s="296">
        <f t="shared" si="81"/>
        <v>7.1428571428571425E-2</v>
      </c>
      <c r="AE218" s="296">
        <f t="shared" si="81"/>
        <v>0.5535714285714286</v>
      </c>
      <c r="AF218" s="296">
        <f t="shared" si="81"/>
        <v>0.26785714285714285</v>
      </c>
      <c r="AG218" s="296">
        <f t="shared" si="81"/>
        <v>7.1428571428571425E-2</v>
      </c>
      <c r="AH218" s="296">
        <f t="shared" si="81"/>
        <v>0.10714285714285714</v>
      </c>
      <c r="AI218" s="296">
        <f t="shared" si="81"/>
        <v>1.3035714285714286</v>
      </c>
      <c r="AJ218" s="296">
        <f t="shared" si="81"/>
        <v>1.5</v>
      </c>
      <c r="AK218" s="296">
        <f t="shared" si="81"/>
        <v>2.125</v>
      </c>
      <c r="AL218" s="296">
        <f t="shared" si="81"/>
        <v>0.26785714285714285</v>
      </c>
      <c r="AM218" s="296">
        <f t="shared" si="81"/>
        <v>3.1964285714285716</v>
      </c>
      <c r="AN218" s="296">
        <f t="shared" si="81"/>
        <v>1.0714285714285714</v>
      </c>
      <c r="AO218" s="296">
        <f t="shared" si="81"/>
        <v>0.16071428571428573</v>
      </c>
      <c r="AP218" s="296">
        <f t="shared" si="81"/>
        <v>2656.0892857142858</v>
      </c>
      <c r="AQ218" s="296">
        <f>IF(ISNUMBER(AQ213),AVERAGE(AQ160:AQ215),"")</f>
        <v>2999.9818458329269</v>
      </c>
      <c r="AT218" s="296"/>
      <c r="AU218" s="296"/>
      <c r="AV218" s="296"/>
      <c r="AW218" s="296"/>
      <c r="AX218" s="296"/>
      <c r="AY218" s="296"/>
      <c r="AZ218" s="296"/>
      <c r="BA218" s="296"/>
      <c r="BB218" s="296"/>
      <c r="BC218" s="296"/>
      <c r="BD218" s="296"/>
      <c r="BE218" s="296"/>
      <c r="BF218" s="296">
        <f>IF(ISNUMBER(AM212),AVERAGE(AM160:AM212),"")</f>
        <v>3.3207547169811322</v>
      </c>
    </row>
    <row r="219" spans="1:71" x14ac:dyDescent="0.35">
      <c r="A219" s="304" t="s">
        <v>2102</v>
      </c>
      <c r="B219" s="290" t="str">
        <f>IF(ISNUMBER(B206),AVERAGE(B183:B217),"")</f>
        <v/>
      </c>
      <c r="C219" s="290" t="str">
        <f>IF(ISNUMBER(C206),AVERAGE(C183:C217),"")</f>
        <v/>
      </c>
      <c r="D219" s="296">
        <f>IF(ISNUMBER(D212),AVERAGE(D160:D215),"")</f>
        <v>3.1964285714285716</v>
      </c>
      <c r="E219" s="296" t="str">
        <f t="shared" ref="E219:AP219" si="82">IF(ISNUMBER(E212),AVERAGE(E160:E215),"")</f>
        <v/>
      </c>
      <c r="F219" s="296">
        <f t="shared" si="82"/>
        <v>1.0714285714285714</v>
      </c>
      <c r="G219" s="296" t="str">
        <f t="shared" si="82"/>
        <v/>
      </c>
      <c r="H219" s="296">
        <f t="shared" si="82"/>
        <v>0.68698709786945078</v>
      </c>
      <c r="I219" s="296" t="str">
        <f t="shared" si="82"/>
        <v/>
      </c>
      <c r="J219" s="296" t="str">
        <f t="shared" si="82"/>
        <v/>
      </c>
      <c r="K219" s="296" t="str">
        <f t="shared" si="82"/>
        <v/>
      </c>
      <c r="L219" s="296" t="str">
        <f t="shared" si="82"/>
        <v/>
      </c>
      <c r="M219" s="296" t="str">
        <f t="shared" si="82"/>
        <v/>
      </c>
      <c r="N219" s="296">
        <f t="shared" si="82"/>
        <v>108.73333333333333</v>
      </c>
      <c r="O219" s="296">
        <f t="shared" si="82"/>
        <v>1.0178571428571428</v>
      </c>
      <c r="P219" s="296">
        <f t="shared" si="82"/>
        <v>0.125</v>
      </c>
      <c r="Q219" s="296">
        <f t="shared" si="82"/>
        <v>0.875</v>
      </c>
      <c r="R219" s="296">
        <f t="shared" si="82"/>
        <v>0.17857142857142858</v>
      </c>
      <c r="S219" s="296">
        <f t="shared" si="82"/>
        <v>0.42857142857142855</v>
      </c>
      <c r="T219" s="296">
        <f t="shared" si="82"/>
        <v>0.5892857142857143</v>
      </c>
      <c r="U219" s="296">
        <f t="shared" si="82"/>
        <v>5.3571428571428568E-2</v>
      </c>
      <c r="V219" s="296">
        <f t="shared" si="82"/>
        <v>0.10714285714285714</v>
      </c>
      <c r="W219" s="296">
        <f t="shared" si="82"/>
        <v>0.35714285714285715</v>
      </c>
      <c r="X219" s="296">
        <f t="shared" si="82"/>
        <v>0.16071428571428573</v>
      </c>
      <c r="Y219" s="296">
        <f t="shared" si="82"/>
        <v>1.6785714285714286</v>
      </c>
      <c r="Z219" s="296">
        <f t="shared" si="82"/>
        <v>0.26785714285714285</v>
      </c>
      <c r="AA219" s="296">
        <f t="shared" si="82"/>
        <v>0.6964285714285714</v>
      </c>
      <c r="AB219" s="296">
        <f t="shared" si="82"/>
        <v>0.10714285714285714</v>
      </c>
      <c r="AC219" s="296">
        <f t="shared" si="82"/>
        <v>0.21428571428571427</v>
      </c>
      <c r="AD219" s="296">
        <f t="shared" si="82"/>
        <v>7.1428571428571425E-2</v>
      </c>
      <c r="AE219" s="296">
        <f t="shared" si="82"/>
        <v>0.5535714285714286</v>
      </c>
      <c r="AF219" s="296">
        <f t="shared" si="82"/>
        <v>0.26785714285714285</v>
      </c>
      <c r="AG219" s="296">
        <f t="shared" si="82"/>
        <v>7.1428571428571425E-2</v>
      </c>
      <c r="AH219" s="296">
        <f t="shared" si="82"/>
        <v>0.10714285714285714</v>
      </c>
      <c r="AI219" s="296">
        <f t="shared" si="82"/>
        <v>1.3035714285714286</v>
      </c>
      <c r="AJ219" s="296">
        <f t="shared" si="82"/>
        <v>1.5</v>
      </c>
      <c r="AK219" s="296">
        <f t="shared" si="82"/>
        <v>2.125</v>
      </c>
      <c r="AL219" s="296">
        <f t="shared" si="82"/>
        <v>0.26785714285714285</v>
      </c>
      <c r="AM219" s="296">
        <f t="shared" si="82"/>
        <v>3.1964285714285716</v>
      </c>
      <c r="AN219" s="296">
        <f t="shared" si="82"/>
        <v>1.0714285714285714</v>
      </c>
      <c r="AO219" s="296">
        <f t="shared" si="82"/>
        <v>0.16071428571428573</v>
      </c>
      <c r="AP219" s="296">
        <f t="shared" si="82"/>
        <v>2656.0892857142858</v>
      </c>
      <c r="AQ219" s="296">
        <f>IF(ISNUMBER(AQ213),AVERAGE(AQ160:AQ215),"")</f>
        <v>2999.9818458329269</v>
      </c>
      <c r="AT219" s="296"/>
      <c r="AU219" s="296"/>
      <c r="AV219" s="296"/>
      <c r="AW219" s="296"/>
      <c r="AX219" s="296"/>
      <c r="AY219" s="296"/>
      <c r="AZ219" s="296"/>
      <c r="BA219" s="296"/>
      <c r="BB219" s="296"/>
      <c r="BC219" s="296"/>
      <c r="BD219" s="296"/>
      <c r="BE219" s="296"/>
      <c r="BF219" s="296">
        <f>IF(ISNUMBER(AM212),AVERAGE(AM160:AM212),"")</f>
        <v>3.3207547169811322</v>
      </c>
    </row>
    <row r="220" spans="1:71" x14ac:dyDescent="0.35">
      <c r="A220" s="303" t="s">
        <v>2158</v>
      </c>
    </row>
    <row r="223" spans="1:71" x14ac:dyDescent="0.35">
      <c r="A223" s="21" t="e">
        <v>#VALUE!</v>
      </c>
    </row>
    <row r="228" spans="1:72" x14ac:dyDescent="0.35">
      <c r="AS228" s="297"/>
      <c r="AT228" s="297"/>
    </row>
    <row r="232" spans="1:72" ht="15" thickBot="1" x14ac:dyDescent="0.4">
      <c r="A232" s="302" t="s">
        <v>2171</v>
      </c>
      <c r="C232" s="287">
        <f>COUNTIF(C160:C206,"ATV")</f>
        <v>0</v>
      </c>
    </row>
    <row r="233" spans="1:72" ht="15" thickTop="1" x14ac:dyDescent="0.35">
      <c r="A233" s="287"/>
    </row>
    <row r="234" spans="1:72" x14ac:dyDescent="0.35">
      <c r="A234" s="287"/>
    </row>
    <row r="235" spans="1:72" x14ac:dyDescent="0.35">
      <c r="A235" s="290" t="str">
        <f>IF(ISNUMBER(A234),SUM(A187:A234),"")</f>
        <v/>
      </c>
    </row>
    <row r="236" spans="1:72" x14ac:dyDescent="0.35">
      <c r="A236" s="290" t="str">
        <f>IF(ISNUMBER(A234),AVERAGE(A187:A234),"")</f>
        <v/>
      </c>
    </row>
    <row r="237" spans="1:72" x14ac:dyDescent="0.35">
      <c r="A237" s="21" t="str">
        <f>IF(ISNUMBER(A234),MEDIAN(A187:A234),"")</f>
        <v/>
      </c>
      <c r="B237" s="290"/>
      <c r="C237" s="93"/>
      <c r="D237" s="290"/>
      <c r="E237" s="290"/>
      <c r="F237" s="290"/>
      <c r="G237" s="290"/>
      <c r="H237" s="290"/>
      <c r="I237" s="290"/>
    </row>
    <row r="238" spans="1:72" x14ac:dyDescent="0.35">
      <c r="A238" s="287"/>
    </row>
    <row r="239" spans="1:72" x14ac:dyDescent="0.35">
      <c r="A239" s="287"/>
      <c r="AQ239" s="290"/>
      <c r="AR239" s="290"/>
      <c r="AU239" s="290"/>
      <c r="AV239" s="290"/>
      <c r="AW239" s="290"/>
      <c r="AX239" s="290"/>
      <c r="AY239" s="290"/>
      <c r="AZ239" s="290"/>
      <c r="BA239" s="290"/>
      <c r="BB239" s="290"/>
      <c r="BC239" s="290"/>
      <c r="BD239" s="290"/>
      <c r="BE239" s="290"/>
      <c r="BF239" s="290"/>
      <c r="BG239" s="290"/>
      <c r="BH239" s="290"/>
      <c r="BI239" s="290"/>
      <c r="BJ239" s="290"/>
      <c r="BK239" s="290"/>
      <c r="BL239" s="290"/>
      <c r="BM239" s="290"/>
      <c r="BN239" s="290"/>
      <c r="BO239" s="290"/>
      <c r="BP239" s="290"/>
      <c r="BQ239" s="290"/>
      <c r="BR239" s="290"/>
      <c r="BS239" s="290"/>
      <c r="BT239" s="290"/>
    </row>
    <row r="240" spans="1:72" x14ac:dyDescent="0.35">
      <c r="A240" s="287"/>
    </row>
    <row r="241" spans="1:46" hidden="1" x14ac:dyDescent="0.35">
      <c r="A241" s="287"/>
    </row>
    <row r="242" spans="1:46" hidden="1" x14ac:dyDescent="0.35">
      <c r="A242" s="287"/>
    </row>
    <row r="243" spans="1:46" hidden="1" x14ac:dyDescent="0.35">
      <c r="A243" s="287"/>
    </row>
    <row r="244" spans="1:46" hidden="1" x14ac:dyDescent="0.35">
      <c r="A244" s="287"/>
    </row>
    <row r="245" spans="1:46" hidden="1" x14ac:dyDescent="0.35">
      <c r="A245" s="287"/>
    </row>
    <row r="246" spans="1:46" hidden="1" x14ac:dyDescent="0.35">
      <c r="A246" s="287"/>
    </row>
    <row r="247" spans="1:46" hidden="1" x14ac:dyDescent="0.35">
      <c r="A247" s="287"/>
    </row>
    <row r="248" spans="1:46" hidden="1" x14ac:dyDescent="0.35">
      <c r="A248" s="287"/>
    </row>
    <row r="249" spans="1:46" hidden="1" x14ac:dyDescent="0.35">
      <c r="A249" s="287"/>
    </row>
    <row r="250" spans="1:46" hidden="1" x14ac:dyDescent="0.35">
      <c r="A250" s="21" t="str" cm="1">
        <f t="array" ref="A250:A427">IF(SUM(D160:D160)&gt;0,CHOOSE({1},
ANNOUNCEMENTS!$L$1:$L$178,
ANNOUNCEMENTS!$M$1:$M$178,
ANNOUNCEMENTS!$N$1:$N$178),
_xlfn._xlws.FILTER(ANNOUNCEMENTS!J1:N178,(COUNTIFS(ANNOUNCEMENTS!$E$1:$E$178,B160,ANNOUNCEMENTS!$J$1:$J$178,D$159)+COUNTIFS(ANNOUNCEMENTS!$E$1:$E$178,B160,ANNOUNCEMENTS!J1:J178,#REF!))))</f>
        <v>Partner1</v>
      </c>
    </row>
    <row r="251" spans="1:46" hidden="1" x14ac:dyDescent="0.35">
      <c r="A251" s="287" t="str">
        <v>SLTN</v>
      </c>
    </row>
    <row r="252" spans="1:46" hidden="1" x14ac:dyDescent="0.35">
      <c r="A252" s="287" t="str">
        <v>Benteler</v>
      </c>
    </row>
    <row r="253" spans="1:46" hidden="1" x14ac:dyDescent="0.35">
      <c r="A253" s="287" t="str">
        <v>SMRT</v>
      </c>
      <c r="AS253" s="297"/>
      <c r="AT253" s="297"/>
    </row>
    <row r="254" spans="1:46" hidden="1" x14ac:dyDescent="0.35">
      <c r="A254" s="287" t="str">
        <v>United Technical Services</v>
      </c>
    </row>
    <row r="255" spans="1:46" hidden="1" x14ac:dyDescent="0.35">
      <c r="A255" s="287" t="str">
        <v>SMRT</v>
      </c>
    </row>
    <row r="256" spans="1:46" hidden="1" x14ac:dyDescent="0.35">
      <c r="A256" s="287" t="str">
        <v>Vicinity Motor Corp.</v>
      </c>
    </row>
    <row r="257" spans="1:43" hidden="1" x14ac:dyDescent="0.35">
      <c r="A257" s="287" t="str">
        <v>Vicinity Motor Corp.</v>
      </c>
    </row>
    <row r="258" spans="1:43" hidden="1" x14ac:dyDescent="0.35">
      <c r="A258" s="287" t="str">
        <v>Continental</v>
      </c>
      <c r="L258" s="301" t="s">
        <v>2080</v>
      </c>
      <c r="M258" s="300" t="s">
        <v>2079</v>
      </c>
      <c r="N258" s="299"/>
      <c r="O258" s="299"/>
      <c r="P258" s="299"/>
      <c r="Q258" s="299"/>
      <c r="R258" s="299"/>
      <c r="S258" s="299"/>
      <c r="T258" s="299"/>
      <c r="U258" s="299"/>
      <c r="V258" s="299"/>
      <c r="W258" s="299"/>
      <c r="X258" s="299"/>
      <c r="Y258" s="299"/>
      <c r="Z258" s="299"/>
      <c r="AA258" s="299"/>
      <c r="AB258" s="292"/>
      <c r="AD258" s="301"/>
      <c r="AE258" s="300"/>
      <c r="AF258" s="299"/>
      <c r="AG258" s="299"/>
      <c r="AH258" s="299"/>
      <c r="AI258" s="299"/>
      <c r="AJ258" s="299"/>
      <c r="AK258" s="299"/>
    </row>
    <row r="259" spans="1:43" hidden="1" x14ac:dyDescent="0.35">
      <c r="A259" s="287" t="str">
        <v>Hirschbach</v>
      </c>
      <c r="L259" s="293">
        <f>IF(ISERROR(M259),0,
IF(COUNTA(M259:AC259)=1,(VLOOKUP(M259,CBIMPORT!$A$1:$AN$171,38,FALSE)),
IF(COUNTA(M259:AC259)=2,(VLOOKUP(M259,CBIMPORT!$A$1:$AN$171,38,FALSE)+VLOOKUP(N259,CBIMPORT!$A$1:$AN$171,38,FALSE)),
IF(COUNTA(M259:AC259)=3,(VLOOKUP(M259,CBIMPORT!$A$1:$AN$171,38,FALSE)+VLOOKUP(N259,CBIMPORT!$A$1:$AN$171,38,FALSE)+VLOOKUP(O259,CBIMPORT!$A$1:$AN$171,38,FALSE)),
IF(COUNTA(M259:AC259)=4,(VLOOKUP(M259,CBIMPORT!$A$1:$AN$171,38,FALSE)+VLOOKUP(N259,CBIMPORT!$A$1:$AN$171,38,FALSE)+VLOOKUP(O259,CBIMPORT!$A$1:$AN$171,38,FALSE)+VLOOKUP(P259,CBIMPORT!$A$1:$AN$171,38,FALSE)),
IF(COUNTA(M259:AC259)=5,(VLOOKUP(M259,CBIMPORT!$A$1:$AN$171,38,FALSE)+VLOOKUP(N259,CBIMPORT!$A$1:$AN$171,38,FALSE)+VLOOKUP(O259,CBIMPORT!$A$1:$AN$171,38,FALSE)+VLOOKUP(P259,CBIMPORT!$A$1:$AN$171,38,FALSE)+VLOOKUP(Q259,CBIMPORT!$A$1:$AN$171,38,FALSE)),IF(COUNTA(M259:AC259),
IF(COUNTA(M259:AC259)=6,(VLOOKUP(M259,CBIMPORT!$A$1:$AN$171,38,FALSE)+VLOOKUP(N259,CBIMPORT!$A$1:$AN$171,38,FALSE)+VLOOKUP(O259,CBIMPORT!$A$1:$AN$171,38,FALSE)+VLOOKUP(P259,CBIMPORT!$A$1:$AN$171,38,FALSE)+VLOOKUP(Q259,CBIMPORT!$A$1:$AN$171,38,FALSE)+VLOOKUP(R259,CBIMPORT!$A$1:$AN$171,38,FALSE)),
IF(COUNTA(M259:AC259)=7,(VLOOKUP(M259,CBIMPORT!$A$1:$AN$171,38,FALSE)+VLOOKUP(N259,CBIMPORT!$A$1:$AN$171,38,FALSE)+VLOOKUP(O259,CBIMPORT!$A$1:$AN$171,38,FALSE)+VLOOKUP(P259,CBIMPORT!$A$1:$AN$171,38,FALSE)+VLOOKUP(Q259,CBIMPORT!$A$1:$AN$171,38,FALSE)+VLOOKUP(R259,CBIMPORT!$A$1:$AN$171,38,FALSE)+VLOOKUP(S259,CBIMPORT!$A$1:$AN$171,38,FALSE)),
IF(COUNTA(M259:AC259)=7,(VLOOKUP(M259,CBIMPORT!$A$1:$AN$171,38,FALSE)+VLOOKUP(N259,CBIMPORT!$A$1:$AN$171,38,FALSE)+VLOOKUP(O259,CBIMPORT!$A$1:$AN$171,38,FALSE)+VLOOKUP(P259,CBIMPORT!$A$1:$AN$171,38,FALSE)+VLOOKUP(Q259,CBIMPORT!$A$1:$AN$171,38,FALSE)+VLOOKUP(R259,CBIMPORT!$A$1:$AN$171,38,FALSE)+VLOOKUP(S259,CBIMPORT!$A$1:$AN$171,38,FALSE)+VLOOKUP(T259,CBIMPORT!$A$1:$AN$171,38,FALSE)),
IF(COUNTA(M259:AC259)=8,(VLOOKUP(M259,CBIMPORT!$A$1:$AN$171,38,FALSE)+VLOOKUP(N259,CBIMPORT!$A$1:$AN$171,38,FALSE)+VLOOKUP(O259,CBIMPORT!$A$1:$AN$171,38,FALSE)+VLOOKUP(P259,CBIMPORT!$A$1:$AN$171,38,FALSE)+VLOOKUP(Q259,CBIMPORT!$A$1:$AN$171,38,FALSE)+VLOOKUP(R259,CBIMPORT!$A$1:$AN$171,38,FALSE)+VLOOKUP(S259,CBIMPORT!$A$1:$AN$171,38,FALSE)+VLOOKUP(T259,CBIMPORT!$A$1:$AN$171,38,FALSE)),
IF(COUNTA(M259:AC259)=9,(VLOOKUP(M259,CBIMPORT!$A$1:$AN$171,38,FALSE)+VLOOKUP(N259,CBIMPORT!$A$1:$AN$171,38,FALSE)+VLOOKUP(O259,CBIMPORT!$A$1:$AN$171,38,FALSE)+VLOOKUP(P259,CBIMPORT!$A$1:$AN$171,38,FALSE)+VLOOKUP(Q259,CBIMPORT!$A$1:$AN$171,38,FALSE)+VLOOKUP(R259,CBIMPORT!$A$1:$AN$171,38,FALSE)+VLOOKUP(S259,CBIMPORT!$A$1:$AN$171,38,FALSE)+VLOOKUP(T259,CBIMPORT!$A$1:$AN$171,38,FALSE)+VLOOKUP(U259,CBIMPORT!$A$1:$AN$171,38,FALSE)),
IF(COUNTA(M259:AC259)=10,(VLOOKUP(M259,CBIMPORT!$A$1:$AN$171,38,FALSE)+VLOOKUP(N259,CBIMPORT!$A$1:$AN$171,38,FALSE)+VLOOKUP(O259,CBIMPORT!$A$1:$AN$171,38,FALSE)+VLOOKUP(P259,CBIMPORT!$A$1:$AN$171,38,FALSE)+VLOOKUP(Q259,CBIMPORT!$A$1:$AN$171,38,FALSE)+VLOOKUP(R259,CBIMPORT!$A$1:$AN$171,38,FALSE)+VLOOKUP(S259,CBIMPORT!$A$1:$AN$171,38,FALSE)+VLOOKUP(T259,CBIMPORT!$A$1:$AN$171,38,FALSE)),
IF(COUNTA(M259:AC259)=14,(VLOOKUP(M259,CBIMPORT!$A$1:$AN$171,38,FALSE)+VLOOKUP(N259,CBIMPORT!$A$1:$AN$171,38,FALSE)+VLOOKUP(O259,CBIMPORT!$A$1:$AN$171,38,FALSE)+VLOOKUP(P259,CBIMPORT!$A$1:$AN$171,38,FALSE)+VLOOKUP(Q259,CBIMPORT!$A$1:$AN$171,38,FALSE)+VLOOKUP(R259,CBIMPORT!$A$1:$AN$171,38,FALSE)+VLOOKUP(S259,CBIMPORT!$A$1:$AN$171,38,FALSE)+VLOOKUP(T259,CBIMPORT!$A$1:$AN$171,38,FALSE)+VLOOKUP(U259,CBIMPORT!$A$1:$AN$171,38,FALSE)+VLOOKUP(V259,CBIMPORT!$A$1:$AN$171,38,FALSE)+VLOOKUP(W259,CBIMPORT!$A$1:$AN$171,38,FALSE)+VLOOKUP(X259,CBIMPORT!$A$1:$AN$171,38,FALSE)),
IF(COUNTA(M259:AC259)=16,(VLOOKUP(M259,CBIMPORT!$A$1:$AN$171,38,FALSE)+VLOOKUP(N259,CBIMPORT!$A$1:$AN$171,38,FALSE)+VLOOKUP(O259,CBIMPORT!$A$1:$AN$171,38,FALSE)+VLOOKUP(P259,CBIMPORT!$A$1:$AN$171,38,FALSE)+VLOOKUP(Q259,CBIMPORT!$A$1:$AN$171,38,FALSE)+VLOOKUP(R259,CBIMPORT!$A$1:$AN$171,38,FALSE)+VLOOKUP(S259,CBIMPORT!$A$1:$AN$171,38,FALSE)+VLOOKUP(T259,CBIMPORT!$A$1:$AN$171,38,FALSE)+VLOOKUP(U259,CBIMPORT!$A$1:$AN$171,38,FALSE)+VLOOKUP(V259,CBIMPORT!$A$1:$AN$171,38,FALSE)+VLOOKUP(W259,CBIMPORT!$A$1:$AN$171,38,FALSE)+VLOOKUP(X259,CBIMPORT!$A$1:$AN$171,38,FALSE)+VLOOKUP(Y259,CBIMPORT!$A$1:$AN$171,38,FALSE)+VLOOKUP(Z259,CBIMPORT!$A$1:$AN$171,38,FALSE)))))))))))))))))</f>
        <v>0</v>
      </c>
      <c r="M259" s="21" t="str" cm="1">
        <f t="array" ref="M259:Q259">IF(D160&gt;0,
TRANSPOSE(_xlfn._xlws.FILTER(
CHOOSE(
{1},
ANNOUNCEMENTS!$L$1:$L$180,
ANNOUNCEMENTS!$M$1:$M$180,
ANNOUNCEMENTS!$N$1:$N$180
),
((ANNOUNCEMENTS!$E$1:$E$180=B160)*(ANNOUNCEMENTS!$L$1:$L$180&lt;&gt;""))*
((ANNOUNCEMENTS!$J$1:$J$180=C160)))))</f>
        <v>SLTN</v>
      </c>
      <c r="N259" s="21" t="str">
        <v>Benteler</v>
      </c>
      <c r="O259" s="21" t="str">
        <v>SMRT</v>
      </c>
      <c r="P259" s="21" t="str">
        <v>United Technical Services</v>
      </c>
      <c r="Q259" s="21" t="str">
        <v>SMRT</v>
      </c>
      <c r="AB259" s="289"/>
      <c r="AD259" s="293"/>
    </row>
    <row r="260" spans="1:43" hidden="1" x14ac:dyDescent="0.35">
      <c r="A260" s="287" t="str">
        <v>Covenant</v>
      </c>
      <c r="L260" s="293">
        <f>IF(ISERROR(M260),0,
IF(COUNTA(M260:AC260)=1,(VLOOKUP(M260,CBIMPORT!$A$1:$AN$171,38,FALSE)),
IF(COUNTA(M260:AC260)=2,(VLOOKUP(M260,CBIMPORT!$A$1:$AN$171,38,FALSE)+VLOOKUP(N260,CBIMPORT!$A$1:$AN$171,38,FALSE)),
IF(COUNTA(M260:AC260)=3,(VLOOKUP(M260,CBIMPORT!$A$1:$AN$171,38,FALSE)+VLOOKUP(N260,CBIMPORT!$A$1:$AN$171,38,FALSE)+VLOOKUP(O260,CBIMPORT!$A$1:$AN$171,38,FALSE)),
IF(COUNTA(M260:AC260)=4,(VLOOKUP(M260,CBIMPORT!$A$1:$AN$171,38,FALSE)+VLOOKUP(N260,CBIMPORT!$A$1:$AN$171,38,FALSE)+VLOOKUP(O260,CBIMPORT!$A$1:$AN$171,38,FALSE)+VLOOKUP(P260,CBIMPORT!$A$1:$AN$171,38,FALSE)),
IF(COUNTA(M260:AC260)=5,(VLOOKUP(M260,CBIMPORT!$A$1:$AN$171,38,FALSE)+VLOOKUP(N260,CBIMPORT!$A$1:$AN$171,38,FALSE)+VLOOKUP(O260,CBIMPORT!$A$1:$AN$171,38,FALSE)+VLOOKUP(P260,CBIMPORT!$A$1:$AN$171,38,FALSE)+VLOOKUP(Q260,CBIMPORT!$A$1:$AN$171,38,FALSE)),IF(COUNTA(M260:AC260),
IF(COUNTA(M260:AC260)=6,(VLOOKUP(M260,CBIMPORT!$A$1:$AN$171,38,FALSE)+VLOOKUP(N260,CBIMPORT!$A$1:$AN$171,38,FALSE)+VLOOKUP(O260,CBIMPORT!$A$1:$AN$171,38,FALSE)+VLOOKUP(P260,CBIMPORT!$A$1:$AN$171,38,FALSE)+VLOOKUP(Q260,CBIMPORT!$A$1:$AN$171,38,FALSE)+VLOOKUP(R260,CBIMPORT!$A$1:$AN$171,38,FALSE)),
IF(COUNTA(M260:AC260)=7,(VLOOKUP(M260,CBIMPORT!$A$1:$AN$171,38,FALSE)+VLOOKUP(N260,CBIMPORT!$A$1:$AN$171,38,FALSE)+VLOOKUP(O260,CBIMPORT!$A$1:$AN$171,38,FALSE)+VLOOKUP(P260,CBIMPORT!$A$1:$AN$171,38,FALSE)+VLOOKUP(Q260,CBIMPORT!$A$1:$AN$171,38,FALSE)+VLOOKUP(R260,CBIMPORT!$A$1:$AN$171,38,FALSE)+VLOOKUP(S260,CBIMPORT!$A$1:$AN$171,38,FALSE)),
IF(COUNTA(M260:AC260)=7,(VLOOKUP(M260,CBIMPORT!$A$1:$AN$171,38,FALSE)+VLOOKUP(N260,CBIMPORT!$A$1:$AN$171,38,FALSE)+VLOOKUP(O260,CBIMPORT!$A$1:$AN$171,38,FALSE)+VLOOKUP(P260,CBIMPORT!$A$1:$AN$171,38,FALSE)+VLOOKUP(Q260,CBIMPORT!$A$1:$AN$171,38,FALSE)+VLOOKUP(R260,CBIMPORT!$A$1:$AN$171,38,FALSE)+VLOOKUP(S260,CBIMPORT!$A$1:$AN$171,38,FALSE)+VLOOKUP(T260,CBIMPORT!$A$1:$AN$171,38,FALSE)),
IF(COUNTA(M260:AC260)=8,(VLOOKUP(M260,CBIMPORT!$A$1:$AN$171,38,FALSE)+VLOOKUP(N260,CBIMPORT!$A$1:$AN$171,38,FALSE)+VLOOKUP(O260,CBIMPORT!$A$1:$AN$171,38,FALSE)+VLOOKUP(P260,CBIMPORT!$A$1:$AN$171,38,FALSE)+VLOOKUP(Q260,CBIMPORT!$A$1:$AN$171,38,FALSE)+VLOOKUP(R260,CBIMPORT!$A$1:$AN$171,38,FALSE)+VLOOKUP(S260,CBIMPORT!$A$1:$AN$171,38,FALSE)+VLOOKUP(T260,CBIMPORT!$A$1:$AN$171,38,FALSE)),
IF(COUNTA(M260:AC260)=9,(VLOOKUP(M260,CBIMPORT!$A$1:$AN$171,38,FALSE)+VLOOKUP(N260,CBIMPORT!$A$1:$AN$171,38,FALSE)+VLOOKUP(O260,CBIMPORT!$A$1:$AN$171,38,FALSE)+VLOOKUP(P260,CBIMPORT!$A$1:$AN$171,38,FALSE)+VLOOKUP(Q260,CBIMPORT!$A$1:$AN$171,38,FALSE)+VLOOKUP(R260,CBIMPORT!$A$1:$AN$171,38,FALSE)+VLOOKUP(S260,CBIMPORT!$A$1:$AN$171,38,FALSE)+VLOOKUP(T260,CBIMPORT!$A$1:$AN$171,38,FALSE)+VLOOKUP(U260,CBIMPORT!$A$1:$AN$171,38,FALSE)),
IF(COUNTA(M260:AC260)=10,(VLOOKUP(M260,CBIMPORT!$A$1:$AN$171,38,FALSE)+VLOOKUP(N260,CBIMPORT!$A$1:$AN$171,38,FALSE)+VLOOKUP(O260,CBIMPORT!$A$1:$AN$171,38,FALSE)+VLOOKUP(P260,CBIMPORT!$A$1:$AN$171,38,FALSE)+VLOOKUP(Q260,CBIMPORT!$A$1:$AN$171,38,FALSE)+VLOOKUP(R260,CBIMPORT!$A$1:$AN$171,38,FALSE)+VLOOKUP(S260,CBIMPORT!$A$1:$AN$171,38,FALSE)+VLOOKUP(T260,CBIMPORT!$A$1:$AN$171,38,FALSE)),
IF(COUNTA(M260:AC260)=14,(VLOOKUP(M260,CBIMPORT!$A$1:$AN$171,38,FALSE)+VLOOKUP(N260,CBIMPORT!$A$1:$AN$171,38,FALSE)+VLOOKUP(O260,CBIMPORT!$A$1:$AN$171,38,FALSE)+VLOOKUP(P260,CBIMPORT!$A$1:$AN$171,38,FALSE)+VLOOKUP(Q260,CBIMPORT!$A$1:$AN$171,38,FALSE)+VLOOKUP(R260,CBIMPORT!$A$1:$AN$171,38,FALSE)+VLOOKUP(S260,CBIMPORT!$A$1:$AN$171,38,FALSE)+VLOOKUP(T260,CBIMPORT!$A$1:$AN$171,38,FALSE)+VLOOKUP(U260,CBIMPORT!$A$1:$AN$171,38,FALSE)+VLOOKUP(V260,CBIMPORT!$A$1:$AN$171,38,FALSE)+VLOOKUP(W260,CBIMPORT!$A$1:$AN$171,38,FALSE)+VLOOKUP(X260,CBIMPORT!$A$1:$AN$171,38,FALSE)),
IF(COUNTA(M260:AC260)=16,(VLOOKUP(M260,CBIMPORT!$A$1:$AN$171,38,FALSE)+VLOOKUP(N260,CBIMPORT!$A$1:$AN$171,38,FALSE)+VLOOKUP(O260,CBIMPORT!$A$1:$AN$171,38,FALSE)+VLOOKUP(P260,CBIMPORT!$A$1:$AN$171,38,FALSE)+VLOOKUP(Q260,CBIMPORT!$A$1:$AN$171,38,FALSE)+VLOOKUP(R260,CBIMPORT!$A$1:$AN$171,38,FALSE)+VLOOKUP(S260,CBIMPORT!$A$1:$AN$171,38,FALSE)+VLOOKUP(T260,CBIMPORT!$A$1:$AN$171,38,FALSE)+VLOOKUP(U260,CBIMPORT!$A$1:$AN$171,38,FALSE)+VLOOKUP(V260,CBIMPORT!$A$1:$AN$171,38,FALSE)+VLOOKUP(W260,CBIMPORT!$A$1:$AN$171,38,FALSE)+VLOOKUP(X260,CBIMPORT!$A$1:$AN$171,38,FALSE)+VLOOKUP(Y260,CBIMPORT!$A$1:$AN$171,38,FALSE)+VLOOKUP(Z260,CBIMPORT!$A$1:$AN$171,38,FALSE)))))))))))))))))</f>
        <v>0</v>
      </c>
      <c r="M260" s="21" t="str" cm="1">
        <f t="array" ref="M260:N260">IF(D161&gt;0,
TRANSPOSE(_xlfn._xlws.FILTER(
CHOOSE(
{1},
ANNOUNCEMENTS!$L$1:$L$180,
ANNOUNCEMENTS!$M$1:$M$180,
ANNOUNCEMENTS!$N$1:$N$180
),
((ANNOUNCEMENTS!$E$1:$E$180=B161)*(ANNOUNCEMENTS!$L$1:$L$180&lt;&gt;""))*
((ANNOUNCEMENTS!$J$1:$J$180=C161)))))</f>
        <v>Vicinity Motor Corp.</v>
      </c>
      <c r="N260" s="21" t="str">
        <v>Vicinity Motor Corp.</v>
      </c>
      <c r="AB260" s="289"/>
      <c r="AD260" s="293"/>
    </row>
    <row r="261" spans="1:43" hidden="1" x14ac:dyDescent="0.35">
      <c r="A261" s="287" t="str">
        <v>U.S. Xpress</v>
      </c>
      <c r="L261" s="293">
        <f>IF(ISERROR(M261),0,
IF(COUNTA(M261:AC261)=1,(VLOOKUP(M261,CBIMPORT!$A$1:$AN$171,38,FALSE)),
IF(COUNTA(M261:AC261)=2,(VLOOKUP(M261,CBIMPORT!$A$1:$AN$171,38,FALSE)+VLOOKUP(N261,CBIMPORT!$A$1:$AN$171,38,FALSE)),
IF(COUNTA(M261:AC261)=3,(VLOOKUP(M261,CBIMPORT!$A$1:$AN$171,38,FALSE)+VLOOKUP(N261,CBIMPORT!$A$1:$AN$171,38,FALSE)+VLOOKUP(O261,CBIMPORT!$A$1:$AN$171,38,FALSE)),
IF(COUNTA(M261:AC261)=4,(VLOOKUP(M261,CBIMPORT!$A$1:$AN$171,38,FALSE)+VLOOKUP(N261,CBIMPORT!$A$1:$AN$171,38,FALSE)+VLOOKUP(O261,CBIMPORT!$A$1:$AN$171,38,FALSE)+VLOOKUP(P261,CBIMPORT!$A$1:$AN$171,38,FALSE)),
IF(COUNTA(M261:AC261)=5,(VLOOKUP(M261,CBIMPORT!$A$1:$AN$171,38,FALSE)+VLOOKUP(N261,CBIMPORT!$A$1:$AN$171,38,FALSE)+VLOOKUP(O261,CBIMPORT!$A$1:$AN$171,38,FALSE)+VLOOKUP(P261,CBIMPORT!$A$1:$AN$171,38,FALSE)+VLOOKUP(Q261,CBIMPORT!$A$1:$AN$171,38,FALSE)),IF(COUNTA(M261:AC261),
IF(COUNTA(M261:AC261)=6,(VLOOKUP(M261,CBIMPORT!$A$1:$AN$171,38,FALSE)+VLOOKUP(N261,CBIMPORT!$A$1:$AN$171,38,FALSE)+VLOOKUP(O261,CBIMPORT!$A$1:$AN$171,38,FALSE)+VLOOKUP(P261,CBIMPORT!$A$1:$AN$171,38,FALSE)+VLOOKUP(Q261,CBIMPORT!$A$1:$AN$171,38,FALSE)+VLOOKUP(R261,CBIMPORT!$A$1:$AN$171,38,FALSE)),
IF(COUNTA(M261:AC261)=7,(VLOOKUP(M261,CBIMPORT!$A$1:$AN$171,38,FALSE)+VLOOKUP(N261,CBIMPORT!$A$1:$AN$171,38,FALSE)+VLOOKUP(O261,CBIMPORT!$A$1:$AN$171,38,FALSE)+VLOOKUP(P261,CBIMPORT!$A$1:$AN$171,38,FALSE)+VLOOKUP(Q261,CBIMPORT!$A$1:$AN$171,38,FALSE)+VLOOKUP(R261,CBIMPORT!$A$1:$AN$171,38,FALSE)+VLOOKUP(S261,CBIMPORT!$A$1:$AN$171,38,FALSE)),
IF(COUNTA(M261:AC261)=7,(VLOOKUP(M261,CBIMPORT!$A$1:$AN$171,38,FALSE)+VLOOKUP(N261,CBIMPORT!$A$1:$AN$171,38,FALSE)+VLOOKUP(O261,CBIMPORT!$A$1:$AN$171,38,FALSE)+VLOOKUP(P261,CBIMPORT!$A$1:$AN$171,38,FALSE)+VLOOKUP(Q261,CBIMPORT!$A$1:$AN$171,38,FALSE)+VLOOKUP(R261,CBIMPORT!$A$1:$AN$171,38,FALSE)+VLOOKUP(S261,CBIMPORT!$A$1:$AN$171,38,FALSE)+VLOOKUP(T261,CBIMPORT!$A$1:$AN$171,38,FALSE)),
IF(COUNTA(M261:AC261)=8,(VLOOKUP(M261,CBIMPORT!$A$1:$AN$171,38,FALSE)+VLOOKUP(N261,CBIMPORT!$A$1:$AN$171,38,FALSE)+VLOOKUP(O261,CBIMPORT!$A$1:$AN$171,38,FALSE)+VLOOKUP(P261,CBIMPORT!$A$1:$AN$171,38,FALSE)+VLOOKUP(Q261,CBIMPORT!$A$1:$AN$171,38,FALSE)+VLOOKUP(R261,CBIMPORT!$A$1:$AN$171,38,FALSE)+VLOOKUP(S261,CBIMPORT!$A$1:$AN$171,38,FALSE)+VLOOKUP(T261,CBIMPORT!$A$1:$AN$171,38,FALSE)),
IF(COUNTA(M261:AC261)=9,(VLOOKUP(M261,CBIMPORT!$A$1:$AN$171,38,FALSE)+VLOOKUP(N261,CBIMPORT!$A$1:$AN$171,38,FALSE)+VLOOKUP(O261,CBIMPORT!$A$1:$AN$171,38,FALSE)+VLOOKUP(P261,CBIMPORT!$A$1:$AN$171,38,FALSE)+VLOOKUP(Q261,CBIMPORT!$A$1:$AN$171,38,FALSE)+VLOOKUP(R261,CBIMPORT!$A$1:$AN$171,38,FALSE)+VLOOKUP(S261,CBIMPORT!$A$1:$AN$171,38,FALSE)+VLOOKUP(T261,CBIMPORT!$A$1:$AN$171,38,FALSE)+VLOOKUP(U261,CBIMPORT!$A$1:$AN$171,38,FALSE)),
IF(COUNTA(M261:AC261)=10,(VLOOKUP(M261,CBIMPORT!$A$1:$AN$171,38,FALSE)+VLOOKUP(N261,CBIMPORT!$A$1:$AN$171,38,FALSE)+VLOOKUP(O261,CBIMPORT!$A$1:$AN$171,38,FALSE)+VLOOKUP(P261,CBIMPORT!$A$1:$AN$171,38,FALSE)+VLOOKUP(Q261,CBIMPORT!$A$1:$AN$171,38,FALSE)+VLOOKUP(R261,CBIMPORT!$A$1:$AN$171,38,FALSE)+VLOOKUP(S261,CBIMPORT!$A$1:$AN$171,38,FALSE)+VLOOKUP(T261,CBIMPORT!$A$1:$AN$171,38,FALSE)),
IF(COUNTA(M261:AC261)=14,(VLOOKUP(M261,CBIMPORT!$A$1:$AN$171,38,FALSE)+VLOOKUP(N261,CBIMPORT!$A$1:$AN$171,38,FALSE)+VLOOKUP(O261,CBIMPORT!$A$1:$AN$171,38,FALSE)+VLOOKUP(P261,CBIMPORT!$A$1:$AN$171,38,FALSE)+VLOOKUP(Q261,CBIMPORT!$A$1:$AN$171,38,FALSE)+VLOOKUP(R261,CBIMPORT!$A$1:$AN$171,38,FALSE)+VLOOKUP(S261,CBIMPORT!$A$1:$AN$171,38,FALSE)+VLOOKUP(T261,CBIMPORT!$A$1:$AN$171,38,FALSE)+VLOOKUP(U261,CBIMPORT!$A$1:$AN$171,38,FALSE)+VLOOKUP(V261,CBIMPORT!$A$1:$AN$171,38,FALSE)+VLOOKUP(W261,CBIMPORT!$A$1:$AN$171,38,FALSE)+VLOOKUP(X261,CBIMPORT!$A$1:$AN$171,38,FALSE)),
IF(COUNTA(M261:AC261)=16,(VLOOKUP(M261,CBIMPORT!$A$1:$AN$171,38,FALSE)+VLOOKUP(N261,CBIMPORT!$A$1:$AN$171,38,FALSE)+VLOOKUP(O261,CBIMPORT!$A$1:$AN$171,38,FALSE)+VLOOKUP(P261,CBIMPORT!$A$1:$AN$171,38,FALSE)+VLOOKUP(Q261,CBIMPORT!$A$1:$AN$171,38,FALSE)+VLOOKUP(R261,CBIMPORT!$A$1:$AN$171,38,FALSE)+VLOOKUP(S261,CBIMPORT!$A$1:$AN$171,38,FALSE)+VLOOKUP(T261,CBIMPORT!$A$1:$AN$171,38,FALSE)+VLOOKUP(U261,CBIMPORT!$A$1:$AN$171,38,FALSE)+VLOOKUP(V261,CBIMPORT!$A$1:$AN$171,38,FALSE)+VLOOKUP(W261,CBIMPORT!$A$1:$AN$171,38,FALSE)+VLOOKUP(X261,CBIMPORT!$A$1:$AN$171,38,FALSE)+VLOOKUP(Y261,CBIMPORT!$A$1:$AN$171,38,FALSE)+VLOOKUP(Z261,CBIMPORT!$A$1:$AN$171,38,FALSE)))))))))))))))))</f>
        <v>2</v>
      </c>
      <c r="M261" s="21" t="str" cm="1">
        <f t="array" ref="M261:P261">IF(D162&gt;0,
TRANSPOSE(_xlfn._xlws.FILTER(
CHOOSE(
{1},
ANNOUNCEMENTS!$L$1:$L$180,
ANNOUNCEMENTS!$M$1:$M$180,
ANNOUNCEMENTS!$N$1:$N$180
),
((ANNOUNCEMENTS!$E$1:$E$180=B162)*(ANNOUNCEMENTS!$L$1:$L$180&lt;&gt;""))*
((ANNOUNCEMENTS!$J$1:$J$180=C162)))))</f>
        <v>Continental</v>
      </c>
      <c r="N261" s="21" t="str">
        <v>Hirschbach</v>
      </c>
      <c r="O261" s="21" t="str">
        <v>Covenant</v>
      </c>
      <c r="P261" s="21" t="str">
        <v>U.S. Xpress</v>
      </c>
      <c r="AB261" s="289"/>
      <c r="AD261" s="293"/>
    </row>
    <row r="262" spans="1:43" hidden="1" x14ac:dyDescent="0.35">
      <c r="A262" s="287" t="str">
        <v>North Carolina Department of Transportation</v>
      </c>
      <c r="L262" s="293">
        <f>IF(ISERROR(M262),0,
IF(COUNTA(M262:AC262)=1,(VLOOKUP(M262,CBIMPORT!$A$1:$AN$171,38,FALSE)),
IF(COUNTA(M262:AC262)=2,(VLOOKUP(M262,CBIMPORT!$A$1:$AN$171,38,FALSE)+VLOOKUP(N262,CBIMPORT!$A$1:$AN$171,38,FALSE)),
IF(COUNTA(M262:AC262)=3,(VLOOKUP(M262,CBIMPORT!$A$1:$AN$171,38,FALSE)+VLOOKUP(N262,CBIMPORT!$A$1:$AN$171,38,FALSE)+VLOOKUP(O262,CBIMPORT!$A$1:$AN$171,38,FALSE)),
IF(COUNTA(M262:AC262)=4,(VLOOKUP(M262,CBIMPORT!$A$1:$AN$171,38,FALSE)+VLOOKUP(N262,CBIMPORT!$A$1:$AN$171,38,FALSE)+VLOOKUP(O262,CBIMPORT!$A$1:$AN$171,38,FALSE)+VLOOKUP(P262,CBIMPORT!$A$1:$AN$171,38,FALSE)),
IF(COUNTA(M262:AC262)=5,(VLOOKUP(M262,CBIMPORT!$A$1:$AN$171,38,FALSE)+VLOOKUP(N262,CBIMPORT!$A$1:$AN$171,38,FALSE)+VLOOKUP(O262,CBIMPORT!$A$1:$AN$171,38,FALSE)+VLOOKUP(P262,CBIMPORT!$A$1:$AN$171,38,FALSE)+VLOOKUP(Q262,CBIMPORT!$A$1:$AN$171,38,FALSE)),IF(COUNTA(M262:AC262),
IF(COUNTA(M262:AC262)=6,(VLOOKUP(M262,CBIMPORT!$A$1:$AN$171,38,FALSE)+VLOOKUP(N262,CBIMPORT!$A$1:$AN$171,38,FALSE)+VLOOKUP(O262,CBIMPORT!$A$1:$AN$171,38,FALSE)+VLOOKUP(P262,CBIMPORT!$A$1:$AN$171,38,FALSE)+VLOOKUP(Q262,CBIMPORT!$A$1:$AN$171,38,FALSE)+VLOOKUP(R262,CBIMPORT!$A$1:$AN$171,38,FALSE)),
IF(COUNTA(M262:AC262)=7,(VLOOKUP(M262,CBIMPORT!$A$1:$AN$171,38,FALSE)+VLOOKUP(N262,CBIMPORT!$A$1:$AN$171,38,FALSE)+VLOOKUP(O262,CBIMPORT!$A$1:$AN$171,38,FALSE)+VLOOKUP(P262,CBIMPORT!$A$1:$AN$171,38,FALSE)+VLOOKUP(Q262,CBIMPORT!$A$1:$AN$171,38,FALSE)+VLOOKUP(R262,CBIMPORT!$A$1:$AN$171,38,FALSE)+VLOOKUP(S262,CBIMPORT!$A$1:$AN$171,38,FALSE)),
IF(COUNTA(M262:AC262)=7,(VLOOKUP(M262,CBIMPORT!$A$1:$AN$171,38,FALSE)+VLOOKUP(N262,CBIMPORT!$A$1:$AN$171,38,FALSE)+VLOOKUP(O262,CBIMPORT!$A$1:$AN$171,38,FALSE)+VLOOKUP(P262,CBIMPORT!$A$1:$AN$171,38,FALSE)+VLOOKUP(Q262,CBIMPORT!$A$1:$AN$171,38,FALSE)+VLOOKUP(R262,CBIMPORT!$A$1:$AN$171,38,FALSE)+VLOOKUP(S262,CBIMPORT!$A$1:$AN$171,38,FALSE)+VLOOKUP(T262,CBIMPORT!$A$1:$AN$171,38,FALSE)),
IF(COUNTA(M262:AC262)=8,(VLOOKUP(M262,CBIMPORT!$A$1:$AN$171,38,FALSE)+VLOOKUP(N262,CBIMPORT!$A$1:$AN$171,38,FALSE)+VLOOKUP(O262,CBIMPORT!$A$1:$AN$171,38,FALSE)+VLOOKUP(P262,CBIMPORT!$A$1:$AN$171,38,FALSE)+VLOOKUP(Q262,CBIMPORT!$A$1:$AN$171,38,FALSE)+VLOOKUP(R262,CBIMPORT!$A$1:$AN$171,38,FALSE)+VLOOKUP(S262,CBIMPORT!$A$1:$AN$171,38,FALSE)+VLOOKUP(T262,CBIMPORT!$A$1:$AN$171,38,FALSE)),
IF(COUNTA(M262:AC262)=9,(VLOOKUP(M262,CBIMPORT!$A$1:$AN$171,38,FALSE)+VLOOKUP(N262,CBIMPORT!$A$1:$AN$171,38,FALSE)+VLOOKUP(O262,CBIMPORT!$A$1:$AN$171,38,FALSE)+VLOOKUP(P262,CBIMPORT!$A$1:$AN$171,38,FALSE)+VLOOKUP(Q262,CBIMPORT!$A$1:$AN$171,38,FALSE)+VLOOKUP(R262,CBIMPORT!$A$1:$AN$171,38,FALSE)+VLOOKUP(S262,CBIMPORT!$A$1:$AN$171,38,FALSE)+VLOOKUP(T262,CBIMPORT!$A$1:$AN$171,38,FALSE)+VLOOKUP(U262,CBIMPORT!$A$1:$AN$171,38,FALSE)),
IF(COUNTA(M262:AC262)=10,(VLOOKUP(M262,CBIMPORT!$A$1:$AN$171,38,FALSE)+VLOOKUP(N262,CBIMPORT!$A$1:$AN$171,38,FALSE)+VLOOKUP(O262,CBIMPORT!$A$1:$AN$171,38,FALSE)+VLOOKUP(P262,CBIMPORT!$A$1:$AN$171,38,FALSE)+VLOOKUP(Q262,CBIMPORT!$A$1:$AN$171,38,FALSE)+VLOOKUP(R262,CBIMPORT!$A$1:$AN$171,38,FALSE)+VLOOKUP(S262,CBIMPORT!$A$1:$AN$171,38,FALSE)+VLOOKUP(T262,CBIMPORT!$A$1:$AN$171,38,FALSE)),
IF(COUNTA(M262:AC262)=14,(VLOOKUP(M262,CBIMPORT!$A$1:$AN$171,38,FALSE)+VLOOKUP(N262,CBIMPORT!$A$1:$AN$171,38,FALSE)+VLOOKUP(O262,CBIMPORT!$A$1:$AN$171,38,FALSE)+VLOOKUP(P262,CBIMPORT!$A$1:$AN$171,38,FALSE)+VLOOKUP(Q262,CBIMPORT!$A$1:$AN$171,38,FALSE)+VLOOKUP(R262,CBIMPORT!$A$1:$AN$171,38,FALSE)+VLOOKUP(S262,CBIMPORT!$A$1:$AN$171,38,FALSE)+VLOOKUP(T262,CBIMPORT!$A$1:$AN$171,38,FALSE)+VLOOKUP(U262,CBIMPORT!$A$1:$AN$171,38,FALSE)+VLOOKUP(V262,CBIMPORT!$A$1:$AN$171,38,FALSE)+VLOOKUP(W262,CBIMPORT!$A$1:$AN$171,38,FALSE)+VLOOKUP(X262,CBIMPORT!$A$1:$AN$171,38,FALSE)),
IF(COUNTA(M262:AC262)=16,(VLOOKUP(M262,CBIMPORT!$A$1:$AN$171,38,FALSE)+VLOOKUP(N262,CBIMPORT!$A$1:$AN$171,38,FALSE)+VLOOKUP(O262,CBIMPORT!$A$1:$AN$171,38,FALSE)+VLOOKUP(P262,CBIMPORT!$A$1:$AN$171,38,FALSE)+VLOOKUP(Q262,CBIMPORT!$A$1:$AN$171,38,FALSE)+VLOOKUP(R262,CBIMPORT!$A$1:$AN$171,38,FALSE)+VLOOKUP(S262,CBIMPORT!$A$1:$AN$171,38,FALSE)+VLOOKUP(T262,CBIMPORT!$A$1:$AN$171,38,FALSE)+VLOOKUP(U262,CBIMPORT!$A$1:$AN$171,38,FALSE)+VLOOKUP(V262,CBIMPORT!$A$1:$AN$171,38,FALSE)+VLOOKUP(W262,CBIMPORT!$A$1:$AN$171,38,FALSE)+VLOOKUP(X262,CBIMPORT!$A$1:$AN$171,38,FALSE)+VLOOKUP(Y262,CBIMPORT!$A$1:$AN$171,38,FALSE)+VLOOKUP(Z262,CBIMPORT!$A$1:$AN$171,38,FALSE)))))))))))))))))</f>
        <v>0</v>
      </c>
      <c r="M262" s="21" t="str" cm="1">
        <f t="array" ref="M262:P262">IF(D163&gt;0,
TRANSPOSE(_xlfn._xlws.FILTER(
CHOOSE(
{1},
ANNOUNCEMENTS!$L$1:$L$180,
ANNOUNCEMENTS!$M$1:$M$180,
ANNOUNCEMENTS!$N$1:$N$180
),
((ANNOUNCEMENTS!$E$1:$E$180=B163)*(ANNOUNCEMENTS!$L$1:$L$180&lt;&gt;""))*
((ANNOUNCEMENTS!$J$1:$J$180=C163)))))</f>
        <v>North Carolina Department of Transportation</v>
      </c>
      <c r="N262" s="21" t="str">
        <v>Contra Costa Transportation Authority</v>
      </c>
      <c r="O262" s="21" t="str">
        <v>ZF</v>
      </c>
      <c r="P262" s="21" t="str">
        <v>Oxa</v>
      </c>
      <c r="AB262" s="289"/>
      <c r="AD262" s="293"/>
    </row>
    <row r="263" spans="1:43" hidden="1" x14ac:dyDescent="0.35">
      <c r="A263" s="287" t="str">
        <v>Contra Costa Transportation Authority</v>
      </c>
      <c r="K263" s="290"/>
      <c r="L263" s="293">
        <f>IF(ISERROR(M263),0,
IF(COUNTA(M263:AC263)=1,(VLOOKUP(M263,CBIMPORT!$A$1:$AN$171,38,FALSE)),
IF(COUNTA(M263:AC263)=2,(VLOOKUP(M263,CBIMPORT!$A$1:$AN$171,38,FALSE)+VLOOKUP(N263,CBIMPORT!$A$1:$AN$171,38,FALSE)),
IF(COUNTA(M263:AC263)=3,(VLOOKUP(M263,CBIMPORT!$A$1:$AN$171,38,FALSE)+VLOOKUP(N263,CBIMPORT!$A$1:$AN$171,38,FALSE)+VLOOKUP(O263,CBIMPORT!$A$1:$AN$171,38,FALSE)),
IF(COUNTA(M263:AC263)=4,(VLOOKUP(M263,CBIMPORT!$A$1:$AN$171,38,FALSE)+VLOOKUP(N263,CBIMPORT!$A$1:$AN$171,38,FALSE)+VLOOKUP(O263,CBIMPORT!$A$1:$AN$171,38,FALSE)+VLOOKUP(P263,CBIMPORT!$A$1:$AN$171,38,FALSE)),
IF(COUNTA(M263:AC263)=5,(VLOOKUP(M263,CBIMPORT!$A$1:$AN$171,38,FALSE)+VLOOKUP(N263,CBIMPORT!$A$1:$AN$171,38,FALSE)+VLOOKUP(O263,CBIMPORT!$A$1:$AN$171,38,FALSE)+VLOOKUP(P263,CBIMPORT!$A$1:$AN$171,38,FALSE)+VLOOKUP(Q263,CBIMPORT!$A$1:$AN$171,38,FALSE)),IF(COUNTA(M263:AC263),
IF(COUNTA(M263:AC263)=6,(VLOOKUP(M263,CBIMPORT!$A$1:$AN$171,38,FALSE)+VLOOKUP(N263,CBIMPORT!$A$1:$AN$171,38,FALSE)+VLOOKUP(O263,CBIMPORT!$A$1:$AN$171,38,FALSE)+VLOOKUP(P263,CBIMPORT!$A$1:$AN$171,38,FALSE)+VLOOKUP(Q263,CBIMPORT!$A$1:$AN$171,38,FALSE)+VLOOKUP(R263,CBIMPORT!$A$1:$AN$171,38,FALSE)),
IF(COUNTA(M263:AC263)=7,(VLOOKUP(M263,CBIMPORT!$A$1:$AN$171,38,FALSE)+VLOOKUP(N263,CBIMPORT!$A$1:$AN$171,38,FALSE)+VLOOKUP(O263,CBIMPORT!$A$1:$AN$171,38,FALSE)+VLOOKUP(P263,CBIMPORT!$A$1:$AN$171,38,FALSE)+VLOOKUP(Q263,CBIMPORT!$A$1:$AN$171,38,FALSE)+VLOOKUP(R263,CBIMPORT!$A$1:$AN$171,38,FALSE)+VLOOKUP(S263,CBIMPORT!$A$1:$AN$171,38,FALSE)),
IF(COUNTA(M263:AC263)=7,(VLOOKUP(M263,CBIMPORT!$A$1:$AN$171,38,FALSE)+VLOOKUP(N263,CBIMPORT!$A$1:$AN$171,38,FALSE)+VLOOKUP(O263,CBIMPORT!$A$1:$AN$171,38,FALSE)+VLOOKUP(P263,CBIMPORT!$A$1:$AN$171,38,FALSE)+VLOOKUP(Q263,CBIMPORT!$A$1:$AN$171,38,FALSE)+VLOOKUP(R263,CBIMPORT!$A$1:$AN$171,38,FALSE)+VLOOKUP(S263,CBIMPORT!$A$1:$AN$171,38,FALSE)+VLOOKUP(T263,CBIMPORT!$A$1:$AN$171,38,FALSE)),
IF(COUNTA(M263:AC263)=8,(VLOOKUP(M263,CBIMPORT!$A$1:$AN$171,38,FALSE)+VLOOKUP(N263,CBIMPORT!$A$1:$AN$171,38,FALSE)+VLOOKUP(O263,CBIMPORT!$A$1:$AN$171,38,FALSE)+VLOOKUP(P263,CBIMPORT!$A$1:$AN$171,38,FALSE)+VLOOKUP(Q263,CBIMPORT!$A$1:$AN$171,38,FALSE)+VLOOKUP(R263,CBIMPORT!$A$1:$AN$171,38,FALSE)+VLOOKUP(S263,CBIMPORT!$A$1:$AN$171,38,FALSE)+VLOOKUP(T263,CBIMPORT!$A$1:$AN$171,38,FALSE)),
IF(COUNTA(M263:AC263)=9,(VLOOKUP(M263,CBIMPORT!$A$1:$AN$171,38,FALSE)+VLOOKUP(N263,CBIMPORT!$A$1:$AN$171,38,FALSE)+VLOOKUP(O263,CBIMPORT!$A$1:$AN$171,38,FALSE)+VLOOKUP(P263,CBIMPORT!$A$1:$AN$171,38,FALSE)+VLOOKUP(Q263,CBIMPORT!$A$1:$AN$171,38,FALSE)+VLOOKUP(R263,CBIMPORT!$A$1:$AN$171,38,FALSE)+VLOOKUP(S263,CBIMPORT!$A$1:$AN$171,38,FALSE)+VLOOKUP(T263,CBIMPORT!$A$1:$AN$171,38,FALSE)+VLOOKUP(U263,CBIMPORT!$A$1:$AN$171,38,FALSE)),
IF(COUNTA(M263:AC263)=10,(VLOOKUP(M263,CBIMPORT!$A$1:$AN$171,38,FALSE)+VLOOKUP(N263,CBIMPORT!$A$1:$AN$171,38,FALSE)+VLOOKUP(O263,CBIMPORT!$A$1:$AN$171,38,FALSE)+VLOOKUP(P263,CBIMPORT!$A$1:$AN$171,38,FALSE)+VLOOKUP(Q263,CBIMPORT!$A$1:$AN$171,38,FALSE)+VLOOKUP(R263,CBIMPORT!$A$1:$AN$171,38,FALSE)+VLOOKUP(S263,CBIMPORT!$A$1:$AN$171,38,FALSE)+VLOOKUP(T263,CBIMPORT!$A$1:$AN$171,38,FALSE)),
IF(COUNTA(M263:AC263)=14,(VLOOKUP(M263,CBIMPORT!$A$1:$AN$171,38,FALSE)+VLOOKUP(N263,CBIMPORT!$A$1:$AN$171,38,FALSE)+VLOOKUP(O263,CBIMPORT!$A$1:$AN$171,38,FALSE)+VLOOKUP(P263,CBIMPORT!$A$1:$AN$171,38,FALSE)+VLOOKUP(Q263,CBIMPORT!$A$1:$AN$171,38,FALSE)+VLOOKUP(R263,CBIMPORT!$A$1:$AN$171,38,FALSE)+VLOOKUP(S263,CBIMPORT!$A$1:$AN$171,38,FALSE)+VLOOKUP(T263,CBIMPORT!$A$1:$AN$171,38,FALSE)+VLOOKUP(U263,CBIMPORT!$A$1:$AN$171,38,FALSE)+VLOOKUP(V263,CBIMPORT!$A$1:$AN$171,38,FALSE)+VLOOKUP(W263,CBIMPORT!$A$1:$AN$171,38,FALSE)+VLOOKUP(X263,CBIMPORT!$A$1:$AN$171,38,FALSE)),
IF(COUNTA(M263:AC263)=16,(VLOOKUP(M263,CBIMPORT!$A$1:$AN$171,38,FALSE)+VLOOKUP(N263,CBIMPORT!$A$1:$AN$171,38,FALSE)+VLOOKUP(O263,CBIMPORT!$A$1:$AN$171,38,FALSE)+VLOOKUP(P263,CBIMPORT!$A$1:$AN$171,38,FALSE)+VLOOKUP(Q263,CBIMPORT!$A$1:$AN$171,38,FALSE)+VLOOKUP(R263,CBIMPORT!$A$1:$AN$171,38,FALSE)+VLOOKUP(S263,CBIMPORT!$A$1:$AN$171,38,FALSE)+VLOOKUP(T263,CBIMPORT!$A$1:$AN$171,38,FALSE)+VLOOKUP(U263,CBIMPORT!$A$1:$AN$171,38,FALSE)+VLOOKUP(V263,CBIMPORT!$A$1:$AN$171,38,FALSE)+VLOOKUP(W263,CBIMPORT!$A$1:$AN$171,38,FALSE)+VLOOKUP(X263,CBIMPORT!$A$1:$AN$171,38,FALSE)+VLOOKUP(Y263,CBIMPORT!$A$1:$AN$171,38,FALSE)+VLOOKUP(Z263,CBIMPORT!$A$1:$AN$171,38,FALSE)))))))))))))))))</f>
        <v>0</v>
      </c>
      <c r="M263" s="21" t="str" cm="1">
        <f t="array" ref="M263">IF(D164&gt;0,
TRANSPOSE(_xlfn._xlws.FILTER(
CHOOSE(
{1},
ANNOUNCEMENTS!$L$1:$L$180,
ANNOUNCEMENTS!$M$1:$M$180,
ANNOUNCEMENTS!$N$1:$N$180
),
((ANNOUNCEMENTS!$E$1:$E$180=B164)*(ANNOUNCEMENTS!$L$1:$L$180&lt;&gt;""))*
((ANNOUNCEMENTS!$J$1:$J$180=C164)))))</f>
        <v>Starship Technologies</v>
      </c>
      <c r="AB263" s="289"/>
      <c r="AD263" s="293"/>
    </row>
    <row r="264" spans="1:43" hidden="1" x14ac:dyDescent="0.35">
      <c r="A264" s="287" t="str">
        <v>ZF</v>
      </c>
      <c r="L264" s="293">
        <f>IF(ISERROR(M264),0,
IF(COUNTA(M264:AC264)=1,(VLOOKUP(M264,CBIMPORT!$A$1:$AN$171,38,FALSE)),
IF(COUNTA(M264:AC264)=2,(VLOOKUP(M264,CBIMPORT!$A$1:$AN$171,38,FALSE)+VLOOKUP(N264,CBIMPORT!$A$1:$AN$171,38,FALSE)),
IF(COUNTA(M264:AC264)=3,(VLOOKUP(M264,CBIMPORT!$A$1:$AN$171,38,FALSE)+VLOOKUP(N264,CBIMPORT!$A$1:$AN$171,38,FALSE)+VLOOKUP(O264,CBIMPORT!$A$1:$AN$171,38,FALSE)),
IF(COUNTA(M264:AC264)=4,(VLOOKUP(M264,CBIMPORT!$A$1:$AN$171,38,FALSE)+VLOOKUP(N264,CBIMPORT!$A$1:$AN$171,38,FALSE)+VLOOKUP(O264,CBIMPORT!$A$1:$AN$171,38,FALSE)+VLOOKUP(P264,CBIMPORT!$A$1:$AN$171,38,FALSE)),
IF(COUNTA(M264:AC264)=5,(VLOOKUP(M264,CBIMPORT!$A$1:$AN$171,38,FALSE)+VLOOKUP(N264,CBIMPORT!$A$1:$AN$171,38,FALSE)+VLOOKUP(O264,CBIMPORT!$A$1:$AN$171,38,FALSE)+VLOOKUP(P264,CBIMPORT!$A$1:$AN$171,38,FALSE)+VLOOKUP(Q264,CBIMPORT!$A$1:$AN$171,38,FALSE)),IF(COUNTA(M264:AC264),
IF(COUNTA(M264:AC264)=6,(VLOOKUP(M264,CBIMPORT!$A$1:$AN$171,38,FALSE)+VLOOKUP(N264,CBIMPORT!$A$1:$AN$171,38,FALSE)+VLOOKUP(O264,CBIMPORT!$A$1:$AN$171,38,FALSE)+VLOOKUP(P264,CBIMPORT!$A$1:$AN$171,38,FALSE)+VLOOKUP(Q264,CBIMPORT!$A$1:$AN$171,38,FALSE)+VLOOKUP(R264,CBIMPORT!$A$1:$AN$171,38,FALSE)),
IF(COUNTA(M264:AC264)=7,(VLOOKUP(M264,CBIMPORT!$A$1:$AN$171,38,FALSE)+VLOOKUP(N264,CBIMPORT!$A$1:$AN$171,38,FALSE)+VLOOKUP(O264,CBIMPORT!$A$1:$AN$171,38,FALSE)+VLOOKUP(P264,CBIMPORT!$A$1:$AN$171,38,FALSE)+VLOOKUP(Q264,CBIMPORT!$A$1:$AN$171,38,FALSE)+VLOOKUP(R264,CBIMPORT!$A$1:$AN$171,38,FALSE)+VLOOKUP(S264,CBIMPORT!$A$1:$AN$171,38,FALSE)),
IF(COUNTA(M264:AC264)=7,(VLOOKUP(M264,CBIMPORT!$A$1:$AN$171,38,FALSE)+VLOOKUP(N264,CBIMPORT!$A$1:$AN$171,38,FALSE)+VLOOKUP(O264,CBIMPORT!$A$1:$AN$171,38,FALSE)+VLOOKUP(P264,CBIMPORT!$A$1:$AN$171,38,FALSE)+VLOOKUP(Q264,CBIMPORT!$A$1:$AN$171,38,FALSE)+VLOOKUP(R264,CBIMPORT!$A$1:$AN$171,38,FALSE)+VLOOKUP(S264,CBIMPORT!$A$1:$AN$171,38,FALSE)+VLOOKUP(T264,CBIMPORT!$A$1:$AN$171,38,FALSE)),
IF(COUNTA(M264:AC264)=8,(VLOOKUP(M264,CBIMPORT!$A$1:$AN$171,38,FALSE)+VLOOKUP(N264,CBIMPORT!$A$1:$AN$171,38,FALSE)+VLOOKUP(O264,CBIMPORT!$A$1:$AN$171,38,FALSE)+VLOOKUP(P264,CBIMPORT!$A$1:$AN$171,38,FALSE)+VLOOKUP(Q264,CBIMPORT!$A$1:$AN$171,38,FALSE)+VLOOKUP(R264,CBIMPORT!$A$1:$AN$171,38,FALSE)+VLOOKUP(S264,CBIMPORT!$A$1:$AN$171,38,FALSE)+VLOOKUP(T264,CBIMPORT!$A$1:$AN$171,38,FALSE)),
IF(COUNTA(M264:AC264)=9,(VLOOKUP(M264,CBIMPORT!$A$1:$AN$171,38,FALSE)+VLOOKUP(N264,CBIMPORT!$A$1:$AN$171,38,FALSE)+VLOOKUP(O264,CBIMPORT!$A$1:$AN$171,38,FALSE)+VLOOKUP(P264,CBIMPORT!$A$1:$AN$171,38,FALSE)+VLOOKUP(Q264,CBIMPORT!$A$1:$AN$171,38,FALSE)+VLOOKUP(R264,CBIMPORT!$A$1:$AN$171,38,FALSE)+VLOOKUP(S264,CBIMPORT!$A$1:$AN$171,38,FALSE)+VLOOKUP(T264,CBIMPORT!$A$1:$AN$171,38,FALSE)+VLOOKUP(U264,CBIMPORT!$A$1:$AN$171,38,FALSE)),
IF(COUNTA(M264:AC264)=10,(VLOOKUP(M264,CBIMPORT!$A$1:$AN$171,38,FALSE)+VLOOKUP(N264,CBIMPORT!$A$1:$AN$171,38,FALSE)+VLOOKUP(O264,CBIMPORT!$A$1:$AN$171,38,FALSE)+VLOOKUP(P264,CBIMPORT!$A$1:$AN$171,38,FALSE)+VLOOKUP(Q264,CBIMPORT!$A$1:$AN$171,38,FALSE)+VLOOKUP(R264,CBIMPORT!$A$1:$AN$171,38,FALSE)+VLOOKUP(S264,CBIMPORT!$A$1:$AN$171,38,FALSE)+VLOOKUP(T264,CBIMPORT!$A$1:$AN$171,38,FALSE)),
IF(COUNTA(M264:AC264)=14,(VLOOKUP(M264,CBIMPORT!$A$1:$AN$171,38,FALSE)+VLOOKUP(N264,CBIMPORT!$A$1:$AN$171,38,FALSE)+VLOOKUP(O264,CBIMPORT!$A$1:$AN$171,38,FALSE)+VLOOKUP(P264,CBIMPORT!$A$1:$AN$171,38,FALSE)+VLOOKUP(Q264,CBIMPORT!$A$1:$AN$171,38,FALSE)+VLOOKUP(R264,CBIMPORT!$A$1:$AN$171,38,FALSE)+VLOOKUP(S264,CBIMPORT!$A$1:$AN$171,38,FALSE)+VLOOKUP(T264,CBIMPORT!$A$1:$AN$171,38,FALSE)+VLOOKUP(U264,CBIMPORT!$A$1:$AN$171,38,FALSE)+VLOOKUP(V264,CBIMPORT!$A$1:$AN$171,38,FALSE)+VLOOKUP(W264,CBIMPORT!$A$1:$AN$171,38,FALSE)+VLOOKUP(X264,CBIMPORT!$A$1:$AN$171,38,FALSE)),
IF(COUNTA(M264:AC264)=16,(VLOOKUP(M264,CBIMPORT!$A$1:$AN$171,38,FALSE)+VLOOKUP(N264,CBIMPORT!$A$1:$AN$171,38,FALSE)+VLOOKUP(O264,CBIMPORT!$A$1:$AN$171,38,FALSE)+VLOOKUP(P264,CBIMPORT!$A$1:$AN$171,38,FALSE)+VLOOKUP(Q264,CBIMPORT!$A$1:$AN$171,38,FALSE)+VLOOKUP(R264,CBIMPORT!$A$1:$AN$171,38,FALSE)+VLOOKUP(S264,CBIMPORT!$A$1:$AN$171,38,FALSE)+VLOOKUP(T264,CBIMPORT!$A$1:$AN$171,38,FALSE)+VLOOKUP(U264,CBIMPORT!$A$1:$AN$171,38,FALSE)+VLOOKUP(V264,CBIMPORT!$A$1:$AN$171,38,FALSE)+VLOOKUP(W264,CBIMPORT!$A$1:$AN$171,38,FALSE)+VLOOKUP(X264,CBIMPORT!$A$1:$AN$171,38,FALSE)+VLOOKUP(Y264,CBIMPORT!$A$1:$AN$171,38,FALSE)+VLOOKUP(Z264,CBIMPORT!$A$1:$AN$171,38,FALSE)))))))))))))))))</f>
        <v>1</v>
      </c>
      <c r="M264" s="21" t="str" cm="1">
        <f t="array" ref="M264:N264">IF(D165&gt;0,
TRANSPOSE(_xlfn._xlws.FILTER(
CHOOSE(
{1},
ANNOUNCEMENTS!$L$1:$L$180,
ANNOUNCEMENTS!$M$1:$M$180,
ANNOUNCEMENTS!$N$1:$N$180
),
((ANNOUNCEMENTS!$E$1:$E$180=B165)*(ANNOUNCEMENTS!$L$1:$L$180&lt;&gt;""))*
((ANNOUNCEMENTS!$J$1:$J$180=C165)))))</f>
        <v>Mitsubishi</v>
      </c>
      <c r="N264" s="21" t="str">
        <v>Grubhub</v>
      </c>
      <c r="AB264" s="289"/>
      <c r="AD264" s="293"/>
      <c r="AF264" s="290"/>
      <c r="AG264" s="290"/>
      <c r="AH264" s="290"/>
      <c r="AI264" s="290"/>
      <c r="AJ264" s="290"/>
      <c r="AK264" s="290"/>
    </row>
    <row r="265" spans="1:43" hidden="1" x14ac:dyDescent="0.35">
      <c r="A265" s="287" t="str">
        <v>Oxa</v>
      </c>
      <c r="L265" s="293">
        <f>IF(ISERROR(M265),0,
IF(COUNTA(M265:AC265)=1,(VLOOKUP(M265,CBIMPORT!$A$1:$AN$171,38,FALSE)),
IF(COUNTA(M265:AC265)=2,(VLOOKUP(M265,CBIMPORT!$A$1:$AN$171,38,FALSE)+VLOOKUP(N265,CBIMPORT!$A$1:$AN$171,38,FALSE)),
IF(COUNTA(M265:AC265)=3,(VLOOKUP(M265,CBIMPORT!$A$1:$AN$171,38,FALSE)+VLOOKUP(N265,CBIMPORT!$A$1:$AN$171,38,FALSE)+VLOOKUP(O265,CBIMPORT!$A$1:$AN$171,38,FALSE)),
IF(COUNTA(M265:AC265)=4,(VLOOKUP(M265,CBIMPORT!$A$1:$AN$171,38,FALSE)+VLOOKUP(N265,CBIMPORT!$A$1:$AN$171,38,FALSE)+VLOOKUP(O265,CBIMPORT!$A$1:$AN$171,38,FALSE)+VLOOKUP(P265,CBIMPORT!$A$1:$AN$171,38,FALSE)),
IF(COUNTA(M265:AC265)=5,(VLOOKUP(M265,CBIMPORT!$A$1:$AN$171,38,FALSE)+VLOOKUP(N265,CBIMPORT!$A$1:$AN$171,38,FALSE)+VLOOKUP(O265,CBIMPORT!$A$1:$AN$171,38,FALSE)+VLOOKUP(P265,CBIMPORT!$A$1:$AN$171,38,FALSE)+VLOOKUP(Q265,CBIMPORT!$A$1:$AN$171,38,FALSE)),IF(COUNTA(M265:AC265),
IF(COUNTA(M265:AC265)=6,(VLOOKUP(M265,CBIMPORT!$A$1:$AN$171,38,FALSE)+VLOOKUP(N265,CBIMPORT!$A$1:$AN$171,38,FALSE)+VLOOKUP(O265,CBIMPORT!$A$1:$AN$171,38,FALSE)+VLOOKUP(P265,CBIMPORT!$A$1:$AN$171,38,FALSE)+VLOOKUP(Q265,CBIMPORT!$A$1:$AN$171,38,FALSE)+VLOOKUP(R265,CBIMPORT!$A$1:$AN$171,38,FALSE)),
IF(COUNTA(M265:AC265)=7,(VLOOKUP(M265,CBIMPORT!$A$1:$AN$171,38,FALSE)+VLOOKUP(N265,CBIMPORT!$A$1:$AN$171,38,FALSE)+VLOOKUP(O265,CBIMPORT!$A$1:$AN$171,38,FALSE)+VLOOKUP(P265,CBIMPORT!$A$1:$AN$171,38,FALSE)+VLOOKUP(Q265,CBIMPORT!$A$1:$AN$171,38,FALSE)+VLOOKUP(R265,CBIMPORT!$A$1:$AN$171,38,FALSE)+VLOOKUP(S265,CBIMPORT!$A$1:$AN$171,38,FALSE)),
IF(COUNTA(M265:AC265)=7,(VLOOKUP(M265,CBIMPORT!$A$1:$AN$171,38,FALSE)+VLOOKUP(N265,CBIMPORT!$A$1:$AN$171,38,FALSE)+VLOOKUP(O265,CBIMPORT!$A$1:$AN$171,38,FALSE)+VLOOKUP(P265,CBIMPORT!$A$1:$AN$171,38,FALSE)+VLOOKUP(Q265,CBIMPORT!$A$1:$AN$171,38,FALSE)+VLOOKUP(R265,CBIMPORT!$A$1:$AN$171,38,FALSE)+VLOOKUP(S265,CBIMPORT!$A$1:$AN$171,38,FALSE)+VLOOKUP(T265,CBIMPORT!$A$1:$AN$171,38,FALSE)),
IF(COUNTA(M265:AC265)=8,(VLOOKUP(M265,CBIMPORT!$A$1:$AN$171,38,FALSE)+VLOOKUP(N265,CBIMPORT!$A$1:$AN$171,38,FALSE)+VLOOKUP(O265,CBIMPORT!$A$1:$AN$171,38,FALSE)+VLOOKUP(P265,CBIMPORT!$A$1:$AN$171,38,FALSE)+VLOOKUP(Q265,CBIMPORT!$A$1:$AN$171,38,FALSE)+VLOOKUP(R265,CBIMPORT!$A$1:$AN$171,38,FALSE)+VLOOKUP(S265,CBIMPORT!$A$1:$AN$171,38,FALSE)+VLOOKUP(T265,CBIMPORT!$A$1:$AN$171,38,FALSE)),
IF(COUNTA(M265:AC265)=9,(VLOOKUP(M265,CBIMPORT!$A$1:$AN$171,38,FALSE)+VLOOKUP(N265,CBIMPORT!$A$1:$AN$171,38,FALSE)+VLOOKUP(O265,CBIMPORT!$A$1:$AN$171,38,FALSE)+VLOOKUP(P265,CBIMPORT!$A$1:$AN$171,38,FALSE)+VLOOKUP(Q265,CBIMPORT!$A$1:$AN$171,38,FALSE)+VLOOKUP(R265,CBIMPORT!$A$1:$AN$171,38,FALSE)+VLOOKUP(S265,CBIMPORT!$A$1:$AN$171,38,FALSE)+VLOOKUP(T265,CBIMPORT!$A$1:$AN$171,38,FALSE)+VLOOKUP(U265,CBIMPORT!$A$1:$AN$171,38,FALSE)),
IF(COUNTA(M265:AC265)=10,(VLOOKUP(M265,CBIMPORT!$A$1:$AN$171,38,FALSE)+VLOOKUP(N265,CBIMPORT!$A$1:$AN$171,38,FALSE)+VLOOKUP(O265,CBIMPORT!$A$1:$AN$171,38,FALSE)+VLOOKUP(P265,CBIMPORT!$A$1:$AN$171,38,FALSE)+VLOOKUP(Q265,CBIMPORT!$A$1:$AN$171,38,FALSE)+VLOOKUP(R265,CBIMPORT!$A$1:$AN$171,38,FALSE)+VLOOKUP(S265,CBIMPORT!$A$1:$AN$171,38,FALSE)+VLOOKUP(T265,CBIMPORT!$A$1:$AN$171,38,FALSE)),
IF(COUNTA(M265:AC265)=14,(VLOOKUP(M265,CBIMPORT!$A$1:$AN$171,38,FALSE)+VLOOKUP(N265,CBIMPORT!$A$1:$AN$171,38,FALSE)+VLOOKUP(O265,CBIMPORT!$A$1:$AN$171,38,FALSE)+VLOOKUP(P265,CBIMPORT!$A$1:$AN$171,38,FALSE)+VLOOKUP(Q265,CBIMPORT!$A$1:$AN$171,38,FALSE)+VLOOKUP(R265,CBIMPORT!$A$1:$AN$171,38,FALSE)+VLOOKUP(S265,CBIMPORT!$A$1:$AN$171,38,FALSE)+VLOOKUP(T265,CBIMPORT!$A$1:$AN$171,38,FALSE)+VLOOKUP(U265,CBIMPORT!$A$1:$AN$171,38,FALSE)+VLOOKUP(V265,CBIMPORT!$A$1:$AN$171,38,FALSE)+VLOOKUP(W265,CBIMPORT!$A$1:$AN$171,38,FALSE)+VLOOKUP(X265,CBIMPORT!$A$1:$AN$171,38,FALSE)),
IF(COUNTA(M265:AC265)=16,(VLOOKUP(M265,CBIMPORT!$A$1:$AN$171,38,FALSE)+VLOOKUP(N265,CBIMPORT!$A$1:$AN$171,38,FALSE)+VLOOKUP(O265,CBIMPORT!$A$1:$AN$171,38,FALSE)+VLOOKUP(P265,CBIMPORT!$A$1:$AN$171,38,FALSE)+VLOOKUP(Q265,CBIMPORT!$A$1:$AN$171,38,FALSE)+VLOOKUP(R265,CBIMPORT!$A$1:$AN$171,38,FALSE)+VLOOKUP(S265,CBIMPORT!$A$1:$AN$171,38,FALSE)+VLOOKUP(T265,CBIMPORT!$A$1:$AN$171,38,FALSE)+VLOOKUP(U265,CBIMPORT!$A$1:$AN$171,38,FALSE)+VLOOKUP(V265,CBIMPORT!$A$1:$AN$171,38,FALSE)+VLOOKUP(W265,CBIMPORT!$A$1:$AN$171,38,FALSE)+VLOOKUP(X265,CBIMPORT!$A$1:$AN$171,38,FALSE)+VLOOKUP(Y265,CBIMPORT!$A$1:$AN$171,38,FALSE)+VLOOKUP(Z265,CBIMPORT!$A$1:$AN$171,38,FALSE)))))))))))))))))</f>
        <v>0</v>
      </c>
      <c r="M265" s="21" t="str" cm="1">
        <f t="array" ref="M265">IF(D166&gt;0,
TRANSPOSE(_xlfn._xlws.FILTER(
CHOOSE(
{1},
ANNOUNCEMENTS!$L$1:$L$180,
ANNOUNCEMENTS!$M$1:$M$180,
ANNOUNCEMENTS!$N$1:$N$180
),
((ANNOUNCEMENTS!$E$1:$E$180=B166)*(ANNOUNCEMENTS!$L$1:$L$180&lt;&gt;""))*
((ANNOUNCEMENTS!$J$1:$J$180=C166)))))</f>
        <v>Mothers-Against-Drunk-Driving</v>
      </c>
      <c r="N265" s="298"/>
      <c r="O265" s="298"/>
      <c r="P265" s="298"/>
      <c r="Q265" s="298"/>
      <c r="R265" s="298"/>
      <c r="S265" s="290"/>
      <c r="T265" s="290"/>
      <c r="U265" s="290"/>
      <c r="V265" s="290"/>
      <c r="W265" s="290"/>
      <c r="X265" s="290"/>
      <c r="Y265" s="290"/>
      <c r="Z265" s="290"/>
      <c r="AA265" s="290"/>
      <c r="AB265" s="291"/>
      <c r="AC265" s="290"/>
      <c r="AD265" s="293"/>
      <c r="AP265" s="290"/>
      <c r="AQ265" s="290"/>
    </row>
    <row r="266" spans="1:43" hidden="1" x14ac:dyDescent="0.35">
      <c r="A266" s="287" t="str">
        <v>Starship Technologies</v>
      </c>
      <c r="L266" s="293">
        <f>IF(ISERROR(M266),0,
IF(COUNTA(M266:AC266)=1,(VLOOKUP(M266,CBIMPORT!$A$1:$AN$171,38,FALSE)),
IF(COUNTA(M266:AC266)=2,(VLOOKUP(M266,CBIMPORT!$A$1:$AN$171,38,FALSE)+VLOOKUP(N266,CBIMPORT!$A$1:$AN$171,38,FALSE)),
IF(COUNTA(M266:AC266)=3,(VLOOKUP(M266,CBIMPORT!$A$1:$AN$171,38,FALSE)+VLOOKUP(N266,CBIMPORT!$A$1:$AN$171,38,FALSE)+VLOOKUP(O266,CBIMPORT!$A$1:$AN$171,38,FALSE)),
IF(COUNTA(M266:AC266)=4,(VLOOKUP(M266,CBIMPORT!$A$1:$AN$171,38,FALSE)+VLOOKUP(N266,CBIMPORT!$A$1:$AN$171,38,FALSE)+VLOOKUP(O266,CBIMPORT!$A$1:$AN$171,38,FALSE)+VLOOKUP(P266,CBIMPORT!$A$1:$AN$171,38,FALSE)),
IF(COUNTA(M266:AC266)=5,(VLOOKUP(M266,CBIMPORT!$A$1:$AN$171,38,FALSE)+VLOOKUP(N266,CBIMPORT!$A$1:$AN$171,38,FALSE)+VLOOKUP(O266,CBIMPORT!$A$1:$AN$171,38,FALSE)+VLOOKUP(P266,CBIMPORT!$A$1:$AN$171,38,FALSE)+VLOOKUP(Q266,CBIMPORT!$A$1:$AN$171,38,FALSE)),IF(COUNTA(M266:AC266),
IF(COUNTA(M266:AC266)=6,(VLOOKUP(M266,CBIMPORT!$A$1:$AN$171,38,FALSE)+VLOOKUP(N266,CBIMPORT!$A$1:$AN$171,38,FALSE)+VLOOKUP(O266,CBIMPORT!$A$1:$AN$171,38,FALSE)+VLOOKUP(P266,CBIMPORT!$A$1:$AN$171,38,FALSE)+VLOOKUP(Q266,CBIMPORT!$A$1:$AN$171,38,FALSE)+VLOOKUP(R266,CBIMPORT!$A$1:$AN$171,38,FALSE)),
IF(COUNTA(M266:AC266)=7,(VLOOKUP(M266,CBIMPORT!$A$1:$AN$171,38,FALSE)+VLOOKUP(N266,CBIMPORT!$A$1:$AN$171,38,FALSE)+VLOOKUP(O266,CBIMPORT!$A$1:$AN$171,38,FALSE)+VLOOKUP(P266,CBIMPORT!$A$1:$AN$171,38,FALSE)+VLOOKUP(Q266,CBIMPORT!$A$1:$AN$171,38,FALSE)+VLOOKUP(R266,CBIMPORT!$A$1:$AN$171,38,FALSE)+VLOOKUP(S266,CBIMPORT!$A$1:$AN$171,38,FALSE)),
IF(COUNTA(M266:AC266)=7,(VLOOKUP(M266,CBIMPORT!$A$1:$AN$171,38,FALSE)+VLOOKUP(N266,CBIMPORT!$A$1:$AN$171,38,FALSE)+VLOOKUP(O266,CBIMPORT!$A$1:$AN$171,38,FALSE)+VLOOKUP(P266,CBIMPORT!$A$1:$AN$171,38,FALSE)+VLOOKUP(Q266,CBIMPORT!$A$1:$AN$171,38,FALSE)+VLOOKUP(R266,CBIMPORT!$A$1:$AN$171,38,FALSE)+VLOOKUP(S266,CBIMPORT!$A$1:$AN$171,38,FALSE)+VLOOKUP(T266,CBIMPORT!$A$1:$AN$171,38,FALSE)),
IF(COUNTA(M266:AC266)=8,(VLOOKUP(M266,CBIMPORT!$A$1:$AN$171,38,FALSE)+VLOOKUP(N266,CBIMPORT!$A$1:$AN$171,38,FALSE)+VLOOKUP(O266,CBIMPORT!$A$1:$AN$171,38,FALSE)+VLOOKUP(P266,CBIMPORT!$A$1:$AN$171,38,FALSE)+VLOOKUP(Q266,CBIMPORT!$A$1:$AN$171,38,FALSE)+VLOOKUP(R266,CBIMPORT!$A$1:$AN$171,38,FALSE)+VLOOKUP(S266,CBIMPORT!$A$1:$AN$171,38,FALSE)+VLOOKUP(T266,CBIMPORT!$A$1:$AN$171,38,FALSE)),
IF(COUNTA(M266:AC266)=9,(VLOOKUP(M266,CBIMPORT!$A$1:$AN$171,38,FALSE)+VLOOKUP(N266,CBIMPORT!$A$1:$AN$171,38,FALSE)+VLOOKUP(O266,CBIMPORT!$A$1:$AN$171,38,FALSE)+VLOOKUP(P266,CBIMPORT!$A$1:$AN$171,38,FALSE)+VLOOKUP(Q266,CBIMPORT!$A$1:$AN$171,38,FALSE)+VLOOKUP(R266,CBIMPORT!$A$1:$AN$171,38,FALSE)+VLOOKUP(S266,CBIMPORT!$A$1:$AN$171,38,FALSE)+VLOOKUP(T266,CBIMPORT!$A$1:$AN$171,38,FALSE)+VLOOKUP(U266,CBIMPORT!$A$1:$AN$171,38,FALSE)),
IF(COUNTA(M266:AC266)=10,(VLOOKUP(M266,CBIMPORT!$A$1:$AN$171,38,FALSE)+VLOOKUP(N266,CBIMPORT!$A$1:$AN$171,38,FALSE)+VLOOKUP(O266,CBIMPORT!$A$1:$AN$171,38,FALSE)+VLOOKUP(P266,CBIMPORT!$A$1:$AN$171,38,FALSE)+VLOOKUP(Q266,CBIMPORT!$A$1:$AN$171,38,FALSE)+VLOOKUP(R266,CBIMPORT!$A$1:$AN$171,38,FALSE)+VLOOKUP(S266,CBIMPORT!$A$1:$AN$171,38,FALSE)+VLOOKUP(T266,CBIMPORT!$A$1:$AN$171,38,FALSE)),
IF(COUNTA(M266:AC266)=14,(VLOOKUP(M266,CBIMPORT!$A$1:$AN$171,38,FALSE)+VLOOKUP(N266,CBIMPORT!$A$1:$AN$171,38,FALSE)+VLOOKUP(O266,CBIMPORT!$A$1:$AN$171,38,FALSE)+VLOOKUP(P266,CBIMPORT!$A$1:$AN$171,38,FALSE)+VLOOKUP(Q266,CBIMPORT!$A$1:$AN$171,38,FALSE)+VLOOKUP(R266,CBIMPORT!$A$1:$AN$171,38,FALSE)+VLOOKUP(S266,CBIMPORT!$A$1:$AN$171,38,FALSE)+VLOOKUP(T266,CBIMPORT!$A$1:$AN$171,38,FALSE)+VLOOKUP(U266,CBIMPORT!$A$1:$AN$171,38,FALSE)+VLOOKUP(V266,CBIMPORT!$A$1:$AN$171,38,FALSE)+VLOOKUP(W266,CBIMPORT!$A$1:$AN$171,38,FALSE)+VLOOKUP(X266,CBIMPORT!$A$1:$AN$171,38,FALSE)),
IF(COUNTA(M266:AC266)=16,(VLOOKUP(M266,CBIMPORT!$A$1:$AN$171,38,FALSE)+VLOOKUP(N266,CBIMPORT!$A$1:$AN$171,38,FALSE)+VLOOKUP(O266,CBIMPORT!$A$1:$AN$171,38,FALSE)+VLOOKUP(P266,CBIMPORT!$A$1:$AN$171,38,FALSE)+VLOOKUP(Q266,CBIMPORT!$A$1:$AN$171,38,FALSE)+VLOOKUP(R266,CBIMPORT!$A$1:$AN$171,38,FALSE)+VLOOKUP(S266,CBIMPORT!$A$1:$AN$171,38,FALSE)+VLOOKUP(T266,CBIMPORT!$A$1:$AN$171,38,FALSE)+VLOOKUP(U266,CBIMPORT!$A$1:$AN$171,38,FALSE)+VLOOKUP(V266,CBIMPORT!$A$1:$AN$171,38,FALSE)+VLOOKUP(W266,CBIMPORT!$A$1:$AN$171,38,FALSE)+VLOOKUP(X266,CBIMPORT!$A$1:$AN$171,38,FALSE)+VLOOKUP(Y266,CBIMPORT!$A$1:$AN$171,38,FALSE)+VLOOKUP(Z266,CBIMPORT!$A$1:$AN$171,38,FALSE)))))))))))))))))</f>
        <v>1</v>
      </c>
      <c r="M266" s="21" t="str" cm="1">
        <f t="array" ref="M266:N266">IF(D167&gt;0,
TRANSPOSE(_xlfn._xlws.FILTER(
CHOOSE(
{1},
ANNOUNCEMENTS!$L$1:$L$180,
ANNOUNCEMENTS!$M$1:$M$180,
ANNOUNCEMENTS!$N$1:$N$180
),
((ANNOUNCEMENTS!$E$1:$E$180=B167)*(ANNOUNCEMENTS!$L$1:$L$180&lt;&gt;""))*
((ANNOUNCEMENTS!$J$1:$J$180=C167)))))</f>
        <v>Walmart</v>
      </c>
      <c r="N266" s="21" t="str">
        <v>Replate</v>
      </c>
      <c r="AB266" s="289"/>
      <c r="AD266" s="293"/>
    </row>
    <row r="267" spans="1:43" hidden="1" x14ac:dyDescent="0.35">
      <c r="A267" s="287" t="str">
        <v>Mitsubishi</v>
      </c>
      <c r="L267" s="293">
        <f>IF(ISERROR(M267),0,
IF(COUNTA(M267:AC267)=1,(VLOOKUP(M267,CBIMPORT!$A$1:$AN$171,38,FALSE)),
IF(COUNTA(M267:AC267)=2,(VLOOKUP(M267,CBIMPORT!$A$1:$AN$171,38,FALSE)+VLOOKUP(N267,CBIMPORT!$A$1:$AN$171,38,FALSE)),
IF(COUNTA(M267:AC267)=3,(VLOOKUP(M267,CBIMPORT!$A$1:$AN$171,38,FALSE)+VLOOKUP(N267,CBIMPORT!$A$1:$AN$171,38,FALSE)+VLOOKUP(O267,CBIMPORT!$A$1:$AN$171,38,FALSE)),
IF(COUNTA(M267:AC267)=4,(VLOOKUP(M267,CBIMPORT!$A$1:$AN$171,38,FALSE)+VLOOKUP(N267,CBIMPORT!$A$1:$AN$171,38,FALSE)+VLOOKUP(O267,CBIMPORT!$A$1:$AN$171,38,FALSE)+VLOOKUP(P267,CBIMPORT!$A$1:$AN$171,38,FALSE)),
IF(COUNTA(M267:AC267)=5,(VLOOKUP(M267,CBIMPORT!$A$1:$AN$171,38,FALSE)+VLOOKUP(N267,CBIMPORT!$A$1:$AN$171,38,FALSE)+VLOOKUP(O267,CBIMPORT!$A$1:$AN$171,38,FALSE)+VLOOKUP(P267,CBIMPORT!$A$1:$AN$171,38,FALSE)+VLOOKUP(Q267,CBIMPORT!$A$1:$AN$171,38,FALSE)),IF(COUNTA(M267:AC267),
IF(COUNTA(M267:AC267)=6,(VLOOKUP(M267,CBIMPORT!$A$1:$AN$171,38,FALSE)+VLOOKUP(N267,CBIMPORT!$A$1:$AN$171,38,FALSE)+VLOOKUP(O267,CBIMPORT!$A$1:$AN$171,38,FALSE)+VLOOKUP(P267,CBIMPORT!$A$1:$AN$171,38,FALSE)+VLOOKUP(Q267,CBIMPORT!$A$1:$AN$171,38,FALSE)+VLOOKUP(R267,CBIMPORT!$A$1:$AN$171,38,FALSE)),
IF(COUNTA(M267:AC267)=7,(VLOOKUP(M267,CBIMPORT!$A$1:$AN$171,38,FALSE)+VLOOKUP(N267,CBIMPORT!$A$1:$AN$171,38,FALSE)+VLOOKUP(O267,CBIMPORT!$A$1:$AN$171,38,FALSE)+VLOOKUP(P267,CBIMPORT!$A$1:$AN$171,38,FALSE)+VLOOKUP(Q267,CBIMPORT!$A$1:$AN$171,38,FALSE)+VLOOKUP(R267,CBIMPORT!$A$1:$AN$171,38,FALSE)+VLOOKUP(S267,CBIMPORT!$A$1:$AN$171,38,FALSE)),
IF(COUNTA(M267:AC267)=7,(VLOOKUP(M267,CBIMPORT!$A$1:$AN$171,38,FALSE)+VLOOKUP(N267,CBIMPORT!$A$1:$AN$171,38,FALSE)+VLOOKUP(O267,CBIMPORT!$A$1:$AN$171,38,FALSE)+VLOOKUP(P267,CBIMPORT!$A$1:$AN$171,38,FALSE)+VLOOKUP(Q267,CBIMPORT!$A$1:$AN$171,38,FALSE)+VLOOKUP(R267,CBIMPORT!$A$1:$AN$171,38,FALSE)+VLOOKUP(S267,CBIMPORT!$A$1:$AN$171,38,FALSE)+VLOOKUP(T267,CBIMPORT!$A$1:$AN$171,38,FALSE)),
IF(COUNTA(M267:AC267)=8,(VLOOKUP(M267,CBIMPORT!$A$1:$AN$171,38,FALSE)+VLOOKUP(N267,CBIMPORT!$A$1:$AN$171,38,FALSE)+VLOOKUP(O267,CBIMPORT!$A$1:$AN$171,38,FALSE)+VLOOKUP(P267,CBIMPORT!$A$1:$AN$171,38,FALSE)+VLOOKUP(Q267,CBIMPORT!$A$1:$AN$171,38,FALSE)+VLOOKUP(R267,CBIMPORT!$A$1:$AN$171,38,FALSE)+VLOOKUP(S267,CBIMPORT!$A$1:$AN$171,38,FALSE)+VLOOKUP(T267,CBIMPORT!$A$1:$AN$171,38,FALSE)),
IF(COUNTA(M267:AC267)=9,(VLOOKUP(M267,CBIMPORT!$A$1:$AN$171,38,FALSE)+VLOOKUP(N267,CBIMPORT!$A$1:$AN$171,38,FALSE)+VLOOKUP(O267,CBIMPORT!$A$1:$AN$171,38,FALSE)+VLOOKUP(P267,CBIMPORT!$A$1:$AN$171,38,FALSE)+VLOOKUP(Q267,CBIMPORT!$A$1:$AN$171,38,FALSE)+VLOOKUP(R267,CBIMPORT!$A$1:$AN$171,38,FALSE)+VLOOKUP(S267,CBIMPORT!$A$1:$AN$171,38,FALSE)+VLOOKUP(T267,CBIMPORT!$A$1:$AN$171,38,FALSE)+VLOOKUP(U267,CBIMPORT!$A$1:$AN$171,38,FALSE)),
IF(COUNTA(M267:AC267)=10,(VLOOKUP(M267,CBIMPORT!$A$1:$AN$171,38,FALSE)+VLOOKUP(N267,CBIMPORT!$A$1:$AN$171,38,FALSE)+VLOOKUP(O267,CBIMPORT!$A$1:$AN$171,38,FALSE)+VLOOKUP(P267,CBIMPORT!$A$1:$AN$171,38,FALSE)+VLOOKUP(Q267,CBIMPORT!$A$1:$AN$171,38,FALSE)+VLOOKUP(R267,CBIMPORT!$A$1:$AN$171,38,FALSE)+VLOOKUP(S267,CBIMPORT!$A$1:$AN$171,38,FALSE)+VLOOKUP(T267,CBIMPORT!$A$1:$AN$171,38,FALSE)),
IF(COUNTA(M267:AC267)=14,(VLOOKUP(M267,CBIMPORT!$A$1:$AN$171,38,FALSE)+VLOOKUP(N267,CBIMPORT!$A$1:$AN$171,38,FALSE)+VLOOKUP(O267,CBIMPORT!$A$1:$AN$171,38,FALSE)+VLOOKUP(P267,CBIMPORT!$A$1:$AN$171,38,FALSE)+VLOOKUP(Q267,CBIMPORT!$A$1:$AN$171,38,FALSE)+VLOOKUP(R267,CBIMPORT!$A$1:$AN$171,38,FALSE)+VLOOKUP(S267,CBIMPORT!$A$1:$AN$171,38,FALSE)+VLOOKUP(T267,CBIMPORT!$A$1:$AN$171,38,FALSE)+VLOOKUP(U267,CBIMPORT!$A$1:$AN$171,38,FALSE)+VLOOKUP(V267,CBIMPORT!$A$1:$AN$171,38,FALSE)+VLOOKUP(W267,CBIMPORT!$A$1:$AN$171,38,FALSE)+VLOOKUP(X267,CBIMPORT!$A$1:$AN$171,38,FALSE)),
IF(COUNTA(M267:AC267)=16,(VLOOKUP(M267,CBIMPORT!$A$1:$AN$171,38,FALSE)+VLOOKUP(N267,CBIMPORT!$A$1:$AN$171,38,FALSE)+VLOOKUP(O267,CBIMPORT!$A$1:$AN$171,38,FALSE)+VLOOKUP(P267,CBIMPORT!$A$1:$AN$171,38,FALSE)+VLOOKUP(Q267,CBIMPORT!$A$1:$AN$171,38,FALSE)+VLOOKUP(R267,CBIMPORT!$A$1:$AN$171,38,FALSE)+VLOOKUP(S267,CBIMPORT!$A$1:$AN$171,38,FALSE)+VLOOKUP(T267,CBIMPORT!$A$1:$AN$171,38,FALSE)+VLOOKUP(U267,CBIMPORT!$A$1:$AN$171,38,FALSE)+VLOOKUP(V267,CBIMPORT!$A$1:$AN$171,38,FALSE)+VLOOKUP(W267,CBIMPORT!$A$1:$AN$171,38,FALSE)+VLOOKUP(X267,CBIMPORT!$A$1:$AN$171,38,FALSE)+VLOOKUP(Y267,CBIMPORT!$A$1:$AN$171,38,FALSE)+VLOOKUP(Z267,CBIMPORT!$A$1:$AN$171,38,FALSE)))))))))))))))))</f>
        <v>0</v>
      </c>
      <c r="M267" s="21" t="str" cm="1">
        <f t="array" ref="M267">IF(D168&gt;0,
TRANSPOSE(_xlfn._xlws.FILTER(
CHOOSE(
{1},
ANNOUNCEMENTS!$L$1:$L$180,
ANNOUNCEMENTS!$M$1:$M$180,
ANNOUNCEMENTS!$N$1:$N$180
),
((ANNOUNCEMENTS!$E$1:$E$180=B168)*(ANNOUNCEMENTS!$L$1:$L$180&lt;&gt;""))*
((ANNOUNCEMENTS!$J$1:$J$180=C168)))))</f>
        <v>GM</v>
      </c>
      <c r="AB267" s="289"/>
      <c r="AD267" s="293"/>
    </row>
    <row r="268" spans="1:43" hidden="1" x14ac:dyDescent="0.35">
      <c r="A268" s="287" t="str">
        <v>Grubhub</v>
      </c>
      <c r="L268" s="293">
        <f>IF(ISERROR(M268),0,
IF(COUNTA(M268:AC268)=1,(VLOOKUP(M268,CBIMPORT!$A$1:$AN$171,38,FALSE)),
IF(COUNTA(M268:AC268)=2,(VLOOKUP(M268,CBIMPORT!$A$1:$AN$171,38,FALSE)+VLOOKUP(N268,CBIMPORT!$A$1:$AN$171,38,FALSE)),
IF(COUNTA(M268:AC268)=3,(VLOOKUP(M268,CBIMPORT!$A$1:$AN$171,38,FALSE)+VLOOKUP(N268,CBIMPORT!$A$1:$AN$171,38,FALSE)+VLOOKUP(O268,CBIMPORT!$A$1:$AN$171,38,FALSE)),
IF(COUNTA(M268:AC268)=4,(VLOOKUP(M268,CBIMPORT!$A$1:$AN$171,38,FALSE)+VLOOKUP(N268,CBIMPORT!$A$1:$AN$171,38,FALSE)+VLOOKUP(O268,CBIMPORT!$A$1:$AN$171,38,FALSE)+VLOOKUP(P268,CBIMPORT!$A$1:$AN$171,38,FALSE)),
IF(COUNTA(M268:AC268)=5,(VLOOKUP(M268,CBIMPORT!$A$1:$AN$171,38,FALSE)+VLOOKUP(N268,CBIMPORT!$A$1:$AN$171,38,FALSE)+VLOOKUP(O268,CBIMPORT!$A$1:$AN$171,38,FALSE)+VLOOKUP(P268,CBIMPORT!$A$1:$AN$171,38,FALSE)+VLOOKUP(Q268,CBIMPORT!$A$1:$AN$171,38,FALSE)),IF(COUNTA(M268:AC268),
IF(COUNTA(M268:AC268)=6,(VLOOKUP(M268,CBIMPORT!$A$1:$AN$171,38,FALSE)+VLOOKUP(N268,CBIMPORT!$A$1:$AN$171,38,FALSE)+VLOOKUP(O268,CBIMPORT!$A$1:$AN$171,38,FALSE)+VLOOKUP(P268,CBIMPORT!$A$1:$AN$171,38,FALSE)+VLOOKUP(Q268,CBIMPORT!$A$1:$AN$171,38,FALSE)+VLOOKUP(R268,CBIMPORT!$A$1:$AN$171,38,FALSE)),
IF(COUNTA(M268:AC268)=7,(VLOOKUP(M268,CBIMPORT!$A$1:$AN$171,38,FALSE)+VLOOKUP(N268,CBIMPORT!$A$1:$AN$171,38,FALSE)+VLOOKUP(O268,CBIMPORT!$A$1:$AN$171,38,FALSE)+VLOOKUP(P268,CBIMPORT!$A$1:$AN$171,38,FALSE)+VLOOKUP(Q268,CBIMPORT!$A$1:$AN$171,38,FALSE)+VLOOKUP(R268,CBIMPORT!$A$1:$AN$171,38,FALSE)+VLOOKUP(S268,CBIMPORT!$A$1:$AN$171,38,FALSE)),
IF(COUNTA(M268:AC268)=7,(VLOOKUP(M268,CBIMPORT!$A$1:$AN$171,38,FALSE)+VLOOKUP(N268,CBIMPORT!$A$1:$AN$171,38,FALSE)+VLOOKUP(O268,CBIMPORT!$A$1:$AN$171,38,FALSE)+VLOOKUP(P268,CBIMPORT!$A$1:$AN$171,38,FALSE)+VLOOKUP(Q268,CBIMPORT!$A$1:$AN$171,38,FALSE)+VLOOKUP(R268,CBIMPORT!$A$1:$AN$171,38,FALSE)+VLOOKUP(S268,CBIMPORT!$A$1:$AN$171,38,FALSE)+VLOOKUP(T268,CBIMPORT!$A$1:$AN$171,38,FALSE)),
IF(COUNTA(M268:AC268)=8,(VLOOKUP(M268,CBIMPORT!$A$1:$AN$171,38,FALSE)+VLOOKUP(N268,CBIMPORT!$A$1:$AN$171,38,FALSE)+VLOOKUP(O268,CBIMPORT!$A$1:$AN$171,38,FALSE)+VLOOKUP(P268,CBIMPORT!$A$1:$AN$171,38,FALSE)+VLOOKUP(Q268,CBIMPORT!$A$1:$AN$171,38,FALSE)+VLOOKUP(R268,CBIMPORT!$A$1:$AN$171,38,FALSE)+VLOOKUP(S268,CBIMPORT!$A$1:$AN$171,38,FALSE)+VLOOKUP(T268,CBIMPORT!$A$1:$AN$171,38,FALSE)),
IF(COUNTA(M268:AC268)=9,(VLOOKUP(M268,CBIMPORT!$A$1:$AN$171,38,FALSE)+VLOOKUP(N268,CBIMPORT!$A$1:$AN$171,38,FALSE)+VLOOKUP(O268,CBIMPORT!$A$1:$AN$171,38,FALSE)+VLOOKUP(P268,CBIMPORT!$A$1:$AN$171,38,FALSE)+VLOOKUP(Q268,CBIMPORT!$A$1:$AN$171,38,FALSE)+VLOOKUP(R268,CBIMPORT!$A$1:$AN$171,38,FALSE)+VLOOKUP(S268,CBIMPORT!$A$1:$AN$171,38,FALSE)+VLOOKUP(T268,CBIMPORT!$A$1:$AN$171,38,FALSE)+VLOOKUP(U268,CBIMPORT!$A$1:$AN$171,38,FALSE)),
IF(COUNTA(M268:AC268)=10,(VLOOKUP(M268,CBIMPORT!$A$1:$AN$171,38,FALSE)+VLOOKUP(N268,CBIMPORT!$A$1:$AN$171,38,FALSE)+VLOOKUP(O268,CBIMPORT!$A$1:$AN$171,38,FALSE)+VLOOKUP(P268,CBIMPORT!$A$1:$AN$171,38,FALSE)+VLOOKUP(Q268,CBIMPORT!$A$1:$AN$171,38,FALSE)+VLOOKUP(R268,CBIMPORT!$A$1:$AN$171,38,FALSE)+VLOOKUP(S268,CBIMPORT!$A$1:$AN$171,38,FALSE)+VLOOKUP(T268,CBIMPORT!$A$1:$AN$171,38,FALSE)),
IF(COUNTA(M268:AC268)=14,(VLOOKUP(M268,CBIMPORT!$A$1:$AN$171,38,FALSE)+VLOOKUP(N268,CBIMPORT!$A$1:$AN$171,38,FALSE)+VLOOKUP(O268,CBIMPORT!$A$1:$AN$171,38,FALSE)+VLOOKUP(P268,CBIMPORT!$A$1:$AN$171,38,FALSE)+VLOOKUP(Q268,CBIMPORT!$A$1:$AN$171,38,FALSE)+VLOOKUP(R268,CBIMPORT!$A$1:$AN$171,38,FALSE)+VLOOKUP(S268,CBIMPORT!$A$1:$AN$171,38,FALSE)+VLOOKUP(T268,CBIMPORT!$A$1:$AN$171,38,FALSE)+VLOOKUP(U268,CBIMPORT!$A$1:$AN$171,38,FALSE)+VLOOKUP(V268,CBIMPORT!$A$1:$AN$171,38,FALSE)+VLOOKUP(W268,CBIMPORT!$A$1:$AN$171,38,FALSE)+VLOOKUP(X268,CBIMPORT!$A$1:$AN$171,38,FALSE)),
IF(COUNTA(M268:AC268)=16,(VLOOKUP(M268,CBIMPORT!$A$1:$AN$171,38,FALSE)+VLOOKUP(N268,CBIMPORT!$A$1:$AN$171,38,FALSE)+VLOOKUP(O268,CBIMPORT!$A$1:$AN$171,38,FALSE)+VLOOKUP(P268,CBIMPORT!$A$1:$AN$171,38,FALSE)+VLOOKUP(Q268,CBIMPORT!$A$1:$AN$171,38,FALSE)+VLOOKUP(R268,CBIMPORT!$A$1:$AN$171,38,FALSE)+VLOOKUP(S268,CBIMPORT!$A$1:$AN$171,38,FALSE)+VLOOKUP(T268,CBIMPORT!$A$1:$AN$171,38,FALSE)+VLOOKUP(U268,CBIMPORT!$A$1:$AN$171,38,FALSE)+VLOOKUP(V268,CBIMPORT!$A$1:$AN$171,38,FALSE)+VLOOKUP(W268,CBIMPORT!$A$1:$AN$171,38,FALSE)+VLOOKUP(X268,CBIMPORT!$A$1:$AN$171,38,FALSE)+VLOOKUP(Y268,CBIMPORT!$A$1:$AN$171,38,FALSE)+VLOOKUP(Z268,CBIMPORT!$A$1:$AN$171,38,FALSE)))))))))))))))))</f>
        <v>0</v>
      </c>
      <c r="M268" s="21" t="e" cm="1" vm="1">
        <f t="array" ref="M268">IF(D169&gt;0,
TRANSPOSE(_xlfn._xlws.FILTER(
CHOOSE(
{1},
ANNOUNCEMENTS!$L$1:$L$180,
ANNOUNCEMENTS!$M$1:$M$180,
ANNOUNCEMENTS!$N$1:$N$180
),
((ANNOUNCEMENTS!$E$1:$E$180=B169)*(ANNOUNCEMENTS!$L$1:$L$180&lt;&gt;""))*
((ANNOUNCEMENTS!$J$1:$J$180=C169)))))</f>
        <v>#VALUE!</v>
      </c>
      <c r="AB268" s="289"/>
      <c r="AD268" s="293"/>
    </row>
    <row r="269" spans="1:43" hidden="1" x14ac:dyDescent="0.35">
      <c r="A269" s="287" t="str">
        <v>Mothers-Against-Drunk-Driving</v>
      </c>
      <c r="L269" s="293">
        <f>IF(ISERROR(M269),0,
IF(COUNTA(M269:AC269)=1,(VLOOKUP(M269,CBIMPORT!$A$1:$AN$171,38,FALSE)),
IF(COUNTA(M269:AC269)=2,(VLOOKUP(M269,CBIMPORT!$A$1:$AN$171,38,FALSE)+VLOOKUP(N269,CBIMPORT!$A$1:$AN$171,38,FALSE)),
IF(COUNTA(M269:AC269)=3,(VLOOKUP(M269,CBIMPORT!$A$1:$AN$171,38,FALSE)+VLOOKUP(N269,CBIMPORT!$A$1:$AN$171,38,FALSE)+VLOOKUP(O269,CBIMPORT!$A$1:$AN$171,38,FALSE)),
IF(COUNTA(M269:AC269)=4,(VLOOKUP(M269,CBIMPORT!$A$1:$AN$171,38,FALSE)+VLOOKUP(N269,CBIMPORT!$A$1:$AN$171,38,FALSE)+VLOOKUP(O269,CBIMPORT!$A$1:$AN$171,38,FALSE)+VLOOKUP(P269,CBIMPORT!$A$1:$AN$171,38,FALSE)),
IF(COUNTA(M269:AC269)=5,(VLOOKUP(M269,CBIMPORT!$A$1:$AN$171,38,FALSE)+VLOOKUP(N269,CBIMPORT!$A$1:$AN$171,38,FALSE)+VLOOKUP(O269,CBIMPORT!$A$1:$AN$171,38,FALSE)+VLOOKUP(P269,CBIMPORT!$A$1:$AN$171,38,FALSE)+VLOOKUP(Q269,CBIMPORT!$A$1:$AN$171,38,FALSE)),IF(COUNTA(M269:AC269),
IF(COUNTA(M269:AC269)=6,(VLOOKUP(M269,CBIMPORT!$A$1:$AN$171,38,FALSE)+VLOOKUP(N269,CBIMPORT!$A$1:$AN$171,38,FALSE)+VLOOKUP(O269,CBIMPORT!$A$1:$AN$171,38,FALSE)+VLOOKUP(P269,CBIMPORT!$A$1:$AN$171,38,FALSE)+VLOOKUP(Q269,CBIMPORT!$A$1:$AN$171,38,FALSE)+VLOOKUP(R269,CBIMPORT!$A$1:$AN$171,38,FALSE)),
IF(COUNTA(M269:AC269)=7,(VLOOKUP(M269,CBIMPORT!$A$1:$AN$171,38,FALSE)+VLOOKUP(N269,CBIMPORT!$A$1:$AN$171,38,FALSE)+VLOOKUP(O269,CBIMPORT!$A$1:$AN$171,38,FALSE)+VLOOKUP(P269,CBIMPORT!$A$1:$AN$171,38,FALSE)+VLOOKUP(Q269,CBIMPORT!$A$1:$AN$171,38,FALSE)+VLOOKUP(R269,CBIMPORT!$A$1:$AN$171,38,FALSE)+VLOOKUP(S269,CBIMPORT!$A$1:$AN$171,38,FALSE)),
IF(COUNTA(M269:AC269)=7,(VLOOKUP(M269,CBIMPORT!$A$1:$AN$171,38,FALSE)+VLOOKUP(N269,CBIMPORT!$A$1:$AN$171,38,FALSE)+VLOOKUP(O269,CBIMPORT!$A$1:$AN$171,38,FALSE)+VLOOKUP(P269,CBIMPORT!$A$1:$AN$171,38,FALSE)+VLOOKUP(Q269,CBIMPORT!$A$1:$AN$171,38,FALSE)+VLOOKUP(R269,CBIMPORT!$A$1:$AN$171,38,FALSE)+VLOOKUP(S269,CBIMPORT!$A$1:$AN$171,38,FALSE)+VLOOKUP(T269,CBIMPORT!$A$1:$AN$171,38,FALSE)),
IF(COUNTA(M269:AC269)=8,(VLOOKUP(M269,CBIMPORT!$A$1:$AN$171,38,FALSE)+VLOOKUP(N269,CBIMPORT!$A$1:$AN$171,38,FALSE)+VLOOKUP(O269,CBIMPORT!$A$1:$AN$171,38,FALSE)+VLOOKUP(P269,CBIMPORT!$A$1:$AN$171,38,FALSE)+VLOOKUP(Q269,CBIMPORT!$A$1:$AN$171,38,FALSE)+VLOOKUP(R269,CBIMPORT!$A$1:$AN$171,38,FALSE)+VLOOKUP(S269,CBIMPORT!$A$1:$AN$171,38,FALSE)+VLOOKUP(T269,CBIMPORT!$A$1:$AN$171,38,FALSE)),
IF(COUNTA(M269:AC269)=9,(VLOOKUP(M269,CBIMPORT!$A$1:$AN$171,38,FALSE)+VLOOKUP(N269,CBIMPORT!$A$1:$AN$171,38,FALSE)+VLOOKUP(O269,CBIMPORT!$A$1:$AN$171,38,FALSE)+VLOOKUP(P269,CBIMPORT!$A$1:$AN$171,38,FALSE)+VLOOKUP(Q269,CBIMPORT!$A$1:$AN$171,38,FALSE)+VLOOKUP(R269,CBIMPORT!$A$1:$AN$171,38,FALSE)+VLOOKUP(S269,CBIMPORT!$A$1:$AN$171,38,FALSE)+VLOOKUP(T269,CBIMPORT!$A$1:$AN$171,38,FALSE)+VLOOKUP(U269,CBIMPORT!$A$1:$AN$171,38,FALSE)),
IF(COUNTA(M269:AC269)=10,(VLOOKUP(M269,CBIMPORT!$A$1:$AN$171,38,FALSE)+VLOOKUP(N269,CBIMPORT!$A$1:$AN$171,38,FALSE)+VLOOKUP(O269,CBIMPORT!$A$1:$AN$171,38,FALSE)+VLOOKUP(P269,CBIMPORT!$A$1:$AN$171,38,FALSE)+VLOOKUP(Q269,CBIMPORT!$A$1:$AN$171,38,FALSE)+VLOOKUP(R269,CBIMPORT!$A$1:$AN$171,38,FALSE)+VLOOKUP(S269,CBIMPORT!$A$1:$AN$171,38,FALSE)+VLOOKUP(T269,CBIMPORT!$A$1:$AN$171,38,FALSE)),
IF(COUNTA(M269:AC269)=14,(VLOOKUP(M269,CBIMPORT!$A$1:$AN$171,38,FALSE)+VLOOKUP(N269,CBIMPORT!$A$1:$AN$171,38,FALSE)+VLOOKUP(O269,CBIMPORT!$A$1:$AN$171,38,FALSE)+VLOOKUP(P269,CBIMPORT!$A$1:$AN$171,38,FALSE)+VLOOKUP(Q269,CBIMPORT!$A$1:$AN$171,38,FALSE)+VLOOKUP(R269,CBIMPORT!$A$1:$AN$171,38,FALSE)+VLOOKUP(S269,CBIMPORT!$A$1:$AN$171,38,FALSE)+VLOOKUP(T269,CBIMPORT!$A$1:$AN$171,38,FALSE)+VLOOKUP(U269,CBIMPORT!$A$1:$AN$171,38,FALSE)+VLOOKUP(V269,CBIMPORT!$A$1:$AN$171,38,FALSE)+VLOOKUP(W269,CBIMPORT!$A$1:$AN$171,38,FALSE)+VLOOKUP(X269,CBIMPORT!$A$1:$AN$171,38,FALSE)),
IF(COUNTA(M269:AC269)=16,(VLOOKUP(M269,CBIMPORT!$A$1:$AN$171,38,FALSE)+VLOOKUP(N269,CBIMPORT!$A$1:$AN$171,38,FALSE)+VLOOKUP(O269,CBIMPORT!$A$1:$AN$171,38,FALSE)+VLOOKUP(P269,CBIMPORT!$A$1:$AN$171,38,FALSE)+VLOOKUP(Q269,CBIMPORT!$A$1:$AN$171,38,FALSE)+VLOOKUP(R269,CBIMPORT!$A$1:$AN$171,38,FALSE)+VLOOKUP(S269,CBIMPORT!$A$1:$AN$171,38,FALSE)+VLOOKUP(T269,CBIMPORT!$A$1:$AN$171,38,FALSE)+VLOOKUP(U269,CBIMPORT!$A$1:$AN$171,38,FALSE)+VLOOKUP(V269,CBIMPORT!$A$1:$AN$171,38,FALSE)+VLOOKUP(W269,CBIMPORT!$A$1:$AN$171,38,FALSE)+VLOOKUP(X269,CBIMPORT!$A$1:$AN$171,38,FALSE)+VLOOKUP(Y269,CBIMPORT!$A$1:$AN$171,38,FALSE)+VLOOKUP(Z269,CBIMPORT!$A$1:$AN$171,38,FALSE)))))))))))))))))</f>
        <v>5</v>
      </c>
      <c r="M269" s="21" t="str" cm="1">
        <f t="array" ref="M269:R269">IF(D170&gt;0,
TRANSPOSE(_xlfn._xlws.FILTER(
CHOOSE(
{1},
ANNOUNCEMENTS!$L$1:$L$180,
ANNOUNCEMENTS!$M$1:$M$180,
ANNOUNCEMENTS!$N$1:$N$180
),
((ANNOUNCEMENTS!$E$1:$E$180=B170)*(ANNOUNCEMENTS!$L$1:$L$180&lt;&gt;""))*
((ANNOUNCEMENTS!$J$1:$J$180=C170)))))</f>
        <v>TrustInSoft</v>
      </c>
      <c r="N269" s="21" t="str">
        <v>Continental</v>
      </c>
      <c r="O269" s="21" t="str">
        <v>Sono Motors</v>
      </c>
      <c r="P269" s="21" t="str">
        <v>Phoenix Motorcars</v>
      </c>
      <c r="Q269" s="21" t="str">
        <v>Continental</v>
      </c>
      <c r="R269" s="21" t="str">
        <v>Kalray</v>
      </c>
      <c r="AB269" s="289"/>
      <c r="AD269" s="293"/>
    </row>
    <row r="270" spans="1:43" hidden="1" x14ac:dyDescent="0.35">
      <c r="A270" s="287" t="str">
        <v>Walmart</v>
      </c>
      <c r="L270" s="293">
        <f>IF(ISERROR(M270),0,
IF(COUNTA(M270:AC270)=1,(VLOOKUP(M270,CBIMPORT!$A$1:$AN$171,38,FALSE)),
IF(COUNTA(M270:AC270)=2,(VLOOKUP(M270,CBIMPORT!$A$1:$AN$171,38,FALSE)+VLOOKUP(N270,CBIMPORT!$A$1:$AN$171,38,FALSE)),
IF(COUNTA(M270:AC270)=3,(VLOOKUP(M270,CBIMPORT!$A$1:$AN$171,38,FALSE)+VLOOKUP(N270,CBIMPORT!$A$1:$AN$171,38,FALSE)+VLOOKUP(O270,CBIMPORT!$A$1:$AN$171,38,FALSE)),
IF(COUNTA(M270:AC270)=4,(VLOOKUP(M270,CBIMPORT!$A$1:$AN$171,38,FALSE)+VLOOKUP(N270,CBIMPORT!$A$1:$AN$171,38,FALSE)+VLOOKUP(O270,CBIMPORT!$A$1:$AN$171,38,FALSE)+VLOOKUP(P270,CBIMPORT!$A$1:$AN$171,38,FALSE)),
IF(COUNTA(M270:AC270)=5,(VLOOKUP(M270,CBIMPORT!$A$1:$AN$171,38,FALSE)+VLOOKUP(N270,CBIMPORT!$A$1:$AN$171,38,FALSE)+VLOOKUP(O270,CBIMPORT!$A$1:$AN$171,38,FALSE)+VLOOKUP(P270,CBIMPORT!$A$1:$AN$171,38,FALSE)+VLOOKUP(Q270,CBIMPORT!$A$1:$AN$171,38,FALSE)),IF(COUNTA(M270:AC270),
IF(COUNTA(M270:AC270)=6,(VLOOKUP(M270,CBIMPORT!$A$1:$AN$171,38,FALSE)+VLOOKUP(N270,CBIMPORT!$A$1:$AN$171,38,FALSE)+VLOOKUP(O270,CBIMPORT!$A$1:$AN$171,38,FALSE)+VLOOKUP(P270,CBIMPORT!$A$1:$AN$171,38,FALSE)+VLOOKUP(Q270,CBIMPORT!$A$1:$AN$171,38,FALSE)+VLOOKUP(R270,CBIMPORT!$A$1:$AN$171,38,FALSE)),
IF(COUNTA(M270:AC270)=7,(VLOOKUP(M270,CBIMPORT!$A$1:$AN$171,38,FALSE)+VLOOKUP(N270,CBIMPORT!$A$1:$AN$171,38,FALSE)+VLOOKUP(O270,CBIMPORT!$A$1:$AN$171,38,FALSE)+VLOOKUP(P270,CBIMPORT!$A$1:$AN$171,38,FALSE)+VLOOKUP(Q270,CBIMPORT!$A$1:$AN$171,38,FALSE)+VLOOKUP(R270,CBIMPORT!$A$1:$AN$171,38,FALSE)+VLOOKUP(S270,CBIMPORT!$A$1:$AN$171,38,FALSE)),
IF(COUNTA(M270:AC270)=7,(VLOOKUP(M270,CBIMPORT!$A$1:$AN$171,38,FALSE)+VLOOKUP(N270,CBIMPORT!$A$1:$AN$171,38,FALSE)+VLOOKUP(O270,CBIMPORT!$A$1:$AN$171,38,FALSE)+VLOOKUP(P270,CBIMPORT!$A$1:$AN$171,38,FALSE)+VLOOKUP(Q270,CBIMPORT!$A$1:$AN$171,38,FALSE)+VLOOKUP(R270,CBIMPORT!$A$1:$AN$171,38,FALSE)+VLOOKUP(S270,CBIMPORT!$A$1:$AN$171,38,FALSE)+VLOOKUP(T270,CBIMPORT!$A$1:$AN$171,38,FALSE)),
IF(COUNTA(M270:AC270)=8,(VLOOKUP(M270,CBIMPORT!$A$1:$AN$171,38,FALSE)+VLOOKUP(N270,CBIMPORT!$A$1:$AN$171,38,FALSE)+VLOOKUP(O270,CBIMPORT!$A$1:$AN$171,38,FALSE)+VLOOKUP(P270,CBIMPORT!$A$1:$AN$171,38,FALSE)+VLOOKUP(Q270,CBIMPORT!$A$1:$AN$171,38,FALSE)+VLOOKUP(R270,CBIMPORT!$A$1:$AN$171,38,FALSE)+VLOOKUP(S270,CBIMPORT!$A$1:$AN$171,38,FALSE)+VLOOKUP(T270,CBIMPORT!$A$1:$AN$171,38,FALSE)),
IF(COUNTA(M270:AC270)=9,(VLOOKUP(M270,CBIMPORT!$A$1:$AN$171,38,FALSE)+VLOOKUP(N270,CBIMPORT!$A$1:$AN$171,38,FALSE)+VLOOKUP(O270,CBIMPORT!$A$1:$AN$171,38,FALSE)+VLOOKUP(P270,CBIMPORT!$A$1:$AN$171,38,FALSE)+VLOOKUP(Q270,CBIMPORT!$A$1:$AN$171,38,FALSE)+VLOOKUP(R270,CBIMPORT!$A$1:$AN$171,38,FALSE)+VLOOKUP(S270,CBIMPORT!$A$1:$AN$171,38,FALSE)+VLOOKUP(T270,CBIMPORT!$A$1:$AN$171,38,FALSE)+VLOOKUP(U270,CBIMPORT!$A$1:$AN$171,38,FALSE)),
IF(COUNTA(M270:AC270)=10,(VLOOKUP(M270,CBIMPORT!$A$1:$AN$171,38,FALSE)+VLOOKUP(N270,CBIMPORT!$A$1:$AN$171,38,FALSE)+VLOOKUP(O270,CBIMPORT!$A$1:$AN$171,38,FALSE)+VLOOKUP(P270,CBIMPORT!$A$1:$AN$171,38,FALSE)+VLOOKUP(Q270,CBIMPORT!$A$1:$AN$171,38,FALSE)+VLOOKUP(R270,CBIMPORT!$A$1:$AN$171,38,FALSE)+VLOOKUP(S270,CBIMPORT!$A$1:$AN$171,38,FALSE)+VLOOKUP(T270,CBIMPORT!$A$1:$AN$171,38,FALSE)),
IF(COUNTA(M270:AC270)=14,(VLOOKUP(M270,CBIMPORT!$A$1:$AN$171,38,FALSE)+VLOOKUP(N270,CBIMPORT!$A$1:$AN$171,38,FALSE)+VLOOKUP(O270,CBIMPORT!$A$1:$AN$171,38,FALSE)+VLOOKUP(P270,CBIMPORT!$A$1:$AN$171,38,FALSE)+VLOOKUP(Q270,CBIMPORT!$A$1:$AN$171,38,FALSE)+VLOOKUP(R270,CBIMPORT!$A$1:$AN$171,38,FALSE)+VLOOKUP(S270,CBIMPORT!$A$1:$AN$171,38,FALSE)+VLOOKUP(T270,CBIMPORT!$A$1:$AN$171,38,FALSE)+VLOOKUP(U270,CBIMPORT!$A$1:$AN$171,38,FALSE)+VLOOKUP(V270,CBIMPORT!$A$1:$AN$171,38,FALSE)+VLOOKUP(W270,CBIMPORT!$A$1:$AN$171,38,FALSE)+VLOOKUP(X270,CBIMPORT!$A$1:$AN$171,38,FALSE)),
IF(COUNTA(M270:AC270)=16,(VLOOKUP(M270,CBIMPORT!$A$1:$AN$171,38,FALSE)+VLOOKUP(N270,CBIMPORT!$A$1:$AN$171,38,FALSE)+VLOOKUP(O270,CBIMPORT!$A$1:$AN$171,38,FALSE)+VLOOKUP(P270,CBIMPORT!$A$1:$AN$171,38,FALSE)+VLOOKUP(Q270,CBIMPORT!$A$1:$AN$171,38,FALSE)+VLOOKUP(R270,CBIMPORT!$A$1:$AN$171,38,FALSE)+VLOOKUP(S270,CBIMPORT!$A$1:$AN$171,38,FALSE)+VLOOKUP(T270,CBIMPORT!$A$1:$AN$171,38,FALSE)+VLOOKUP(U270,CBIMPORT!$A$1:$AN$171,38,FALSE)+VLOOKUP(V270,CBIMPORT!$A$1:$AN$171,38,FALSE)+VLOOKUP(W270,CBIMPORT!$A$1:$AN$171,38,FALSE)+VLOOKUP(X270,CBIMPORT!$A$1:$AN$171,38,FALSE)+VLOOKUP(Y270,CBIMPORT!$A$1:$AN$171,38,FALSE)+VLOOKUP(Z270,CBIMPORT!$A$1:$AN$171,38,FALSE)))))))))))))))))</f>
        <v>9</v>
      </c>
      <c r="M270" s="21" t="str" cm="1">
        <f t="array" ref="M270:Z270">IF(D171&gt;0,
TRANSPOSE(_xlfn._xlws.FILTER(
CHOOSE(
{1},
ANNOUNCEMENTS!$L$1:$L$180,
ANNOUNCEMENTS!$M$1:$M$180,
ANNOUNCEMENTS!$N$1:$N$180
),
((ANNOUNCEMENTS!$E$1:$E$180=B171)*(ANNOUNCEMENTS!$L$1:$L$180&lt;&gt;""))*
((ANNOUNCEMENTS!$J$1:$J$180=C171)))))</f>
        <v>Bridgestone</v>
      </c>
      <c r="N270" s="21" t="str">
        <v>Ericsson</v>
      </c>
      <c r="O270" s="21" t="str">
        <v>SKF</v>
      </c>
      <c r="P270" s="21" t="str">
        <v>Svenska Retursystem</v>
      </c>
      <c r="Q270" s="21" t="str">
        <v>Polarrenen</v>
      </c>
      <c r="R270" s="21" t="str">
        <v>Ericsson</v>
      </c>
      <c r="S270" s="21" t="str">
        <v>Oatly</v>
      </c>
      <c r="T270" s="21" t="str">
        <v>Electrolux</v>
      </c>
      <c r="U270" s="21" t="str">
        <v>Beyond Meat</v>
      </c>
      <c r="V270" s="21" t="str">
        <v>Coca - Cola</v>
      </c>
      <c r="W270" s="21" t="str">
        <v>UAE Ministry of Energy and Infrastructure</v>
      </c>
      <c r="X270" s="21" t="str">
        <v>Oatly</v>
      </c>
      <c r="Y270" s="21" t="str">
        <v>GE Appliances</v>
      </c>
      <c r="Z270" s="21" t="str">
        <v>Lidl</v>
      </c>
      <c r="AB270" s="289"/>
      <c r="AD270" s="293"/>
    </row>
    <row r="271" spans="1:43" hidden="1" x14ac:dyDescent="0.35">
      <c r="A271" s="21" t="str">
        <v>Replate</v>
      </c>
      <c r="L271" s="293">
        <f>IF(ISERROR(M271),0,
IF(COUNTA(M271:AC271)=1,(VLOOKUP(M271,CBIMPORT!$A$1:$AN$171,38,FALSE)),
IF(COUNTA(M271:AC271)=2,(VLOOKUP(M271,CBIMPORT!$A$1:$AN$171,38,FALSE)+VLOOKUP(N271,CBIMPORT!$A$1:$AN$171,38,FALSE)),
IF(COUNTA(M271:AC271)=3,(VLOOKUP(M271,CBIMPORT!$A$1:$AN$171,38,FALSE)+VLOOKUP(N271,CBIMPORT!$A$1:$AN$171,38,FALSE)+VLOOKUP(O271,CBIMPORT!$A$1:$AN$171,38,FALSE)),
IF(COUNTA(M271:AC271)=4,(VLOOKUP(M271,CBIMPORT!$A$1:$AN$171,38,FALSE)+VLOOKUP(N271,CBIMPORT!$A$1:$AN$171,38,FALSE)+VLOOKUP(O271,CBIMPORT!$A$1:$AN$171,38,FALSE)+VLOOKUP(P271,CBIMPORT!$A$1:$AN$171,38,FALSE)),
IF(COUNTA(M271:AC271)=5,(VLOOKUP(M271,CBIMPORT!$A$1:$AN$171,38,FALSE)+VLOOKUP(N271,CBIMPORT!$A$1:$AN$171,38,FALSE)+VLOOKUP(O271,CBIMPORT!$A$1:$AN$171,38,FALSE)+VLOOKUP(P271,CBIMPORT!$A$1:$AN$171,38,FALSE)+VLOOKUP(Q271,CBIMPORT!$A$1:$AN$171,38,FALSE)),IF(COUNTA(M271:AC271),
IF(COUNTA(M271:AC271)=6,(VLOOKUP(M271,CBIMPORT!$A$1:$AN$171,38,FALSE)+VLOOKUP(N271,CBIMPORT!$A$1:$AN$171,38,FALSE)+VLOOKUP(O271,CBIMPORT!$A$1:$AN$171,38,FALSE)+VLOOKUP(P271,CBIMPORT!$A$1:$AN$171,38,FALSE)+VLOOKUP(Q271,CBIMPORT!$A$1:$AN$171,38,FALSE)+VLOOKUP(R271,CBIMPORT!$A$1:$AN$171,38,FALSE)),
IF(COUNTA(M271:AC271)=7,(VLOOKUP(M271,CBIMPORT!$A$1:$AN$171,38,FALSE)+VLOOKUP(N271,CBIMPORT!$A$1:$AN$171,38,FALSE)+VLOOKUP(O271,CBIMPORT!$A$1:$AN$171,38,FALSE)+VLOOKUP(P271,CBIMPORT!$A$1:$AN$171,38,FALSE)+VLOOKUP(Q271,CBIMPORT!$A$1:$AN$171,38,FALSE)+VLOOKUP(R271,CBIMPORT!$A$1:$AN$171,38,FALSE)+VLOOKUP(S271,CBIMPORT!$A$1:$AN$171,38,FALSE)),
IF(COUNTA(M271:AC271)=7,(VLOOKUP(M271,CBIMPORT!$A$1:$AN$171,38,FALSE)+VLOOKUP(N271,CBIMPORT!$A$1:$AN$171,38,FALSE)+VLOOKUP(O271,CBIMPORT!$A$1:$AN$171,38,FALSE)+VLOOKUP(P271,CBIMPORT!$A$1:$AN$171,38,FALSE)+VLOOKUP(Q271,CBIMPORT!$A$1:$AN$171,38,FALSE)+VLOOKUP(R271,CBIMPORT!$A$1:$AN$171,38,FALSE)+VLOOKUP(S271,CBIMPORT!$A$1:$AN$171,38,FALSE)+VLOOKUP(T271,CBIMPORT!$A$1:$AN$171,38,FALSE)),
IF(COUNTA(M271:AC271)=8,(VLOOKUP(M271,CBIMPORT!$A$1:$AN$171,38,FALSE)+VLOOKUP(N271,CBIMPORT!$A$1:$AN$171,38,FALSE)+VLOOKUP(O271,CBIMPORT!$A$1:$AN$171,38,FALSE)+VLOOKUP(P271,CBIMPORT!$A$1:$AN$171,38,FALSE)+VLOOKUP(Q271,CBIMPORT!$A$1:$AN$171,38,FALSE)+VLOOKUP(R271,CBIMPORT!$A$1:$AN$171,38,FALSE)+VLOOKUP(S271,CBIMPORT!$A$1:$AN$171,38,FALSE)+VLOOKUP(T271,CBIMPORT!$A$1:$AN$171,38,FALSE)),
IF(COUNTA(M271:AC271)=9,(VLOOKUP(M271,CBIMPORT!$A$1:$AN$171,38,FALSE)+VLOOKUP(N271,CBIMPORT!$A$1:$AN$171,38,FALSE)+VLOOKUP(O271,CBIMPORT!$A$1:$AN$171,38,FALSE)+VLOOKUP(P271,CBIMPORT!$A$1:$AN$171,38,FALSE)+VLOOKUP(Q271,CBIMPORT!$A$1:$AN$171,38,FALSE)+VLOOKUP(R271,CBIMPORT!$A$1:$AN$171,38,FALSE)+VLOOKUP(S271,CBIMPORT!$A$1:$AN$171,38,FALSE)+VLOOKUP(T271,CBIMPORT!$A$1:$AN$171,38,FALSE)+VLOOKUP(U271,CBIMPORT!$A$1:$AN$171,38,FALSE)),
IF(COUNTA(M271:AC271)=10,(VLOOKUP(M271,CBIMPORT!$A$1:$AN$171,38,FALSE)+VLOOKUP(N271,CBIMPORT!$A$1:$AN$171,38,FALSE)+VLOOKUP(O271,CBIMPORT!$A$1:$AN$171,38,FALSE)+VLOOKUP(P271,CBIMPORT!$A$1:$AN$171,38,FALSE)+VLOOKUP(Q271,CBIMPORT!$A$1:$AN$171,38,FALSE)+VLOOKUP(R271,CBIMPORT!$A$1:$AN$171,38,FALSE)+VLOOKUP(S271,CBIMPORT!$A$1:$AN$171,38,FALSE)+VLOOKUP(T271,CBIMPORT!$A$1:$AN$171,38,FALSE)),
IF(COUNTA(M271:AC271)=14,(VLOOKUP(M271,CBIMPORT!$A$1:$AN$171,38,FALSE)+VLOOKUP(N271,CBIMPORT!$A$1:$AN$171,38,FALSE)+VLOOKUP(O271,CBIMPORT!$A$1:$AN$171,38,FALSE)+VLOOKUP(P271,CBIMPORT!$A$1:$AN$171,38,FALSE)+VLOOKUP(Q271,CBIMPORT!$A$1:$AN$171,38,FALSE)+VLOOKUP(R271,CBIMPORT!$A$1:$AN$171,38,FALSE)+VLOOKUP(S271,CBIMPORT!$A$1:$AN$171,38,FALSE)+VLOOKUP(T271,CBIMPORT!$A$1:$AN$171,38,FALSE)+VLOOKUP(U271,CBIMPORT!$A$1:$AN$171,38,FALSE)+VLOOKUP(V271,CBIMPORT!$A$1:$AN$171,38,FALSE)+VLOOKUP(W271,CBIMPORT!$A$1:$AN$171,38,FALSE)+VLOOKUP(X271,CBIMPORT!$A$1:$AN$171,38,FALSE)),
IF(COUNTA(M271:AC271)=16,(VLOOKUP(M271,CBIMPORT!$A$1:$AN$171,38,FALSE)+VLOOKUP(N271,CBIMPORT!$A$1:$AN$171,38,FALSE)+VLOOKUP(O271,CBIMPORT!$A$1:$AN$171,38,FALSE)+VLOOKUP(P271,CBIMPORT!$A$1:$AN$171,38,FALSE)+VLOOKUP(Q271,CBIMPORT!$A$1:$AN$171,38,FALSE)+VLOOKUP(R271,CBIMPORT!$A$1:$AN$171,38,FALSE)+VLOOKUP(S271,CBIMPORT!$A$1:$AN$171,38,FALSE)+VLOOKUP(T271,CBIMPORT!$A$1:$AN$171,38,FALSE)+VLOOKUP(U271,CBIMPORT!$A$1:$AN$171,38,FALSE)+VLOOKUP(V271,CBIMPORT!$A$1:$AN$171,38,FALSE)+VLOOKUP(W271,CBIMPORT!$A$1:$AN$171,38,FALSE)+VLOOKUP(X271,CBIMPORT!$A$1:$AN$171,38,FALSE)+VLOOKUP(Y271,CBIMPORT!$A$1:$AN$171,38,FALSE)+VLOOKUP(Z271,CBIMPORT!$A$1:$AN$171,38,FALSE)))))))))))))))))</f>
        <v>4</v>
      </c>
      <c r="M271" s="21" t="str" cm="1">
        <f t="array" ref="M271:S271">IF(D172&gt;0,
TRANSPOSE(_xlfn._xlws.FILTER(
CHOOSE(
{1},
ANNOUNCEMENTS!$L$1:$L$180,
ANNOUNCEMENTS!$M$1:$M$180,
ANNOUNCEMENTS!$N$1:$N$180
),
((ANNOUNCEMENTS!$E$1:$E$180=B172)*(ANNOUNCEMENTS!$L$1:$L$180&lt;&gt;""))*
((ANNOUNCEMENTS!$J$1:$J$180=C172)))))</f>
        <v>Goodyear</v>
      </c>
      <c r="N271" s="21" t="str">
        <v>Ryder</v>
      </c>
      <c r="O271" s="21" t="str">
        <v>Walmart</v>
      </c>
      <c r="P271" s="21" t="str">
        <v>ChargePoint</v>
      </c>
      <c r="Q271" s="21" t="str">
        <v>Isuzu North America</v>
      </c>
      <c r="R271" s="21" t="str">
        <v>Pitney Bowes</v>
      </c>
      <c r="S271" s="21" t="str">
        <v>Kroger</v>
      </c>
      <c r="AB271" s="289"/>
      <c r="AD271" s="293"/>
    </row>
    <row r="272" spans="1:43" hidden="1" x14ac:dyDescent="0.35">
      <c r="A272" s="21" t="str">
        <v>GM</v>
      </c>
      <c r="L272" s="293">
        <f>IF(ISERROR(M272),0,
IF(COUNTA(M272:AC272)=1,(VLOOKUP(M272,CBIMPORT!$A$1:$AN$171,38,FALSE)),
IF(COUNTA(M272:AC272)=2,(VLOOKUP(M272,CBIMPORT!$A$1:$AN$171,38,FALSE)+VLOOKUP(N272,CBIMPORT!$A$1:$AN$171,38,FALSE)),
IF(COUNTA(M272:AC272)=3,(VLOOKUP(M272,CBIMPORT!$A$1:$AN$171,38,FALSE)+VLOOKUP(N272,CBIMPORT!$A$1:$AN$171,38,FALSE)+VLOOKUP(O272,CBIMPORT!$A$1:$AN$171,38,FALSE)),
IF(COUNTA(M272:AC272)=4,(VLOOKUP(M272,CBIMPORT!$A$1:$AN$171,38,FALSE)+VLOOKUP(N272,CBIMPORT!$A$1:$AN$171,38,FALSE)+VLOOKUP(O272,CBIMPORT!$A$1:$AN$171,38,FALSE)+VLOOKUP(P272,CBIMPORT!$A$1:$AN$171,38,FALSE)),
IF(COUNTA(M272:AC272)=5,(VLOOKUP(M272,CBIMPORT!$A$1:$AN$171,38,FALSE)+VLOOKUP(N272,CBIMPORT!$A$1:$AN$171,38,FALSE)+VLOOKUP(O272,CBIMPORT!$A$1:$AN$171,38,FALSE)+VLOOKUP(P272,CBIMPORT!$A$1:$AN$171,38,FALSE)+VLOOKUP(Q272,CBIMPORT!$A$1:$AN$171,38,FALSE)),IF(COUNTA(M272:AC272),
IF(COUNTA(M272:AC272)=6,(VLOOKUP(M272,CBIMPORT!$A$1:$AN$171,38,FALSE)+VLOOKUP(N272,CBIMPORT!$A$1:$AN$171,38,FALSE)+VLOOKUP(O272,CBIMPORT!$A$1:$AN$171,38,FALSE)+VLOOKUP(P272,CBIMPORT!$A$1:$AN$171,38,FALSE)+VLOOKUP(Q272,CBIMPORT!$A$1:$AN$171,38,FALSE)+VLOOKUP(R272,CBIMPORT!$A$1:$AN$171,38,FALSE)),
IF(COUNTA(M272:AC272)=7,(VLOOKUP(M272,CBIMPORT!$A$1:$AN$171,38,FALSE)+VLOOKUP(N272,CBIMPORT!$A$1:$AN$171,38,FALSE)+VLOOKUP(O272,CBIMPORT!$A$1:$AN$171,38,FALSE)+VLOOKUP(P272,CBIMPORT!$A$1:$AN$171,38,FALSE)+VLOOKUP(Q272,CBIMPORT!$A$1:$AN$171,38,FALSE)+VLOOKUP(R272,CBIMPORT!$A$1:$AN$171,38,FALSE)+VLOOKUP(S272,CBIMPORT!$A$1:$AN$171,38,FALSE)),
IF(COUNTA(M272:AC272)=7,(VLOOKUP(M272,CBIMPORT!$A$1:$AN$171,38,FALSE)+VLOOKUP(N272,CBIMPORT!$A$1:$AN$171,38,FALSE)+VLOOKUP(O272,CBIMPORT!$A$1:$AN$171,38,FALSE)+VLOOKUP(P272,CBIMPORT!$A$1:$AN$171,38,FALSE)+VLOOKUP(Q272,CBIMPORT!$A$1:$AN$171,38,FALSE)+VLOOKUP(R272,CBIMPORT!$A$1:$AN$171,38,FALSE)+VLOOKUP(S272,CBIMPORT!$A$1:$AN$171,38,FALSE)+VLOOKUP(T272,CBIMPORT!$A$1:$AN$171,38,FALSE)),
IF(COUNTA(M272:AC272)=8,(VLOOKUP(M272,CBIMPORT!$A$1:$AN$171,38,FALSE)+VLOOKUP(N272,CBIMPORT!$A$1:$AN$171,38,FALSE)+VLOOKUP(O272,CBIMPORT!$A$1:$AN$171,38,FALSE)+VLOOKUP(P272,CBIMPORT!$A$1:$AN$171,38,FALSE)+VLOOKUP(Q272,CBIMPORT!$A$1:$AN$171,38,FALSE)+VLOOKUP(R272,CBIMPORT!$A$1:$AN$171,38,FALSE)+VLOOKUP(S272,CBIMPORT!$A$1:$AN$171,38,FALSE)+VLOOKUP(T272,CBIMPORT!$A$1:$AN$171,38,FALSE)),
IF(COUNTA(M272:AC272)=9,(VLOOKUP(M272,CBIMPORT!$A$1:$AN$171,38,FALSE)+VLOOKUP(N272,CBIMPORT!$A$1:$AN$171,38,FALSE)+VLOOKUP(O272,CBIMPORT!$A$1:$AN$171,38,FALSE)+VLOOKUP(P272,CBIMPORT!$A$1:$AN$171,38,FALSE)+VLOOKUP(Q272,CBIMPORT!$A$1:$AN$171,38,FALSE)+VLOOKUP(R272,CBIMPORT!$A$1:$AN$171,38,FALSE)+VLOOKUP(S272,CBIMPORT!$A$1:$AN$171,38,FALSE)+VLOOKUP(T272,CBIMPORT!$A$1:$AN$171,38,FALSE)+VLOOKUP(U272,CBIMPORT!$A$1:$AN$171,38,FALSE)),
IF(COUNTA(M272:AC272)=10,(VLOOKUP(M272,CBIMPORT!$A$1:$AN$171,38,FALSE)+VLOOKUP(N272,CBIMPORT!$A$1:$AN$171,38,FALSE)+VLOOKUP(O272,CBIMPORT!$A$1:$AN$171,38,FALSE)+VLOOKUP(P272,CBIMPORT!$A$1:$AN$171,38,FALSE)+VLOOKUP(Q272,CBIMPORT!$A$1:$AN$171,38,FALSE)+VLOOKUP(R272,CBIMPORT!$A$1:$AN$171,38,FALSE)+VLOOKUP(S272,CBIMPORT!$A$1:$AN$171,38,FALSE)+VLOOKUP(T272,CBIMPORT!$A$1:$AN$171,38,FALSE)),
IF(COUNTA(M272:AC272)=14,(VLOOKUP(M272,CBIMPORT!$A$1:$AN$171,38,FALSE)+VLOOKUP(N272,CBIMPORT!$A$1:$AN$171,38,FALSE)+VLOOKUP(O272,CBIMPORT!$A$1:$AN$171,38,FALSE)+VLOOKUP(P272,CBIMPORT!$A$1:$AN$171,38,FALSE)+VLOOKUP(Q272,CBIMPORT!$A$1:$AN$171,38,FALSE)+VLOOKUP(R272,CBIMPORT!$A$1:$AN$171,38,FALSE)+VLOOKUP(S272,CBIMPORT!$A$1:$AN$171,38,FALSE)+VLOOKUP(T272,CBIMPORT!$A$1:$AN$171,38,FALSE)+VLOOKUP(U272,CBIMPORT!$A$1:$AN$171,38,FALSE)+VLOOKUP(V272,CBIMPORT!$A$1:$AN$171,38,FALSE)+VLOOKUP(W272,CBIMPORT!$A$1:$AN$171,38,FALSE)+VLOOKUP(X272,CBIMPORT!$A$1:$AN$171,38,FALSE)),
IF(COUNTA(M272:AC272)=16,(VLOOKUP(M272,CBIMPORT!$A$1:$AN$171,38,FALSE)+VLOOKUP(N272,CBIMPORT!$A$1:$AN$171,38,FALSE)+VLOOKUP(O272,CBIMPORT!$A$1:$AN$171,38,FALSE)+VLOOKUP(P272,CBIMPORT!$A$1:$AN$171,38,FALSE)+VLOOKUP(Q272,CBIMPORT!$A$1:$AN$171,38,FALSE)+VLOOKUP(R272,CBIMPORT!$A$1:$AN$171,38,FALSE)+VLOOKUP(S272,CBIMPORT!$A$1:$AN$171,38,FALSE)+VLOOKUP(T272,CBIMPORT!$A$1:$AN$171,38,FALSE)+VLOOKUP(U272,CBIMPORT!$A$1:$AN$171,38,FALSE)+VLOOKUP(V272,CBIMPORT!$A$1:$AN$171,38,FALSE)+VLOOKUP(W272,CBIMPORT!$A$1:$AN$171,38,FALSE)+VLOOKUP(X272,CBIMPORT!$A$1:$AN$171,38,FALSE)+VLOOKUP(Y272,CBIMPORT!$A$1:$AN$171,38,FALSE)+VLOOKUP(Z272,CBIMPORT!$A$1:$AN$171,38,FALSE)))))))))))))))))</f>
        <v>0</v>
      </c>
      <c r="M272" s="21" t="str" cm="1">
        <f t="array" ref="M272:N272">IF(D173&gt;0,
TRANSPOSE(_xlfn._xlws.FILTER(
CHOOSE(
{1},
ANNOUNCEMENTS!$L$1:$L$180,
ANNOUNCEMENTS!$M$1:$M$180,
ANNOUNCEMENTS!$N$1:$N$180
),
((ANNOUNCEMENTS!$E$1:$E$180=B173)*(ANNOUNCEMENTS!$L$1:$L$180&lt;&gt;""))*
((ANNOUNCEMENTS!$J$1:$J$180=C173)))))</f>
        <v>Deutsche Bahn</v>
      </c>
      <c r="N272" s="21" t="str">
        <v>MINGA</v>
      </c>
      <c r="AB272" s="289"/>
      <c r="AD272" s="293"/>
    </row>
    <row r="273" spans="1:46" hidden="1" x14ac:dyDescent="0.35">
      <c r="A273" s="21">
        <v>0</v>
      </c>
      <c r="K273" s="297"/>
      <c r="L273" s="293">
        <f>IF(ISERROR(M273),0,
IF(COUNTA(M273:AC273)=1,(VLOOKUP(M273,CBIMPORT!$A$1:$AN$171,38,FALSE)),
IF(COUNTA(M273:AC273)=2,(VLOOKUP(M273,CBIMPORT!$A$1:$AN$171,38,FALSE)+VLOOKUP(N273,CBIMPORT!$A$1:$AN$171,38,FALSE)),
IF(COUNTA(M273:AC273)=3,(VLOOKUP(M273,CBIMPORT!$A$1:$AN$171,38,FALSE)+VLOOKUP(N273,CBIMPORT!$A$1:$AN$171,38,FALSE)+VLOOKUP(O273,CBIMPORT!$A$1:$AN$171,38,FALSE)),
IF(COUNTA(M273:AC273)=4,(VLOOKUP(M273,CBIMPORT!$A$1:$AN$171,38,FALSE)+VLOOKUP(N273,CBIMPORT!$A$1:$AN$171,38,FALSE)+VLOOKUP(O273,CBIMPORT!$A$1:$AN$171,38,FALSE)+VLOOKUP(P273,CBIMPORT!$A$1:$AN$171,38,FALSE)),
IF(COUNTA(M273:AC273)=5,(VLOOKUP(M273,CBIMPORT!$A$1:$AN$171,38,FALSE)+VLOOKUP(N273,CBIMPORT!$A$1:$AN$171,38,FALSE)+VLOOKUP(O273,CBIMPORT!$A$1:$AN$171,38,FALSE)+VLOOKUP(P273,CBIMPORT!$A$1:$AN$171,38,FALSE)+VLOOKUP(Q273,CBIMPORT!$A$1:$AN$171,38,FALSE)),IF(COUNTA(M273:AC273),
IF(COUNTA(M273:AC273)=6,(VLOOKUP(M273,CBIMPORT!$A$1:$AN$171,38,FALSE)+VLOOKUP(N273,CBIMPORT!$A$1:$AN$171,38,FALSE)+VLOOKUP(O273,CBIMPORT!$A$1:$AN$171,38,FALSE)+VLOOKUP(P273,CBIMPORT!$A$1:$AN$171,38,FALSE)+VLOOKUP(Q273,CBIMPORT!$A$1:$AN$171,38,FALSE)+VLOOKUP(R273,CBIMPORT!$A$1:$AN$171,38,FALSE)),
IF(COUNTA(M273:AC273)=7,(VLOOKUP(M273,CBIMPORT!$A$1:$AN$171,38,FALSE)+VLOOKUP(N273,CBIMPORT!$A$1:$AN$171,38,FALSE)+VLOOKUP(O273,CBIMPORT!$A$1:$AN$171,38,FALSE)+VLOOKUP(P273,CBIMPORT!$A$1:$AN$171,38,FALSE)+VLOOKUP(Q273,CBIMPORT!$A$1:$AN$171,38,FALSE)+VLOOKUP(R273,CBIMPORT!$A$1:$AN$171,38,FALSE)+VLOOKUP(S273,CBIMPORT!$A$1:$AN$171,38,FALSE)),
IF(COUNTA(M273:AC273)=7,(VLOOKUP(M273,CBIMPORT!$A$1:$AN$171,38,FALSE)+VLOOKUP(N273,CBIMPORT!$A$1:$AN$171,38,FALSE)+VLOOKUP(O273,CBIMPORT!$A$1:$AN$171,38,FALSE)+VLOOKUP(P273,CBIMPORT!$A$1:$AN$171,38,FALSE)+VLOOKUP(Q273,CBIMPORT!$A$1:$AN$171,38,FALSE)+VLOOKUP(R273,CBIMPORT!$A$1:$AN$171,38,FALSE)+VLOOKUP(S273,CBIMPORT!$A$1:$AN$171,38,FALSE)+VLOOKUP(T273,CBIMPORT!$A$1:$AN$171,38,FALSE)),
IF(COUNTA(M273:AC273)=8,(VLOOKUP(M273,CBIMPORT!$A$1:$AN$171,38,FALSE)+VLOOKUP(N273,CBIMPORT!$A$1:$AN$171,38,FALSE)+VLOOKUP(O273,CBIMPORT!$A$1:$AN$171,38,FALSE)+VLOOKUP(P273,CBIMPORT!$A$1:$AN$171,38,FALSE)+VLOOKUP(Q273,CBIMPORT!$A$1:$AN$171,38,FALSE)+VLOOKUP(R273,CBIMPORT!$A$1:$AN$171,38,FALSE)+VLOOKUP(S273,CBIMPORT!$A$1:$AN$171,38,FALSE)+VLOOKUP(T273,CBIMPORT!$A$1:$AN$171,38,FALSE)),
IF(COUNTA(M273:AC273)=9,(VLOOKUP(M273,CBIMPORT!$A$1:$AN$171,38,FALSE)+VLOOKUP(N273,CBIMPORT!$A$1:$AN$171,38,FALSE)+VLOOKUP(O273,CBIMPORT!$A$1:$AN$171,38,FALSE)+VLOOKUP(P273,CBIMPORT!$A$1:$AN$171,38,FALSE)+VLOOKUP(Q273,CBIMPORT!$A$1:$AN$171,38,FALSE)+VLOOKUP(R273,CBIMPORT!$A$1:$AN$171,38,FALSE)+VLOOKUP(S273,CBIMPORT!$A$1:$AN$171,38,FALSE)+VLOOKUP(T273,CBIMPORT!$A$1:$AN$171,38,FALSE)+VLOOKUP(U273,CBIMPORT!$A$1:$AN$171,38,FALSE)),
IF(COUNTA(M273:AC273)=10,(VLOOKUP(M273,CBIMPORT!$A$1:$AN$171,38,FALSE)+VLOOKUP(N273,CBIMPORT!$A$1:$AN$171,38,FALSE)+VLOOKUP(O273,CBIMPORT!$A$1:$AN$171,38,FALSE)+VLOOKUP(P273,CBIMPORT!$A$1:$AN$171,38,FALSE)+VLOOKUP(Q273,CBIMPORT!$A$1:$AN$171,38,FALSE)+VLOOKUP(R273,CBIMPORT!$A$1:$AN$171,38,FALSE)+VLOOKUP(S273,CBIMPORT!$A$1:$AN$171,38,FALSE)+VLOOKUP(T273,CBIMPORT!$A$1:$AN$171,38,FALSE)),
IF(COUNTA(M273:AC273)=14,(VLOOKUP(M273,CBIMPORT!$A$1:$AN$171,38,FALSE)+VLOOKUP(N273,CBIMPORT!$A$1:$AN$171,38,FALSE)+VLOOKUP(O273,CBIMPORT!$A$1:$AN$171,38,FALSE)+VLOOKUP(P273,CBIMPORT!$A$1:$AN$171,38,FALSE)+VLOOKUP(Q273,CBIMPORT!$A$1:$AN$171,38,FALSE)+VLOOKUP(R273,CBIMPORT!$A$1:$AN$171,38,FALSE)+VLOOKUP(S273,CBIMPORT!$A$1:$AN$171,38,FALSE)+VLOOKUP(T273,CBIMPORT!$A$1:$AN$171,38,FALSE)+VLOOKUP(U273,CBIMPORT!$A$1:$AN$171,38,FALSE)+VLOOKUP(V273,CBIMPORT!$A$1:$AN$171,38,FALSE)+VLOOKUP(W273,CBIMPORT!$A$1:$AN$171,38,FALSE)+VLOOKUP(X273,CBIMPORT!$A$1:$AN$171,38,FALSE)),
IF(COUNTA(M273:AC273)=16,(VLOOKUP(M273,CBIMPORT!$A$1:$AN$171,38,FALSE)+VLOOKUP(N273,CBIMPORT!$A$1:$AN$171,38,FALSE)+VLOOKUP(O273,CBIMPORT!$A$1:$AN$171,38,FALSE)+VLOOKUP(P273,CBIMPORT!$A$1:$AN$171,38,FALSE)+VLOOKUP(Q273,CBIMPORT!$A$1:$AN$171,38,FALSE)+VLOOKUP(R273,CBIMPORT!$A$1:$AN$171,38,FALSE)+VLOOKUP(S273,CBIMPORT!$A$1:$AN$171,38,FALSE)+VLOOKUP(T273,CBIMPORT!$A$1:$AN$171,38,FALSE)+VLOOKUP(U273,CBIMPORT!$A$1:$AN$171,38,FALSE)+VLOOKUP(V273,CBIMPORT!$A$1:$AN$171,38,FALSE)+VLOOKUP(W273,CBIMPORT!$A$1:$AN$171,38,FALSE)+VLOOKUP(X273,CBIMPORT!$A$1:$AN$171,38,FALSE)+VLOOKUP(Y273,CBIMPORT!$A$1:$AN$171,38,FALSE)+VLOOKUP(Z273,CBIMPORT!$A$1:$AN$171,38,FALSE)))))))))))))))))</f>
        <v>1</v>
      </c>
      <c r="M273" s="21" t="str" cm="1">
        <f t="array" ref="M273:O273">IF(D174&gt;0,
TRANSPOSE(_xlfn._xlws.FILTER(
CHOOSE(
{1},
ANNOUNCEMENTS!$L$1:$L$180,
ANNOUNCEMENTS!$M$1:$M$180,
ANNOUNCEMENTS!$N$1:$N$180
),
((ANNOUNCEMENTS!$E$1:$E$180=B174)*(ANNOUNCEMENTS!$L$1:$L$180&lt;&gt;""))*
((ANNOUNCEMENTS!$J$1:$J$180=C174)))))</f>
        <v>Aramex</v>
      </c>
      <c r="N273" s="21" t="str">
        <v>Grubhub</v>
      </c>
      <c r="O273" s="21" t="str">
        <v>kineo</v>
      </c>
      <c r="AB273" s="289"/>
      <c r="AD273" s="293"/>
    </row>
    <row r="274" spans="1:46" hidden="1" x14ac:dyDescent="0.35">
      <c r="A274" s="21" t="str">
        <v>TrustInSoft</v>
      </c>
      <c r="L274" s="293">
        <f>IF(ISERROR(M274),0,
IF(COUNTA(M274:AC274)=1,(VLOOKUP(M274,CBIMPORT!$A$1:$AN$171,38,FALSE)),
IF(COUNTA(M274:AC274)=2,(VLOOKUP(M274,CBIMPORT!$A$1:$AN$171,38,FALSE)+VLOOKUP(N274,CBIMPORT!$A$1:$AN$171,38,FALSE)),
IF(COUNTA(M274:AC274)=3,(VLOOKUP(M274,CBIMPORT!$A$1:$AN$171,38,FALSE)+VLOOKUP(N274,CBIMPORT!$A$1:$AN$171,38,FALSE)+VLOOKUP(O274,CBIMPORT!$A$1:$AN$171,38,FALSE)),
IF(COUNTA(M274:AC274)=4,(VLOOKUP(M274,CBIMPORT!$A$1:$AN$171,38,FALSE)+VLOOKUP(N274,CBIMPORT!$A$1:$AN$171,38,FALSE)+VLOOKUP(O274,CBIMPORT!$A$1:$AN$171,38,FALSE)+VLOOKUP(P274,CBIMPORT!$A$1:$AN$171,38,FALSE)),
IF(COUNTA(M274:AC274)=5,(VLOOKUP(M274,CBIMPORT!$A$1:$AN$171,38,FALSE)+VLOOKUP(N274,CBIMPORT!$A$1:$AN$171,38,FALSE)+VLOOKUP(O274,CBIMPORT!$A$1:$AN$171,38,FALSE)+VLOOKUP(P274,CBIMPORT!$A$1:$AN$171,38,FALSE)+VLOOKUP(Q274,CBIMPORT!$A$1:$AN$171,38,FALSE)),IF(COUNTA(M274:AC274),
IF(COUNTA(M274:AC274)=6,(VLOOKUP(M274,CBIMPORT!$A$1:$AN$171,38,FALSE)+VLOOKUP(N274,CBIMPORT!$A$1:$AN$171,38,FALSE)+VLOOKUP(O274,CBIMPORT!$A$1:$AN$171,38,FALSE)+VLOOKUP(P274,CBIMPORT!$A$1:$AN$171,38,FALSE)+VLOOKUP(Q274,CBIMPORT!$A$1:$AN$171,38,FALSE)+VLOOKUP(R274,CBIMPORT!$A$1:$AN$171,38,FALSE)),
IF(COUNTA(M274:AC274)=7,(VLOOKUP(M274,CBIMPORT!$A$1:$AN$171,38,FALSE)+VLOOKUP(N274,CBIMPORT!$A$1:$AN$171,38,FALSE)+VLOOKUP(O274,CBIMPORT!$A$1:$AN$171,38,FALSE)+VLOOKUP(P274,CBIMPORT!$A$1:$AN$171,38,FALSE)+VLOOKUP(Q274,CBIMPORT!$A$1:$AN$171,38,FALSE)+VLOOKUP(R274,CBIMPORT!$A$1:$AN$171,38,FALSE)+VLOOKUP(S274,CBIMPORT!$A$1:$AN$171,38,FALSE)),
IF(COUNTA(M274:AC274)=7,(VLOOKUP(M274,CBIMPORT!$A$1:$AN$171,38,FALSE)+VLOOKUP(N274,CBIMPORT!$A$1:$AN$171,38,FALSE)+VLOOKUP(O274,CBIMPORT!$A$1:$AN$171,38,FALSE)+VLOOKUP(P274,CBIMPORT!$A$1:$AN$171,38,FALSE)+VLOOKUP(Q274,CBIMPORT!$A$1:$AN$171,38,FALSE)+VLOOKUP(R274,CBIMPORT!$A$1:$AN$171,38,FALSE)+VLOOKUP(S274,CBIMPORT!$A$1:$AN$171,38,FALSE)+VLOOKUP(T274,CBIMPORT!$A$1:$AN$171,38,FALSE)),
IF(COUNTA(M274:AC274)=8,(VLOOKUP(M274,CBIMPORT!$A$1:$AN$171,38,FALSE)+VLOOKUP(N274,CBIMPORT!$A$1:$AN$171,38,FALSE)+VLOOKUP(O274,CBIMPORT!$A$1:$AN$171,38,FALSE)+VLOOKUP(P274,CBIMPORT!$A$1:$AN$171,38,FALSE)+VLOOKUP(Q274,CBIMPORT!$A$1:$AN$171,38,FALSE)+VLOOKUP(R274,CBIMPORT!$A$1:$AN$171,38,FALSE)+VLOOKUP(S274,CBIMPORT!$A$1:$AN$171,38,FALSE)+VLOOKUP(T274,CBIMPORT!$A$1:$AN$171,38,FALSE)),
IF(COUNTA(M274:AC274)=9,(VLOOKUP(M274,CBIMPORT!$A$1:$AN$171,38,FALSE)+VLOOKUP(N274,CBIMPORT!$A$1:$AN$171,38,FALSE)+VLOOKUP(O274,CBIMPORT!$A$1:$AN$171,38,FALSE)+VLOOKUP(P274,CBIMPORT!$A$1:$AN$171,38,FALSE)+VLOOKUP(Q274,CBIMPORT!$A$1:$AN$171,38,FALSE)+VLOOKUP(R274,CBIMPORT!$A$1:$AN$171,38,FALSE)+VLOOKUP(S274,CBIMPORT!$A$1:$AN$171,38,FALSE)+VLOOKUP(T274,CBIMPORT!$A$1:$AN$171,38,FALSE)+VLOOKUP(U274,CBIMPORT!$A$1:$AN$171,38,FALSE)),
IF(COUNTA(M274:AC274)=10,(VLOOKUP(M274,CBIMPORT!$A$1:$AN$171,38,FALSE)+VLOOKUP(N274,CBIMPORT!$A$1:$AN$171,38,FALSE)+VLOOKUP(O274,CBIMPORT!$A$1:$AN$171,38,FALSE)+VLOOKUP(P274,CBIMPORT!$A$1:$AN$171,38,FALSE)+VLOOKUP(Q274,CBIMPORT!$A$1:$AN$171,38,FALSE)+VLOOKUP(R274,CBIMPORT!$A$1:$AN$171,38,FALSE)+VLOOKUP(S274,CBIMPORT!$A$1:$AN$171,38,FALSE)+VLOOKUP(T274,CBIMPORT!$A$1:$AN$171,38,FALSE)),
IF(COUNTA(M274:AC274)=14,(VLOOKUP(M274,CBIMPORT!$A$1:$AN$171,38,FALSE)+VLOOKUP(N274,CBIMPORT!$A$1:$AN$171,38,FALSE)+VLOOKUP(O274,CBIMPORT!$A$1:$AN$171,38,FALSE)+VLOOKUP(P274,CBIMPORT!$A$1:$AN$171,38,FALSE)+VLOOKUP(Q274,CBIMPORT!$A$1:$AN$171,38,FALSE)+VLOOKUP(R274,CBIMPORT!$A$1:$AN$171,38,FALSE)+VLOOKUP(S274,CBIMPORT!$A$1:$AN$171,38,FALSE)+VLOOKUP(T274,CBIMPORT!$A$1:$AN$171,38,FALSE)+VLOOKUP(U274,CBIMPORT!$A$1:$AN$171,38,FALSE)+VLOOKUP(V274,CBIMPORT!$A$1:$AN$171,38,FALSE)+VLOOKUP(W274,CBIMPORT!$A$1:$AN$171,38,FALSE)+VLOOKUP(X274,CBIMPORT!$A$1:$AN$171,38,FALSE)),
IF(COUNTA(M274:AC274)=16,(VLOOKUP(M274,CBIMPORT!$A$1:$AN$171,38,FALSE)+VLOOKUP(N274,CBIMPORT!$A$1:$AN$171,38,FALSE)+VLOOKUP(O274,CBIMPORT!$A$1:$AN$171,38,FALSE)+VLOOKUP(P274,CBIMPORT!$A$1:$AN$171,38,FALSE)+VLOOKUP(Q274,CBIMPORT!$A$1:$AN$171,38,FALSE)+VLOOKUP(R274,CBIMPORT!$A$1:$AN$171,38,FALSE)+VLOOKUP(S274,CBIMPORT!$A$1:$AN$171,38,FALSE)+VLOOKUP(T274,CBIMPORT!$A$1:$AN$171,38,FALSE)+VLOOKUP(U274,CBIMPORT!$A$1:$AN$171,38,FALSE)+VLOOKUP(V274,CBIMPORT!$A$1:$AN$171,38,FALSE)+VLOOKUP(W274,CBIMPORT!$A$1:$AN$171,38,FALSE)+VLOOKUP(X274,CBIMPORT!$A$1:$AN$171,38,FALSE)+VLOOKUP(Y274,CBIMPORT!$A$1:$AN$171,38,FALSE)+VLOOKUP(Z274,CBIMPORT!$A$1:$AN$171,38,FALSE)))))))))))))))))</f>
        <v>1</v>
      </c>
      <c r="M274" s="21" t="str" cm="1">
        <f t="array" ref="M274:N274">IF(D175&gt;0,
TRANSPOSE(_xlfn._xlws.FILTER(
CHOOSE(
{1},
ANNOUNCEMENTS!$L$1:$L$180,
ANNOUNCEMENTS!$M$1:$M$180,
ANNOUNCEMENTS!$N$1:$N$180
),
((ANNOUNCEMENTS!$E$1:$E$180=B175)*(ANNOUNCEMENTS!$L$1:$L$180&lt;&gt;""))*
((ANNOUNCEMENTS!$J$1:$J$180=C175)))))</f>
        <v>Ten Roads Express</v>
      </c>
      <c r="N274" s="21" t="str">
        <v>Werner</v>
      </c>
      <c r="AB274" s="289"/>
      <c r="AD274" s="293"/>
      <c r="AS274" s="296"/>
      <c r="AT274" s="296"/>
    </row>
    <row r="275" spans="1:46" hidden="1" x14ac:dyDescent="0.35">
      <c r="A275" s="21" t="str">
        <v>Continental</v>
      </c>
      <c r="L275" s="293">
        <f>IF(ISERROR(M275),0,
IF(COUNTA(M275:AC275)=1,(VLOOKUP(M275,CBIMPORT!$A$1:$AN$171,38,FALSE)),
IF(COUNTA(M275:AC275)=2,(VLOOKUP(M275,CBIMPORT!$A$1:$AN$171,38,FALSE)+VLOOKUP(N275,CBIMPORT!$A$1:$AN$171,38,FALSE)),
IF(COUNTA(M275:AC275)=3,(VLOOKUP(M275,CBIMPORT!$A$1:$AN$171,38,FALSE)+VLOOKUP(N275,CBIMPORT!$A$1:$AN$171,38,FALSE)+VLOOKUP(O275,CBIMPORT!$A$1:$AN$171,38,FALSE)),
IF(COUNTA(M275:AC275)=4,(VLOOKUP(M275,CBIMPORT!$A$1:$AN$171,38,FALSE)+VLOOKUP(N275,CBIMPORT!$A$1:$AN$171,38,FALSE)+VLOOKUP(O275,CBIMPORT!$A$1:$AN$171,38,FALSE)+VLOOKUP(P275,CBIMPORT!$A$1:$AN$171,38,FALSE)),
IF(COUNTA(M275:AC275)=5,(VLOOKUP(M275,CBIMPORT!$A$1:$AN$171,38,FALSE)+VLOOKUP(N275,CBIMPORT!$A$1:$AN$171,38,FALSE)+VLOOKUP(O275,CBIMPORT!$A$1:$AN$171,38,FALSE)+VLOOKUP(P275,CBIMPORT!$A$1:$AN$171,38,FALSE)+VLOOKUP(Q275,CBIMPORT!$A$1:$AN$171,38,FALSE)),IF(COUNTA(M275:AC275),
IF(COUNTA(M275:AC275)=6,(VLOOKUP(M275,CBIMPORT!$A$1:$AN$171,38,FALSE)+VLOOKUP(N275,CBIMPORT!$A$1:$AN$171,38,FALSE)+VLOOKUP(O275,CBIMPORT!$A$1:$AN$171,38,FALSE)+VLOOKUP(P275,CBIMPORT!$A$1:$AN$171,38,FALSE)+VLOOKUP(Q275,CBIMPORT!$A$1:$AN$171,38,FALSE)+VLOOKUP(R275,CBIMPORT!$A$1:$AN$171,38,FALSE)),
IF(COUNTA(M275:AC275)=7,(VLOOKUP(M275,CBIMPORT!$A$1:$AN$171,38,FALSE)+VLOOKUP(N275,CBIMPORT!$A$1:$AN$171,38,FALSE)+VLOOKUP(O275,CBIMPORT!$A$1:$AN$171,38,FALSE)+VLOOKUP(P275,CBIMPORT!$A$1:$AN$171,38,FALSE)+VLOOKUP(Q275,CBIMPORT!$A$1:$AN$171,38,FALSE)+VLOOKUP(R275,CBIMPORT!$A$1:$AN$171,38,FALSE)+VLOOKUP(S275,CBIMPORT!$A$1:$AN$171,38,FALSE)),
IF(COUNTA(M275:AC275)=7,(VLOOKUP(M275,CBIMPORT!$A$1:$AN$171,38,FALSE)+VLOOKUP(N275,CBIMPORT!$A$1:$AN$171,38,FALSE)+VLOOKUP(O275,CBIMPORT!$A$1:$AN$171,38,FALSE)+VLOOKUP(P275,CBIMPORT!$A$1:$AN$171,38,FALSE)+VLOOKUP(Q275,CBIMPORT!$A$1:$AN$171,38,FALSE)+VLOOKUP(R275,CBIMPORT!$A$1:$AN$171,38,FALSE)+VLOOKUP(S275,CBIMPORT!$A$1:$AN$171,38,FALSE)+VLOOKUP(T275,CBIMPORT!$A$1:$AN$171,38,FALSE)),
IF(COUNTA(M275:AC275)=8,(VLOOKUP(M275,CBIMPORT!$A$1:$AN$171,38,FALSE)+VLOOKUP(N275,CBIMPORT!$A$1:$AN$171,38,FALSE)+VLOOKUP(O275,CBIMPORT!$A$1:$AN$171,38,FALSE)+VLOOKUP(P275,CBIMPORT!$A$1:$AN$171,38,FALSE)+VLOOKUP(Q275,CBIMPORT!$A$1:$AN$171,38,FALSE)+VLOOKUP(R275,CBIMPORT!$A$1:$AN$171,38,FALSE)+VLOOKUP(S275,CBIMPORT!$A$1:$AN$171,38,FALSE)+VLOOKUP(T275,CBIMPORT!$A$1:$AN$171,38,FALSE)),
IF(COUNTA(M275:AC275)=9,(VLOOKUP(M275,CBIMPORT!$A$1:$AN$171,38,FALSE)+VLOOKUP(N275,CBIMPORT!$A$1:$AN$171,38,FALSE)+VLOOKUP(O275,CBIMPORT!$A$1:$AN$171,38,FALSE)+VLOOKUP(P275,CBIMPORT!$A$1:$AN$171,38,FALSE)+VLOOKUP(Q275,CBIMPORT!$A$1:$AN$171,38,FALSE)+VLOOKUP(R275,CBIMPORT!$A$1:$AN$171,38,FALSE)+VLOOKUP(S275,CBIMPORT!$A$1:$AN$171,38,FALSE)+VLOOKUP(T275,CBIMPORT!$A$1:$AN$171,38,FALSE)+VLOOKUP(U275,CBIMPORT!$A$1:$AN$171,38,FALSE)),
IF(COUNTA(M275:AC275)=10,(VLOOKUP(M275,CBIMPORT!$A$1:$AN$171,38,FALSE)+VLOOKUP(N275,CBIMPORT!$A$1:$AN$171,38,FALSE)+VLOOKUP(O275,CBIMPORT!$A$1:$AN$171,38,FALSE)+VLOOKUP(P275,CBIMPORT!$A$1:$AN$171,38,FALSE)+VLOOKUP(Q275,CBIMPORT!$A$1:$AN$171,38,FALSE)+VLOOKUP(R275,CBIMPORT!$A$1:$AN$171,38,FALSE)+VLOOKUP(S275,CBIMPORT!$A$1:$AN$171,38,FALSE)+VLOOKUP(T275,CBIMPORT!$A$1:$AN$171,38,FALSE)),
IF(COUNTA(M275:AC275)=14,(VLOOKUP(M275,CBIMPORT!$A$1:$AN$171,38,FALSE)+VLOOKUP(N275,CBIMPORT!$A$1:$AN$171,38,FALSE)+VLOOKUP(O275,CBIMPORT!$A$1:$AN$171,38,FALSE)+VLOOKUP(P275,CBIMPORT!$A$1:$AN$171,38,FALSE)+VLOOKUP(Q275,CBIMPORT!$A$1:$AN$171,38,FALSE)+VLOOKUP(R275,CBIMPORT!$A$1:$AN$171,38,FALSE)+VLOOKUP(S275,CBIMPORT!$A$1:$AN$171,38,FALSE)+VLOOKUP(T275,CBIMPORT!$A$1:$AN$171,38,FALSE)+VLOOKUP(U275,CBIMPORT!$A$1:$AN$171,38,FALSE)+VLOOKUP(V275,CBIMPORT!$A$1:$AN$171,38,FALSE)+VLOOKUP(W275,CBIMPORT!$A$1:$AN$171,38,FALSE)+VLOOKUP(X275,CBIMPORT!$A$1:$AN$171,38,FALSE)),
IF(COUNTA(M275:AC275)=16,(VLOOKUP(M275,CBIMPORT!$A$1:$AN$171,38,FALSE)+VLOOKUP(N275,CBIMPORT!$A$1:$AN$171,38,FALSE)+VLOOKUP(O275,CBIMPORT!$A$1:$AN$171,38,FALSE)+VLOOKUP(P275,CBIMPORT!$A$1:$AN$171,38,FALSE)+VLOOKUP(Q275,CBIMPORT!$A$1:$AN$171,38,FALSE)+VLOOKUP(R275,CBIMPORT!$A$1:$AN$171,38,FALSE)+VLOOKUP(S275,CBIMPORT!$A$1:$AN$171,38,FALSE)+VLOOKUP(T275,CBIMPORT!$A$1:$AN$171,38,FALSE)+VLOOKUP(U275,CBIMPORT!$A$1:$AN$171,38,FALSE)+VLOOKUP(V275,CBIMPORT!$A$1:$AN$171,38,FALSE)+VLOOKUP(W275,CBIMPORT!$A$1:$AN$171,38,FALSE)+VLOOKUP(X275,CBIMPORT!$A$1:$AN$171,38,FALSE)+VLOOKUP(Y275,CBIMPORT!$A$1:$AN$171,38,FALSE)+VLOOKUP(Z275,CBIMPORT!$A$1:$AN$171,38,FALSE)))))))))))))))))</f>
        <v>2</v>
      </c>
      <c r="M275" s="21" t="str" cm="1">
        <f t="array" ref="M275:Q275">IF(D176&gt;0,
TRANSPOSE(_xlfn._xlws.FILTER(
CHOOSE(
{1},
ANNOUNCEMENTS!$L$1:$L$180,
ANNOUNCEMENTS!$M$1:$M$180,
ANNOUNCEMENTS!$N$1:$N$180
),
((ANNOUNCEMENTS!$E$1:$E$180=B176)*(ANNOUNCEMENTS!$L$1:$L$180&lt;&gt;""))*
((ANNOUNCEMENTS!$J$1:$J$180=C176)))))</f>
        <v>Bridgestone</v>
      </c>
      <c r="N275" s="21" t="str">
        <v>Stantec</v>
      </c>
      <c r="O275" s="21" t="str">
        <v>Spare</v>
      </c>
      <c r="P275" s="21" t="str">
        <v>Moovit</v>
      </c>
      <c r="Q275" s="21" t="str">
        <v>Liftango</v>
      </c>
      <c r="AB275" s="289"/>
      <c r="AD275" s="293"/>
      <c r="AS275" s="296"/>
      <c r="AT275" s="296"/>
    </row>
    <row r="276" spans="1:46" hidden="1" x14ac:dyDescent="0.35">
      <c r="A276" s="21" t="str">
        <v>Sono Motors</v>
      </c>
      <c r="L276" s="293">
        <f>IF(ISERROR(M276),0,
IF(COUNTA(M276:AC276)=1,(VLOOKUP(M276,CBIMPORT!$A$1:$AN$171,38,FALSE)),
IF(COUNTA(M276:AC276)=2,(VLOOKUP(M276,CBIMPORT!$A$1:$AN$171,38,FALSE)+VLOOKUP(N276,CBIMPORT!$A$1:$AN$171,38,FALSE)),
IF(COUNTA(M276:AC276)=3,(VLOOKUP(M276,CBIMPORT!$A$1:$AN$171,38,FALSE)+VLOOKUP(N276,CBIMPORT!$A$1:$AN$171,38,FALSE)+VLOOKUP(O276,CBIMPORT!$A$1:$AN$171,38,FALSE)),
IF(COUNTA(M276:AC276)=4,(VLOOKUP(M276,CBIMPORT!$A$1:$AN$171,38,FALSE)+VLOOKUP(N276,CBIMPORT!$A$1:$AN$171,38,FALSE)+VLOOKUP(O276,CBIMPORT!$A$1:$AN$171,38,FALSE)+VLOOKUP(P276,CBIMPORT!$A$1:$AN$171,38,FALSE)),
IF(COUNTA(M276:AC276)=5,(VLOOKUP(M276,CBIMPORT!$A$1:$AN$171,38,FALSE)+VLOOKUP(N276,CBIMPORT!$A$1:$AN$171,38,FALSE)+VLOOKUP(O276,CBIMPORT!$A$1:$AN$171,38,FALSE)+VLOOKUP(P276,CBIMPORT!$A$1:$AN$171,38,FALSE)+VLOOKUP(Q276,CBIMPORT!$A$1:$AN$171,38,FALSE)),IF(COUNTA(M276:AC276),
IF(COUNTA(M276:AC276)=6,(VLOOKUP(M276,CBIMPORT!$A$1:$AN$171,38,FALSE)+VLOOKUP(N276,CBIMPORT!$A$1:$AN$171,38,FALSE)+VLOOKUP(O276,CBIMPORT!$A$1:$AN$171,38,FALSE)+VLOOKUP(P276,CBIMPORT!$A$1:$AN$171,38,FALSE)+VLOOKUP(Q276,CBIMPORT!$A$1:$AN$171,38,FALSE)+VLOOKUP(R276,CBIMPORT!$A$1:$AN$171,38,FALSE)),
IF(COUNTA(M276:AC276)=7,(VLOOKUP(M276,CBIMPORT!$A$1:$AN$171,38,FALSE)+VLOOKUP(N276,CBIMPORT!$A$1:$AN$171,38,FALSE)+VLOOKUP(O276,CBIMPORT!$A$1:$AN$171,38,FALSE)+VLOOKUP(P276,CBIMPORT!$A$1:$AN$171,38,FALSE)+VLOOKUP(Q276,CBIMPORT!$A$1:$AN$171,38,FALSE)+VLOOKUP(R276,CBIMPORT!$A$1:$AN$171,38,FALSE)+VLOOKUP(S276,CBIMPORT!$A$1:$AN$171,38,FALSE)),
IF(COUNTA(M276:AC276)=7,(VLOOKUP(M276,CBIMPORT!$A$1:$AN$171,38,FALSE)+VLOOKUP(N276,CBIMPORT!$A$1:$AN$171,38,FALSE)+VLOOKUP(O276,CBIMPORT!$A$1:$AN$171,38,FALSE)+VLOOKUP(P276,CBIMPORT!$A$1:$AN$171,38,FALSE)+VLOOKUP(Q276,CBIMPORT!$A$1:$AN$171,38,FALSE)+VLOOKUP(R276,CBIMPORT!$A$1:$AN$171,38,FALSE)+VLOOKUP(S276,CBIMPORT!$A$1:$AN$171,38,FALSE)+VLOOKUP(T276,CBIMPORT!$A$1:$AN$171,38,FALSE)),
IF(COUNTA(M276:AC276)=8,(VLOOKUP(M276,CBIMPORT!$A$1:$AN$171,38,FALSE)+VLOOKUP(N276,CBIMPORT!$A$1:$AN$171,38,FALSE)+VLOOKUP(O276,CBIMPORT!$A$1:$AN$171,38,FALSE)+VLOOKUP(P276,CBIMPORT!$A$1:$AN$171,38,FALSE)+VLOOKUP(Q276,CBIMPORT!$A$1:$AN$171,38,FALSE)+VLOOKUP(R276,CBIMPORT!$A$1:$AN$171,38,FALSE)+VLOOKUP(S276,CBIMPORT!$A$1:$AN$171,38,FALSE)+VLOOKUP(T276,CBIMPORT!$A$1:$AN$171,38,FALSE)),
IF(COUNTA(M276:AC276)=9,(VLOOKUP(M276,CBIMPORT!$A$1:$AN$171,38,FALSE)+VLOOKUP(N276,CBIMPORT!$A$1:$AN$171,38,FALSE)+VLOOKUP(O276,CBIMPORT!$A$1:$AN$171,38,FALSE)+VLOOKUP(P276,CBIMPORT!$A$1:$AN$171,38,FALSE)+VLOOKUP(Q276,CBIMPORT!$A$1:$AN$171,38,FALSE)+VLOOKUP(R276,CBIMPORT!$A$1:$AN$171,38,FALSE)+VLOOKUP(S276,CBIMPORT!$A$1:$AN$171,38,FALSE)+VLOOKUP(T276,CBIMPORT!$A$1:$AN$171,38,FALSE)+VLOOKUP(U276,CBIMPORT!$A$1:$AN$171,38,FALSE)),
IF(COUNTA(M276:AC276)=10,(VLOOKUP(M276,CBIMPORT!$A$1:$AN$171,38,FALSE)+VLOOKUP(N276,CBIMPORT!$A$1:$AN$171,38,FALSE)+VLOOKUP(O276,CBIMPORT!$A$1:$AN$171,38,FALSE)+VLOOKUP(P276,CBIMPORT!$A$1:$AN$171,38,FALSE)+VLOOKUP(Q276,CBIMPORT!$A$1:$AN$171,38,FALSE)+VLOOKUP(R276,CBIMPORT!$A$1:$AN$171,38,FALSE)+VLOOKUP(S276,CBIMPORT!$A$1:$AN$171,38,FALSE)+VLOOKUP(T276,CBIMPORT!$A$1:$AN$171,38,FALSE)),
IF(COUNTA(M276:AC276)=14,(VLOOKUP(M276,CBIMPORT!$A$1:$AN$171,38,FALSE)+VLOOKUP(N276,CBIMPORT!$A$1:$AN$171,38,FALSE)+VLOOKUP(O276,CBIMPORT!$A$1:$AN$171,38,FALSE)+VLOOKUP(P276,CBIMPORT!$A$1:$AN$171,38,FALSE)+VLOOKUP(Q276,CBIMPORT!$A$1:$AN$171,38,FALSE)+VLOOKUP(R276,CBIMPORT!$A$1:$AN$171,38,FALSE)+VLOOKUP(S276,CBIMPORT!$A$1:$AN$171,38,FALSE)+VLOOKUP(T276,CBIMPORT!$A$1:$AN$171,38,FALSE)+VLOOKUP(U276,CBIMPORT!$A$1:$AN$171,38,FALSE)+VLOOKUP(V276,CBIMPORT!$A$1:$AN$171,38,FALSE)+VLOOKUP(W276,CBIMPORT!$A$1:$AN$171,38,FALSE)+VLOOKUP(X276,CBIMPORT!$A$1:$AN$171,38,FALSE)),
IF(COUNTA(M276:AC276)=16,(VLOOKUP(M276,CBIMPORT!$A$1:$AN$171,38,FALSE)+VLOOKUP(N276,CBIMPORT!$A$1:$AN$171,38,FALSE)+VLOOKUP(O276,CBIMPORT!$A$1:$AN$171,38,FALSE)+VLOOKUP(P276,CBIMPORT!$A$1:$AN$171,38,FALSE)+VLOOKUP(Q276,CBIMPORT!$A$1:$AN$171,38,FALSE)+VLOOKUP(R276,CBIMPORT!$A$1:$AN$171,38,FALSE)+VLOOKUP(S276,CBIMPORT!$A$1:$AN$171,38,FALSE)+VLOOKUP(T276,CBIMPORT!$A$1:$AN$171,38,FALSE)+VLOOKUP(U276,CBIMPORT!$A$1:$AN$171,38,FALSE)+VLOOKUP(V276,CBIMPORT!$A$1:$AN$171,38,FALSE)+VLOOKUP(W276,CBIMPORT!$A$1:$AN$171,38,FALSE)+VLOOKUP(X276,CBIMPORT!$A$1:$AN$171,38,FALSE)+VLOOKUP(Y276,CBIMPORT!$A$1:$AN$171,38,FALSE)+VLOOKUP(Z276,CBIMPORT!$A$1:$AN$171,38,FALSE)))))))))))))))))</f>
        <v>0</v>
      </c>
      <c r="M276" s="21" t="str" cm="1">
        <f t="array" ref="M276">IF(D177&gt;0,
TRANSPOSE(_xlfn._xlws.FILTER(
CHOOSE(
{1},
ANNOUNCEMENTS!$L$1:$L$180,
ANNOUNCEMENTS!$M$1:$M$180,
ANNOUNCEMENTS!$N$1:$N$180
),
((ANNOUNCEMENTS!$E$1:$E$180=B177)*(ANNOUNCEMENTS!$L$1:$L$180&lt;&gt;""))*
((ANNOUNCEMENTS!$J$1:$J$180=C177)))))</f>
        <v>Via</v>
      </c>
      <c r="AB276" s="289"/>
      <c r="AD276" s="293"/>
      <c r="AS276" s="296"/>
      <c r="AT276" s="296"/>
    </row>
    <row r="277" spans="1:46" hidden="1" x14ac:dyDescent="0.35">
      <c r="A277" s="21" t="str">
        <v>Phoenix Motorcars</v>
      </c>
      <c r="L277" s="293">
        <f>IF(ISERROR(M277),0,
IF(COUNTA(M277:AC277)=1,(VLOOKUP(M277,CBIMPORT!$A$1:$AN$171,38,FALSE)),
IF(COUNTA(M277:AC277)=2,(VLOOKUP(M277,CBIMPORT!$A$1:$AN$171,38,FALSE)+VLOOKUP(N277,CBIMPORT!$A$1:$AN$171,38,FALSE)),
IF(COUNTA(M277:AC277)=3,(VLOOKUP(M277,CBIMPORT!$A$1:$AN$171,38,FALSE)+VLOOKUP(N277,CBIMPORT!$A$1:$AN$171,38,FALSE)+VLOOKUP(O277,CBIMPORT!$A$1:$AN$171,38,FALSE)),
IF(COUNTA(M277:AC277)=4,(VLOOKUP(M277,CBIMPORT!$A$1:$AN$171,38,FALSE)+VLOOKUP(N277,CBIMPORT!$A$1:$AN$171,38,FALSE)+VLOOKUP(O277,CBIMPORT!$A$1:$AN$171,38,FALSE)+VLOOKUP(P277,CBIMPORT!$A$1:$AN$171,38,FALSE)),
IF(COUNTA(M277:AC277)=5,(VLOOKUP(M277,CBIMPORT!$A$1:$AN$171,38,FALSE)+VLOOKUP(N277,CBIMPORT!$A$1:$AN$171,38,FALSE)+VLOOKUP(O277,CBIMPORT!$A$1:$AN$171,38,FALSE)+VLOOKUP(P277,CBIMPORT!$A$1:$AN$171,38,FALSE)+VLOOKUP(Q277,CBIMPORT!$A$1:$AN$171,38,FALSE)),IF(COUNTA(M277:AC277),
IF(COUNTA(M277:AC277)=6,(VLOOKUP(M277,CBIMPORT!$A$1:$AN$171,38,FALSE)+VLOOKUP(N277,CBIMPORT!$A$1:$AN$171,38,FALSE)+VLOOKUP(O277,CBIMPORT!$A$1:$AN$171,38,FALSE)+VLOOKUP(P277,CBIMPORT!$A$1:$AN$171,38,FALSE)+VLOOKUP(Q277,CBIMPORT!$A$1:$AN$171,38,FALSE)+VLOOKUP(R277,CBIMPORT!$A$1:$AN$171,38,FALSE)),
IF(COUNTA(M277:AC277)=7,(VLOOKUP(M277,CBIMPORT!$A$1:$AN$171,38,FALSE)+VLOOKUP(N277,CBIMPORT!$A$1:$AN$171,38,FALSE)+VLOOKUP(O277,CBIMPORT!$A$1:$AN$171,38,FALSE)+VLOOKUP(P277,CBIMPORT!$A$1:$AN$171,38,FALSE)+VLOOKUP(Q277,CBIMPORT!$A$1:$AN$171,38,FALSE)+VLOOKUP(R277,CBIMPORT!$A$1:$AN$171,38,FALSE)+VLOOKUP(S277,CBIMPORT!$A$1:$AN$171,38,FALSE)),
IF(COUNTA(M277:AC277)=7,(VLOOKUP(M277,CBIMPORT!$A$1:$AN$171,38,FALSE)+VLOOKUP(N277,CBIMPORT!$A$1:$AN$171,38,FALSE)+VLOOKUP(O277,CBIMPORT!$A$1:$AN$171,38,FALSE)+VLOOKUP(P277,CBIMPORT!$A$1:$AN$171,38,FALSE)+VLOOKUP(Q277,CBIMPORT!$A$1:$AN$171,38,FALSE)+VLOOKUP(R277,CBIMPORT!$A$1:$AN$171,38,FALSE)+VLOOKUP(S277,CBIMPORT!$A$1:$AN$171,38,FALSE)+VLOOKUP(T277,CBIMPORT!$A$1:$AN$171,38,FALSE)),
IF(COUNTA(M277:AC277)=8,(VLOOKUP(M277,CBIMPORT!$A$1:$AN$171,38,FALSE)+VLOOKUP(N277,CBIMPORT!$A$1:$AN$171,38,FALSE)+VLOOKUP(O277,CBIMPORT!$A$1:$AN$171,38,FALSE)+VLOOKUP(P277,CBIMPORT!$A$1:$AN$171,38,FALSE)+VLOOKUP(Q277,CBIMPORT!$A$1:$AN$171,38,FALSE)+VLOOKUP(R277,CBIMPORT!$A$1:$AN$171,38,FALSE)+VLOOKUP(S277,CBIMPORT!$A$1:$AN$171,38,FALSE)+VLOOKUP(T277,CBIMPORT!$A$1:$AN$171,38,FALSE)),
IF(COUNTA(M277:AC277)=9,(VLOOKUP(M277,CBIMPORT!$A$1:$AN$171,38,FALSE)+VLOOKUP(N277,CBIMPORT!$A$1:$AN$171,38,FALSE)+VLOOKUP(O277,CBIMPORT!$A$1:$AN$171,38,FALSE)+VLOOKUP(P277,CBIMPORT!$A$1:$AN$171,38,FALSE)+VLOOKUP(Q277,CBIMPORT!$A$1:$AN$171,38,FALSE)+VLOOKUP(R277,CBIMPORT!$A$1:$AN$171,38,FALSE)+VLOOKUP(S277,CBIMPORT!$A$1:$AN$171,38,FALSE)+VLOOKUP(T277,CBIMPORT!$A$1:$AN$171,38,FALSE)+VLOOKUP(U277,CBIMPORT!$A$1:$AN$171,38,FALSE)),
IF(COUNTA(M277:AC277)=10,(VLOOKUP(M277,CBIMPORT!$A$1:$AN$171,38,FALSE)+VLOOKUP(N277,CBIMPORT!$A$1:$AN$171,38,FALSE)+VLOOKUP(O277,CBIMPORT!$A$1:$AN$171,38,FALSE)+VLOOKUP(P277,CBIMPORT!$A$1:$AN$171,38,FALSE)+VLOOKUP(Q277,CBIMPORT!$A$1:$AN$171,38,FALSE)+VLOOKUP(R277,CBIMPORT!$A$1:$AN$171,38,FALSE)+VLOOKUP(S277,CBIMPORT!$A$1:$AN$171,38,FALSE)+VLOOKUP(T277,CBIMPORT!$A$1:$AN$171,38,FALSE)),
IF(COUNTA(M277:AC277)=14,(VLOOKUP(M277,CBIMPORT!$A$1:$AN$171,38,FALSE)+VLOOKUP(N277,CBIMPORT!$A$1:$AN$171,38,FALSE)+VLOOKUP(O277,CBIMPORT!$A$1:$AN$171,38,FALSE)+VLOOKUP(P277,CBIMPORT!$A$1:$AN$171,38,FALSE)+VLOOKUP(Q277,CBIMPORT!$A$1:$AN$171,38,FALSE)+VLOOKUP(R277,CBIMPORT!$A$1:$AN$171,38,FALSE)+VLOOKUP(S277,CBIMPORT!$A$1:$AN$171,38,FALSE)+VLOOKUP(T277,CBIMPORT!$A$1:$AN$171,38,FALSE)+VLOOKUP(U277,CBIMPORT!$A$1:$AN$171,38,FALSE)+VLOOKUP(V277,CBIMPORT!$A$1:$AN$171,38,FALSE)+VLOOKUP(W277,CBIMPORT!$A$1:$AN$171,38,FALSE)+VLOOKUP(X277,CBIMPORT!$A$1:$AN$171,38,FALSE)),
IF(COUNTA(M277:AC277)=16,(VLOOKUP(M277,CBIMPORT!$A$1:$AN$171,38,FALSE)+VLOOKUP(N277,CBIMPORT!$A$1:$AN$171,38,FALSE)+VLOOKUP(O277,CBIMPORT!$A$1:$AN$171,38,FALSE)+VLOOKUP(P277,CBIMPORT!$A$1:$AN$171,38,FALSE)+VLOOKUP(Q277,CBIMPORT!$A$1:$AN$171,38,FALSE)+VLOOKUP(R277,CBIMPORT!$A$1:$AN$171,38,FALSE)+VLOOKUP(S277,CBIMPORT!$A$1:$AN$171,38,FALSE)+VLOOKUP(T277,CBIMPORT!$A$1:$AN$171,38,FALSE)+VLOOKUP(U277,CBIMPORT!$A$1:$AN$171,38,FALSE)+VLOOKUP(V277,CBIMPORT!$A$1:$AN$171,38,FALSE)+VLOOKUP(W277,CBIMPORT!$A$1:$AN$171,38,FALSE)+VLOOKUP(X277,CBIMPORT!$A$1:$AN$171,38,FALSE)+VLOOKUP(Y277,CBIMPORT!$A$1:$AN$171,38,FALSE)+VLOOKUP(Z277,CBIMPORT!$A$1:$AN$171,38,FALSE)))))))))))))))))</f>
        <v>4</v>
      </c>
      <c r="M277" s="21" t="str" cm="1">
        <f t="array" ref="M277:AB277">IF(D178&gt;0,
TRANSPOSE(_xlfn._xlws.FILTER(
CHOOSE(
{1},
ANNOUNCEMENTS!$L$1:$L$180,
ANNOUNCEMENTS!$M$1:$M$180,
ANNOUNCEMENTS!$N$1:$N$180
),
((ANNOUNCEMENTS!$E$1:$E$180=B178)*(ANNOUNCEMENTS!$L$1:$L$180&lt;&gt;""))*
((ANNOUNCEMENTS!$J$1:$J$180=C178)))))</f>
        <v>Mission Secure</v>
      </c>
      <c r="N277" s="21" t="str">
        <v>Global Finance Group</v>
      </c>
      <c r="O277" s="21" t="str">
        <v>Western Reserve Transit Authority</v>
      </c>
      <c r="P277" s="21" t="str">
        <v>SAE</v>
      </c>
      <c r="Q277" s="21" t="str">
        <v>Tropos Technologies</v>
      </c>
      <c r="R277" s="21" t="str">
        <v>Tropos Technologies</v>
      </c>
      <c r="S277" s="21" t="str">
        <v>Greenpower</v>
      </c>
      <c r="T277" s="21" t="str">
        <v>Guident</v>
      </c>
      <c r="U277" s="21" t="str">
        <v>Lightning eMotors</v>
      </c>
      <c r="V277" s="21" t="str">
        <v>University of California</v>
      </c>
      <c r="W277" s="21" t="str">
        <v>Sustainability Partners</v>
      </c>
      <c r="X277" s="21" t="str">
        <v>Rampini</v>
      </c>
      <c r="Y277" s="21" t="str">
        <v>Tropos Technologies</v>
      </c>
      <c r="Z277" s="21" t="str">
        <v>GreenPower</v>
      </c>
      <c r="AA277" s="21" t="str">
        <v>UVA Foundation</v>
      </c>
      <c r="AB277" s="289" t="str">
        <v>E Charger Systems</v>
      </c>
      <c r="AD277" s="293"/>
    </row>
    <row r="278" spans="1:46" hidden="1" x14ac:dyDescent="0.35">
      <c r="A278" s="21" t="str">
        <v>Continental</v>
      </c>
      <c r="L278" s="293">
        <f>IF(ISERROR(M278),0,
IF(COUNTA(M278:AC278)=1,(VLOOKUP(M278,CBIMPORT!$A$1:$AN$171,38,FALSE)),
IF(COUNTA(M278:AC278)=2,(VLOOKUP(M278,CBIMPORT!$A$1:$AN$171,38,FALSE)+VLOOKUP(N278,CBIMPORT!$A$1:$AN$171,38,FALSE)),
IF(COUNTA(M278:AC278)=3,(VLOOKUP(M278,CBIMPORT!$A$1:$AN$171,38,FALSE)+VLOOKUP(N278,CBIMPORT!$A$1:$AN$171,38,FALSE)+VLOOKUP(O278,CBIMPORT!$A$1:$AN$171,38,FALSE)),
IF(COUNTA(M278:AC278)=4,(VLOOKUP(M278,CBIMPORT!$A$1:$AN$171,38,FALSE)+VLOOKUP(N278,CBIMPORT!$A$1:$AN$171,38,FALSE)+VLOOKUP(O278,CBIMPORT!$A$1:$AN$171,38,FALSE)+VLOOKUP(P278,CBIMPORT!$A$1:$AN$171,38,FALSE)),
IF(COUNTA(M278:AC278)=5,(VLOOKUP(M278,CBIMPORT!$A$1:$AN$171,38,FALSE)+VLOOKUP(N278,CBIMPORT!$A$1:$AN$171,38,FALSE)+VLOOKUP(O278,CBIMPORT!$A$1:$AN$171,38,FALSE)+VLOOKUP(P278,CBIMPORT!$A$1:$AN$171,38,FALSE)+VLOOKUP(Q278,CBIMPORT!$A$1:$AN$171,38,FALSE)),IF(COUNTA(M278:AC278),
IF(COUNTA(M278:AC278)=6,(VLOOKUP(M278,CBIMPORT!$A$1:$AN$171,38,FALSE)+VLOOKUP(N278,CBIMPORT!$A$1:$AN$171,38,FALSE)+VLOOKUP(O278,CBIMPORT!$A$1:$AN$171,38,FALSE)+VLOOKUP(P278,CBIMPORT!$A$1:$AN$171,38,FALSE)+VLOOKUP(Q278,CBIMPORT!$A$1:$AN$171,38,FALSE)+VLOOKUP(R278,CBIMPORT!$A$1:$AN$171,38,FALSE)),
IF(COUNTA(M278:AC278)=7,(VLOOKUP(M278,CBIMPORT!$A$1:$AN$171,38,FALSE)+VLOOKUP(N278,CBIMPORT!$A$1:$AN$171,38,FALSE)+VLOOKUP(O278,CBIMPORT!$A$1:$AN$171,38,FALSE)+VLOOKUP(P278,CBIMPORT!$A$1:$AN$171,38,FALSE)+VLOOKUP(Q278,CBIMPORT!$A$1:$AN$171,38,FALSE)+VLOOKUP(R278,CBIMPORT!$A$1:$AN$171,38,FALSE)+VLOOKUP(S278,CBIMPORT!$A$1:$AN$171,38,FALSE)),
IF(COUNTA(M278:AC278)=7,(VLOOKUP(M278,CBIMPORT!$A$1:$AN$171,38,FALSE)+VLOOKUP(N278,CBIMPORT!$A$1:$AN$171,38,FALSE)+VLOOKUP(O278,CBIMPORT!$A$1:$AN$171,38,FALSE)+VLOOKUP(P278,CBIMPORT!$A$1:$AN$171,38,FALSE)+VLOOKUP(Q278,CBIMPORT!$A$1:$AN$171,38,FALSE)+VLOOKUP(R278,CBIMPORT!$A$1:$AN$171,38,FALSE)+VLOOKUP(S278,CBIMPORT!$A$1:$AN$171,38,FALSE)+VLOOKUP(T278,CBIMPORT!$A$1:$AN$171,38,FALSE)),
IF(COUNTA(M278:AC278)=8,(VLOOKUP(M278,CBIMPORT!$A$1:$AN$171,38,FALSE)+VLOOKUP(N278,CBIMPORT!$A$1:$AN$171,38,FALSE)+VLOOKUP(O278,CBIMPORT!$A$1:$AN$171,38,FALSE)+VLOOKUP(P278,CBIMPORT!$A$1:$AN$171,38,FALSE)+VLOOKUP(Q278,CBIMPORT!$A$1:$AN$171,38,FALSE)+VLOOKUP(R278,CBIMPORT!$A$1:$AN$171,38,FALSE)+VLOOKUP(S278,CBIMPORT!$A$1:$AN$171,38,FALSE)+VLOOKUP(T278,CBIMPORT!$A$1:$AN$171,38,FALSE)),
IF(COUNTA(M278:AC278)=9,(VLOOKUP(M278,CBIMPORT!$A$1:$AN$171,38,FALSE)+VLOOKUP(N278,CBIMPORT!$A$1:$AN$171,38,FALSE)+VLOOKUP(O278,CBIMPORT!$A$1:$AN$171,38,FALSE)+VLOOKUP(P278,CBIMPORT!$A$1:$AN$171,38,FALSE)+VLOOKUP(Q278,CBIMPORT!$A$1:$AN$171,38,FALSE)+VLOOKUP(R278,CBIMPORT!$A$1:$AN$171,38,FALSE)+VLOOKUP(S278,CBIMPORT!$A$1:$AN$171,38,FALSE)+VLOOKUP(T278,CBIMPORT!$A$1:$AN$171,38,FALSE)+VLOOKUP(U278,CBIMPORT!$A$1:$AN$171,38,FALSE)),
IF(COUNTA(M278:AC278)=10,(VLOOKUP(M278,CBIMPORT!$A$1:$AN$171,38,FALSE)+VLOOKUP(N278,CBIMPORT!$A$1:$AN$171,38,FALSE)+VLOOKUP(O278,CBIMPORT!$A$1:$AN$171,38,FALSE)+VLOOKUP(P278,CBIMPORT!$A$1:$AN$171,38,FALSE)+VLOOKUP(Q278,CBIMPORT!$A$1:$AN$171,38,FALSE)+VLOOKUP(R278,CBIMPORT!$A$1:$AN$171,38,FALSE)+VLOOKUP(S278,CBIMPORT!$A$1:$AN$171,38,FALSE)+VLOOKUP(T278,CBIMPORT!$A$1:$AN$171,38,FALSE)),
IF(COUNTA(M278:AC278)=14,(VLOOKUP(M278,CBIMPORT!$A$1:$AN$171,38,FALSE)+VLOOKUP(N278,CBIMPORT!$A$1:$AN$171,38,FALSE)+VLOOKUP(O278,CBIMPORT!$A$1:$AN$171,38,FALSE)+VLOOKUP(P278,CBIMPORT!$A$1:$AN$171,38,FALSE)+VLOOKUP(Q278,CBIMPORT!$A$1:$AN$171,38,FALSE)+VLOOKUP(R278,CBIMPORT!$A$1:$AN$171,38,FALSE)+VLOOKUP(S278,CBIMPORT!$A$1:$AN$171,38,FALSE)+VLOOKUP(T278,CBIMPORT!$A$1:$AN$171,38,FALSE)+VLOOKUP(U278,CBIMPORT!$A$1:$AN$171,38,FALSE)+VLOOKUP(V278,CBIMPORT!$A$1:$AN$171,38,FALSE)+VLOOKUP(W278,CBIMPORT!$A$1:$AN$171,38,FALSE)+VLOOKUP(X278,CBIMPORT!$A$1:$AN$171,38,FALSE)),
IF(COUNTA(M278:AC278)=16,(VLOOKUP(M278,CBIMPORT!$A$1:$AN$171,38,FALSE)+VLOOKUP(N278,CBIMPORT!$A$1:$AN$171,38,FALSE)+VLOOKUP(O278,CBIMPORT!$A$1:$AN$171,38,FALSE)+VLOOKUP(P278,CBIMPORT!$A$1:$AN$171,38,FALSE)+VLOOKUP(Q278,CBIMPORT!$A$1:$AN$171,38,FALSE)+VLOOKUP(R278,CBIMPORT!$A$1:$AN$171,38,FALSE)+VLOOKUP(S278,CBIMPORT!$A$1:$AN$171,38,FALSE)+VLOOKUP(T278,CBIMPORT!$A$1:$AN$171,38,FALSE)+VLOOKUP(U278,CBIMPORT!$A$1:$AN$171,38,FALSE)+VLOOKUP(V278,CBIMPORT!$A$1:$AN$171,38,FALSE)+VLOOKUP(W278,CBIMPORT!$A$1:$AN$171,38,FALSE)+VLOOKUP(X278,CBIMPORT!$A$1:$AN$171,38,FALSE)+VLOOKUP(Y278,CBIMPORT!$A$1:$AN$171,38,FALSE)+VLOOKUP(Z278,CBIMPORT!$A$1:$AN$171,38,FALSE)))))))))))))))))</f>
        <v>0</v>
      </c>
      <c r="M278" s="21" t="str" cm="1">
        <f t="array" ref="M278">IF(D179&gt;0,
TRANSPOSE(_xlfn._xlws.FILTER(
CHOOSE(
{1},
ANNOUNCEMENTS!$L$1:$L$180,
ANNOUNCEMENTS!$M$1:$M$180,
ANNOUNCEMENTS!$N$1:$N$180
),
((ANNOUNCEMENTS!$E$1:$E$180=B179)*(ANNOUNCEMENTS!$L$1:$L$180&lt;&gt;""))*
((ANNOUNCEMENTS!$J$1:$J$180=C179)))))</f>
        <v>Goggo Network</v>
      </c>
      <c r="AB278" s="289"/>
      <c r="AD278" s="293"/>
    </row>
    <row r="279" spans="1:46" hidden="1" x14ac:dyDescent="0.35">
      <c r="A279" s="21" t="str">
        <v>Kalray</v>
      </c>
      <c r="L279" s="293">
        <f>IF(ISERROR(M279),0,
IF(COUNTA(M279:AC279)=1,(VLOOKUP(M279,CBIMPORT!$A$1:$AN$171,38,FALSE)),
IF(COUNTA(M279:AC279)=2,(VLOOKUP(M279,CBIMPORT!$A$1:$AN$171,38,FALSE)+VLOOKUP(N279,CBIMPORT!$A$1:$AN$171,38,FALSE)),
IF(COUNTA(M279:AC279)=3,(VLOOKUP(M279,CBIMPORT!$A$1:$AN$171,38,FALSE)+VLOOKUP(N279,CBIMPORT!$A$1:$AN$171,38,FALSE)+VLOOKUP(O279,CBIMPORT!$A$1:$AN$171,38,FALSE)),
IF(COUNTA(M279:AC279)=4,(VLOOKUP(M279,CBIMPORT!$A$1:$AN$171,38,FALSE)+VLOOKUP(N279,CBIMPORT!$A$1:$AN$171,38,FALSE)+VLOOKUP(O279,CBIMPORT!$A$1:$AN$171,38,FALSE)+VLOOKUP(P279,CBIMPORT!$A$1:$AN$171,38,FALSE)),
IF(COUNTA(M279:AC279)=5,(VLOOKUP(M279,CBIMPORT!$A$1:$AN$171,38,FALSE)+VLOOKUP(N279,CBIMPORT!$A$1:$AN$171,38,FALSE)+VLOOKUP(O279,CBIMPORT!$A$1:$AN$171,38,FALSE)+VLOOKUP(P279,CBIMPORT!$A$1:$AN$171,38,FALSE)+VLOOKUP(Q279,CBIMPORT!$A$1:$AN$171,38,FALSE)),IF(COUNTA(M279:AC279),
IF(COUNTA(M279:AC279)=6,(VLOOKUP(M279,CBIMPORT!$A$1:$AN$171,38,FALSE)+VLOOKUP(N279,CBIMPORT!$A$1:$AN$171,38,FALSE)+VLOOKUP(O279,CBIMPORT!$A$1:$AN$171,38,FALSE)+VLOOKUP(P279,CBIMPORT!$A$1:$AN$171,38,FALSE)+VLOOKUP(Q279,CBIMPORT!$A$1:$AN$171,38,FALSE)+VLOOKUP(R279,CBIMPORT!$A$1:$AN$171,38,FALSE)),
IF(COUNTA(M279:AC279)=7,(VLOOKUP(M279,CBIMPORT!$A$1:$AN$171,38,FALSE)+VLOOKUP(N279,CBIMPORT!$A$1:$AN$171,38,FALSE)+VLOOKUP(O279,CBIMPORT!$A$1:$AN$171,38,FALSE)+VLOOKUP(P279,CBIMPORT!$A$1:$AN$171,38,FALSE)+VLOOKUP(Q279,CBIMPORT!$A$1:$AN$171,38,FALSE)+VLOOKUP(R279,CBIMPORT!$A$1:$AN$171,38,FALSE)+VLOOKUP(S279,CBIMPORT!$A$1:$AN$171,38,FALSE)),
IF(COUNTA(M279:AC279)=7,(VLOOKUP(M279,CBIMPORT!$A$1:$AN$171,38,FALSE)+VLOOKUP(N279,CBIMPORT!$A$1:$AN$171,38,FALSE)+VLOOKUP(O279,CBIMPORT!$A$1:$AN$171,38,FALSE)+VLOOKUP(P279,CBIMPORT!$A$1:$AN$171,38,FALSE)+VLOOKUP(Q279,CBIMPORT!$A$1:$AN$171,38,FALSE)+VLOOKUP(R279,CBIMPORT!$A$1:$AN$171,38,FALSE)+VLOOKUP(S279,CBIMPORT!$A$1:$AN$171,38,FALSE)+VLOOKUP(T279,CBIMPORT!$A$1:$AN$171,38,FALSE)),
IF(COUNTA(M279:AC279)=8,(VLOOKUP(M279,CBIMPORT!$A$1:$AN$171,38,FALSE)+VLOOKUP(N279,CBIMPORT!$A$1:$AN$171,38,FALSE)+VLOOKUP(O279,CBIMPORT!$A$1:$AN$171,38,FALSE)+VLOOKUP(P279,CBIMPORT!$A$1:$AN$171,38,FALSE)+VLOOKUP(Q279,CBIMPORT!$A$1:$AN$171,38,FALSE)+VLOOKUP(R279,CBIMPORT!$A$1:$AN$171,38,FALSE)+VLOOKUP(S279,CBIMPORT!$A$1:$AN$171,38,FALSE)+VLOOKUP(T279,CBIMPORT!$A$1:$AN$171,38,FALSE)),
IF(COUNTA(M279:AC279)=9,(VLOOKUP(M279,CBIMPORT!$A$1:$AN$171,38,FALSE)+VLOOKUP(N279,CBIMPORT!$A$1:$AN$171,38,FALSE)+VLOOKUP(O279,CBIMPORT!$A$1:$AN$171,38,FALSE)+VLOOKUP(P279,CBIMPORT!$A$1:$AN$171,38,FALSE)+VLOOKUP(Q279,CBIMPORT!$A$1:$AN$171,38,FALSE)+VLOOKUP(R279,CBIMPORT!$A$1:$AN$171,38,FALSE)+VLOOKUP(S279,CBIMPORT!$A$1:$AN$171,38,FALSE)+VLOOKUP(T279,CBIMPORT!$A$1:$AN$171,38,FALSE)+VLOOKUP(U279,CBIMPORT!$A$1:$AN$171,38,FALSE)),
IF(COUNTA(M279:AC279)=10,(VLOOKUP(M279,CBIMPORT!$A$1:$AN$171,38,FALSE)+VLOOKUP(N279,CBIMPORT!$A$1:$AN$171,38,FALSE)+VLOOKUP(O279,CBIMPORT!$A$1:$AN$171,38,FALSE)+VLOOKUP(P279,CBIMPORT!$A$1:$AN$171,38,FALSE)+VLOOKUP(Q279,CBIMPORT!$A$1:$AN$171,38,FALSE)+VLOOKUP(R279,CBIMPORT!$A$1:$AN$171,38,FALSE)+VLOOKUP(S279,CBIMPORT!$A$1:$AN$171,38,FALSE)+VLOOKUP(T279,CBIMPORT!$A$1:$AN$171,38,FALSE)),
IF(COUNTA(M279:AC279)=14,(VLOOKUP(M279,CBIMPORT!$A$1:$AN$171,38,FALSE)+VLOOKUP(N279,CBIMPORT!$A$1:$AN$171,38,FALSE)+VLOOKUP(O279,CBIMPORT!$A$1:$AN$171,38,FALSE)+VLOOKUP(P279,CBIMPORT!$A$1:$AN$171,38,FALSE)+VLOOKUP(Q279,CBIMPORT!$A$1:$AN$171,38,FALSE)+VLOOKUP(R279,CBIMPORT!$A$1:$AN$171,38,FALSE)+VLOOKUP(S279,CBIMPORT!$A$1:$AN$171,38,FALSE)+VLOOKUP(T279,CBIMPORT!$A$1:$AN$171,38,FALSE)+VLOOKUP(U279,CBIMPORT!$A$1:$AN$171,38,FALSE)+VLOOKUP(V279,CBIMPORT!$A$1:$AN$171,38,FALSE)+VLOOKUP(W279,CBIMPORT!$A$1:$AN$171,38,FALSE)+VLOOKUP(X279,CBIMPORT!$A$1:$AN$171,38,FALSE)),
IF(COUNTA(M279:AC279)=16,(VLOOKUP(M279,CBIMPORT!$A$1:$AN$171,38,FALSE)+VLOOKUP(N279,CBIMPORT!$A$1:$AN$171,38,FALSE)+VLOOKUP(O279,CBIMPORT!$A$1:$AN$171,38,FALSE)+VLOOKUP(P279,CBIMPORT!$A$1:$AN$171,38,FALSE)+VLOOKUP(Q279,CBIMPORT!$A$1:$AN$171,38,FALSE)+VLOOKUP(R279,CBIMPORT!$A$1:$AN$171,38,FALSE)+VLOOKUP(S279,CBIMPORT!$A$1:$AN$171,38,FALSE)+VLOOKUP(T279,CBIMPORT!$A$1:$AN$171,38,FALSE)+VLOOKUP(U279,CBIMPORT!$A$1:$AN$171,38,FALSE)+VLOOKUP(V279,CBIMPORT!$A$1:$AN$171,38,FALSE)+VLOOKUP(W279,CBIMPORT!$A$1:$AN$171,38,FALSE)+VLOOKUP(X279,CBIMPORT!$A$1:$AN$171,38,FALSE)+VLOOKUP(Y279,CBIMPORT!$A$1:$AN$171,38,FALSE)+VLOOKUP(Z279,CBIMPORT!$A$1:$AN$171,38,FALSE)))))))))))))))))</f>
        <v>0</v>
      </c>
      <c r="M279" s="21" t="str" cm="1">
        <f t="array" ref="M279:N279">IF(D180&gt;0,
TRANSPOSE(_xlfn._xlws.FILTER(
CHOOSE(
{1},
ANNOUNCEMENTS!$L$1:$L$180,
ANNOUNCEMENTS!$M$1:$M$180,
ANNOUNCEMENTS!$N$1:$N$180
),
((ANNOUNCEMENTS!$E$1:$E$180=B180)*(ANNOUNCEMENTS!$L$1:$L$180&lt;&gt;""))*
((ANNOUNCEMENTS!$J$1:$J$180=C180)))))</f>
        <v>MAN Truck &amp; Bus</v>
      </c>
      <c r="N279" s="21" t="str">
        <v>WILLER</v>
      </c>
      <c r="AB279" s="289"/>
      <c r="AD279" s="293"/>
    </row>
    <row r="280" spans="1:46" hidden="1" x14ac:dyDescent="0.35">
      <c r="A280" s="21" t="str">
        <v>Bridgestone</v>
      </c>
      <c r="C280" s="21"/>
      <c r="L280" s="293">
        <f>IF(ISERROR(M280),0,
IF(COUNTA(M280:AC280)=1,(VLOOKUP(M280,CBIMPORT!$A$1:$AN$171,38,FALSE)),
IF(COUNTA(M280:AC280)=2,(VLOOKUP(M280,CBIMPORT!$A$1:$AN$171,38,FALSE)+VLOOKUP(N280,CBIMPORT!$A$1:$AN$171,38,FALSE)),
IF(COUNTA(M280:AC280)=3,(VLOOKUP(M280,CBIMPORT!$A$1:$AN$171,38,FALSE)+VLOOKUP(N280,CBIMPORT!$A$1:$AN$171,38,FALSE)+VLOOKUP(O280,CBIMPORT!$A$1:$AN$171,38,FALSE)),
IF(COUNTA(M280:AC280)=4,(VLOOKUP(M280,CBIMPORT!$A$1:$AN$171,38,FALSE)+VLOOKUP(N280,CBIMPORT!$A$1:$AN$171,38,FALSE)+VLOOKUP(O280,CBIMPORT!$A$1:$AN$171,38,FALSE)+VLOOKUP(P280,CBIMPORT!$A$1:$AN$171,38,FALSE)),
IF(COUNTA(M280:AC280)=5,(VLOOKUP(M280,CBIMPORT!$A$1:$AN$171,38,FALSE)+VLOOKUP(N280,CBIMPORT!$A$1:$AN$171,38,FALSE)+VLOOKUP(O280,CBIMPORT!$A$1:$AN$171,38,FALSE)+VLOOKUP(P280,CBIMPORT!$A$1:$AN$171,38,FALSE)+VLOOKUP(Q280,CBIMPORT!$A$1:$AN$171,38,FALSE)),IF(COUNTA(M280:AC280),
IF(COUNTA(M280:AC280)=6,(VLOOKUP(M280,CBIMPORT!$A$1:$AN$171,38,FALSE)+VLOOKUP(N280,CBIMPORT!$A$1:$AN$171,38,FALSE)+VLOOKUP(O280,CBIMPORT!$A$1:$AN$171,38,FALSE)+VLOOKUP(P280,CBIMPORT!$A$1:$AN$171,38,FALSE)+VLOOKUP(Q280,CBIMPORT!$A$1:$AN$171,38,FALSE)+VLOOKUP(R280,CBIMPORT!$A$1:$AN$171,38,FALSE)),
IF(COUNTA(M280:AC280)=7,(VLOOKUP(M280,CBIMPORT!$A$1:$AN$171,38,FALSE)+VLOOKUP(N280,CBIMPORT!$A$1:$AN$171,38,FALSE)+VLOOKUP(O280,CBIMPORT!$A$1:$AN$171,38,FALSE)+VLOOKUP(P280,CBIMPORT!$A$1:$AN$171,38,FALSE)+VLOOKUP(Q280,CBIMPORT!$A$1:$AN$171,38,FALSE)+VLOOKUP(R280,CBIMPORT!$A$1:$AN$171,38,FALSE)+VLOOKUP(S280,CBIMPORT!$A$1:$AN$171,38,FALSE)),
IF(COUNTA(M280:AC280)=7,(VLOOKUP(M280,CBIMPORT!$A$1:$AN$171,38,FALSE)+VLOOKUP(N280,CBIMPORT!$A$1:$AN$171,38,FALSE)+VLOOKUP(O280,CBIMPORT!$A$1:$AN$171,38,FALSE)+VLOOKUP(P280,CBIMPORT!$A$1:$AN$171,38,FALSE)+VLOOKUP(Q280,CBIMPORT!$A$1:$AN$171,38,FALSE)+VLOOKUP(R280,CBIMPORT!$A$1:$AN$171,38,FALSE)+VLOOKUP(S280,CBIMPORT!$A$1:$AN$171,38,FALSE)+VLOOKUP(T280,CBIMPORT!$A$1:$AN$171,38,FALSE)),
IF(COUNTA(M280:AC280)=8,(VLOOKUP(M280,CBIMPORT!$A$1:$AN$171,38,FALSE)+VLOOKUP(N280,CBIMPORT!$A$1:$AN$171,38,FALSE)+VLOOKUP(O280,CBIMPORT!$A$1:$AN$171,38,FALSE)+VLOOKUP(P280,CBIMPORT!$A$1:$AN$171,38,FALSE)+VLOOKUP(Q280,CBIMPORT!$A$1:$AN$171,38,FALSE)+VLOOKUP(R280,CBIMPORT!$A$1:$AN$171,38,FALSE)+VLOOKUP(S280,CBIMPORT!$A$1:$AN$171,38,FALSE)+VLOOKUP(T280,CBIMPORT!$A$1:$AN$171,38,FALSE)),
IF(COUNTA(M280:AC280)=9,(VLOOKUP(M280,CBIMPORT!$A$1:$AN$171,38,FALSE)+VLOOKUP(N280,CBIMPORT!$A$1:$AN$171,38,FALSE)+VLOOKUP(O280,CBIMPORT!$A$1:$AN$171,38,FALSE)+VLOOKUP(P280,CBIMPORT!$A$1:$AN$171,38,FALSE)+VLOOKUP(Q280,CBIMPORT!$A$1:$AN$171,38,FALSE)+VLOOKUP(R280,CBIMPORT!$A$1:$AN$171,38,FALSE)+VLOOKUP(S280,CBIMPORT!$A$1:$AN$171,38,FALSE)+VLOOKUP(T280,CBIMPORT!$A$1:$AN$171,38,FALSE)+VLOOKUP(U280,CBIMPORT!$A$1:$AN$171,38,FALSE)),
IF(COUNTA(M280:AC280)=10,(VLOOKUP(M280,CBIMPORT!$A$1:$AN$171,38,FALSE)+VLOOKUP(N280,CBIMPORT!$A$1:$AN$171,38,FALSE)+VLOOKUP(O280,CBIMPORT!$A$1:$AN$171,38,FALSE)+VLOOKUP(P280,CBIMPORT!$A$1:$AN$171,38,FALSE)+VLOOKUP(Q280,CBIMPORT!$A$1:$AN$171,38,FALSE)+VLOOKUP(R280,CBIMPORT!$A$1:$AN$171,38,FALSE)+VLOOKUP(S280,CBIMPORT!$A$1:$AN$171,38,FALSE)+VLOOKUP(T280,CBIMPORT!$A$1:$AN$171,38,FALSE)),
IF(COUNTA(M280:AC280)=14,(VLOOKUP(M280,CBIMPORT!$A$1:$AN$171,38,FALSE)+VLOOKUP(N280,CBIMPORT!$A$1:$AN$171,38,FALSE)+VLOOKUP(O280,CBIMPORT!$A$1:$AN$171,38,FALSE)+VLOOKUP(P280,CBIMPORT!$A$1:$AN$171,38,FALSE)+VLOOKUP(Q280,CBIMPORT!$A$1:$AN$171,38,FALSE)+VLOOKUP(R280,CBIMPORT!$A$1:$AN$171,38,FALSE)+VLOOKUP(S280,CBIMPORT!$A$1:$AN$171,38,FALSE)+VLOOKUP(T280,CBIMPORT!$A$1:$AN$171,38,FALSE)+VLOOKUP(U280,CBIMPORT!$A$1:$AN$171,38,FALSE)+VLOOKUP(V280,CBIMPORT!$A$1:$AN$171,38,FALSE)+VLOOKUP(W280,CBIMPORT!$A$1:$AN$171,38,FALSE)+VLOOKUP(X280,CBIMPORT!$A$1:$AN$171,38,FALSE)),
IF(COUNTA(M280:AC280)=16,(VLOOKUP(M280,CBIMPORT!$A$1:$AN$171,38,FALSE)+VLOOKUP(N280,CBIMPORT!$A$1:$AN$171,38,FALSE)+VLOOKUP(O280,CBIMPORT!$A$1:$AN$171,38,FALSE)+VLOOKUP(P280,CBIMPORT!$A$1:$AN$171,38,FALSE)+VLOOKUP(Q280,CBIMPORT!$A$1:$AN$171,38,FALSE)+VLOOKUP(R280,CBIMPORT!$A$1:$AN$171,38,FALSE)+VLOOKUP(S280,CBIMPORT!$A$1:$AN$171,38,FALSE)+VLOOKUP(T280,CBIMPORT!$A$1:$AN$171,38,FALSE)+VLOOKUP(U280,CBIMPORT!$A$1:$AN$171,38,FALSE)+VLOOKUP(V280,CBIMPORT!$A$1:$AN$171,38,FALSE)+VLOOKUP(W280,CBIMPORT!$A$1:$AN$171,38,FALSE)+VLOOKUP(X280,CBIMPORT!$A$1:$AN$171,38,FALSE)+VLOOKUP(Y280,CBIMPORT!$A$1:$AN$171,38,FALSE)+VLOOKUP(Z280,CBIMPORT!$A$1:$AN$171,38,FALSE)))))))))))))))))</f>
        <v>5</v>
      </c>
      <c r="M280" s="21" t="str" cm="1">
        <f t="array" ref="M280:T280">IF(D181&gt;0,
TRANSPOSE(_xlfn._xlws.FILTER(
CHOOSE(
{1},
ANNOUNCEMENTS!$L$1:$L$180,
ANNOUNCEMENTS!$M$1:$M$180,
ANNOUNCEMENTS!$N$1:$N$180
),
((ANNOUNCEMENTS!$E$1:$E$180=B181)*(ANNOUNCEMENTS!$L$1:$L$180&lt;&gt;""))*
((ANNOUNCEMENTS!$J$1:$J$180=C181)))))</f>
        <v>Porsche</v>
      </c>
      <c r="N280" s="21" t="str">
        <v>Ecarx</v>
      </c>
      <c r="O280" s="21" t="str">
        <v>FAW Group</v>
      </c>
      <c r="P280" s="21" t="str">
        <v xml:space="preserve">Wistron NeWeb Corp </v>
      </c>
      <c r="Q280" s="21" t="str">
        <v>Geely</v>
      </c>
      <c r="R280" s="21" t="str">
        <v>Zeekr</v>
      </c>
      <c r="S280" s="21" t="str">
        <v>Valeo</v>
      </c>
      <c r="T280" s="21" t="str">
        <v>Zeekr</v>
      </c>
      <c r="AB280" s="289"/>
      <c r="AD280" s="293"/>
    </row>
    <row r="281" spans="1:46" hidden="1" x14ac:dyDescent="0.35">
      <c r="A281" s="21" t="str">
        <v>Ericsson</v>
      </c>
      <c r="C281" s="21"/>
      <c r="L281" s="293">
        <f>IF(ISERROR(M281),0,
IF(COUNTA(M281:AC281)=1,(VLOOKUP(M281,CBIMPORT!$A$1:$AN$171,38,FALSE)),
IF(COUNTA(M281:AC281)=2,(VLOOKUP(M281,CBIMPORT!$A$1:$AN$171,38,FALSE)+VLOOKUP(N281,CBIMPORT!$A$1:$AN$171,38,FALSE)),
IF(COUNTA(M281:AC281)=3,(VLOOKUP(M281,CBIMPORT!$A$1:$AN$171,38,FALSE)+VLOOKUP(N281,CBIMPORT!$A$1:$AN$171,38,FALSE)+VLOOKUP(O281,CBIMPORT!$A$1:$AN$171,38,FALSE)),
IF(COUNTA(M281:AC281)=4,(VLOOKUP(M281,CBIMPORT!$A$1:$AN$171,38,FALSE)+VLOOKUP(N281,CBIMPORT!$A$1:$AN$171,38,FALSE)+VLOOKUP(O281,CBIMPORT!$A$1:$AN$171,38,FALSE)+VLOOKUP(P281,CBIMPORT!$A$1:$AN$171,38,FALSE)),
IF(COUNTA(M281:AC281)=5,(VLOOKUP(M281,CBIMPORT!$A$1:$AN$171,38,FALSE)+VLOOKUP(N281,CBIMPORT!$A$1:$AN$171,38,FALSE)+VLOOKUP(O281,CBIMPORT!$A$1:$AN$171,38,FALSE)+VLOOKUP(P281,CBIMPORT!$A$1:$AN$171,38,FALSE)+VLOOKUP(Q281,CBIMPORT!$A$1:$AN$171,38,FALSE)),IF(COUNTA(M281:AC281),
IF(COUNTA(M281:AC281)=6,(VLOOKUP(M281,CBIMPORT!$A$1:$AN$171,38,FALSE)+VLOOKUP(N281,CBIMPORT!$A$1:$AN$171,38,FALSE)+VLOOKUP(O281,CBIMPORT!$A$1:$AN$171,38,FALSE)+VLOOKUP(P281,CBIMPORT!$A$1:$AN$171,38,FALSE)+VLOOKUP(Q281,CBIMPORT!$A$1:$AN$171,38,FALSE)+VLOOKUP(R281,CBIMPORT!$A$1:$AN$171,38,FALSE)),
IF(COUNTA(M281:AC281)=7,(VLOOKUP(M281,CBIMPORT!$A$1:$AN$171,38,FALSE)+VLOOKUP(N281,CBIMPORT!$A$1:$AN$171,38,FALSE)+VLOOKUP(O281,CBIMPORT!$A$1:$AN$171,38,FALSE)+VLOOKUP(P281,CBIMPORT!$A$1:$AN$171,38,FALSE)+VLOOKUP(Q281,CBIMPORT!$A$1:$AN$171,38,FALSE)+VLOOKUP(R281,CBIMPORT!$A$1:$AN$171,38,FALSE)+VLOOKUP(S281,CBIMPORT!$A$1:$AN$171,38,FALSE)),
IF(COUNTA(M281:AC281)=7,(VLOOKUP(M281,CBIMPORT!$A$1:$AN$171,38,FALSE)+VLOOKUP(N281,CBIMPORT!$A$1:$AN$171,38,FALSE)+VLOOKUP(O281,CBIMPORT!$A$1:$AN$171,38,FALSE)+VLOOKUP(P281,CBIMPORT!$A$1:$AN$171,38,FALSE)+VLOOKUP(Q281,CBIMPORT!$A$1:$AN$171,38,FALSE)+VLOOKUP(R281,CBIMPORT!$A$1:$AN$171,38,FALSE)+VLOOKUP(S281,CBIMPORT!$A$1:$AN$171,38,FALSE)+VLOOKUP(T281,CBIMPORT!$A$1:$AN$171,38,FALSE)),
IF(COUNTA(M281:AC281)=8,(VLOOKUP(M281,CBIMPORT!$A$1:$AN$171,38,FALSE)+VLOOKUP(N281,CBIMPORT!$A$1:$AN$171,38,FALSE)+VLOOKUP(O281,CBIMPORT!$A$1:$AN$171,38,FALSE)+VLOOKUP(P281,CBIMPORT!$A$1:$AN$171,38,FALSE)+VLOOKUP(Q281,CBIMPORT!$A$1:$AN$171,38,FALSE)+VLOOKUP(R281,CBIMPORT!$A$1:$AN$171,38,FALSE)+VLOOKUP(S281,CBIMPORT!$A$1:$AN$171,38,FALSE)+VLOOKUP(T281,CBIMPORT!$A$1:$AN$171,38,FALSE)),
IF(COUNTA(M281:AC281)=9,(VLOOKUP(M281,CBIMPORT!$A$1:$AN$171,38,FALSE)+VLOOKUP(N281,CBIMPORT!$A$1:$AN$171,38,FALSE)+VLOOKUP(O281,CBIMPORT!$A$1:$AN$171,38,FALSE)+VLOOKUP(P281,CBIMPORT!$A$1:$AN$171,38,FALSE)+VLOOKUP(Q281,CBIMPORT!$A$1:$AN$171,38,FALSE)+VLOOKUP(R281,CBIMPORT!$A$1:$AN$171,38,FALSE)+VLOOKUP(S281,CBIMPORT!$A$1:$AN$171,38,FALSE)+VLOOKUP(T281,CBIMPORT!$A$1:$AN$171,38,FALSE)+VLOOKUP(U281,CBIMPORT!$A$1:$AN$171,38,FALSE)),
IF(COUNTA(M281:AC281)=10,(VLOOKUP(M281,CBIMPORT!$A$1:$AN$171,38,FALSE)+VLOOKUP(N281,CBIMPORT!$A$1:$AN$171,38,FALSE)+VLOOKUP(O281,CBIMPORT!$A$1:$AN$171,38,FALSE)+VLOOKUP(P281,CBIMPORT!$A$1:$AN$171,38,FALSE)+VLOOKUP(Q281,CBIMPORT!$A$1:$AN$171,38,FALSE)+VLOOKUP(R281,CBIMPORT!$A$1:$AN$171,38,FALSE)+VLOOKUP(S281,CBIMPORT!$A$1:$AN$171,38,FALSE)+VLOOKUP(T281,CBIMPORT!$A$1:$AN$171,38,FALSE)),
IF(COUNTA(M281:AC281)=14,(VLOOKUP(M281,CBIMPORT!$A$1:$AN$171,38,FALSE)+VLOOKUP(N281,CBIMPORT!$A$1:$AN$171,38,FALSE)+VLOOKUP(O281,CBIMPORT!$A$1:$AN$171,38,FALSE)+VLOOKUP(P281,CBIMPORT!$A$1:$AN$171,38,FALSE)+VLOOKUP(Q281,CBIMPORT!$A$1:$AN$171,38,FALSE)+VLOOKUP(R281,CBIMPORT!$A$1:$AN$171,38,FALSE)+VLOOKUP(S281,CBIMPORT!$A$1:$AN$171,38,FALSE)+VLOOKUP(T281,CBIMPORT!$A$1:$AN$171,38,FALSE)+VLOOKUP(U281,CBIMPORT!$A$1:$AN$171,38,FALSE)+VLOOKUP(V281,CBIMPORT!$A$1:$AN$171,38,FALSE)+VLOOKUP(W281,CBIMPORT!$A$1:$AN$171,38,FALSE)+VLOOKUP(X281,CBIMPORT!$A$1:$AN$171,38,FALSE)),
IF(COUNTA(M281:AC281)=16,(VLOOKUP(M281,CBIMPORT!$A$1:$AN$171,38,FALSE)+VLOOKUP(N281,CBIMPORT!$A$1:$AN$171,38,FALSE)+VLOOKUP(O281,CBIMPORT!$A$1:$AN$171,38,FALSE)+VLOOKUP(P281,CBIMPORT!$A$1:$AN$171,38,FALSE)+VLOOKUP(Q281,CBIMPORT!$A$1:$AN$171,38,FALSE)+VLOOKUP(R281,CBIMPORT!$A$1:$AN$171,38,FALSE)+VLOOKUP(S281,CBIMPORT!$A$1:$AN$171,38,FALSE)+VLOOKUP(T281,CBIMPORT!$A$1:$AN$171,38,FALSE)+VLOOKUP(U281,CBIMPORT!$A$1:$AN$171,38,FALSE)+VLOOKUP(V281,CBIMPORT!$A$1:$AN$171,38,FALSE)+VLOOKUP(W281,CBIMPORT!$A$1:$AN$171,38,FALSE)+VLOOKUP(X281,CBIMPORT!$A$1:$AN$171,38,FALSE)+VLOOKUP(Y281,CBIMPORT!$A$1:$AN$171,38,FALSE)+VLOOKUP(Z281,CBIMPORT!$A$1:$AN$171,38,FALSE)))))))))))))))))</f>
        <v>0</v>
      </c>
      <c r="M281" s="21" t="str" cm="1">
        <f t="array" ref="M281">IF(D182&gt;0,
TRANSPOSE(_xlfn._xlws.FILTER(
CHOOSE(
{1},
ANNOUNCEMENTS!$L$1:$L$180,
ANNOUNCEMENTS!$M$1:$M$180,
ANNOUNCEMENTS!$N$1:$N$180
),
((ANNOUNCEMENTS!$E$1:$E$180=B182)*(ANNOUNCEMENTS!$L$1:$L$180&lt;&gt;""))*
((ANNOUNCEMENTS!$J$1:$J$180=C182)))))</f>
        <v>WILLER</v>
      </c>
      <c r="AB281" s="289"/>
      <c r="AD281" s="293"/>
    </row>
    <row r="282" spans="1:46" hidden="1" x14ac:dyDescent="0.35">
      <c r="A282" s="21" t="str">
        <v>SKF</v>
      </c>
      <c r="C282" s="21"/>
      <c r="L282" s="293">
        <f>IF(ISERROR(M282),0,
IF(COUNTA(M282:AC282)=1,(VLOOKUP(M282,CBIMPORT!$A$1:$AN$171,38,FALSE)),
IF(COUNTA(M282:AC282)=2,(VLOOKUP(M282,CBIMPORT!$A$1:$AN$171,38,FALSE)+VLOOKUP(N282,CBIMPORT!$A$1:$AN$171,38,FALSE)),
IF(COUNTA(M282:AC282)=3,(VLOOKUP(M282,CBIMPORT!$A$1:$AN$171,38,FALSE)+VLOOKUP(N282,CBIMPORT!$A$1:$AN$171,38,FALSE)+VLOOKUP(O282,CBIMPORT!$A$1:$AN$171,38,FALSE)),
IF(COUNTA(M282:AC282)=4,(VLOOKUP(M282,CBIMPORT!$A$1:$AN$171,38,FALSE)+VLOOKUP(N282,CBIMPORT!$A$1:$AN$171,38,FALSE)+VLOOKUP(O282,CBIMPORT!$A$1:$AN$171,38,FALSE)+VLOOKUP(P282,CBIMPORT!$A$1:$AN$171,38,FALSE)),
IF(COUNTA(M282:AC282)=5,(VLOOKUP(M282,CBIMPORT!$A$1:$AN$171,38,FALSE)+VLOOKUP(N282,CBIMPORT!$A$1:$AN$171,38,FALSE)+VLOOKUP(O282,CBIMPORT!$A$1:$AN$171,38,FALSE)+VLOOKUP(P282,CBIMPORT!$A$1:$AN$171,38,FALSE)+VLOOKUP(Q282,CBIMPORT!$A$1:$AN$171,38,FALSE)),IF(COUNTA(M282:AC282),
IF(COUNTA(M282:AC282)=6,(VLOOKUP(M282,CBIMPORT!$A$1:$AN$171,38,FALSE)+VLOOKUP(N282,CBIMPORT!$A$1:$AN$171,38,FALSE)+VLOOKUP(O282,CBIMPORT!$A$1:$AN$171,38,FALSE)+VLOOKUP(P282,CBIMPORT!$A$1:$AN$171,38,FALSE)+VLOOKUP(Q282,CBIMPORT!$A$1:$AN$171,38,FALSE)+VLOOKUP(R282,CBIMPORT!$A$1:$AN$171,38,FALSE)),
IF(COUNTA(M282:AC282)=7,(VLOOKUP(M282,CBIMPORT!$A$1:$AN$171,38,FALSE)+VLOOKUP(N282,CBIMPORT!$A$1:$AN$171,38,FALSE)+VLOOKUP(O282,CBIMPORT!$A$1:$AN$171,38,FALSE)+VLOOKUP(P282,CBIMPORT!$A$1:$AN$171,38,FALSE)+VLOOKUP(Q282,CBIMPORT!$A$1:$AN$171,38,FALSE)+VLOOKUP(R282,CBIMPORT!$A$1:$AN$171,38,FALSE)+VLOOKUP(S282,CBIMPORT!$A$1:$AN$171,38,FALSE)),
IF(COUNTA(M282:AC282)=7,(VLOOKUP(M282,CBIMPORT!$A$1:$AN$171,38,FALSE)+VLOOKUP(N282,CBIMPORT!$A$1:$AN$171,38,FALSE)+VLOOKUP(O282,CBIMPORT!$A$1:$AN$171,38,FALSE)+VLOOKUP(P282,CBIMPORT!$A$1:$AN$171,38,FALSE)+VLOOKUP(Q282,CBIMPORT!$A$1:$AN$171,38,FALSE)+VLOOKUP(R282,CBIMPORT!$A$1:$AN$171,38,FALSE)+VLOOKUP(S282,CBIMPORT!$A$1:$AN$171,38,FALSE)+VLOOKUP(T282,CBIMPORT!$A$1:$AN$171,38,FALSE)),
IF(COUNTA(M282:AC282)=8,(VLOOKUP(M282,CBIMPORT!$A$1:$AN$171,38,FALSE)+VLOOKUP(N282,CBIMPORT!$A$1:$AN$171,38,FALSE)+VLOOKUP(O282,CBIMPORT!$A$1:$AN$171,38,FALSE)+VLOOKUP(P282,CBIMPORT!$A$1:$AN$171,38,FALSE)+VLOOKUP(Q282,CBIMPORT!$A$1:$AN$171,38,FALSE)+VLOOKUP(R282,CBIMPORT!$A$1:$AN$171,38,FALSE)+VLOOKUP(S282,CBIMPORT!$A$1:$AN$171,38,FALSE)+VLOOKUP(T282,CBIMPORT!$A$1:$AN$171,38,FALSE)),
IF(COUNTA(M282:AC282)=9,(VLOOKUP(M282,CBIMPORT!$A$1:$AN$171,38,FALSE)+VLOOKUP(N282,CBIMPORT!$A$1:$AN$171,38,FALSE)+VLOOKUP(O282,CBIMPORT!$A$1:$AN$171,38,FALSE)+VLOOKUP(P282,CBIMPORT!$A$1:$AN$171,38,FALSE)+VLOOKUP(Q282,CBIMPORT!$A$1:$AN$171,38,FALSE)+VLOOKUP(R282,CBIMPORT!$A$1:$AN$171,38,FALSE)+VLOOKUP(S282,CBIMPORT!$A$1:$AN$171,38,FALSE)+VLOOKUP(T282,CBIMPORT!$A$1:$AN$171,38,FALSE)+VLOOKUP(U282,CBIMPORT!$A$1:$AN$171,38,FALSE)),
IF(COUNTA(M282:AC282)=10,(VLOOKUP(M282,CBIMPORT!$A$1:$AN$171,38,FALSE)+VLOOKUP(N282,CBIMPORT!$A$1:$AN$171,38,FALSE)+VLOOKUP(O282,CBIMPORT!$A$1:$AN$171,38,FALSE)+VLOOKUP(P282,CBIMPORT!$A$1:$AN$171,38,FALSE)+VLOOKUP(Q282,CBIMPORT!$A$1:$AN$171,38,FALSE)+VLOOKUP(R282,CBIMPORT!$A$1:$AN$171,38,FALSE)+VLOOKUP(S282,CBIMPORT!$A$1:$AN$171,38,FALSE)+VLOOKUP(T282,CBIMPORT!$A$1:$AN$171,38,FALSE)),
IF(COUNTA(M282:AC282)=14,(VLOOKUP(M282,CBIMPORT!$A$1:$AN$171,38,FALSE)+VLOOKUP(N282,CBIMPORT!$A$1:$AN$171,38,FALSE)+VLOOKUP(O282,CBIMPORT!$A$1:$AN$171,38,FALSE)+VLOOKUP(P282,CBIMPORT!$A$1:$AN$171,38,FALSE)+VLOOKUP(Q282,CBIMPORT!$A$1:$AN$171,38,FALSE)+VLOOKUP(R282,CBIMPORT!$A$1:$AN$171,38,FALSE)+VLOOKUP(S282,CBIMPORT!$A$1:$AN$171,38,FALSE)+VLOOKUP(T282,CBIMPORT!$A$1:$AN$171,38,FALSE)+VLOOKUP(U282,CBIMPORT!$A$1:$AN$171,38,FALSE)+VLOOKUP(V282,CBIMPORT!$A$1:$AN$171,38,FALSE)+VLOOKUP(W282,CBIMPORT!$A$1:$AN$171,38,FALSE)+VLOOKUP(X282,CBIMPORT!$A$1:$AN$171,38,FALSE)),
IF(COUNTA(M282:AC282)=16,(VLOOKUP(M282,CBIMPORT!$A$1:$AN$171,38,FALSE)+VLOOKUP(N282,CBIMPORT!$A$1:$AN$171,38,FALSE)+VLOOKUP(O282,CBIMPORT!$A$1:$AN$171,38,FALSE)+VLOOKUP(P282,CBIMPORT!$A$1:$AN$171,38,FALSE)+VLOOKUP(Q282,CBIMPORT!$A$1:$AN$171,38,FALSE)+VLOOKUP(R282,CBIMPORT!$A$1:$AN$171,38,FALSE)+VLOOKUP(S282,CBIMPORT!$A$1:$AN$171,38,FALSE)+VLOOKUP(T282,CBIMPORT!$A$1:$AN$171,38,FALSE)+VLOOKUP(U282,CBIMPORT!$A$1:$AN$171,38,FALSE)+VLOOKUP(V282,CBIMPORT!$A$1:$AN$171,38,FALSE)+VLOOKUP(W282,CBIMPORT!$A$1:$AN$171,38,FALSE)+VLOOKUP(X282,CBIMPORT!$A$1:$AN$171,38,FALSE)+VLOOKUP(Y282,CBIMPORT!$A$1:$AN$171,38,FALSE)+VLOOKUP(Z282,CBIMPORT!$A$1:$AN$171,38,FALSE)))))))))))))))))</f>
        <v>0</v>
      </c>
      <c r="M282" s="21" t="str" cm="1">
        <f t="array" ref="M282">IF(D183&gt;0,
TRANSPOSE(_xlfn._xlws.FILTER(
CHOOSE(
{1},
ANNOUNCEMENTS!$L$1:$L$180,
ANNOUNCEMENTS!$M$1:$M$180,
ANNOUNCEMENTS!$N$1:$N$180
),
((ANNOUNCEMENTS!$E$1:$E$180=B183)*(ANNOUNCEMENTS!$L$1:$L$180&lt;&gt;""))*
((ANNOUNCEMENTS!$J$1:$J$180=C183)))))</f>
        <v>HOCHBAHN</v>
      </c>
      <c r="AB282" s="289"/>
      <c r="AD282" s="293"/>
    </row>
    <row r="283" spans="1:46" hidden="1" x14ac:dyDescent="0.35">
      <c r="A283" s="21" t="str">
        <v>Svenska Retursystem</v>
      </c>
      <c r="C283" s="21"/>
      <c r="L283" s="293">
        <f>IF(ISERROR(M283),0,
IF(COUNTA(M283:AC283)=1,(VLOOKUP(M283,CBIMPORT!$A$1:$AN$171,38,FALSE)),
IF(COUNTA(M283:AC283)=2,(VLOOKUP(M283,CBIMPORT!$A$1:$AN$171,38,FALSE)+VLOOKUP(N283,CBIMPORT!$A$1:$AN$171,38,FALSE)),
IF(COUNTA(M283:AC283)=3,(VLOOKUP(M283,CBIMPORT!$A$1:$AN$171,38,FALSE)+VLOOKUP(N283,CBIMPORT!$A$1:$AN$171,38,FALSE)+VLOOKUP(O283,CBIMPORT!$A$1:$AN$171,38,FALSE)),
IF(COUNTA(M283:AC283)=4,(VLOOKUP(M283,CBIMPORT!$A$1:$AN$171,38,FALSE)+VLOOKUP(N283,CBIMPORT!$A$1:$AN$171,38,FALSE)+VLOOKUP(O283,CBIMPORT!$A$1:$AN$171,38,FALSE)+VLOOKUP(P283,CBIMPORT!$A$1:$AN$171,38,FALSE)),
IF(COUNTA(M283:AC283)=5,(VLOOKUP(M283,CBIMPORT!$A$1:$AN$171,38,FALSE)+VLOOKUP(N283,CBIMPORT!$A$1:$AN$171,38,FALSE)+VLOOKUP(O283,CBIMPORT!$A$1:$AN$171,38,FALSE)+VLOOKUP(P283,CBIMPORT!$A$1:$AN$171,38,FALSE)+VLOOKUP(Q283,CBIMPORT!$A$1:$AN$171,38,FALSE)),IF(COUNTA(M283:AC283),
IF(COUNTA(M283:AC283)=6,(VLOOKUP(M283,CBIMPORT!$A$1:$AN$171,38,FALSE)+VLOOKUP(N283,CBIMPORT!$A$1:$AN$171,38,FALSE)+VLOOKUP(O283,CBIMPORT!$A$1:$AN$171,38,FALSE)+VLOOKUP(P283,CBIMPORT!$A$1:$AN$171,38,FALSE)+VLOOKUP(Q283,CBIMPORT!$A$1:$AN$171,38,FALSE)+VLOOKUP(R283,CBIMPORT!$A$1:$AN$171,38,FALSE)),
IF(COUNTA(M283:AC283)=7,(VLOOKUP(M283,CBIMPORT!$A$1:$AN$171,38,FALSE)+VLOOKUP(N283,CBIMPORT!$A$1:$AN$171,38,FALSE)+VLOOKUP(O283,CBIMPORT!$A$1:$AN$171,38,FALSE)+VLOOKUP(P283,CBIMPORT!$A$1:$AN$171,38,FALSE)+VLOOKUP(Q283,CBIMPORT!$A$1:$AN$171,38,FALSE)+VLOOKUP(R283,CBIMPORT!$A$1:$AN$171,38,FALSE)+VLOOKUP(S283,CBIMPORT!$A$1:$AN$171,38,FALSE)),
IF(COUNTA(M283:AC283)=7,(VLOOKUP(M283,CBIMPORT!$A$1:$AN$171,38,FALSE)+VLOOKUP(N283,CBIMPORT!$A$1:$AN$171,38,FALSE)+VLOOKUP(O283,CBIMPORT!$A$1:$AN$171,38,FALSE)+VLOOKUP(P283,CBIMPORT!$A$1:$AN$171,38,FALSE)+VLOOKUP(Q283,CBIMPORT!$A$1:$AN$171,38,FALSE)+VLOOKUP(R283,CBIMPORT!$A$1:$AN$171,38,FALSE)+VLOOKUP(S283,CBIMPORT!$A$1:$AN$171,38,FALSE)+VLOOKUP(T283,CBIMPORT!$A$1:$AN$171,38,FALSE)),
IF(COUNTA(M283:AC283)=8,(VLOOKUP(M283,CBIMPORT!$A$1:$AN$171,38,FALSE)+VLOOKUP(N283,CBIMPORT!$A$1:$AN$171,38,FALSE)+VLOOKUP(O283,CBIMPORT!$A$1:$AN$171,38,FALSE)+VLOOKUP(P283,CBIMPORT!$A$1:$AN$171,38,FALSE)+VLOOKUP(Q283,CBIMPORT!$A$1:$AN$171,38,FALSE)+VLOOKUP(R283,CBIMPORT!$A$1:$AN$171,38,FALSE)+VLOOKUP(S283,CBIMPORT!$A$1:$AN$171,38,FALSE)+VLOOKUP(T283,CBIMPORT!$A$1:$AN$171,38,FALSE)),
IF(COUNTA(M283:AC283)=9,(VLOOKUP(M283,CBIMPORT!$A$1:$AN$171,38,FALSE)+VLOOKUP(N283,CBIMPORT!$A$1:$AN$171,38,FALSE)+VLOOKUP(O283,CBIMPORT!$A$1:$AN$171,38,FALSE)+VLOOKUP(P283,CBIMPORT!$A$1:$AN$171,38,FALSE)+VLOOKUP(Q283,CBIMPORT!$A$1:$AN$171,38,FALSE)+VLOOKUP(R283,CBIMPORT!$A$1:$AN$171,38,FALSE)+VLOOKUP(S283,CBIMPORT!$A$1:$AN$171,38,FALSE)+VLOOKUP(T283,CBIMPORT!$A$1:$AN$171,38,FALSE)+VLOOKUP(U283,CBIMPORT!$A$1:$AN$171,38,FALSE)),
IF(COUNTA(M283:AC283)=10,(VLOOKUP(M283,CBIMPORT!$A$1:$AN$171,38,FALSE)+VLOOKUP(N283,CBIMPORT!$A$1:$AN$171,38,FALSE)+VLOOKUP(O283,CBIMPORT!$A$1:$AN$171,38,FALSE)+VLOOKUP(P283,CBIMPORT!$A$1:$AN$171,38,FALSE)+VLOOKUP(Q283,CBIMPORT!$A$1:$AN$171,38,FALSE)+VLOOKUP(R283,CBIMPORT!$A$1:$AN$171,38,FALSE)+VLOOKUP(S283,CBIMPORT!$A$1:$AN$171,38,FALSE)+VLOOKUP(T283,CBIMPORT!$A$1:$AN$171,38,FALSE)),
IF(COUNTA(M283:AC283)=14,(VLOOKUP(M283,CBIMPORT!$A$1:$AN$171,38,FALSE)+VLOOKUP(N283,CBIMPORT!$A$1:$AN$171,38,FALSE)+VLOOKUP(O283,CBIMPORT!$A$1:$AN$171,38,FALSE)+VLOOKUP(P283,CBIMPORT!$A$1:$AN$171,38,FALSE)+VLOOKUP(Q283,CBIMPORT!$A$1:$AN$171,38,FALSE)+VLOOKUP(R283,CBIMPORT!$A$1:$AN$171,38,FALSE)+VLOOKUP(S283,CBIMPORT!$A$1:$AN$171,38,FALSE)+VLOOKUP(T283,CBIMPORT!$A$1:$AN$171,38,FALSE)+VLOOKUP(U283,CBIMPORT!$A$1:$AN$171,38,FALSE)+VLOOKUP(V283,CBIMPORT!$A$1:$AN$171,38,FALSE)+VLOOKUP(W283,CBIMPORT!$A$1:$AN$171,38,FALSE)+VLOOKUP(X283,CBIMPORT!$A$1:$AN$171,38,FALSE)),
IF(COUNTA(M283:AC283)=16,(VLOOKUP(M283,CBIMPORT!$A$1:$AN$171,38,FALSE)+VLOOKUP(N283,CBIMPORT!$A$1:$AN$171,38,FALSE)+VLOOKUP(O283,CBIMPORT!$A$1:$AN$171,38,FALSE)+VLOOKUP(P283,CBIMPORT!$A$1:$AN$171,38,FALSE)+VLOOKUP(Q283,CBIMPORT!$A$1:$AN$171,38,FALSE)+VLOOKUP(R283,CBIMPORT!$A$1:$AN$171,38,FALSE)+VLOOKUP(S283,CBIMPORT!$A$1:$AN$171,38,FALSE)+VLOOKUP(T283,CBIMPORT!$A$1:$AN$171,38,FALSE)+VLOOKUP(U283,CBIMPORT!$A$1:$AN$171,38,FALSE)+VLOOKUP(V283,CBIMPORT!$A$1:$AN$171,38,FALSE)+VLOOKUP(W283,CBIMPORT!$A$1:$AN$171,38,FALSE)+VLOOKUP(X283,CBIMPORT!$A$1:$AN$171,38,FALSE)+VLOOKUP(Y283,CBIMPORT!$A$1:$AN$171,38,FALSE)+VLOOKUP(Z283,CBIMPORT!$A$1:$AN$171,38,FALSE)))))))))))))))))</f>
        <v>0</v>
      </c>
      <c r="M283" s="21" t="str" cm="1">
        <f t="array" ref="M283:O283">IF(D184&gt;0,
TRANSPOSE(_xlfn._xlws.FILTER(
CHOOSE(
{1},
ANNOUNCEMENTS!$L$1:$L$180,
ANNOUNCEMENTS!$M$1:$M$180,
ANNOUNCEMENTS!$N$1:$N$180
),
((ANNOUNCEMENTS!$E$1:$E$180=B184)*(ANNOUNCEMENTS!$L$1:$L$180&lt;&gt;""))*
((ANNOUNCEMENTS!$J$1:$J$180=C184)))))</f>
        <v>Derq</v>
      </c>
      <c r="N283" s="21" t="str">
        <v>Boston University</v>
      </c>
      <c r="O283" s="21" t="str">
        <v>tfnsw</v>
      </c>
      <c r="AB283" s="289"/>
      <c r="AD283" s="293"/>
    </row>
    <row r="284" spans="1:46" hidden="1" x14ac:dyDescent="0.35">
      <c r="A284" s="21" t="str">
        <v>Polarrenen</v>
      </c>
      <c r="C284" s="21"/>
      <c r="L284" s="293">
        <f>IF(ISERROR(M284),0,
IF(COUNTA(M284:AC284)=1,(VLOOKUP(M284,CBIMPORT!$A$1:$AN$171,38,FALSE)),
IF(COUNTA(M284:AC284)=2,(VLOOKUP(M284,CBIMPORT!$A$1:$AN$171,38,FALSE)+VLOOKUP(N284,CBIMPORT!$A$1:$AN$171,38,FALSE)),
IF(COUNTA(M284:AC284)=3,(VLOOKUP(M284,CBIMPORT!$A$1:$AN$171,38,FALSE)+VLOOKUP(N284,CBIMPORT!$A$1:$AN$171,38,FALSE)+VLOOKUP(O284,CBIMPORT!$A$1:$AN$171,38,FALSE)),
IF(COUNTA(M284:AC284)=4,(VLOOKUP(M284,CBIMPORT!$A$1:$AN$171,38,FALSE)+VLOOKUP(N284,CBIMPORT!$A$1:$AN$171,38,FALSE)+VLOOKUP(O284,CBIMPORT!$A$1:$AN$171,38,FALSE)+VLOOKUP(P284,CBIMPORT!$A$1:$AN$171,38,FALSE)),
IF(COUNTA(M284:AC284)=5,(VLOOKUP(M284,CBIMPORT!$A$1:$AN$171,38,FALSE)+VLOOKUP(N284,CBIMPORT!$A$1:$AN$171,38,FALSE)+VLOOKUP(O284,CBIMPORT!$A$1:$AN$171,38,FALSE)+VLOOKUP(P284,CBIMPORT!$A$1:$AN$171,38,FALSE)+VLOOKUP(Q284,CBIMPORT!$A$1:$AN$171,38,FALSE)),IF(COUNTA(M284:AC284),
IF(COUNTA(M284:AC284)=6,(VLOOKUP(M284,CBIMPORT!$A$1:$AN$171,38,FALSE)+VLOOKUP(N284,CBIMPORT!$A$1:$AN$171,38,FALSE)+VLOOKUP(O284,CBIMPORT!$A$1:$AN$171,38,FALSE)+VLOOKUP(P284,CBIMPORT!$A$1:$AN$171,38,FALSE)+VLOOKUP(Q284,CBIMPORT!$A$1:$AN$171,38,FALSE)+VLOOKUP(R284,CBIMPORT!$A$1:$AN$171,38,FALSE)),
IF(COUNTA(M284:AC284)=7,(VLOOKUP(M284,CBIMPORT!$A$1:$AN$171,38,FALSE)+VLOOKUP(N284,CBIMPORT!$A$1:$AN$171,38,FALSE)+VLOOKUP(O284,CBIMPORT!$A$1:$AN$171,38,FALSE)+VLOOKUP(P284,CBIMPORT!$A$1:$AN$171,38,FALSE)+VLOOKUP(Q284,CBIMPORT!$A$1:$AN$171,38,FALSE)+VLOOKUP(R284,CBIMPORT!$A$1:$AN$171,38,FALSE)+VLOOKUP(S284,CBIMPORT!$A$1:$AN$171,38,FALSE)),
IF(COUNTA(M284:AC284)=7,(VLOOKUP(M284,CBIMPORT!$A$1:$AN$171,38,FALSE)+VLOOKUP(N284,CBIMPORT!$A$1:$AN$171,38,FALSE)+VLOOKUP(O284,CBIMPORT!$A$1:$AN$171,38,FALSE)+VLOOKUP(P284,CBIMPORT!$A$1:$AN$171,38,FALSE)+VLOOKUP(Q284,CBIMPORT!$A$1:$AN$171,38,FALSE)+VLOOKUP(R284,CBIMPORT!$A$1:$AN$171,38,FALSE)+VLOOKUP(S284,CBIMPORT!$A$1:$AN$171,38,FALSE)+VLOOKUP(T284,CBIMPORT!$A$1:$AN$171,38,FALSE)),
IF(COUNTA(M284:AC284)=8,(VLOOKUP(M284,CBIMPORT!$A$1:$AN$171,38,FALSE)+VLOOKUP(N284,CBIMPORT!$A$1:$AN$171,38,FALSE)+VLOOKUP(O284,CBIMPORT!$A$1:$AN$171,38,FALSE)+VLOOKUP(P284,CBIMPORT!$A$1:$AN$171,38,FALSE)+VLOOKUP(Q284,CBIMPORT!$A$1:$AN$171,38,FALSE)+VLOOKUP(R284,CBIMPORT!$A$1:$AN$171,38,FALSE)+VLOOKUP(S284,CBIMPORT!$A$1:$AN$171,38,FALSE)+VLOOKUP(T284,CBIMPORT!$A$1:$AN$171,38,FALSE)),
IF(COUNTA(M284:AC284)=9,(VLOOKUP(M284,CBIMPORT!$A$1:$AN$171,38,FALSE)+VLOOKUP(N284,CBIMPORT!$A$1:$AN$171,38,FALSE)+VLOOKUP(O284,CBIMPORT!$A$1:$AN$171,38,FALSE)+VLOOKUP(P284,CBIMPORT!$A$1:$AN$171,38,FALSE)+VLOOKUP(Q284,CBIMPORT!$A$1:$AN$171,38,FALSE)+VLOOKUP(R284,CBIMPORT!$A$1:$AN$171,38,FALSE)+VLOOKUP(S284,CBIMPORT!$A$1:$AN$171,38,FALSE)+VLOOKUP(T284,CBIMPORT!$A$1:$AN$171,38,FALSE)+VLOOKUP(U284,CBIMPORT!$A$1:$AN$171,38,FALSE)),
IF(COUNTA(M284:AC284)=10,(VLOOKUP(M284,CBIMPORT!$A$1:$AN$171,38,FALSE)+VLOOKUP(N284,CBIMPORT!$A$1:$AN$171,38,FALSE)+VLOOKUP(O284,CBIMPORT!$A$1:$AN$171,38,FALSE)+VLOOKUP(P284,CBIMPORT!$A$1:$AN$171,38,FALSE)+VLOOKUP(Q284,CBIMPORT!$A$1:$AN$171,38,FALSE)+VLOOKUP(R284,CBIMPORT!$A$1:$AN$171,38,FALSE)+VLOOKUP(S284,CBIMPORT!$A$1:$AN$171,38,FALSE)+VLOOKUP(T284,CBIMPORT!$A$1:$AN$171,38,FALSE)),
IF(COUNTA(M284:AC284)=14,(VLOOKUP(M284,CBIMPORT!$A$1:$AN$171,38,FALSE)+VLOOKUP(N284,CBIMPORT!$A$1:$AN$171,38,FALSE)+VLOOKUP(O284,CBIMPORT!$A$1:$AN$171,38,FALSE)+VLOOKUP(P284,CBIMPORT!$A$1:$AN$171,38,FALSE)+VLOOKUP(Q284,CBIMPORT!$A$1:$AN$171,38,FALSE)+VLOOKUP(R284,CBIMPORT!$A$1:$AN$171,38,FALSE)+VLOOKUP(S284,CBIMPORT!$A$1:$AN$171,38,FALSE)+VLOOKUP(T284,CBIMPORT!$A$1:$AN$171,38,FALSE)+VLOOKUP(U284,CBIMPORT!$A$1:$AN$171,38,FALSE)+VLOOKUP(V284,CBIMPORT!$A$1:$AN$171,38,FALSE)+VLOOKUP(W284,CBIMPORT!$A$1:$AN$171,38,FALSE)+VLOOKUP(X284,CBIMPORT!$A$1:$AN$171,38,FALSE)),
IF(COUNTA(M284:AC284)=16,(VLOOKUP(M284,CBIMPORT!$A$1:$AN$171,38,FALSE)+VLOOKUP(N284,CBIMPORT!$A$1:$AN$171,38,FALSE)+VLOOKUP(O284,CBIMPORT!$A$1:$AN$171,38,FALSE)+VLOOKUP(P284,CBIMPORT!$A$1:$AN$171,38,FALSE)+VLOOKUP(Q284,CBIMPORT!$A$1:$AN$171,38,FALSE)+VLOOKUP(R284,CBIMPORT!$A$1:$AN$171,38,FALSE)+VLOOKUP(S284,CBIMPORT!$A$1:$AN$171,38,FALSE)+VLOOKUP(T284,CBIMPORT!$A$1:$AN$171,38,FALSE)+VLOOKUP(U284,CBIMPORT!$A$1:$AN$171,38,FALSE)+VLOOKUP(V284,CBIMPORT!$A$1:$AN$171,38,FALSE)+VLOOKUP(W284,CBIMPORT!$A$1:$AN$171,38,FALSE)+VLOOKUP(X284,CBIMPORT!$A$1:$AN$171,38,FALSE)+VLOOKUP(Y284,CBIMPORT!$A$1:$AN$171,38,FALSE)+VLOOKUP(Z284,CBIMPORT!$A$1:$AN$171,38,FALSE)))))))))))))))))</f>
        <v>1</v>
      </c>
      <c r="M284" s="21" t="str" cm="1">
        <f t="array" ref="M284">IF(D185&gt;0,
TRANSPOSE(_xlfn._xlws.FILTER(
CHOOSE(
{1},
ANNOUNCEMENTS!$L$1:$L$180,
ANNOUNCEMENTS!$M$1:$M$180,
ANNOUNCEMENTS!$N$1:$N$180
),
((ANNOUNCEMENTS!$E$1:$E$180=B185)*(ANNOUNCEMENTS!$L$1:$L$180&lt;&gt;""))*
((ANNOUNCEMENTS!$J$1:$J$180=C185)))))</f>
        <v>Uber</v>
      </c>
      <c r="AB284" s="289"/>
      <c r="AD284" s="293"/>
    </row>
    <row r="285" spans="1:46" hidden="1" x14ac:dyDescent="0.35">
      <c r="A285" s="21" t="str">
        <v>Ericsson</v>
      </c>
      <c r="C285" s="21"/>
      <c r="L285" s="293">
        <f>IF(ISERROR(M285),0,
IF(COUNTA(M285:AC285)=1,(VLOOKUP(M285,CBIMPORT!$A$1:$AN$171,38,FALSE)),
IF(COUNTA(M285:AC285)=2,(VLOOKUP(M285,CBIMPORT!$A$1:$AN$171,38,FALSE)+VLOOKUP(N285,CBIMPORT!$A$1:$AN$171,38,FALSE)),
IF(COUNTA(M285:AC285)=3,(VLOOKUP(M285,CBIMPORT!$A$1:$AN$171,38,FALSE)+VLOOKUP(N285,CBIMPORT!$A$1:$AN$171,38,FALSE)+VLOOKUP(O285,CBIMPORT!$A$1:$AN$171,38,FALSE)),
IF(COUNTA(M285:AC285)=4,(VLOOKUP(M285,CBIMPORT!$A$1:$AN$171,38,FALSE)+VLOOKUP(N285,CBIMPORT!$A$1:$AN$171,38,FALSE)+VLOOKUP(O285,CBIMPORT!$A$1:$AN$171,38,FALSE)+VLOOKUP(P285,CBIMPORT!$A$1:$AN$171,38,FALSE)),
IF(COUNTA(M285:AC285)=5,(VLOOKUP(M285,CBIMPORT!$A$1:$AN$171,38,FALSE)+VLOOKUP(N285,CBIMPORT!$A$1:$AN$171,38,FALSE)+VLOOKUP(O285,CBIMPORT!$A$1:$AN$171,38,FALSE)+VLOOKUP(P285,CBIMPORT!$A$1:$AN$171,38,FALSE)+VLOOKUP(Q285,CBIMPORT!$A$1:$AN$171,38,FALSE)),IF(COUNTA(M285:AC285),
IF(COUNTA(M285:AC285)=6,(VLOOKUP(M285,CBIMPORT!$A$1:$AN$171,38,FALSE)+VLOOKUP(N285,CBIMPORT!$A$1:$AN$171,38,FALSE)+VLOOKUP(O285,CBIMPORT!$A$1:$AN$171,38,FALSE)+VLOOKUP(P285,CBIMPORT!$A$1:$AN$171,38,FALSE)+VLOOKUP(Q285,CBIMPORT!$A$1:$AN$171,38,FALSE)+VLOOKUP(R285,CBIMPORT!$A$1:$AN$171,38,FALSE)),
IF(COUNTA(M285:AC285)=7,(VLOOKUP(M285,CBIMPORT!$A$1:$AN$171,38,FALSE)+VLOOKUP(N285,CBIMPORT!$A$1:$AN$171,38,FALSE)+VLOOKUP(O285,CBIMPORT!$A$1:$AN$171,38,FALSE)+VLOOKUP(P285,CBIMPORT!$A$1:$AN$171,38,FALSE)+VLOOKUP(Q285,CBIMPORT!$A$1:$AN$171,38,FALSE)+VLOOKUP(R285,CBIMPORT!$A$1:$AN$171,38,FALSE)+VLOOKUP(S285,CBIMPORT!$A$1:$AN$171,38,FALSE)),
IF(COUNTA(M285:AC285)=7,(VLOOKUP(M285,CBIMPORT!$A$1:$AN$171,38,FALSE)+VLOOKUP(N285,CBIMPORT!$A$1:$AN$171,38,FALSE)+VLOOKUP(O285,CBIMPORT!$A$1:$AN$171,38,FALSE)+VLOOKUP(P285,CBIMPORT!$A$1:$AN$171,38,FALSE)+VLOOKUP(Q285,CBIMPORT!$A$1:$AN$171,38,FALSE)+VLOOKUP(R285,CBIMPORT!$A$1:$AN$171,38,FALSE)+VLOOKUP(S285,CBIMPORT!$A$1:$AN$171,38,FALSE)+VLOOKUP(T285,CBIMPORT!$A$1:$AN$171,38,FALSE)),
IF(COUNTA(M285:AC285)=8,(VLOOKUP(M285,CBIMPORT!$A$1:$AN$171,38,FALSE)+VLOOKUP(N285,CBIMPORT!$A$1:$AN$171,38,FALSE)+VLOOKUP(O285,CBIMPORT!$A$1:$AN$171,38,FALSE)+VLOOKUP(P285,CBIMPORT!$A$1:$AN$171,38,FALSE)+VLOOKUP(Q285,CBIMPORT!$A$1:$AN$171,38,FALSE)+VLOOKUP(R285,CBIMPORT!$A$1:$AN$171,38,FALSE)+VLOOKUP(S285,CBIMPORT!$A$1:$AN$171,38,FALSE)+VLOOKUP(T285,CBIMPORT!$A$1:$AN$171,38,FALSE)),
IF(COUNTA(M285:AC285)=9,(VLOOKUP(M285,CBIMPORT!$A$1:$AN$171,38,FALSE)+VLOOKUP(N285,CBIMPORT!$A$1:$AN$171,38,FALSE)+VLOOKUP(O285,CBIMPORT!$A$1:$AN$171,38,FALSE)+VLOOKUP(P285,CBIMPORT!$A$1:$AN$171,38,FALSE)+VLOOKUP(Q285,CBIMPORT!$A$1:$AN$171,38,FALSE)+VLOOKUP(R285,CBIMPORT!$A$1:$AN$171,38,FALSE)+VLOOKUP(S285,CBIMPORT!$A$1:$AN$171,38,FALSE)+VLOOKUP(T285,CBIMPORT!$A$1:$AN$171,38,FALSE)+VLOOKUP(U285,CBIMPORT!$A$1:$AN$171,38,FALSE)),
IF(COUNTA(M285:AC285)=10,(VLOOKUP(M285,CBIMPORT!$A$1:$AN$171,38,FALSE)+VLOOKUP(N285,CBIMPORT!$A$1:$AN$171,38,FALSE)+VLOOKUP(O285,CBIMPORT!$A$1:$AN$171,38,FALSE)+VLOOKUP(P285,CBIMPORT!$A$1:$AN$171,38,FALSE)+VLOOKUP(Q285,CBIMPORT!$A$1:$AN$171,38,FALSE)+VLOOKUP(R285,CBIMPORT!$A$1:$AN$171,38,FALSE)+VLOOKUP(S285,CBIMPORT!$A$1:$AN$171,38,FALSE)+VLOOKUP(T285,CBIMPORT!$A$1:$AN$171,38,FALSE)),
IF(COUNTA(M285:AC285)=14,(VLOOKUP(M285,CBIMPORT!$A$1:$AN$171,38,FALSE)+VLOOKUP(N285,CBIMPORT!$A$1:$AN$171,38,FALSE)+VLOOKUP(O285,CBIMPORT!$A$1:$AN$171,38,FALSE)+VLOOKUP(P285,CBIMPORT!$A$1:$AN$171,38,FALSE)+VLOOKUP(Q285,CBIMPORT!$A$1:$AN$171,38,FALSE)+VLOOKUP(R285,CBIMPORT!$A$1:$AN$171,38,FALSE)+VLOOKUP(S285,CBIMPORT!$A$1:$AN$171,38,FALSE)+VLOOKUP(T285,CBIMPORT!$A$1:$AN$171,38,FALSE)+VLOOKUP(U285,CBIMPORT!$A$1:$AN$171,38,FALSE)+VLOOKUP(V285,CBIMPORT!$A$1:$AN$171,38,FALSE)+VLOOKUP(W285,CBIMPORT!$A$1:$AN$171,38,FALSE)+VLOOKUP(X285,CBIMPORT!$A$1:$AN$171,38,FALSE)),
IF(COUNTA(M285:AC285)=16,(VLOOKUP(M285,CBIMPORT!$A$1:$AN$171,38,FALSE)+VLOOKUP(N285,CBIMPORT!$A$1:$AN$171,38,FALSE)+VLOOKUP(O285,CBIMPORT!$A$1:$AN$171,38,FALSE)+VLOOKUP(P285,CBIMPORT!$A$1:$AN$171,38,FALSE)+VLOOKUP(Q285,CBIMPORT!$A$1:$AN$171,38,FALSE)+VLOOKUP(R285,CBIMPORT!$A$1:$AN$171,38,FALSE)+VLOOKUP(S285,CBIMPORT!$A$1:$AN$171,38,FALSE)+VLOOKUP(T285,CBIMPORT!$A$1:$AN$171,38,FALSE)+VLOOKUP(U285,CBIMPORT!$A$1:$AN$171,38,FALSE)+VLOOKUP(V285,CBIMPORT!$A$1:$AN$171,38,FALSE)+VLOOKUP(W285,CBIMPORT!$A$1:$AN$171,38,FALSE)+VLOOKUP(X285,CBIMPORT!$A$1:$AN$171,38,FALSE)+VLOOKUP(Y285,CBIMPORT!$A$1:$AN$171,38,FALSE)+VLOOKUP(Z285,CBIMPORT!$A$1:$AN$171,38,FALSE)))))))))))))))))</f>
        <v>3</v>
      </c>
      <c r="M285" s="21" t="str" cm="1">
        <f t="array" ref="M285:Q285">IF(D186&gt;0,
TRANSPOSE(_xlfn._xlws.FILTER(
CHOOSE(
{1},
ANNOUNCEMENTS!$L$1:$L$180,
ANNOUNCEMENTS!$M$1:$M$180,
ANNOUNCEMENTS!$N$1:$N$180
),
((ANNOUNCEMENTS!$E$1:$E$180=B186)*(ANNOUNCEMENTS!$L$1:$L$180&lt;&gt;""))*
((ANNOUNCEMENTS!$J$1:$J$180=C186)))))</f>
        <v>Valeo</v>
      </c>
      <c r="N285" s="21" t="str">
        <v>Ion</v>
      </c>
      <c r="O285" s="21" t="str">
        <v>Valeo</v>
      </c>
      <c r="P285" s="21" t="str">
        <v>Lohr</v>
      </c>
      <c r="Q285" s="21" t="str">
        <v>Michelin</v>
      </c>
      <c r="AB285" s="289"/>
      <c r="AD285" s="293"/>
    </row>
    <row r="286" spans="1:46" hidden="1" x14ac:dyDescent="0.35">
      <c r="A286" s="21" t="str">
        <v>Oatly</v>
      </c>
      <c r="C286" s="21"/>
      <c r="L286" s="293">
        <f>IF(ISERROR(M286),0,
IF(COUNTA(M286:AC286)=1,(VLOOKUP(M286,CBIMPORT!$A$1:$AN$171,38,FALSE)),
IF(COUNTA(M286:AC286)=2,(VLOOKUP(M286,CBIMPORT!$A$1:$AN$171,38,FALSE)+VLOOKUP(N286,CBIMPORT!$A$1:$AN$171,38,FALSE)),
IF(COUNTA(M286:AC286)=3,(VLOOKUP(M286,CBIMPORT!$A$1:$AN$171,38,FALSE)+VLOOKUP(N286,CBIMPORT!$A$1:$AN$171,38,FALSE)+VLOOKUP(O286,CBIMPORT!$A$1:$AN$171,38,FALSE)),
IF(COUNTA(M286:AC286)=4,(VLOOKUP(M286,CBIMPORT!$A$1:$AN$171,38,FALSE)+VLOOKUP(N286,CBIMPORT!$A$1:$AN$171,38,FALSE)+VLOOKUP(O286,CBIMPORT!$A$1:$AN$171,38,FALSE)+VLOOKUP(P286,CBIMPORT!$A$1:$AN$171,38,FALSE)),
IF(COUNTA(M286:AC286)=5,(VLOOKUP(M286,CBIMPORT!$A$1:$AN$171,38,FALSE)+VLOOKUP(N286,CBIMPORT!$A$1:$AN$171,38,FALSE)+VLOOKUP(O286,CBIMPORT!$A$1:$AN$171,38,FALSE)+VLOOKUP(P286,CBIMPORT!$A$1:$AN$171,38,FALSE)+VLOOKUP(Q286,CBIMPORT!$A$1:$AN$171,38,FALSE)),IF(COUNTA(M286:AC286),
IF(COUNTA(M286:AC286)=6,(VLOOKUP(M286,CBIMPORT!$A$1:$AN$171,38,FALSE)+VLOOKUP(N286,CBIMPORT!$A$1:$AN$171,38,FALSE)+VLOOKUP(O286,CBIMPORT!$A$1:$AN$171,38,FALSE)+VLOOKUP(P286,CBIMPORT!$A$1:$AN$171,38,FALSE)+VLOOKUP(Q286,CBIMPORT!$A$1:$AN$171,38,FALSE)+VLOOKUP(R286,CBIMPORT!$A$1:$AN$171,38,FALSE)),
IF(COUNTA(M286:AC286)=7,(VLOOKUP(M286,CBIMPORT!$A$1:$AN$171,38,FALSE)+VLOOKUP(N286,CBIMPORT!$A$1:$AN$171,38,FALSE)+VLOOKUP(O286,CBIMPORT!$A$1:$AN$171,38,FALSE)+VLOOKUP(P286,CBIMPORT!$A$1:$AN$171,38,FALSE)+VLOOKUP(Q286,CBIMPORT!$A$1:$AN$171,38,FALSE)+VLOOKUP(R286,CBIMPORT!$A$1:$AN$171,38,FALSE)+VLOOKUP(S286,CBIMPORT!$A$1:$AN$171,38,FALSE)),
IF(COUNTA(M286:AC286)=7,(VLOOKUP(M286,CBIMPORT!$A$1:$AN$171,38,FALSE)+VLOOKUP(N286,CBIMPORT!$A$1:$AN$171,38,FALSE)+VLOOKUP(O286,CBIMPORT!$A$1:$AN$171,38,FALSE)+VLOOKUP(P286,CBIMPORT!$A$1:$AN$171,38,FALSE)+VLOOKUP(Q286,CBIMPORT!$A$1:$AN$171,38,FALSE)+VLOOKUP(R286,CBIMPORT!$A$1:$AN$171,38,FALSE)+VLOOKUP(S286,CBIMPORT!$A$1:$AN$171,38,FALSE)+VLOOKUP(T286,CBIMPORT!$A$1:$AN$171,38,FALSE)),
IF(COUNTA(M286:AC286)=8,(VLOOKUP(M286,CBIMPORT!$A$1:$AN$171,38,FALSE)+VLOOKUP(N286,CBIMPORT!$A$1:$AN$171,38,FALSE)+VLOOKUP(O286,CBIMPORT!$A$1:$AN$171,38,FALSE)+VLOOKUP(P286,CBIMPORT!$A$1:$AN$171,38,FALSE)+VLOOKUP(Q286,CBIMPORT!$A$1:$AN$171,38,FALSE)+VLOOKUP(R286,CBIMPORT!$A$1:$AN$171,38,FALSE)+VLOOKUP(S286,CBIMPORT!$A$1:$AN$171,38,FALSE)+VLOOKUP(T286,CBIMPORT!$A$1:$AN$171,38,FALSE)),
IF(COUNTA(M286:AC286)=9,(VLOOKUP(M286,CBIMPORT!$A$1:$AN$171,38,FALSE)+VLOOKUP(N286,CBIMPORT!$A$1:$AN$171,38,FALSE)+VLOOKUP(O286,CBIMPORT!$A$1:$AN$171,38,FALSE)+VLOOKUP(P286,CBIMPORT!$A$1:$AN$171,38,FALSE)+VLOOKUP(Q286,CBIMPORT!$A$1:$AN$171,38,FALSE)+VLOOKUP(R286,CBIMPORT!$A$1:$AN$171,38,FALSE)+VLOOKUP(S286,CBIMPORT!$A$1:$AN$171,38,FALSE)+VLOOKUP(T286,CBIMPORT!$A$1:$AN$171,38,FALSE)+VLOOKUP(U286,CBIMPORT!$A$1:$AN$171,38,FALSE)),
IF(COUNTA(M286:AC286)=10,(VLOOKUP(M286,CBIMPORT!$A$1:$AN$171,38,FALSE)+VLOOKUP(N286,CBIMPORT!$A$1:$AN$171,38,FALSE)+VLOOKUP(O286,CBIMPORT!$A$1:$AN$171,38,FALSE)+VLOOKUP(P286,CBIMPORT!$A$1:$AN$171,38,FALSE)+VLOOKUP(Q286,CBIMPORT!$A$1:$AN$171,38,FALSE)+VLOOKUP(R286,CBIMPORT!$A$1:$AN$171,38,FALSE)+VLOOKUP(S286,CBIMPORT!$A$1:$AN$171,38,FALSE)+VLOOKUP(T286,CBIMPORT!$A$1:$AN$171,38,FALSE)),
IF(COUNTA(M286:AC286)=14,(VLOOKUP(M286,CBIMPORT!$A$1:$AN$171,38,FALSE)+VLOOKUP(N286,CBIMPORT!$A$1:$AN$171,38,FALSE)+VLOOKUP(O286,CBIMPORT!$A$1:$AN$171,38,FALSE)+VLOOKUP(P286,CBIMPORT!$A$1:$AN$171,38,FALSE)+VLOOKUP(Q286,CBIMPORT!$A$1:$AN$171,38,FALSE)+VLOOKUP(R286,CBIMPORT!$A$1:$AN$171,38,FALSE)+VLOOKUP(S286,CBIMPORT!$A$1:$AN$171,38,FALSE)+VLOOKUP(T286,CBIMPORT!$A$1:$AN$171,38,FALSE)+VLOOKUP(U286,CBIMPORT!$A$1:$AN$171,38,FALSE)+VLOOKUP(V286,CBIMPORT!$A$1:$AN$171,38,FALSE)+VLOOKUP(W286,CBIMPORT!$A$1:$AN$171,38,FALSE)+VLOOKUP(X286,CBIMPORT!$A$1:$AN$171,38,FALSE)),
IF(COUNTA(M286:AC286)=16,(VLOOKUP(M286,CBIMPORT!$A$1:$AN$171,38,FALSE)+VLOOKUP(N286,CBIMPORT!$A$1:$AN$171,38,FALSE)+VLOOKUP(O286,CBIMPORT!$A$1:$AN$171,38,FALSE)+VLOOKUP(P286,CBIMPORT!$A$1:$AN$171,38,FALSE)+VLOOKUP(Q286,CBIMPORT!$A$1:$AN$171,38,FALSE)+VLOOKUP(R286,CBIMPORT!$A$1:$AN$171,38,FALSE)+VLOOKUP(S286,CBIMPORT!$A$1:$AN$171,38,FALSE)+VLOOKUP(T286,CBIMPORT!$A$1:$AN$171,38,FALSE)+VLOOKUP(U286,CBIMPORT!$A$1:$AN$171,38,FALSE)+VLOOKUP(V286,CBIMPORT!$A$1:$AN$171,38,FALSE)+VLOOKUP(W286,CBIMPORT!$A$1:$AN$171,38,FALSE)+VLOOKUP(X286,CBIMPORT!$A$1:$AN$171,38,FALSE)+VLOOKUP(Y286,CBIMPORT!$A$1:$AN$171,38,FALSE)+VLOOKUP(Z286,CBIMPORT!$A$1:$AN$171,38,FALSE)))))))))))))))))</f>
        <v>0</v>
      </c>
      <c r="M286" s="21" t="str" cm="1">
        <f t="array" ref="M286">IF(D187&gt;0,
TRANSPOSE(_xlfn._xlws.FILTER(
CHOOSE(
{1},
ANNOUNCEMENTS!$L$1:$L$180,
ANNOUNCEMENTS!$M$1:$M$180,
ANNOUNCEMENTS!$N$1:$N$180
),
((ANNOUNCEMENTS!$E$1:$E$180=B187)*(ANNOUNCEMENTS!$L$1:$L$180&lt;&gt;""))*
((ANNOUNCEMENTS!$J$1:$J$180=C187)))))</f>
        <v>Uber Eats</v>
      </c>
      <c r="AB286" s="289"/>
      <c r="AD286" s="293"/>
    </row>
    <row r="287" spans="1:46" hidden="1" x14ac:dyDescent="0.35">
      <c r="A287" s="21" t="str">
        <v>Electrolux</v>
      </c>
      <c r="C287" s="21"/>
      <c r="L287" s="293">
        <f>IF(ISERROR(M287),0,
IF(COUNTA(M287:AC287)=1,(VLOOKUP(M287,CBIMPORT!$A$1:$AN$171,38,FALSE)),
IF(COUNTA(M287:AC287)=2,(VLOOKUP(M287,CBIMPORT!$A$1:$AN$171,38,FALSE)+VLOOKUP(N287,CBIMPORT!$A$1:$AN$171,38,FALSE)),
IF(COUNTA(M287:AC287)=3,(VLOOKUP(M287,CBIMPORT!$A$1:$AN$171,38,FALSE)+VLOOKUP(N287,CBIMPORT!$A$1:$AN$171,38,FALSE)+VLOOKUP(O287,CBIMPORT!$A$1:$AN$171,38,FALSE)),
IF(COUNTA(M287:AC287)=4,(VLOOKUP(M287,CBIMPORT!$A$1:$AN$171,38,FALSE)+VLOOKUP(N287,CBIMPORT!$A$1:$AN$171,38,FALSE)+VLOOKUP(O287,CBIMPORT!$A$1:$AN$171,38,FALSE)+VLOOKUP(P287,CBIMPORT!$A$1:$AN$171,38,FALSE)),
IF(COUNTA(M287:AC287)=5,(VLOOKUP(M287,CBIMPORT!$A$1:$AN$171,38,FALSE)+VLOOKUP(N287,CBIMPORT!$A$1:$AN$171,38,FALSE)+VLOOKUP(O287,CBIMPORT!$A$1:$AN$171,38,FALSE)+VLOOKUP(P287,CBIMPORT!$A$1:$AN$171,38,FALSE)+VLOOKUP(Q287,CBIMPORT!$A$1:$AN$171,38,FALSE)),IF(COUNTA(M287:AC287),
IF(COUNTA(M287:AC287)=6,(VLOOKUP(M287,CBIMPORT!$A$1:$AN$171,38,FALSE)+VLOOKUP(N287,CBIMPORT!$A$1:$AN$171,38,FALSE)+VLOOKUP(O287,CBIMPORT!$A$1:$AN$171,38,FALSE)+VLOOKUP(P287,CBIMPORT!$A$1:$AN$171,38,FALSE)+VLOOKUP(Q287,CBIMPORT!$A$1:$AN$171,38,FALSE)+VLOOKUP(R287,CBIMPORT!$A$1:$AN$171,38,FALSE)),
IF(COUNTA(M287:AC287)=7,(VLOOKUP(M287,CBIMPORT!$A$1:$AN$171,38,FALSE)+VLOOKUP(N287,CBIMPORT!$A$1:$AN$171,38,FALSE)+VLOOKUP(O287,CBIMPORT!$A$1:$AN$171,38,FALSE)+VLOOKUP(P287,CBIMPORT!$A$1:$AN$171,38,FALSE)+VLOOKUP(Q287,CBIMPORT!$A$1:$AN$171,38,FALSE)+VLOOKUP(R287,CBIMPORT!$A$1:$AN$171,38,FALSE)+VLOOKUP(S287,CBIMPORT!$A$1:$AN$171,38,FALSE)),
IF(COUNTA(M287:AC287)=7,(VLOOKUP(M287,CBIMPORT!$A$1:$AN$171,38,FALSE)+VLOOKUP(N287,CBIMPORT!$A$1:$AN$171,38,FALSE)+VLOOKUP(O287,CBIMPORT!$A$1:$AN$171,38,FALSE)+VLOOKUP(P287,CBIMPORT!$A$1:$AN$171,38,FALSE)+VLOOKUP(Q287,CBIMPORT!$A$1:$AN$171,38,FALSE)+VLOOKUP(R287,CBIMPORT!$A$1:$AN$171,38,FALSE)+VLOOKUP(S287,CBIMPORT!$A$1:$AN$171,38,FALSE)+VLOOKUP(T287,CBIMPORT!$A$1:$AN$171,38,FALSE)),
IF(COUNTA(M287:AC287)=8,(VLOOKUP(M287,CBIMPORT!$A$1:$AN$171,38,FALSE)+VLOOKUP(N287,CBIMPORT!$A$1:$AN$171,38,FALSE)+VLOOKUP(O287,CBIMPORT!$A$1:$AN$171,38,FALSE)+VLOOKUP(P287,CBIMPORT!$A$1:$AN$171,38,FALSE)+VLOOKUP(Q287,CBIMPORT!$A$1:$AN$171,38,FALSE)+VLOOKUP(R287,CBIMPORT!$A$1:$AN$171,38,FALSE)+VLOOKUP(S287,CBIMPORT!$A$1:$AN$171,38,FALSE)+VLOOKUP(T287,CBIMPORT!$A$1:$AN$171,38,FALSE)),
IF(COUNTA(M287:AC287)=9,(VLOOKUP(M287,CBIMPORT!$A$1:$AN$171,38,FALSE)+VLOOKUP(N287,CBIMPORT!$A$1:$AN$171,38,FALSE)+VLOOKUP(O287,CBIMPORT!$A$1:$AN$171,38,FALSE)+VLOOKUP(P287,CBIMPORT!$A$1:$AN$171,38,FALSE)+VLOOKUP(Q287,CBIMPORT!$A$1:$AN$171,38,FALSE)+VLOOKUP(R287,CBIMPORT!$A$1:$AN$171,38,FALSE)+VLOOKUP(S287,CBIMPORT!$A$1:$AN$171,38,FALSE)+VLOOKUP(T287,CBIMPORT!$A$1:$AN$171,38,FALSE)+VLOOKUP(U287,CBIMPORT!$A$1:$AN$171,38,FALSE)),
IF(COUNTA(M287:AC287)=10,(VLOOKUP(M287,CBIMPORT!$A$1:$AN$171,38,FALSE)+VLOOKUP(N287,CBIMPORT!$A$1:$AN$171,38,FALSE)+VLOOKUP(O287,CBIMPORT!$A$1:$AN$171,38,FALSE)+VLOOKUP(P287,CBIMPORT!$A$1:$AN$171,38,FALSE)+VLOOKUP(Q287,CBIMPORT!$A$1:$AN$171,38,FALSE)+VLOOKUP(R287,CBIMPORT!$A$1:$AN$171,38,FALSE)+VLOOKUP(S287,CBIMPORT!$A$1:$AN$171,38,FALSE)+VLOOKUP(T287,CBIMPORT!$A$1:$AN$171,38,FALSE)),
IF(COUNTA(M287:AC287)=14,(VLOOKUP(M287,CBIMPORT!$A$1:$AN$171,38,FALSE)+VLOOKUP(N287,CBIMPORT!$A$1:$AN$171,38,FALSE)+VLOOKUP(O287,CBIMPORT!$A$1:$AN$171,38,FALSE)+VLOOKUP(P287,CBIMPORT!$A$1:$AN$171,38,FALSE)+VLOOKUP(Q287,CBIMPORT!$A$1:$AN$171,38,FALSE)+VLOOKUP(R287,CBIMPORT!$A$1:$AN$171,38,FALSE)+VLOOKUP(S287,CBIMPORT!$A$1:$AN$171,38,FALSE)+VLOOKUP(T287,CBIMPORT!$A$1:$AN$171,38,FALSE)+VLOOKUP(U287,CBIMPORT!$A$1:$AN$171,38,FALSE)+VLOOKUP(V287,CBIMPORT!$A$1:$AN$171,38,FALSE)+VLOOKUP(W287,CBIMPORT!$A$1:$AN$171,38,FALSE)+VLOOKUP(X287,CBIMPORT!$A$1:$AN$171,38,FALSE)),
IF(COUNTA(M287:AC287)=16,(VLOOKUP(M287,CBIMPORT!$A$1:$AN$171,38,FALSE)+VLOOKUP(N287,CBIMPORT!$A$1:$AN$171,38,FALSE)+VLOOKUP(O287,CBIMPORT!$A$1:$AN$171,38,FALSE)+VLOOKUP(P287,CBIMPORT!$A$1:$AN$171,38,FALSE)+VLOOKUP(Q287,CBIMPORT!$A$1:$AN$171,38,FALSE)+VLOOKUP(R287,CBIMPORT!$A$1:$AN$171,38,FALSE)+VLOOKUP(S287,CBIMPORT!$A$1:$AN$171,38,FALSE)+VLOOKUP(T287,CBIMPORT!$A$1:$AN$171,38,FALSE)+VLOOKUP(U287,CBIMPORT!$A$1:$AN$171,38,FALSE)+VLOOKUP(V287,CBIMPORT!$A$1:$AN$171,38,FALSE)+VLOOKUP(W287,CBIMPORT!$A$1:$AN$171,38,FALSE)+VLOOKUP(X287,CBIMPORT!$A$1:$AN$171,38,FALSE)+VLOOKUP(Y287,CBIMPORT!$A$1:$AN$171,38,FALSE)+VLOOKUP(Z287,CBIMPORT!$A$1:$AN$171,38,FALSE)))))))))))))))))</f>
        <v>0</v>
      </c>
      <c r="M287" s="21" t="str" cm="1">
        <f t="array" ref="M287:O287">IF(D188&gt;0,
TRANSPOSE(_xlfn._xlws.FILTER(
CHOOSE(
{1},
ANNOUNCEMENTS!$L$1:$L$180,
ANNOUNCEMENTS!$M$1:$M$180,
ANNOUNCEMENTS!$N$1:$N$180
),
((ANNOUNCEMENTS!$E$1:$E$180=B188)*(ANNOUNCEMENTS!$L$1:$L$180&lt;&gt;""))*
((ANNOUNCEMENTS!$J$1:$J$180=C188)))))</f>
        <v>eVersum</v>
      </c>
      <c r="N287" s="21" t="str">
        <v>NEVS</v>
      </c>
      <c r="O287" s="21" t="str">
        <v>Beep</v>
      </c>
      <c r="AB287" s="289"/>
      <c r="AD287" s="293"/>
    </row>
    <row r="288" spans="1:46" hidden="1" x14ac:dyDescent="0.35">
      <c r="A288" s="21" t="str">
        <v>Beyond Meat</v>
      </c>
      <c r="C288" s="21"/>
      <c r="L288" s="293">
        <f>IF(ISERROR(M288),0,
IF(COUNTA(M288:AC288)=1,(VLOOKUP(M288,CBIMPORT!$A$1:$AN$171,38,FALSE)),
IF(COUNTA(M288:AC288)=2,(VLOOKUP(M288,CBIMPORT!$A$1:$AN$171,38,FALSE)+VLOOKUP(N288,CBIMPORT!$A$1:$AN$171,38,FALSE)),
IF(COUNTA(M288:AC288)=3,(VLOOKUP(M288,CBIMPORT!$A$1:$AN$171,38,FALSE)+VLOOKUP(N288,CBIMPORT!$A$1:$AN$171,38,FALSE)+VLOOKUP(O288,CBIMPORT!$A$1:$AN$171,38,FALSE)),
IF(COUNTA(M288:AC288)=4,(VLOOKUP(M288,CBIMPORT!$A$1:$AN$171,38,FALSE)+VLOOKUP(N288,CBIMPORT!$A$1:$AN$171,38,FALSE)+VLOOKUP(O288,CBIMPORT!$A$1:$AN$171,38,FALSE)+VLOOKUP(P288,CBIMPORT!$A$1:$AN$171,38,FALSE)),
IF(COUNTA(M288:AC288)=5,(VLOOKUP(M288,CBIMPORT!$A$1:$AN$171,38,FALSE)+VLOOKUP(N288,CBIMPORT!$A$1:$AN$171,38,FALSE)+VLOOKUP(O288,CBIMPORT!$A$1:$AN$171,38,FALSE)+VLOOKUP(P288,CBIMPORT!$A$1:$AN$171,38,FALSE)+VLOOKUP(Q288,CBIMPORT!$A$1:$AN$171,38,FALSE)),IF(COUNTA(M288:AC288),
IF(COUNTA(M288:AC288)=6,(VLOOKUP(M288,CBIMPORT!$A$1:$AN$171,38,FALSE)+VLOOKUP(N288,CBIMPORT!$A$1:$AN$171,38,FALSE)+VLOOKUP(O288,CBIMPORT!$A$1:$AN$171,38,FALSE)+VLOOKUP(P288,CBIMPORT!$A$1:$AN$171,38,FALSE)+VLOOKUP(Q288,CBIMPORT!$A$1:$AN$171,38,FALSE)+VLOOKUP(R288,CBIMPORT!$A$1:$AN$171,38,FALSE)),
IF(COUNTA(M288:AC288)=7,(VLOOKUP(M288,CBIMPORT!$A$1:$AN$171,38,FALSE)+VLOOKUP(N288,CBIMPORT!$A$1:$AN$171,38,FALSE)+VLOOKUP(O288,CBIMPORT!$A$1:$AN$171,38,FALSE)+VLOOKUP(P288,CBIMPORT!$A$1:$AN$171,38,FALSE)+VLOOKUP(Q288,CBIMPORT!$A$1:$AN$171,38,FALSE)+VLOOKUP(R288,CBIMPORT!$A$1:$AN$171,38,FALSE)+VLOOKUP(S288,CBIMPORT!$A$1:$AN$171,38,FALSE)),
IF(COUNTA(M288:AC288)=7,(VLOOKUP(M288,CBIMPORT!$A$1:$AN$171,38,FALSE)+VLOOKUP(N288,CBIMPORT!$A$1:$AN$171,38,FALSE)+VLOOKUP(O288,CBIMPORT!$A$1:$AN$171,38,FALSE)+VLOOKUP(P288,CBIMPORT!$A$1:$AN$171,38,FALSE)+VLOOKUP(Q288,CBIMPORT!$A$1:$AN$171,38,FALSE)+VLOOKUP(R288,CBIMPORT!$A$1:$AN$171,38,FALSE)+VLOOKUP(S288,CBIMPORT!$A$1:$AN$171,38,FALSE)+VLOOKUP(T288,CBIMPORT!$A$1:$AN$171,38,FALSE)),
IF(COUNTA(M288:AC288)=8,(VLOOKUP(M288,CBIMPORT!$A$1:$AN$171,38,FALSE)+VLOOKUP(N288,CBIMPORT!$A$1:$AN$171,38,FALSE)+VLOOKUP(O288,CBIMPORT!$A$1:$AN$171,38,FALSE)+VLOOKUP(P288,CBIMPORT!$A$1:$AN$171,38,FALSE)+VLOOKUP(Q288,CBIMPORT!$A$1:$AN$171,38,FALSE)+VLOOKUP(R288,CBIMPORT!$A$1:$AN$171,38,FALSE)+VLOOKUP(S288,CBIMPORT!$A$1:$AN$171,38,FALSE)+VLOOKUP(T288,CBIMPORT!$A$1:$AN$171,38,FALSE)),
IF(COUNTA(M288:AC288)=9,(VLOOKUP(M288,CBIMPORT!$A$1:$AN$171,38,FALSE)+VLOOKUP(N288,CBIMPORT!$A$1:$AN$171,38,FALSE)+VLOOKUP(O288,CBIMPORT!$A$1:$AN$171,38,FALSE)+VLOOKUP(P288,CBIMPORT!$A$1:$AN$171,38,FALSE)+VLOOKUP(Q288,CBIMPORT!$A$1:$AN$171,38,FALSE)+VLOOKUP(R288,CBIMPORT!$A$1:$AN$171,38,FALSE)+VLOOKUP(S288,CBIMPORT!$A$1:$AN$171,38,FALSE)+VLOOKUP(T288,CBIMPORT!$A$1:$AN$171,38,FALSE)+VLOOKUP(U288,CBIMPORT!$A$1:$AN$171,38,FALSE)),
IF(COUNTA(M288:AC288)=10,(VLOOKUP(M288,CBIMPORT!$A$1:$AN$171,38,FALSE)+VLOOKUP(N288,CBIMPORT!$A$1:$AN$171,38,FALSE)+VLOOKUP(O288,CBIMPORT!$A$1:$AN$171,38,FALSE)+VLOOKUP(P288,CBIMPORT!$A$1:$AN$171,38,FALSE)+VLOOKUP(Q288,CBIMPORT!$A$1:$AN$171,38,FALSE)+VLOOKUP(R288,CBIMPORT!$A$1:$AN$171,38,FALSE)+VLOOKUP(S288,CBIMPORT!$A$1:$AN$171,38,FALSE)+VLOOKUP(T288,CBIMPORT!$A$1:$AN$171,38,FALSE)),
IF(COUNTA(M288:AC288)=14,(VLOOKUP(M288,CBIMPORT!$A$1:$AN$171,38,FALSE)+VLOOKUP(N288,CBIMPORT!$A$1:$AN$171,38,FALSE)+VLOOKUP(O288,CBIMPORT!$A$1:$AN$171,38,FALSE)+VLOOKUP(P288,CBIMPORT!$A$1:$AN$171,38,FALSE)+VLOOKUP(Q288,CBIMPORT!$A$1:$AN$171,38,FALSE)+VLOOKUP(R288,CBIMPORT!$A$1:$AN$171,38,FALSE)+VLOOKUP(S288,CBIMPORT!$A$1:$AN$171,38,FALSE)+VLOOKUP(T288,CBIMPORT!$A$1:$AN$171,38,FALSE)+VLOOKUP(U288,CBIMPORT!$A$1:$AN$171,38,FALSE)+VLOOKUP(V288,CBIMPORT!$A$1:$AN$171,38,FALSE)+VLOOKUP(W288,CBIMPORT!$A$1:$AN$171,38,FALSE)+VLOOKUP(X288,CBIMPORT!$A$1:$AN$171,38,FALSE)),
IF(COUNTA(M288:AC288)=16,(VLOOKUP(M288,CBIMPORT!$A$1:$AN$171,38,FALSE)+VLOOKUP(N288,CBIMPORT!$A$1:$AN$171,38,FALSE)+VLOOKUP(O288,CBIMPORT!$A$1:$AN$171,38,FALSE)+VLOOKUP(P288,CBIMPORT!$A$1:$AN$171,38,FALSE)+VLOOKUP(Q288,CBIMPORT!$A$1:$AN$171,38,FALSE)+VLOOKUP(R288,CBIMPORT!$A$1:$AN$171,38,FALSE)+VLOOKUP(S288,CBIMPORT!$A$1:$AN$171,38,FALSE)+VLOOKUP(T288,CBIMPORT!$A$1:$AN$171,38,FALSE)+VLOOKUP(U288,CBIMPORT!$A$1:$AN$171,38,FALSE)+VLOOKUP(V288,CBIMPORT!$A$1:$AN$171,38,FALSE)+VLOOKUP(W288,CBIMPORT!$A$1:$AN$171,38,FALSE)+VLOOKUP(X288,CBIMPORT!$A$1:$AN$171,38,FALSE)+VLOOKUP(Y288,CBIMPORT!$A$1:$AN$171,38,FALSE)+VLOOKUP(Z288,CBIMPORT!$A$1:$AN$171,38,FALSE)))))))))))))))))</f>
        <v>1</v>
      </c>
      <c r="M288" s="21" t="str" cm="1">
        <f t="array" ref="M288:N288">IF(D189&gt;0,
TRANSPOSE(_xlfn._xlws.FILTER(
CHOOSE(
{1},
ANNOUNCEMENTS!$L$1:$L$180,
ANNOUNCEMENTS!$M$1:$M$180,
ANNOUNCEMENTS!$N$1:$N$180
),
((ANNOUNCEMENTS!$E$1:$E$180=B189)*(ANNOUNCEMENTS!$L$1:$L$180&lt;&gt;""))*
((ANNOUNCEMENTS!$J$1:$J$180=C189)))))</f>
        <v>Goggo Network</v>
      </c>
      <c r="N288" s="21" t="str">
        <v>Ocado Group</v>
      </c>
      <c r="AB288" s="289"/>
      <c r="AD288" s="293"/>
    </row>
    <row r="289" spans="1:46" hidden="1" x14ac:dyDescent="0.35">
      <c r="A289" s="21" t="str">
        <v>Coca - Cola</v>
      </c>
      <c r="C289" s="21"/>
      <c r="L289" s="293">
        <f>IF(ISERROR(M289),0,
IF(COUNTA(M289:AC289)=1,(VLOOKUP(M289,CBIMPORT!$A$1:$AN$171,38,FALSE)),
IF(COUNTA(M289:AC289)=2,(VLOOKUP(M289,CBIMPORT!$A$1:$AN$171,38,FALSE)+VLOOKUP(N289,CBIMPORT!$A$1:$AN$171,38,FALSE)),
IF(COUNTA(M289:AC289)=3,(VLOOKUP(M289,CBIMPORT!$A$1:$AN$171,38,FALSE)+VLOOKUP(N289,CBIMPORT!$A$1:$AN$171,38,FALSE)+VLOOKUP(O289,CBIMPORT!$A$1:$AN$171,38,FALSE)),
IF(COUNTA(M289:AC289)=4,(VLOOKUP(M289,CBIMPORT!$A$1:$AN$171,38,FALSE)+VLOOKUP(N289,CBIMPORT!$A$1:$AN$171,38,FALSE)+VLOOKUP(O289,CBIMPORT!$A$1:$AN$171,38,FALSE)+VLOOKUP(P289,CBIMPORT!$A$1:$AN$171,38,FALSE)),
IF(COUNTA(M289:AC289)=5,(VLOOKUP(M289,CBIMPORT!$A$1:$AN$171,38,FALSE)+VLOOKUP(N289,CBIMPORT!$A$1:$AN$171,38,FALSE)+VLOOKUP(O289,CBIMPORT!$A$1:$AN$171,38,FALSE)+VLOOKUP(P289,CBIMPORT!$A$1:$AN$171,38,FALSE)+VLOOKUP(Q289,CBIMPORT!$A$1:$AN$171,38,FALSE)),IF(COUNTA(M289:AC289),
IF(COUNTA(M289:AC289)=6,(VLOOKUP(M289,CBIMPORT!$A$1:$AN$171,38,FALSE)+VLOOKUP(N289,CBIMPORT!$A$1:$AN$171,38,FALSE)+VLOOKUP(O289,CBIMPORT!$A$1:$AN$171,38,FALSE)+VLOOKUP(P289,CBIMPORT!$A$1:$AN$171,38,FALSE)+VLOOKUP(Q289,CBIMPORT!$A$1:$AN$171,38,FALSE)+VLOOKUP(R289,CBIMPORT!$A$1:$AN$171,38,FALSE)),
IF(COUNTA(M289:AC289)=7,(VLOOKUP(M289,CBIMPORT!$A$1:$AN$171,38,FALSE)+VLOOKUP(N289,CBIMPORT!$A$1:$AN$171,38,FALSE)+VLOOKUP(O289,CBIMPORT!$A$1:$AN$171,38,FALSE)+VLOOKUP(P289,CBIMPORT!$A$1:$AN$171,38,FALSE)+VLOOKUP(Q289,CBIMPORT!$A$1:$AN$171,38,FALSE)+VLOOKUP(R289,CBIMPORT!$A$1:$AN$171,38,FALSE)+VLOOKUP(S289,CBIMPORT!$A$1:$AN$171,38,FALSE)),
IF(COUNTA(M289:AC289)=7,(VLOOKUP(M289,CBIMPORT!$A$1:$AN$171,38,FALSE)+VLOOKUP(N289,CBIMPORT!$A$1:$AN$171,38,FALSE)+VLOOKUP(O289,CBIMPORT!$A$1:$AN$171,38,FALSE)+VLOOKUP(P289,CBIMPORT!$A$1:$AN$171,38,FALSE)+VLOOKUP(Q289,CBIMPORT!$A$1:$AN$171,38,FALSE)+VLOOKUP(R289,CBIMPORT!$A$1:$AN$171,38,FALSE)+VLOOKUP(S289,CBIMPORT!$A$1:$AN$171,38,FALSE)+VLOOKUP(T289,CBIMPORT!$A$1:$AN$171,38,FALSE)),
IF(COUNTA(M289:AC289)=8,(VLOOKUP(M289,CBIMPORT!$A$1:$AN$171,38,FALSE)+VLOOKUP(N289,CBIMPORT!$A$1:$AN$171,38,FALSE)+VLOOKUP(O289,CBIMPORT!$A$1:$AN$171,38,FALSE)+VLOOKUP(P289,CBIMPORT!$A$1:$AN$171,38,FALSE)+VLOOKUP(Q289,CBIMPORT!$A$1:$AN$171,38,FALSE)+VLOOKUP(R289,CBIMPORT!$A$1:$AN$171,38,FALSE)+VLOOKUP(S289,CBIMPORT!$A$1:$AN$171,38,FALSE)+VLOOKUP(T289,CBIMPORT!$A$1:$AN$171,38,FALSE)),
IF(COUNTA(M289:AC289)=9,(VLOOKUP(M289,CBIMPORT!$A$1:$AN$171,38,FALSE)+VLOOKUP(N289,CBIMPORT!$A$1:$AN$171,38,FALSE)+VLOOKUP(O289,CBIMPORT!$A$1:$AN$171,38,FALSE)+VLOOKUP(P289,CBIMPORT!$A$1:$AN$171,38,FALSE)+VLOOKUP(Q289,CBIMPORT!$A$1:$AN$171,38,FALSE)+VLOOKUP(R289,CBIMPORT!$A$1:$AN$171,38,FALSE)+VLOOKUP(S289,CBIMPORT!$A$1:$AN$171,38,FALSE)+VLOOKUP(T289,CBIMPORT!$A$1:$AN$171,38,FALSE)+VLOOKUP(U289,CBIMPORT!$A$1:$AN$171,38,FALSE)),
IF(COUNTA(M289:AC289)=10,(VLOOKUP(M289,CBIMPORT!$A$1:$AN$171,38,FALSE)+VLOOKUP(N289,CBIMPORT!$A$1:$AN$171,38,FALSE)+VLOOKUP(O289,CBIMPORT!$A$1:$AN$171,38,FALSE)+VLOOKUP(P289,CBIMPORT!$A$1:$AN$171,38,FALSE)+VLOOKUP(Q289,CBIMPORT!$A$1:$AN$171,38,FALSE)+VLOOKUP(R289,CBIMPORT!$A$1:$AN$171,38,FALSE)+VLOOKUP(S289,CBIMPORT!$A$1:$AN$171,38,FALSE)+VLOOKUP(T289,CBIMPORT!$A$1:$AN$171,38,FALSE)),
IF(COUNTA(M289:AC289)=14,(VLOOKUP(M289,CBIMPORT!$A$1:$AN$171,38,FALSE)+VLOOKUP(N289,CBIMPORT!$A$1:$AN$171,38,FALSE)+VLOOKUP(O289,CBIMPORT!$A$1:$AN$171,38,FALSE)+VLOOKUP(P289,CBIMPORT!$A$1:$AN$171,38,FALSE)+VLOOKUP(Q289,CBIMPORT!$A$1:$AN$171,38,FALSE)+VLOOKUP(R289,CBIMPORT!$A$1:$AN$171,38,FALSE)+VLOOKUP(S289,CBIMPORT!$A$1:$AN$171,38,FALSE)+VLOOKUP(T289,CBIMPORT!$A$1:$AN$171,38,FALSE)+VLOOKUP(U289,CBIMPORT!$A$1:$AN$171,38,FALSE)+VLOOKUP(V289,CBIMPORT!$A$1:$AN$171,38,FALSE)+VLOOKUP(W289,CBIMPORT!$A$1:$AN$171,38,FALSE)+VLOOKUP(X289,CBIMPORT!$A$1:$AN$171,38,FALSE)),
IF(COUNTA(M289:AC289)=16,(VLOOKUP(M289,CBIMPORT!$A$1:$AN$171,38,FALSE)+VLOOKUP(N289,CBIMPORT!$A$1:$AN$171,38,FALSE)+VLOOKUP(O289,CBIMPORT!$A$1:$AN$171,38,FALSE)+VLOOKUP(P289,CBIMPORT!$A$1:$AN$171,38,FALSE)+VLOOKUP(Q289,CBIMPORT!$A$1:$AN$171,38,FALSE)+VLOOKUP(R289,CBIMPORT!$A$1:$AN$171,38,FALSE)+VLOOKUP(S289,CBIMPORT!$A$1:$AN$171,38,FALSE)+VLOOKUP(T289,CBIMPORT!$A$1:$AN$171,38,FALSE)+VLOOKUP(U289,CBIMPORT!$A$1:$AN$171,38,FALSE)+VLOOKUP(V289,CBIMPORT!$A$1:$AN$171,38,FALSE)+VLOOKUP(W289,CBIMPORT!$A$1:$AN$171,38,FALSE)+VLOOKUP(X289,CBIMPORT!$A$1:$AN$171,38,FALSE)+VLOOKUP(Y289,CBIMPORT!$A$1:$AN$171,38,FALSE)+VLOOKUP(Z289,CBIMPORT!$A$1:$AN$171,38,FALSE)))))))))))))))))</f>
        <v>0</v>
      </c>
      <c r="M289" s="21" t="str" cm="1">
        <f t="array" ref="M289">IF(D190&gt;0,
TRANSPOSE(_xlfn._xlws.FILTER(
CHOOSE(
{1},
ANNOUNCEMENTS!$L$1:$L$180,
ANNOUNCEMENTS!$M$1:$M$180,
ANNOUNCEMENTS!$N$1:$N$180
),
((ANNOUNCEMENTS!$E$1:$E$180=B190)*(ANNOUNCEMENTS!$L$1:$L$180&lt;&gt;""))*
((ANNOUNCEMENTS!$J$1:$J$180=C190)))))</f>
        <v>Navtech Radar</v>
      </c>
      <c r="AB289" s="289"/>
      <c r="AD289" s="293"/>
    </row>
    <row r="290" spans="1:46" hidden="1" x14ac:dyDescent="0.35">
      <c r="A290" s="21" t="str">
        <v>UAE Ministry of Energy and Infrastructure</v>
      </c>
      <c r="C290" s="21"/>
      <c r="L290" s="293">
        <f>IF(ISERROR(M290),0,
IF(COUNTA(M290:AC290)=1,(VLOOKUP(M290,CBIMPORT!$A$1:$AN$171,38,FALSE)),
IF(COUNTA(M290:AC290)=2,(VLOOKUP(M290,CBIMPORT!$A$1:$AN$171,38,FALSE)+VLOOKUP(N290,CBIMPORT!$A$1:$AN$171,38,FALSE)),
IF(COUNTA(M290:AC290)=3,(VLOOKUP(M290,CBIMPORT!$A$1:$AN$171,38,FALSE)+VLOOKUP(N290,CBIMPORT!$A$1:$AN$171,38,FALSE)+VLOOKUP(O290,CBIMPORT!$A$1:$AN$171,38,FALSE)),
IF(COUNTA(M290:AC290)=4,(VLOOKUP(M290,CBIMPORT!$A$1:$AN$171,38,FALSE)+VLOOKUP(N290,CBIMPORT!$A$1:$AN$171,38,FALSE)+VLOOKUP(O290,CBIMPORT!$A$1:$AN$171,38,FALSE)+VLOOKUP(P290,CBIMPORT!$A$1:$AN$171,38,FALSE)),
IF(COUNTA(M290:AC290)=5,(VLOOKUP(M290,CBIMPORT!$A$1:$AN$171,38,FALSE)+VLOOKUP(N290,CBIMPORT!$A$1:$AN$171,38,FALSE)+VLOOKUP(O290,CBIMPORT!$A$1:$AN$171,38,FALSE)+VLOOKUP(P290,CBIMPORT!$A$1:$AN$171,38,FALSE)+VLOOKUP(Q290,CBIMPORT!$A$1:$AN$171,38,FALSE)),IF(COUNTA(M290:AC290),
IF(COUNTA(M290:AC290)=6,(VLOOKUP(M290,CBIMPORT!$A$1:$AN$171,38,FALSE)+VLOOKUP(N290,CBIMPORT!$A$1:$AN$171,38,FALSE)+VLOOKUP(O290,CBIMPORT!$A$1:$AN$171,38,FALSE)+VLOOKUP(P290,CBIMPORT!$A$1:$AN$171,38,FALSE)+VLOOKUP(Q290,CBIMPORT!$A$1:$AN$171,38,FALSE)+VLOOKUP(R290,CBIMPORT!$A$1:$AN$171,38,FALSE)),
IF(COUNTA(M290:AC290)=7,(VLOOKUP(M290,CBIMPORT!$A$1:$AN$171,38,FALSE)+VLOOKUP(N290,CBIMPORT!$A$1:$AN$171,38,FALSE)+VLOOKUP(O290,CBIMPORT!$A$1:$AN$171,38,FALSE)+VLOOKUP(P290,CBIMPORT!$A$1:$AN$171,38,FALSE)+VLOOKUP(Q290,CBIMPORT!$A$1:$AN$171,38,FALSE)+VLOOKUP(R290,CBIMPORT!$A$1:$AN$171,38,FALSE)+VLOOKUP(S290,CBIMPORT!$A$1:$AN$171,38,FALSE)),
IF(COUNTA(M290:AC290)=7,(VLOOKUP(M290,CBIMPORT!$A$1:$AN$171,38,FALSE)+VLOOKUP(N290,CBIMPORT!$A$1:$AN$171,38,FALSE)+VLOOKUP(O290,CBIMPORT!$A$1:$AN$171,38,FALSE)+VLOOKUP(P290,CBIMPORT!$A$1:$AN$171,38,FALSE)+VLOOKUP(Q290,CBIMPORT!$A$1:$AN$171,38,FALSE)+VLOOKUP(R290,CBIMPORT!$A$1:$AN$171,38,FALSE)+VLOOKUP(S290,CBIMPORT!$A$1:$AN$171,38,FALSE)+VLOOKUP(T290,CBIMPORT!$A$1:$AN$171,38,FALSE)),
IF(COUNTA(M290:AC290)=8,(VLOOKUP(M290,CBIMPORT!$A$1:$AN$171,38,FALSE)+VLOOKUP(N290,CBIMPORT!$A$1:$AN$171,38,FALSE)+VLOOKUP(O290,CBIMPORT!$A$1:$AN$171,38,FALSE)+VLOOKUP(P290,CBIMPORT!$A$1:$AN$171,38,FALSE)+VLOOKUP(Q290,CBIMPORT!$A$1:$AN$171,38,FALSE)+VLOOKUP(R290,CBIMPORT!$A$1:$AN$171,38,FALSE)+VLOOKUP(S290,CBIMPORT!$A$1:$AN$171,38,FALSE)+VLOOKUP(T290,CBIMPORT!$A$1:$AN$171,38,FALSE)),
IF(COUNTA(M290:AC290)=9,(VLOOKUP(M290,CBIMPORT!$A$1:$AN$171,38,FALSE)+VLOOKUP(N290,CBIMPORT!$A$1:$AN$171,38,FALSE)+VLOOKUP(O290,CBIMPORT!$A$1:$AN$171,38,FALSE)+VLOOKUP(P290,CBIMPORT!$A$1:$AN$171,38,FALSE)+VLOOKUP(Q290,CBIMPORT!$A$1:$AN$171,38,FALSE)+VLOOKUP(R290,CBIMPORT!$A$1:$AN$171,38,FALSE)+VLOOKUP(S290,CBIMPORT!$A$1:$AN$171,38,FALSE)+VLOOKUP(T290,CBIMPORT!$A$1:$AN$171,38,FALSE)+VLOOKUP(U290,CBIMPORT!$A$1:$AN$171,38,FALSE)),
IF(COUNTA(M290:AC290)=10,(VLOOKUP(M290,CBIMPORT!$A$1:$AN$171,38,FALSE)+VLOOKUP(N290,CBIMPORT!$A$1:$AN$171,38,FALSE)+VLOOKUP(O290,CBIMPORT!$A$1:$AN$171,38,FALSE)+VLOOKUP(P290,CBIMPORT!$A$1:$AN$171,38,FALSE)+VLOOKUP(Q290,CBIMPORT!$A$1:$AN$171,38,FALSE)+VLOOKUP(R290,CBIMPORT!$A$1:$AN$171,38,FALSE)+VLOOKUP(S290,CBIMPORT!$A$1:$AN$171,38,FALSE)+VLOOKUP(T290,CBIMPORT!$A$1:$AN$171,38,FALSE)),
IF(COUNTA(M290:AC290)=14,(VLOOKUP(M290,CBIMPORT!$A$1:$AN$171,38,FALSE)+VLOOKUP(N290,CBIMPORT!$A$1:$AN$171,38,FALSE)+VLOOKUP(O290,CBIMPORT!$A$1:$AN$171,38,FALSE)+VLOOKUP(P290,CBIMPORT!$A$1:$AN$171,38,FALSE)+VLOOKUP(Q290,CBIMPORT!$A$1:$AN$171,38,FALSE)+VLOOKUP(R290,CBIMPORT!$A$1:$AN$171,38,FALSE)+VLOOKUP(S290,CBIMPORT!$A$1:$AN$171,38,FALSE)+VLOOKUP(T290,CBIMPORT!$A$1:$AN$171,38,FALSE)+VLOOKUP(U290,CBIMPORT!$A$1:$AN$171,38,FALSE)+VLOOKUP(V290,CBIMPORT!$A$1:$AN$171,38,FALSE)+VLOOKUP(W290,CBIMPORT!$A$1:$AN$171,38,FALSE)+VLOOKUP(X290,CBIMPORT!$A$1:$AN$171,38,FALSE)),
IF(COUNTA(M290:AC290)=16,(VLOOKUP(M290,CBIMPORT!$A$1:$AN$171,38,FALSE)+VLOOKUP(N290,CBIMPORT!$A$1:$AN$171,38,FALSE)+VLOOKUP(O290,CBIMPORT!$A$1:$AN$171,38,FALSE)+VLOOKUP(P290,CBIMPORT!$A$1:$AN$171,38,FALSE)+VLOOKUP(Q290,CBIMPORT!$A$1:$AN$171,38,FALSE)+VLOOKUP(R290,CBIMPORT!$A$1:$AN$171,38,FALSE)+VLOOKUP(S290,CBIMPORT!$A$1:$AN$171,38,FALSE)+VLOOKUP(T290,CBIMPORT!$A$1:$AN$171,38,FALSE)+VLOOKUP(U290,CBIMPORT!$A$1:$AN$171,38,FALSE)+VLOOKUP(V290,CBIMPORT!$A$1:$AN$171,38,FALSE)+VLOOKUP(W290,CBIMPORT!$A$1:$AN$171,38,FALSE)+VLOOKUP(X290,CBIMPORT!$A$1:$AN$171,38,FALSE)+VLOOKUP(Y290,CBIMPORT!$A$1:$AN$171,38,FALSE)+VLOOKUP(Z290,CBIMPORT!$A$1:$AN$171,38,FALSE)))))))))))))))))</f>
        <v>2</v>
      </c>
      <c r="M290" s="21" t="str" cm="1">
        <f t="array" ref="M290:S290">IF(D191&gt;0,
TRANSPOSE(_xlfn._xlws.FILTER(
CHOOSE(
{1},
ANNOUNCEMENTS!$L$1:$L$180,
ANNOUNCEMENTS!$M$1:$M$180,
ANNOUNCEMENTS!$N$1:$N$180
),
((ANNOUNCEMENTS!$E$1:$E$180=B191)*(ANNOUNCEMENTS!$L$1:$L$180&lt;&gt;""))*
((ANNOUNCEMENTS!$J$1:$J$180=C191)))))</f>
        <v>Bosch</v>
      </c>
      <c r="N290" s="21" t="str">
        <v>Minnesota Department of Transportation</v>
      </c>
      <c r="O290" s="21" t="str">
        <v>Transurban</v>
      </c>
      <c r="P290" s="21" t="str">
        <v>Goodyear</v>
      </c>
      <c r="Q290" s="21" t="str">
        <v>IVECO</v>
      </c>
      <c r="R290" s="21" t="str">
        <v>Cummins</v>
      </c>
      <c r="S290" s="21" t="str">
        <v>Luminar</v>
      </c>
      <c r="AB290" s="289"/>
      <c r="AD290" s="293"/>
    </row>
    <row r="291" spans="1:46" hidden="1" x14ac:dyDescent="0.35">
      <c r="A291" s="21" t="str">
        <v>Oatly</v>
      </c>
      <c r="C291" s="21"/>
      <c r="F291" s="290" t="s">
        <v>341</v>
      </c>
      <c r="G291" s="290"/>
      <c r="L291" s="293">
        <f>IF(ISERROR(M291),0,
IF(COUNTA(M291:AC291)=1,(VLOOKUP(M291,CBIMPORT!$A$1:$AN$171,38,FALSE)),
IF(COUNTA(M291:AC291)=2,(VLOOKUP(M291,CBIMPORT!$A$1:$AN$171,38,FALSE)+VLOOKUP(N291,CBIMPORT!$A$1:$AN$171,38,FALSE)),
IF(COUNTA(M291:AC291)=3,(VLOOKUP(M291,CBIMPORT!$A$1:$AN$171,38,FALSE)+VLOOKUP(N291,CBIMPORT!$A$1:$AN$171,38,FALSE)+VLOOKUP(O291,CBIMPORT!$A$1:$AN$171,38,FALSE)),
IF(COUNTA(M291:AC291)=4,(VLOOKUP(M291,CBIMPORT!$A$1:$AN$171,38,FALSE)+VLOOKUP(N291,CBIMPORT!$A$1:$AN$171,38,FALSE)+VLOOKUP(O291,CBIMPORT!$A$1:$AN$171,38,FALSE)+VLOOKUP(P291,CBIMPORT!$A$1:$AN$171,38,FALSE)),
IF(COUNTA(M291:AC291)=5,(VLOOKUP(M291,CBIMPORT!$A$1:$AN$171,38,FALSE)+VLOOKUP(N291,CBIMPORT!$A$1:$AN$171,38,FALSE)+VLOOKUP(O291,CBIMPORT!$A$1:$AN$171,38,FALSE)+VLOOKUP(P291,CBIMPORT!$A$1:$AN$171,38,FALSE)+VLOOKUP(Q291,CBIMPORT!$A$1:$AN$171,38,FALSE)),IF(COUNTA(M291:AC291),
IF(COUNTA(M291:AC291)=6,(VLOOKUP(M291,CBIMPORT!$A$1:$AN$171,38,FALSE)+VLOOKUP(N291,CBIMPORT!$A$1:$AN$171,38,FALSE)+VLOOKUP(O291,CBIMPORT!$A$1:$AN$171,38,FALSE)+VLOOKUP(P291,CBIMPORT!$A$1:$AN$171,38,FALSE)+VLOOKUP(Q291,CBIMPORT!$A$1:$AN$171,38,FALSE)+VLOOKUP(R291,CBIMPORT!$A$1:$AN$171,38,FALSE)),
IF(COUNTA(M291:AC291)=7,(VLOOKUP(M291,CBIMPORT!$A$1:$AN$171,38,FALSE)+VLOOKUP(N291,CBIMPORT!$A$1:$AN$171,38,FALSE)+VLOOKUP(O291,CBIMPORT!$A$1:$AN$171,38,FALSE)+VLOOKUP(P291,CBIMPORT!$A$1:$AN$171,38,FALSE)+VLOOKUP(Q291,CBIMPORT!$A$1:$AN$171,38,FALSE)+VLOOKUP(R291,CBIMPORT!$A$1:$AN$171,38,FALSE)+VLOOKUP(S291,CBIMPORT!$A$1:$AN$171,38,FALSE)),
IF(COUNTA(M291:AC291)=7,(VLOOKUP(M291,CBIMPORT!$A$1:$AN$171,38,FALSE)+VLOOKUP(N291,CBIMPORT!$A$1:$AN$171,38,FALSE)+VLOOKUP(O291,CBIMPORT!$A$1:$AN$171,38,FALSE)+VLOOKUP(P291,CBIMPORT!$A$1:$AN$171,38,FALSE)+VLOOKUP(Q291,CBIMPORT!$A$1:$AN$171,38,FALSE)+VLOOKUP(R291,CBIMPORT!$A$1:$AN$171,38,FALSE)+VLOOKUP(S291,CBIMPORT!$A$1:$AN$171,38,FALSE)+VLOOKUP(T291,CBIMPORT!$A$1:$AN$171,38,FALSE)),
IF(COUNTA(M291:AC291)=8,(VLOOKUP(M291,CBIMPORT!$A$1:$AN$171,38,FALSE)+VLOOKUP(N291,CBIMPORT!$A$1:$AN$171,38,FALSE)+VLOOKUP(O291,CBIMPORT!$A$1:$AN$171,38,FALSE)+VLOOKUP(P291,CBIMPORT!$A$1:$AN$171,38,FALSE)+VLOOKUP(Q291,CBIMPORT!$A$1:$AN$171,38,FALSE)+VLOOKUP(R291,CBIMPORT!$A$1:$AN$171,38,FALSE)+VLOOKUP(S291,CBIMPORT!$A$1:$AN$171,38,FALSE)+VLOOKUP(T291,CBIMPORT!$A$1:$AN$171,38,FALSE)),
IF(COUNTA(M291:AC291)=9,(VLOOKUP(M291,CBIMPORT!$A$1:$AN$171,38,FALSE)+VLOOKUP(N291,CBIMPORT!$A$1:$AN$171,38,FALSE)+VLOOKUP(O291,CBIMPORT!$A$1:$AN$171,38,FALSE)+VLOOKUP(P291,CBIMPORT!$A$1:$AN$171,38,FALSE)+VLOOKUP(Q291,CBIMPORT!$A$1:$AN$171,38,FALSE)+VLOOKUP(R291,CBIMPORT!$A$1:$AN$171,38,FALSE)+VLOOKUP(S291,CBIMPORT!$A$1:$AN$171,38,FALSE)+VLOOKUP(T291,CBIMPORT!$A$1:$AN$171,38,FALSE)+VLOOKUP(U291,CBIMPORT!$A$1:$AN$171,38,FALSE)),
IF(COUNTA(M291:AC291)=10,(VLOOKUP(M291,CBIMPORT!$A$1:$AN$171,38,FALSE)+VLOOKUP(N291,CBIMPORT!$A$1:$AN$171,38,FALSE)+VLOOKUP(O291,CBIMPORT!$A$1:$AN$171,38,FALSE)+VLOOKUP(P291,CBIMPORT!$A$1:$AN$171,38,FALSE)+VLOOKUP(Q291,CBIMPORT!$A$1:$AN$171,38,FALSE)+VLOOKUP(R291,CBIMPORT!$A$1:$AN$171,38,FALSE)+VLOOKUP(S291,CBIMPORT!$A$1:$AN$171,38,FALSE)+VLOOKUP(T291,CBIMPORT!$A$1:$AN$171,38,FALSE)),
IF(COUNTA(M291:AC291)=14,(VLOOKUP(M291,CBIMPORT!$A$1:$AN$171,38,FALSE)+VLOOKUP(N291,CBIMPORT!$A$1:$AN$171,38,FALSE)+VLOOKUP(O291,CBIMPORT!$A$1:$AN$171,38,FALSE)+VLOOKUP(P291,CBIMPORT!$A$1:$AN$171,38,FALSE)+VLOOKUP(Q291,CBIMPORT!$A$1:$AN$171,38,FALSE)+VLOOKUP(R291,CBIMPORT!$A$1:$AN$171,38,FALSE)+VLOOKUP(S291,CBIMPORT!$A$1:$AN$171,38,FALSE)+VLOOKUP(T291,CBIMPORT!$A$1:$AN$171,38,FALSE)+VLOOKUP(U291,CBIMPORT!$A$1:$AN$171,38,FALSE)+VLOOKUP(V291,CBIMPORT!$A$1:$AN$171,38,FALSE)+VLOOKUP(W291,CBIMPORT!$A$1:$AN$171,38,FALSE)+VLOOKUP(X291,CBIMPORT!$A$1:$AN$171,38,FALSE)),
IF(COUNTA(M291:AC291)=16,(VLOOKUP(M291,CBIMPORT!$A$1:$AN$171,38,FALSE)+VLOOKUP(N291,CBIMPORT!$A$1:$AN$171,38,FALSE)+VLOOKUP(O291,CBIMPORT!$A$1:$AN$171,38,FALSE)+VLOOKUP(P291,CBIMPORT!$A$1:$AN$171,38,FALSE)+VLOOKUP(Q291,CBIMPORT!$A$1:$AN$171,38,FALSE)+VLOOKUP(R291,CBIMPORT!$A$1:$AN$171,38,FALSE)+VLOOKUP(S291,CBIMPORT!$A$1:$AN$171,38,FALSE)+VLOOKUP(T291,CBIMPORT!$A$1:$AN$171,38,FALSE)+VLOOKUP(U291,CBIMPORT!$A$1:$AN$171,38,FALSE)+VLOOKUP(V291,CBIMPORT!$A$1:$AN$171,38,FALSE)+VLOOKUP(W291,CBIMPORT!$A$1:$AN$171,38,FALSE)+VLOOKUP(X291,CBIMPORT!$A$1:$AN$171,38,FALSE)+VLOOKUP(Y291,CBIMPORT!$A$1:$AN$171,38,FALSE)+VLOOKUP(Z291,CBIMPORT!$A$1:$AN$171,38,FALSE)))))))))))))))))</f>
        <v>3</v>
      </c>
      <c r="M291" s="21" t="str" cm="1">
        <f t="array" ref="M291:R291">IF(D192&gt;0,
TRANSPOSE(_xlfn._xlws.FILTER(
CHOOSE(
{1},
ANNOUNCEMENTS!$L$1:$L$180,
ANNOUNCEMENTS!$M$1:$M$180,
ANNOUNCEMENTS!$N$1:$N$180
),
((ANNOUNCEMENTS!$E$1:$E$180=B192)*(ANNOUNCEMENTS!$L$1:$L$180&lt;&gt;""))*
((ANNOUNCEMENTS!$J$1:$J$180=C192)))))</f>
        <v>Toyota</v>
      </c>
      <c r="N291" s="21" t="str">
        <v>Onsemi</v>
      </c>
      <c r="O291" s="21" t="str">
        <v>Horizon Robotics</v>
      </c>
      <c r="P291" s="21" t="str">
        <v>Toyota</v>
      </c>
      <c r="Q291" s="21" t="str">
        <v>Luminar</v>
      </c>
      <c r="R291" s="21" t="str">
        <v>Sinotrans</v>
      </c>
      <c r="AB291" s="289"/>
      <c r="AD291" s="293"/>
    </row>
    <row r="292" spans="1:46" hidden="1" x14ac:dyDescent="0.35">
      <c r="A292" s="21" t="str">
        <v>GE Appliances</v>
      </c>
      <c r="C292" s="21"/>
      <c r="F292" s="290" t="s">
        <v>1943</v>
      </c>
      <c r="G292" s="290" t="s">
        <v>1990</v>
      </c>
      <c r="L292" s="293">
        <f>IF(ISERROR(M292),0,
IF(COUNTA(M292:AC292)=1,(VLOOKUP(M292,CBIMPORT!$A$1:$AN$171,38,FALSE)),
IF(COUNTA(M292:AC292)=2,(VLOOKUP(M292,CBIMPORT!$A$1:$AN$171,38,FALSE)+VLOOKUP(N292,CBIMPORT!$A$1:$AN$171,38,FALSE)),
IF(COUNTA(M292:AC292)=3,(VLOOKUP(M292,CBIMPORT!$A$1:$AN$171,38,FALSE)+VLOOKUP(N292,CBIMPORT!$A$1:$AN$171,38,FALSE)+VLOOKUP(O292,CBIMPORT!$A$1:$AN$171,38,FALSE)),
IF(COUNTA(M292:AC292)=4,(VLOOKUP(M292,CBIMPORT!$A$1:$AN$171,38,FALSE)+VLOOKUP(N292,CBIMPORT!$A$1:$AN$171,38,FALSE)+VLOOKUP(O292,CBIMPORT!$A$1:$AN$171,38,FALSE)+VLOOKUP(P292,CBIMPORT!$A$1:$AN$171,38,FALSE)),
IF(COUNTA(M292:AC292)=5,(VLOOKUP(M292,CBIMPORT!$A$1:$AN$171,38,FALSE)+VLOOKUP(N292,CBIMPORT!$A$1:$AN$171,38,FALSE)+VLOOKUP(O292,CBIMPORT!$A$1:$AN$171,38,FALSE)+VLOOKUP(P292,CBIMPORT!$A$1:$AN$171,38,FALSE)+VLOOKUP(Q292,CBIMPORT!$A$1:$AN$171,38,FALSE)),IF(COUNTA(M292:AC292),
IF(COUNTA(M292:AC292)=6,(VLOOKUP(M292,CBIMPORT!$A$1:$AN$171,38,FALSE)+VLOOKUP(N292,CBIMPORT!$A$1:$AN$171,38,FALSE)+VLOOKUP(O292,CBIMPORT!$A$1:$AN$171,38,FALSE)+VLOOKUP(P292,CBIMPORT!$A$1:$AN$171,38,FALSE)+VLOOKUP(Q292,CBIMPORT!$A$1:$AN$171,38,FALSE)+VLOOKUP(R292,CBIMPORT!$A$1:$AN$171,38,FALSE)),
IF(COUNTA(M292:AC292)=7,(VLOOKUP(M292,CBIMPORT!$A$1:$AN$171,38,FALSE)+VLOOKUP(N292,CBIMPORT!$A$1:$AN$171,38,FALSE)+VLOOKUP(O292,CBIMPORT!$A$1:$AN$171,38,FALSE)+VLOOKUP(P292,CBIMPORT!$A$1:$AN$171,38,FALSE)+VLOOKUP(Q292,CBIMPORT!$A$1:$AN$171,38,FALSE)+VLOOKUP(R292,CBIMPORT!$A$1:$AN$171,38,FALSE)+VLOOKUP(S292,CBIMPORT!$A$1:$AN$171,38,FALSE)),
IF(COUNTA(M292:AC292)=7,(VLOOKUP(M292,CBIMPORT!$A$1:$AN$171,38,FALSE)+VLOOKUP(N292,CBIMPORT!$A$1:$AN$171,38,FALSE)+VLOOKUP(O292,CBIMPORT!$A$1:$AN$171,38,FALSE)+VLOOKUP(P292,CBIMPORT!$A$1:$AN$171,38,FALSE)+VLOOKUP(Q292,CBIMPORT!$A$1:$AN$171,38,FALSE)+VLOOKUP(R292,CBIMPORT!$A$1:$AN$171,38,FALSE)+VLOOKUP(S292,CBIMPORT!$A$1:$AN$171,38,FALSE)+VLOOKUP(T292,CBIMPORT!$A$1:$AN$171,38,FALSE)),
IF(COUNTA(M292:AC292)=8,(VLOOKUP(M292,CBIMPORT!$A$1:$AN$171,38,FALSE)+VLOOKUP(N292,CBIMPORT!$A$1:$AN$171,38,FALSE)+VLOOKUP(O292,CBIMPORT!$A$1:$AN$171,38,FALSE)+VLOOKUP(P292,CBIMPORT!$A$1:$AN$171,38,FALSE)+VLOOKUP(Q292,CBIMPORT!$A$1:$AN$171,38,FALSE)+VLOOKUP(R292,CBIMPORT!$A$1:$AN$171,38,FALSE)+VLOOKUP(S292,CBIMPORT!$A$1:$AN$171,38,FALSE)+VLOOKUP(T292,CBIMPORT!$A$1:$AN$171,38,FALSE)),
IF(COUNTA(M292:AC292)=9,(VLOOKUP(M292,CBIMPORT!$A$1:$AN$171,38,FALSE)+VLOOKUP(N292,CBIMPORT!$A$1:$AN$171,38,FALSE)+VLOOKUP(O292,CBIMPORT!$A$1:$AN$171,38,FALSE)+VLOOKUP(P292,CBIMPORT!$A$1:$AN$171,38,FALSE)+VLOOKUP(Q292,CBIMPORT!$A$1:$AN$171,38,FALSE)+VLOOKUP(R292,CBIMPORT!$A$1:$AN$171,38,FALSE)+VLOOKUP(S292,CBIMPORT!$A$1:$AN$171,38,FALSE)+VLOOKUP(T292,CBIMPORT!$A$1:$AN$171,38,FALSE)+VLOOKUP(U292,CBIMPORT!$A$1:$AN$171,38,FALSE)),
IF(COUNTA(M292:AC292)=10,(VLOOKUP(M292,CBIMPORT!$A$1:$AN$171,38,FALSE)+VLOOKUP(N292,CBIMPORT!$A$1:$AN$171,38,FALSE)+VLOOKUP(O292,CBIMPORT!$A$1:$AN$171,38,FALSE)+VLOOKUP(P292,CBIMPORT!$A$1:$AN$171,38,FALSE)+VLOOKUP(Q292,CBIMPORT!$A$1:$AN$171,38,FALSE)+VLOOKUP(R292,CBIMPORT!$A$1:$AN$171,38,FALSE)+VLOOKUP(S292,CBIMPORT!$A$1:$AN$171,38,FALSE)+VLOOKUP(T292,CBIMPORT!$A$1:$AN$171,38,FALSE)),
IF(COUNTA(M292:AC292)=14,(VLOOKUP(M292,CBIMPORT!$A$1:$AN$171,38,FALSE)+VLOOKUP(N292,CBIMPORT!$A$1:$AN$171,38,FALSE)+VLOOKUP(O292,CBIMPORT!$A$1:$AN$171,38,FALSE)+VLOOKUP(P292,CBIMPORT!$A$1:$AN$171,38,FALSE)+VLOOKUP(Q292,CBIMPORT!$A$1:$AN$171,38,FALSE)+VLOOKUP(R292,CBIMPORT!$A$1:$AN$171,38,FALSE)+VLOOKUP(S292,CBIMPORT!$A$1:$AN$171,38,FALSE)+VLOOKUP(T292,CBIMPORT!$A$1:$AN$171,38,FALSE)+VLOOKUP(U292,CBIMPORT!$A$1:$AN$171,38,FALSE)+VLOOKUP(V292,CBIMPORT!$A$1:$AN$171,38,FALSE)+VLOOKUP(W292,CBIMPORT!$A$1:$AN$171,38,FALSE)+VLOOKUP(X292,CBIMPORT!$A$1:$AN$171,38,FALSE)),
IF(COUNTA(M292:AC292)=16,(VLOOKUP(M292,CBIMPORT!$A$1:$AN$171,38,FALSE)+VLOOKUP(N292,CBIMPORT!$A$1:$AN$171,38,FALSE)+VLOOKUP(O292,CBIMPORT!$A$1:$AN$171,38,FALSE)+VLOOKUP(P292,CBIMPORT!$A$1:$AN$171,38,FALSE)+VLOOKUP(Q292,CBIMPORT!$A$1:$AN$171,38,FALSE)+VLOOKUP(R292,CBIMPORT!$A$1:$AN$171,38,FALSE)+VLOOKUP(S292,CBIMPORT!$A$1:$AN$171,38,FALSE)+VLOOKUP(T292,CBIMPORT!$A$1:$AN$171,38,FALSE)+VLOOKUP(U292,CBIMPORT!$A$1:$AN$171,38,FALSE)+VLOOKUP(V292,CBIMPORT!$A$1:$AN$171,38,FALSE)+VLOOKUP(W292,CBIMPORT!$A$1:$AN$171,38,FALSE)+VLOOKUP(X292,CBIMPORT!$A$1:$AN$171,38,FALSE)+VLOOKUP(Y292,CBIMPORT!$A$1:$AN$171,38,FALSE)+VLOOKUP(Z292,CBIMPORT!$A$1:$AN$171,38,FALSE)))))))))))))))))</f>
        <v>1</v>
      </c>
      <c r="M292" s="21" t="str" cm="1">
        <f t="array" ref="M292">IF(D193&gt;0,
TRANSPOSE(_xlfn._xlws.FILTER(
CHOOSE(
{1},
ANNOUNCEMENTS!$L$1:$L$180,
ANNOUNCEMENTS!$M$1:$M$180,
ANNOUNCEMENTS!$N$1:$N$180
),
((ANNOUNCEMENTS!$E$1:$E$180=B193)*(ANNOUNCEMENTS!$L$1:$L$180&lt;&gt;""))*
((ANNOUNCEMENTS!$J$1:$J$180=C193)))))</f>
        <v>SANY Heavy Truck</v>
      </c>
      <c r="AB292" s="289"/>
      <c r="AD292" s="293"/>
    </row>
    <row r="293" spans="1:46" hidden="1" x14ac:dyDescent="0.35">
      <c r="A293" s="21" t="str">
        <v>Lidl</v>
      </c>
      <c r="C293" s="21"/>
      <c r="L293" s="293">
        <f>IF(ISERROR(M293),0,
IF(COUNTA(M293:AC293)=1,(VLOOKUP(M293,CBIMPORT!$A$1:$AN$171,38,FALSE)),
IF(COUNTA(M293:AC293)=2,(VLOOKUP(M293,CBIMPORT!$A$1:$AN$171,38,FALSE)+VLOOKUP(N293,CBIMPORT!$A$1:$AN$171,38,FALSE)),
IF(COUNTA(M293:AC293)=3,(VLOOKUP(M293,CBIMPORT!$A$1:$AN$171,38,FALSE)+VLOOKUP(N293,CBIMPORT!$A$1:$AN$171,38,FALSE)+VLOOKUP(O293,CBIMPORT!$A$1:$AN$171,38,FALSE)),
IF(COUNTA(M293:AC293)=4,(VLOOKUP(M293,CBIMPORT!$A$1:$AN$171,38,FALSE)+VLOOKUP(N293,CBIMPORT!$A$1:$AN$171,38,FALSE)+VLOOKUP(O293,CBIMPORT!$A$1:$AN$171,38,FALSE)+VLOOKUP(P293,CBIMPORT!$A$1:$AN$171,38,FALSE)),
IF(COUNTA(M293:AC293)=5,(VLOOKUP(M293,CBIMPORT!$A$1:$AN$171,38,FALSE)+VLOOKUP(N293,CBIMPORT!$A$1:$AN$171,38,FALSE)+VLOOKUP(O293,CBIMPORT!$A$1:$AN$171,38,FALSE)+VLOOKUP(P293,CBIMPORT!$A$1:$AN$171,38,FALSE)+VLOOKUP(Q293,CBIMPORT!$A$1:$AN$171,38,FALSE)),IF(COUNTA(M293:AC293),
IF(COUNTA(M293:AC293)=6,(VLOOKUP(M293,CBIMPORT!$A$1:$AN$171,38,FALSE)+VLOOKUP(N293,CBIMPORT!$A$1:$AN$171,38,FALSE)+VLOOKUP(O293,CBIMPORT!$A$1:$AN$171,38,FALSE)+VLOOKUP(P293,CBIMPORT!$A$1:$AN$171,38,FALSE)+VLOOKUP(Q293,CBIMPORT!$A$1:$AN$171,38,FALSE)+VLOOKUP(R293,CBIMPORT!$A$1:$AN$171,38,FALSE)),
IF(COUNTA(M293:AC293)=7,(VLOOKUP(M293,CBIMPORT!$A$1:$AN$171,38,FALSE)+VLOOKUP(N293,CBIMPORT!$A$1:$AN$171,38,FALSE)+VLOOKUP(O293,CBIMPORT!$A$1:$AN$171,38,FALSE)+VLOOKUP(P293,CBIMPORT!$A$1:$AN$171,38,FALSE)+VLOOKUP(Q293,CBIMPORT!$A$1:$AN$171,38,FALSE)+VLOOKUP(R293,CBIMPORT!$A$1:$AN$171,38,FALSE)+VLOOKUP(S293,CBIMPORT!$A$1:$AN$171,38,FALSE)),
IF(COUNTA(M293:AC293)=7,(VLOOKUP(M293,CBIMPORT!$A$1:$AN$171,38,FALSE)+VLOOKUP(N293,CBIMPORT!$A$1:$AN$171,38,FALSE)+VLOOKUP(O293,CBIMPORT!$A$1:$AN$171,38,FALSE)+VLOOKUP(P293,CBIMPORT!$A$1:$AN$171,38,FALSE)+VLOOKUP(Q293,CBIMPORT!$A$1:$AN$171,38,FALSE)+VLOOKUP(R293,CBIMPORT!$A$1:$AN$171,38,FALSE)+VLOOKUP(S293,CBIMPORT!$A$1:$AN$171,38,FALSE)+VLOOKUP(T293,CBIMPORT!$A$1:$AN$171,38,FALSE)),
IF(COUNTA(M293:AC293)=8,(VLOOKUP(M293,CBIMPORT!$A$1:$AN$171,38,FALSE)+VLOOKUP(N293,CBIMPORT!$A$1:$AN$171,38,FALSE)+VLOOKUP(O293,CBIMPORT!$A$1:$AN$171,38,FALSE)+VLOOKUP(P293,CBIMPORT!$A$1:$AN$171,38,FALSE)+VLOOKUP(Q293,CBIMPORT!$A$1:$AN$171,38,FALSE)+VLOOKUP(R293,CBIMPORT!$A$1:$AN$171,38,FALSE)+VLOOKUP(S293,CBIMPORT!$A$1:$AN$171,38,FALSE)+VLOOKUP(T293,CBIMPORT!$A$1:$AN$171,38,FALSE)),
IF(COUNTA(M293:AC293)=9,(VLOOKUP(M293,CBIMPORT!$A$1:$AN$171,38,FALSE)+VLOOKUP(N293,CBIMPORT!$A$1:$AN$171,38,FALSE)+VLOOKUP(O293,CBIMPORT!$A$1:$AN$171,38,FALSE)+VLOOKUP(P293,CBIMPORT!$A$1:$AN$171,38,FALSE)+VLOOKUP(Q293,CBIMPORT!$A$1:$AN$171,38,FALSE)+VLOOKUP(R293,CBIMPORT!$A$1:$AN$171,38,FALSE)+VLOOKUP(S293,CBIMPORT!$A$1:$AN$171,38,FALSE)+VLOOKUP(T293,CBIMPORT!$A$1:$AN$171,38,FALSE)+VLOOKUP(U293,CBIMPORT!$A$1:$AN$171,38,FALSE)),
IF(COUNTA(M293:AC293)=10,(VLOOKUP(M293,CBIMPORT!$A$1:$AN$171,38,FALSE)+VLOOKUP(N293,CBIMPORT!$A$1:$AN$171,38,FALSE)+VLOOKUP(O293,CBIMPORT!$A$1:$AN$171,38,FALSE)+VLOOKUP(P293,CBIMPORT!$A$1:$AN$171,38,FALSE)+VLOOKUP(Q293,CBIMPORT!$A$1:$AN$171,38,FALSE)+VLOOKUP(R293,CBIMPORT!$A$1:$AN$171,38,FALSE)+VLOOKUP(S293,CBIMPORT!$A$1:$AN$171,38,FALSE)+VLOOKUP(T293,CBIMPORT!$A$1:$AN$171,38,FALSE)),
IF(COUNTA(M293:AC293)=14,(VLOOKUP(M293,CBIMPORT!$A$1:$AN$171,38,FALSE)+VLOOKUP(N293,CBIMPORT!$A$1:$AN$171,38,FALSE)+VLOOKUP(O293,CBIMPORT!$A$1:$AN$171,38,FALSE)+VLOOKUP(P293,CBIMPORT!$A$1:$AN$171,38,FALSE)+VLOOKUP(Q293,CBIMPORT!$A$1:$AN$171,38,FALSE)+VLOOKUP(R293,CBIMPORT!$A$1:$AN$171,38,FALSE)+VLOOKUP(S293,CBIMPORT!$A$1:$AN$171,38,FALSE)+VLOOKUP(T293,CBIMPORT!$A$1:$AN$171,38,FALSE)+VLOOKUP(U293,CBIMPORT!$A$1:$AN$171,38,FALSE)+VLOOKUP(V293,CBIMPORT!$A$1:$AN$171,38,FALSE)+VLOOKUP(W293,CBIMPORT!$A$1:$AN$171,38,FALSE)+VLOOKUP(X293,CBIMPORT!$A$1:$AN$171,38,FALSE)),
IF(COUNTA(M293:AC293)=16,(VLOOKUP(M293,CBIMPORT!$A$1:$AN$171,38,FALSE)+VLOOKUP(N293,CBIMPORT!$A$1:$AN$171,38,FALSE)+VLOOKUP(O293,CBIMPORT!$A$1:$AN$171,38,FALSE)+VLOOKUP(P293,CBIMPORT!$A$1:$AN$171,38,FALSE)+VLOOKUP(Q293,CBIMPORT!$A$1:$AN$171,38,FALSE)+VLOOKUP(R293,CBIMPORT!$A$1:$AN$171,38,FALSE)+VLOOKUP(S293,CBIMPORT!$A$1:$AN$171,38,FALSE)+VLOOKUP(T293,CBIMPORT!$A$1:$AN$171,38,FALSE)+VLOOKUP(U293,CBIMPORT!$A$1:$AN$171,38,FALSE)+VLOOKUP(V293,CBIMPORT!$A$1:$AN$171,38,FALSE)+VLOOKUP(W293,CBIMPORT!$A$1:$AN$171,38,FALSE)+VLOOKUP(X293,CBIMPORT!$A$1:$AN$171,38,FALSE)+VLOOKUP(Y293,CBIMPORT!$A$1:$AN$171,38,FALSE)+VLOOKUP(Z293,CBIMPORT!$A$1:$AN$171,38,FALSE)))))))))))))))))</f>
        <v>0</v>
      </c>
      <c r="M293" s="21" t="str" cm="1">
        <f t="array" ref="M293:P293">IF(D194&gt;0,
TRANSPOSE(_xlfn._xlws.FILTER(
CHOOSE(
{1},
ANNOUNCEMENTS!$L$1:$L$180,
ANNOUNCEMENTS!$M$1:$M$180,
ANNOUNCEMENTS!$N$1:$N$180
),
((ANNOUNCEMENTS!$E$1:$E$180=B194)*(ANNOUNCEMENTS!$L$1:$L$180&lt;&gt;""))*
((ANNOUNCEMENTS!$J$1:$J$180=C194)))))</f>
        <v>Nickelytics</v>
      </c>
      <c r="N293" s="21" t="str">
        <v>Pizza Hut</v>
      </c>
      <c r="O293" s="21" t="str">
        <v>Uber Eats</v>
      </c>
      <c r="P293" s="21" t="str">
        <v>Piestro</v>
      </c>
      <c r="AB293" s="289"/>
      <c r="AD293" s="293"/>
    </row>
    <row r="294" spans="1:46" hidden="1" x14ac:dyDescent="0.35">
      <c r="A294" s="21" t="str">
        <v>Goodyear</v>
      </c>
      <c r="C294" s="21"/>
      <c r="L294" s="293">
        <f>IF(ISERROR(M294),0,
IF(COUNTA(M294:AC294)=1,(VLOOKUP(M294,CBIMPORT!$A$1:$AN$171,38,FALSE)),
IF(COUNTA(M294:AC294)=2,(VLOOKUP(M294,CBIMPORT!$A$1:$AN$171,38,FALSE)+VLOOKUP(N294,CBIMPORT!$A$1:$AN$171,38,FALSE)),
IF(COUNTA(M294:AC294)=3,(VLOOKUP(M294,CBIMPORT!$A$1:$AN$171,38,FALSE)+VLOOKUP(N294,CBIMPORT!$A$1:$AN$171,38,FALSE)+VLOOKUP(O294,CBIMPORT!$A$1:$AN$171,38,FALSE)),
IF(COUNTA(M294:AC294)=4,(VLOOKUP(M294,CBIMPORT!$A$1:$AN$171,38,FALSE)+VLOOKUP(N294,CBIMPORT!$A$1:$AN$171,38,FALSE)+VLOOKUP(O294,CBIMPORT!$A$1:$AN$171,38,FALSE)+VLOOKUP(P294,CBIMPORT!$A$1:$AN$171,38,FALSE)),
IF(COUNTA(M294:AC294)=5,(VLOOKUP(M294,CBIMPORT!$A$1:$AN$171,38,FALSE)+VLOOKUP(N294,CBIMPORT!$A$1:$AN$171,38,FALSE)+VLOOKUP(O294,CBIMPORT!$A$1:$AN$171,38,FALSE)+VLOOKUP(P294,CBIMPORT!$A$1:$AN$171,38,FALSE)+VLOOKUP(Q294,CBIMPORT!$A$1:$AN$171,38,FALSE)),IF(COUNTA(M294:AC294),
IF(COUNTA(M294:AC294)=6,(VLOOKUP(M294,CBIMPORT!$A$1:$AN$171,38,FALSE)+VLOOKUP(N294,CBIMPORT!$A$1:$AN$171,38,FALSE)+VLOOKUP(O294,CBIMPORT!$A$1:$AN$171,38,FALSE)+VLOOKUP(P294,CBIMPORT!$A$1:$AN$171,38,FALSE)+VLOOKUP(Q294,CBIMPORT!$A$1:$AN$171,38,FALSE)+VLOOKUP(R294,CBIMPORT!$A$1:$AN$171,38,FALSE)),
IF(COUNTA(M294:AC294)=7,(VLOOKUP(M294,CBIMPORT!$A$1:$AN$171,38,FALSE)+VLOOKUP(N294,CBIMPORT!$A$1:$AN$171,38,FALSE)+VLOOKUP(O294,CBIMPORT!$A$1:$AN$171,38,FALSE)+VLOOKUP(P294,CBIMPORT!$A$1:$AN$171,38,FALSE)+VLOOKUP(Q294,CBIMPORT!$A$1:$AN$171,38,FALSE)+VLOOKUP(R294,CBIMPORT!$A$1:$AN$171,38,FALSE)+VLOOKUP(S294,CBIMPORT!$A$1:$AN$171,38,FALSE)),
IF(COUNTA(M294:AC294)=7,(VLOOKUP(M294,CBIMPORT!$A$1:$AN$171,38,FALSE)+VLOOKUP(N294,CBIMPORT!$A$1:$AN$171,38,FALSE)+VLOOKUP(O294,CBIMPORT!$A$1:$AN$171,38,FALSE)+VLOOKUP(P294,CBIMPORT!$A$1:$AN$171,38,FALSE)+VLOOKUP(Q294,CBIMPORT!$A$1:$AN$171,38,FALSE)+VLOOKUP(R294,CBIMPORT!$A$1:$AN$171,38,FALSE)+VLOOKUP(S294,CBIMPORT!$A$1:$AN$171,38,FALSE)+VLOOKUP(T294,CBIMPORT!$A$1:$AN$171,38,FALSE)),
IF(COUNTA(M294:AC294)=8,(VLOOKUP(M294,CBIMPORT!$A$1:$AN$171,38,FALSE)+VLOOKUP(N294,CBIMPORT!$A$1:$AN$171,38,FALSE)+VLOOKUP(O294,CBIMPORT!$A$1:$AN$171,38,FALSE)+VLOOKUP(P294,CBIMPORT!$A$1:$AN$171,38,FALSE)+VLOOKUP(Q294,CBIMPORT!$A$1:$AN$171,38,FALSE)+VLOOKUP(R294,CBIMPORT!$A$1:$AN$171,38,FALSE)+VLOOKUP(S294,CBIMPORT!$A$1:$AN$171,38,FALSE)+VLOOKUP(T294,CBIMPORT!$A$1:$AN$171,38,FALSE)),
IF(COUNTA(M294:AC294)=9,(VLOOKUP(M294,CBIMPORT!$A$1:$AN$171,38,FALSE)+VLOOKUP(N294,CBIMPORT!$A$1:$AN$171,38,FALSE)+VLOOKUP(O294,CBIMPORT!$A$1:$AN$171,38,FALSE)+VLOOKUP(P294,CBIMPORT!$A$1:$AN$171,38,FALSE)+VLOOKUP(Q294,CBIMPORT!$A$1:$AN$171,38,FALSE)+VLOOKUP(R294,CBIMPORT!$A$1:$AN$171,38,FALSE)+VLOOKUP(S294,CBIMPORT!$A$1:$AN$171,38,FALSE)+VLOOKUP(T294,CBIMPORT!$A$1:$AN$171,38,FALSE)+VLOOKUP(U294,CBIMPORT!$A$1:$AN$171,38,FALSE)),
IF(COUNTA(M294:AC294)=10,(VLOOKUP(M294,CBIMPORT!$A$1:$AN$171,38,FALSE)+VLOOKUP(N294,CBIMPORT!$A$1:$AN$171,38,FALSE)+VLOOKUP(O294,CBIMPORT!$A$1:$AN$171,38,FALSE)+VLOOKUP(P294,CBIMPORT!$A$1:$AN$171,38,FALSE)+VLOOKUP(Q294,CBIMPORT!$A$1:$AN$171,38,FALSE)+VLOOKUP(R294,CBIMPORT!$A$1:$AN$171,38,FALSE)+VLOOKUP(S294,CBIMPORT!$A$1:$AN$171,38,FALSE)+VLOOKUP(T294,CBIMPORT!$A$1:$AN$171,38,FALSE)),
IF(COUNTA(M294:AC294)=14,(VLOOKUP(M294,CBIMPORT!$A$1:$AN$171,38,FALSE)+VLOOKUP(N294,CBIMPORT!$A$1:$AN$171,38,FALSE)+VLOOKUP(O294,CBIMPORT!$A$1:$AN$171,38,FALSE)+VLOOKUP(P294,CBIMPORT!$A$1:$AN$171,38,FALSE)+VLOOKUP(Q294,CBIMPORT!$A$1:$AN$171,38,FALSE)+VLOOKUP(R294,CBIMPORT!$A$1:$AN$171,38,FALSE)+VLOOKUP(S294,CBIMPORT!$A$1:$AN$171,38,FALSE)+VLOOKUP(T294,CBIMPORT!$A$1:$AN$171,38,FALSE)+VLOOKUP(U294,CBIMPORT!$A$1:$AN$171,38,FALSE)+VLOOKUP(V294,CBIMPORT!$A$1:$AN$171,38,FALSE)+VLOOKUP(W294,CBIMPORT!$A$1:$AN$171,38,FALSE)+VLOOKUP(X294,CBIMPORT!$A$1:$AN$171,38,FALSE)),
IF(COUNTA(M294:AC294)=16,(VLOOKUP(M294,CBIMPORT!$A$1:$AN$171,38,FALSE)+VLOOKUP(N294,CBIMPORT!$A$1:$AN$171,38,FALSE)+VLOOKUP(O294,CBIMPORT!$A$1:$AN$171,38,FALSE)+VLOOKUP(P294,CBIMPORT!$A$1:$AN$171,38,FALSE)+VLOOKUP(Q294,CBIMPORT!$A$1:$AN$171,38,FALSE)+VLOOKUP(R294,CBIMPORT!$A$1:$AN$171,38,FALSE)+VLOOKUP(S294,CBIMPORT!$A$1:$AN$171,38,FALSE)+VLOOKUP(T294,CBIMPORT!$A$1:$AN$171,38,FALSE)+VLOOKUP(U294,CBIMPORT!$A$1:$AN$171,38,FALSE)+VLOOKUP(V294,CBIMPORT!$A$1:$AN$171,38,FALSE)+VLOOKUP(W294,CBIMPORT!$A$1:$AN$171,38,FALSE)+VLOOKUP(X294,CBIMPORT!$A$1:$AN$171,38,FALSE)+VLOOKUP(Y294,CBIMPORT!$A$1:$AN$171,38,FALSE)+VLOOKUP(Z294,CBIMPORT!$A$1:$AN$171,38,FALSE)))))))))))))))))</f>
        <v>0</v>
      </c>
      <c r="M294" s="21" t="str" cm="1">
        <f t="array" ref="M294:O294">IF(D195&gt;0,
TRANSPOSE(_xlfn._xlws.FILTER(
CHOOSE(
{1},
ANNOUNCEMENTS!$L$1:$L$180,
ANNOUNCEMENTS!$M$1:$M$180,
ANNOUNCEMENTS!$N$1:$N$180
),
((ANNOUNCEMENTS!$E$1:$E$180=B195)*(ANNOUNCEMENTS!$L$1:$L$180&lt;&gt;""))*
((ANNOUNCEMENTS!$J$1:$J$180=C195)))))</f>
        <v>Daimler Truck</v>
      </c>
      <c r="N294" s="21" t="str">
        <v>Applied Intuition</v>
      </c>
      <c r="O294" s="21" t="str">
        <v>Daimler Truck</v>
      </c>
      <c r="AB294" s="289"/>
      <c r="AD294" s="293"/>
    </row>
    <row r="295" spans="1:46" hidden="1" x14ac:dyDescent="0.35">
      <c r="A295" s="21" t="str">
        <v>Ryder</v>
      </c>
      <c r="C295" s="21"/>
      <c r="L295" s="293">
        <f>IF(ISERROR(M295),0,
IF(COUNTA(M295:AC295)=1,(VLOOKUP(M295,CBIMPORT!$A$1:$AN$171,38,FALSE)),
IF(COUNTA(M295:AC295)=2,(VLOOKUP(M295,CBIMPORT!$A$1:$AN$171,38,FALSE)+VLOOKUP(N295,CBIMPORT!$A$1:$AN$171,38,FALSE)),
IF(COUNTA(M295:AC295)=3,(VLOOKUP(M295,CBIMPORT!$A$1:$AN$171,38,FALSE)+VLOOKUP(N295,CBIMPORT!$A$1:$AN$171,38,FALSE)+VLOOKUP(O295,CBIMPORT!$A$1:$AN$171,38,FALSE)),
IF(COUNTA(M295:AC295)=4,(VLOOKUP(M295,CBIMPORT!$A$1:$AN$171,38,FALSE)+VLOOKUP(N295,CBIMPORT!$A$1:$AN$171,38,FALSE)+VLOOKUP(O295,CBIMPORT!$A$1:$AN$171,38,FALSE)+VLOOKUP(P295,CBIMPORT!$A$1:$AN$171,38,FALSE)),
IF(COUNTA(M295:AC295)=5,(VLOOKUP(M295,CBIMPORT!$A$1:$AN$171,38,FALSE)+VLOOKUP(N295,CBIMPORT!$A$1:$AN$171,38,FALSE)+VLOOKUP(O295,CBIMPORT!$A$1:$AN$171,38,FALSE)+VLOOKUP(P295,CBIMPORT!$A$1:$AN$171,38,FALSE)+VLOOKUP(Q295,CBIMPORT!$A$1:$AN$171,38,FALSE)),IF(COUNTA(M295:AC295),
IF(COUNTA(M295:AC295)=6,(VLOOKUP(M295,CBIMPORT!$A$1:$AN$171,38,FALSE)+VLOOKUP(N295,CBIMPORT!$A$1:$AN$171,38,FALSE)+VLOOKUP(O295,CBIMPORT!$A$1:$AN$171,38,FALSE)+VLOOKUP(P295,CBIMPORT!$A$1:$AN$171,38,FALSE)+VLOOKUP(Q295,CBIMPORT!$A$1:$AN$171,38,FALSE)+VLOOKUP(R295,CBIMPORT!$A$1:$AN$171,38,FALSE)),
IF(COUNTA(M295:AC295)=7,(VLOOKUP(M295,CBIMPORT!$A$1:$AN$171,38,FALSE)+VLOOKUP(N295,CBIMPORT!$A$1:$AN$171,38,FALSE)+VLOOKUP(O295,CBIMPORT!$A$1:$AN$171,38,FALSE)+VLOOKUP(P295,CBIMPORT!$A$1:$AN$171,38,FALSE)+VLOOKUP(Q295,CBIMPORT!$A$1:$AN$171,38,FALSE)+VLOOKUP(R295,CBIMPORT!$A$1:$AN$171,38,FALSE)+VLOOKUP(S295,CBIMPORT!$A$1:$AN$171,38,FALSE)),
IF(COUNTA(M295:AC295)=7,(VLOOKUP(M295,CBIMPORT!$A$1:$AN$171,38,FALSE)+VLOOKUP(N295,CBIMPORT!$A$1:$AN$171,38,FALSE)+VLOOKUP(O295,CBIMPORT!$A$1:$AN$171,38,FALSE)+VLOOKUP(P295,CBIMPORT!$A$1:$AN$171,38,FALSE)+VLOOKUP(Q295,CBIMPORT!$A$1:$AN$171,38,FALSE)+VLOOKUP(R295,CBIMPORT!$A$1:$AN$171,38,FALSE)+VLOOKUP(S295,CBIMPORT!$A$1:$AN$171,38,FALSE)+VLOOKUP(T295,CBIMPORT!$A$1:$AN$171,38,FALSE)),
IF(COUNTA(M295:AC295)=8,(VLOOKUP(M295,CBIMPORT!$A$1:$AN$171,38,FALSE)+VLOOKUP(N295,CBIMPORT!$A$1:$AN$171,38,FALSE)+VLOOKUP(O295,CBIMPORT!$A$1:$AN$171,38,FALSE)+VLOOKUP(P295,CBIMPORT!$A$1:$AN$171,38,FALSE)+VLOOKUP(Q295,CBIMPORT!$A$1:$AN$171,38,FALSE)+VLOOKUP(R295,CBIMPORT!$A$1:$AN$171,38,FALSE)+VLOOKUP(S295,CBIMPORT!$A$1:$AN$171,38,FALSE)+VLOOKUP(T295,CBIMPORT!$A$1:$AN$171,38,FALSE)),
IF(COUNTA(M295:AC295)=9,(VLOOKUP(M295,CBIMPORT!$A$1:$AN$171,38,FALSE)+VLOOKUP(N295,CBIMPORT!$A$1:$AN$171,38,FALSE)+VLOOKUP(O295,CBIMPORT!$A$1:$AN$171,38,FALSE)+VLOOKUP(P295,CBIMPORT!$A$1:$AN$171,38,FALSE)+VLOOKUP(Q295,CBIMPORT!$A$1:$AN$171,38,FALSE)+VLOOKUP(R295,CBIMPORT!$A$1:$AN$171,38,FALSE)+VLOOKUP(S295,CBIMPORT!$A$1:$AN$171,38,FALSE)+VLOOKUP(T295,CBIMPORT!$A$1:$AN$171,38,FALSE)+VLOOKUP(U295,CBIMPORT!$A$1:$AN$171,38,FALSE)),
IF(COUNTA(M295:AC295)=10,(VLOOKUP(M295,CBIMPORT!$A$1:$AN$171,38,FALSE)+VLOOKUP(N295,CBIMPORT!$A$1:$AN$171,38,FALSE)+VLOOKUP(O295,CBIMPORT!$A$1:$AN$171,38,FALSE)+VLOOKUP(P295,CBIMPORT!$A$1:$AN$171,38,FALSE)+VLOOKUP(Q295,CBIMPORT!$A$1:$AN$171,38,FALSE)+VLOOKUP(R295,CBIMPORT!$A$1:$AN$171,38,FALSE)+VLOOKUP(S295,CBIMPORT!$A$1:$AN$171,38,FALSE)+VLOOKUP(T295,CBIMPORT!$A$1:$AN$171,38,FALSE)),
IF(COUNTA(M295:AC295)=14,(VLOOKUP(M295,CBIMPORT!$A$1:$AN$171,38,FALSE)+VLOOKUP(N295,CBIMPORT!$A$1:$AN$171,38,FALSE)+VLOOKUP(O295,CBIMPORT!$A$1:$AN$171,38,FALSE)+VLOOKUP(P295,CBIMPORT!$A$1:$AN$171,38,FALSE)+VLOOKUP(Q295,CBIMPORT!$A$1:$AN$171,38,FALSE)+VLOOKUP(R295,CBIMPORT!$A$1:$AN$171,38,FALSE)+VLOOKUP(S295,CBIMPORT!$A$1:$AN$171,38,FALSE)+VLOOKUP(T295,CBIMPORT!$A$1:$AN$171,38,FALSE)+VLOOKUP(U295,CBIMPORT!$A$1:$AN$171,38,FALSE)+VLOOKUP(V295,CBIMPORT!$A$1:$AN$171,38,FALSE)+VLOOKUP(W295,CBIMPORT!$A$1:$AN$171,38,FALSE)+VLOOKUP(X295,CBIMPORT!$A$1:$AN$171,38,FALSE)),
IF(COUNTA(M295:AC295)=16,(VLOOKUP(M295,CBIMPORT!$A$1:$AN$171,38,FALSE)+VLOOKUP(N295,CBIMPORT!$A$1:$AN$171,38,FALSE)+VLOOKUP(O295,CBIMPORT!$A$1:$AN$171,38,FALSE)+VLOOKUP(P295,CBIMPORT!$A$1:$AN$171,38,FALSE)+VLOOKUP(Q295,CBIMPORT!$A$1:$AN$171,38,FALSE)+VLOOKUP(R295,CBIMPORT!$A$1:$AN$171,38,FALSE)+VLOOKUP(S295,CBIMPORT!$A$1:$AN$171,38,FALSE)+VLOOKUP(T295,CBIMPORT!$A$1:$AN$171,38,FALSE)+VLOOKUP(U295,CBIMPORT!$A$1:$AN$171,38,FALSE)+VLOOKUP(V295,CBIMPORT!$A$1:$AN$171,38,FALSE)+VLOOKUP(W295,CBIMPORT!$A$1:$AN$171,38,FALSE)+VLOOKUP(X295,CBIMPORT!$A$1:$AN$171,38,FALSE)+VLOOKUP(Y295,CBIMPORT!$A$1:$AN$171,38,FALSE)+VLOOKUP(Z295,CBIMPORT!$A$1:$AN$171,38,FALSE)))))))))))))))))</f>
        <v>1</v>
      </c>
      <c r="M295" s="21" t="str" cm="1">
        <f t="array" ref="M295:P295">IF(D196&gt;0,
TRANSPOSE(_xlfn._xlws.FILTER(
CHOOSE(
{1},
ANNOUNCEMENTS!$L$1:$L$180,
ANNOUNCEMENTS!$M$1:$M$180,
ANNOUNCEMENTS!$N$1:$N$180
),
((ANNOUNCEMENTS!$E$1:$E$180=B196)*(ANNOUNCEMENTS!$L$1:$L$180&lt;&gt;""))*
((ANNOUNCEMENTS!$J$1:$J$180=C196)))))</f>
        <v>Torc</v>
      </c>
      <c r="N295" s="21" t="str">
        <v>LAVTA</v>
      </c>
      <c r="O295" s="21" t="str">
        <v>Delphi</v>
      </c>
      <c r="P295" s="21" t="str">
        <v>ZF</v>
      </c>
      <c r="AB295" s="289"/>
      <c r="AD295" s="293"/>
    </row>
    <row r="296" spans="1:46" hidden="1" x14ac:dyDescent="0.35">
      <c r="A296" s="21" t="str">
        <v>Walmart</v>
      </c>
      <c r="C296" s="21"/>
      <c r="L296" s="293">
        <f>IF(ISERROR(M296),0,
IF(COUNTA(M296:AC296)=1,(VLOOKUP(M296,CBIMPORT!$A$1:$AN$171,38,FALSE)),
IF(COUNTA(M296:AC296)=2,(VLOOKUP(M296,CBIMPORT!$A$1:$AN$171,38,FALSE)+VLOOKUP(N296,CBIMPORT!$A$1:$AN$171,38,FALSE)),
IF(COUNTA(M296:AC296)=3,(VLOOKUP(M296,CBIMPORT!$A$1:$AN$171,38,FALSE)+VLOOKUP(N296,CBIMPORT!$A$1:$AN$171,38,FALSE)+VLOOKUP(O296,CBIMPORT!$A$1:$AN$171,38,FALSE)),
IF(COUNTA(M296:AC296)=4,(VLOOKUP(M296,CBIMPORT!$A$1:$AN$171,38,FALSE)+VLOOKUP(N296,CBIMPORT!$A$1:$AN$171,38,FALSE)+VLOOKUP(O296,CBIMPORT!$A$1:$AN$171,38,FALSE)+VLOOKUP(P296,CBIMPORT!$A$1:$AN$171,38,FALSE)),
IF(COUNTA(M296:AC296)=5,(VLOOKUP(M296,CBIMPORT!$A$1:$AN$171,38,FALSE)+VLOOKUP(N296,CBIMPORT!$A$1:$AN$171,38,FALSE)+VLOOKUP(O296,CBIMPORT!$A$1:$AN$171,38,FALSE)+VLOOKUP(P296,CBIMPORT!$A$1:$AN$171,38,FALSE)+VLOOKUP(Q296,CBIMPORT!$A$1:$AN$171,38,FALSE)),IF(COUNTA(M296:AC296),
IF(COUNTA(M296:AC296)=6,(VLOOKUP(M296,CBIMPORT!$A$1:$AN$171,38,FALSE)+VLOOKUP(N296,CBIMPORT!$A$1:$AN$171,38,FALSE)+VLOOKUP(O296,CBIMPORT!$A$1:$AN$171,38,FALSE)+VLOOKUP(P296,CBIMPORT!$A$1:$AN$171,38,FALSE)+VLOOKUP(Q296,CBIMPORT!$A$1:$AN$171,38,FALSE)+VLOOKUP(R296,CBIMPORT!$A$1:$AN$171,38,FALSE)),
IF(COUNTA(M296:AC296)=7,(VLOOKUP(M296,CBIMPORT!$A$1:$AN$171,38,FALSE)+VLOOKUP(N296,CBIMPORT!$A$1:$AN$171,38,FALSE)+VLOOKUP(O296,CBIMPORT!$A$1:$AN$171,38,FALSE)+VLOOKUP(P296,CBIMPORT!$A$1:$AN$171,38,FALSE)+VLOOKUP(Q296,CBIMPORT!$A$1:$AN$171,38,FALSE)+VLOOKUP(R296,CBIMPORT!$A$1:$AN$171,38,FALSE)+VLOOKUP(S296,CBIMPORT!$A$1:$AN$171,38,FALSE)),
IF(COUNTA(M296:AC296)=7,(VLOOKUP(M296,CBIMPORT!$A$1:$AN$171,38,FALSE)+VLOOKUP(N296,CBIMPORT!$A$1:$AN$171,38,FALSE)+VLOOKUP(O296,CBIMPORT!$A$1:$AN$171,38,FALSE)+VLOOKUP(P296,CBIMPORT!$A$1:$AN$171,38,FALSE)+VLOOKUP(Q296,CBIMPORT!$A$1:$AN$171,38,FALSE)+VLOOKUP(R296,CBIMPORT!$A$1:$AN$171,38,FALSE)+VLOOKUP(S296,CBIMPORT!$A$1:$AN$171,38,FALSE)+VLOOKUP(T296,CBIMPORT!$A$1:$AN$171,38,FALSE)),
IF(COUNTA(M296:AC296)=8,(VLOOKUP(M296,CBIMPORT!$A$1:$AN$171,38,FALSE)+VLOOKUP(N296,CBIMPORT!$A$1:$AN$171,38,FALSE)+VLOOKUP(O296,CBIMPORT!$A$1:$AN$171,38,FALSE)+VLOOKUP(P296,CBIMPORT!$A$1:$AN$171,38,FALSE)+VLOOKUP(Q296,CBIMPORT!$A$1:$AN$171,38,FALSE)+VLOOKUP(R296,CBIMPORT!$A$1:$AN$171,38,FALSE)+VLOOKUP(S296,CBIMPORT!$A$1:$AN$171,38,FALSE)+VLOOKUP(T296,CBIMPORT!$A$1:$AN$171,38,FALSE)),
IF(COUNTA(M296:AC296)=9,(VLOOKUP(M296,CBIMPORT!$A$1:$AN$171,38,FALSE)+VLOOKUP(N296,CBIMPORT!$A$1:$AN$171,38,FALSE)+VLOOKUP(O296,CBIMPORT!$A$1:$AN$171,38,FALSE)+VLOOKUP(P296,CBIMPORT!$A$1:$AN$171,38,FALSE)+VLOOKUP(Q296,CBIMPORT!$A$1:$AN$171,38,FALSE)+VLOOKUP(R296,CBIMPORT!$A$1:$AN$171,38,FALSE)+VLOOKUP(S296,CBIMPORT!$A$1:$AN$171,38,FALSE)+VLOOKUP(T296,CBIMPORT!$A$1:$AN$171,38,FALSE)+VLOOKUP(U296,CBIMPORT!$A$1:$AN$171,38,FALSE)),
IF(COUNTA(M296:AC296)=10,(VLOOKUP(M296,CBIMPORT!$A$1:$AN$171,38,FALSE)+VLOOKUP(N296,CBIMPORT!$A$1:$AN$171,38,FALSE)+VLOOKUP(O296,CBIMPORT!$A$1:$AN$171,38,FALSE)+VLOOKUP(P296,CBIMPORT!$A$1:$AN$171,38,FALSE)+VLOOKUP(Q296,CBIMPORT!$A$1:$AN$171,38,FALSE)+VLOOKUP(R296,CBIMPORT!$A$1:$AN$171,38,FALSE)+VLOOKUP(S296,CBIMPORT!$A$1:$AN$171,38,FALSE)+VLOOKUP(T296,CBIMPORT!$A$1:$AN$171,38,FALSE)),
IF(COUNTA(M296:AC296)=14,(VLOOKUP(M296,CBIMPORT!$A$1:$AN$171,38,FALSE)+VLOOKUP(N296,CBIMPORT!$A$1:$AN$171,38,FALSE)+VLOOKUP(O296,CBIMPORT!$A$1:$AN$171,38,FALSE)+VLOOKUP(P296,CBIMPORT!$A$1:$AN$171,38,FALSE)+VLOOKUP(Q296,CBIMPORT!$A$1:$AN$171,38,FALSE)+VLOOKUP(R296,CBIMPORT!$A$1:$AN$171,38,FALSE)+VLOOKUP(S296,CBIMPORT!$A$1:$AN$171,38,FALSE)+VLOOKUP(T296,CBIMPORT!$A$1:$AN$171,38,FALSE)+VLOOKUP(U296,CBIMPORT!$A$1:$AN$171,38,FALSE)+VLOOKUP(V296,CBIMPORT!$A$1:$AN$171,38,FALSE)+VLOOKUP(W296,CBIMPORT!$A$1:$AN$171,38,FALSE)+VLOOKUP(X296,CBIMPORT!$A$1:$AN$171,38,FALSE)),
IF(COUNTA(M296:AC296)=16,(VLOOKUP(M296,CBIMPORT!$A$1:$AN$171,38,FALSE)+VLOOKUP(N296,CBIMPORT!$A$1:$AN$171,38,FALSE)+VLOOKUP(O296,CBIMPORT!$A$1:$AN$171,38,FALSE)+VLOOKUP(P296,CBIMPORT!$A$1:$AN$171,38,FALSE)+VLOOKUP(Q296,CBIMPORT!$A$1:$AN$171,38,FALSE)+VLOOKUP(R296,CBIMPORT!$A$1:$AN$171,38,FALSE)+VLOOKUP(S296,CBIMPORT!$A$1:$AN$171,38,FALSE)+VLOOKUP(T296,CBIMPORT!$A$1:$AN$171,38,FALSE)+VLOOKUP(U296,CBIMPORT!$A$1:$AN$171,38,FALSE)+VLOOKUP(V296,CBIMPORT!$A$1:$AN$171,38,FALSE)+VLOOKUP(W296,CBIMPORT!$A$1:$AN$171,38,FALSE)+VLOOKUP(X296,CBIMPORT!$A$1:$AN$171,38,FALSE)+VLOOKUP(Y296,CBIMPORT!$A$1:$AN$171,38,FALSE)+VLOOKUP(Z296,CBIMPORT!$A$1:$AN$171,38,FALSE)))))))))))))))))</f>
        <v>3</v>
      </c>
      <c r="M296" s="21" t="str" cm="1">
        <f t="array" ref="M296:U296">IF(D197&gt;0,
TRANSPOSE(_xlfn._xlws.FILTER(
CHOOSE(
{1},
ANNOUNCEMENTS!$L$1:$L$180,
ANNOUNCEMENTS!$M$1:$M$180,
ANNOUNCEMENTS!$N$1:$N$180
),
((ANNOUNCEMENTS!$E$1:$E$180=B197)*(ANNOUNCEMENTS!$L$1:$L$180&lt;&gt;""))*
((ANNOUNCEMENTS!$J$1:$J$180=C197)))))</f>
        <v>ZF</v>
      </c>
      <c r="N296" s="21" t="str">
        <v>Navistar</v>
      </c>
      <c r="O296" s="21" t="str">
        <v>Traton</v>
      </c>
      <c r="P296" s="21" t="str">
        <v>Goodyear</v>
      </c>
      <c r="Q296" s="21" t="str">
        <v>Liberty Mutual Insurance</v>
      </c>
      <c r="R296" s="21" t="str">
        <v>Ryder</v>
      </c>
      <c r="S296" s="21" t="str">
        <v>Loadsmith</v>
      </c>
      <c r="T296" s="21" t="str">
        <v>Hegelmann Group</v>
      </c>
      <c r="U296" s="21" t="str">
        <v>DHL</v>
      </c>
      <c r="AB296" s="289"/>
      <c r="AD296" s="293"/>
      <c r="AS296" s="290"/>
      <c r="AT296" s="290"/>
    </row>
    <row r="297" spans="1:46" hidden="1" x14ac:dyDescent="0.35">
      <c r="A297" s="21" t="str">
        <v>ChargePoint</v>
      </c>
      <c r="C297" s="21"/>
      <c r="L297" s="293">
        <f>IF(ISERROR(M297),0,
IF(COUNTA(M297:AC297)=1,(VLOOKUP(M297,CBIMPORT!$A$1:$AN$171,38,FALSE)),
IF(COUNTA(M297:AC297)=2,(VLOOKUP(M297,CBIMPORT!$A$1:$AN$171,38,FALSE)+VLOOKUP(N297,CBIMPORT!$A$1:$AN$171,38,FALSE)),
IF(COUNTA(M297:AC297)=3,(VLOOKUP(M297,CBIMPORT!$A$1:$AN$171,38,FALSE)+VLOOKUP(N297,CBIMPORT!$A$1:$AN$171,38,FALSE)+VLOOKUP(O297,CBIMPORT!$A$1:$AN$171,38,FALSE)),
IF(COUNTA(M297:AC297)=4,(VLOOKUP(M297,CBIMPORT!$A$1:$AN$171,38,FALSE)+VLOOKUP(N297,CBIMPORT!$A$1:$AN$171,38,FALSE)+VLOOKUP(O297,CBIMPORT!$A$1:$AN$171,38,FALSE)+VLOOKUP(P297,CBIMPORT!$A$1:$AN$171,38,FALSE)),
IF(COUNTA(M297:AC297)=5,(VLOOKUP(M297,CBIMPORT!$A$1:$AN$171,38,FALSE)+VLOOKUP(N297,CBIMPORT!$A$1:$AN$171,38,FALSE)+VLOOKUP(O297,CBIMPORT!$A$1:$AN$171,38,FALSE)+VLOOKUP(P297,CBIMPORT!$A$1:$AN$171,38,FALSE)+VLOOKUP(Q297,CBIMPORT!$A$1:$AN$171,38,FALSE)),IF(COUNTA(M297:AC297),
IF(COUNTA(M297:AC297)=6,(VLOOKUP(M297,CBIMPORT!$A$1:$AN$171,38,FALSE)+VLOOKUP(N297,CBIMPORT!$A$1:$AN$171,38,FALSE)+VLOOKUP(O297,CBIMPORT!$A$1:$AN$171,38,FALSE)+VLOOKUP(P297,CBIMPORT!$A$1:$AN$171,38,FALSE)+VLOOKUP(Q297,CBIMPORT!$A$1:$AN$171,38,FALSE)+VLOOKUP(R297,CBIMPORT!$A$1:$AN$171,38,FALSE)),
IF(COUNTA(M297:AC297)=7,(VLOOKUP(M297,CBIMPORT!$A$1:$AN$171,38,FALSE)+VLOOKUP(N297,CBIMPORT!$A$1:$AN$171,38,FALSE)+VLOOKUP(O297,CBIMPORT!$A$1:$AN$171,38,FALSE)+VLOOKUP(P297,CBIMPORT!$A$1:$AN$171,38,FALSE)+VLOOKUP(Q297,CBIMPORT!$A$1:$AN$171,38,FALSE)+VLOOKUP(R297,CBIMPORT!$A$1:$AN$171,38,FALSE)+VLOOKUP(S297,CBIMPORT!$A$1:$AN$171,38,FALSE)),
IF(COUNTA(M297:AC297)=7,(VLOOKUP(M297,CBIMPORT!$A$1:$AN$171,38,FALSE)+VLOOKUP(N297,CBIMPORT!$A$1:$AN$171,38,FALSE)+VLOOKUP(O297,CBIMPORT!$A$1:$AN$171,38,FALSE)+VLOOKUP(P297,CBIMPORT!$A$1:$AN$171,38,FALSE)+VLOOKUP(Q297,CBIMPORT!$A$1:$AN$171,38,FALSE)+VLOOKUP(R297,CBIMPORT!$A$1:$AN$171,38,FALSE)+VLOOKUP(S297,CBIMPORT!$A$1:$AN$171,38,FALSE)+VLOOKUP(T297,CBIMPORT!$A$1:$AN$171,38,FALSE)),
IF(COUNTA(M297:AC297)=8,(VLOOKUP(M297,CBIMPORT!$A$1:$AN$171,38,FALSE)+VLOOKUP(N297,CBIMPORT!$A$1:$AN$171,38,FALSE)+VLOOKUP(O297,CBIMPORT!$A$1:$AN$171,38,FALSE)+VLOOKUP(P297,CBIMPORT!$A$1:$AN$171,38,FALSE)+VLOOKUP(Q297,CBIMPORT!$A$1:$AN$171,38,FALSE)+VLOOKUP(R297,CBIMPORT!$A$1:$AN$171,38,FALSE)+VLOOKUP(S297,CBIMPORT!$A$1:$AN$171,38,FALSE)+VLOOKUP(T297,CBIMPORT!$A$1:$AN$171,38,FALSE)),
IF(COUNTA(M297:AC297)=9,(VLOOKUP(M297,CBIMPORT!$A$1:$AN$171,38,FALSE)+VLOOKUP(N297,CBIMPORT!$A$1:$AN$171,38,FALSE)+VLOOKUP(O297,CBIMPORT!$A$1:$AN$171,38,FALSE)+VLOOKUP(P297,CBIMPORT!$A$1:$AN$171,38,FALSE)+VLOOKUP(Q297,CBIMPORT!$A$1:$AN$171,38,FALSE)+VLOOKUP(R297,CBIMPORT!$A$1:$AN$171,38,FALSE)+VLOOKUP(S297,CBIMPORT!$A$1:$AN$171,38,FALSE)+VLOOKUP(T297,CBIMPORT!$A$1:$AN$171,38,FALSE)+VLOOKUP(U297,CBIMPORT!$A$1:$AN$171,38,FALSE)),
IF(COUNTA(M297:AC297)=10,(VLOOKUP(M297,CBIMPORT!$A$1:$AN$171,38,FALSE)+VLOOKUP(N297,CBIMPORT!$A$1:$AN$171,38,FALSE)+VLOOKUP(O297,CBIMPORT!$A$1:$AN$171,38,FALSE)+VLOOKUP(P297,CBIMPORT!$A$1:$AN$171,38,FALSE)+VLOOKUP(Q297,CBIMPORT!$A$1:$AN$171,38,FALSE)+VLOOKUP(R297,CBIMPORT!$A$1:$AN$171,38,FALSE)+VLOOKUP(S297,CBIMPORT!$A$1:$AN$171,38,FALSE)+VLOOKUP(T297,CBIMPORT!$A$1:$AN$171,38,FALSE)),
IF(COUNTA(M297:AC297)=14,(VLOOKUP(M297,CBIMPORT!$A$1:$AN$171,38,FALSE)+VLOOKUP(N297,CBIMPORT!$A$1:$AN$171,38,FALSE)+VLOOKUP(O297,CBIMPORT!$A$1:$AN$171,38,FALSE)+VLOOKUP(P297,CBIMPORT!$A$1:$AN$171,38,FALSE)+VLOOKUP(Q297,CBIMPORT!$A$1:$AN$171,38,FALSE)+VLOOKUP(R297,CBIMPORT!$A$1:$AN$171,38,FALSE)+VLOOKUP(S297,CBIMPORT!$A$1:$AN$171,38,FALSE)+VLOOKUP(T297,CBIMPORT!$A$1:$AN$171,38,FALSE)+VLOOKUP(U297,CBIMPORT!$A$1:$AN$171,38,FALSE)+VLOOKUP(V297,CBIMPORT!$A$1:$AN$171,38,FALSE)+VLOOKUP(W297,CBIMPORT!$A$1:$AN$171,38,FALSE)+VLOOKUP(X297,CBIMPORT!$A$1:$AN$171,38,FALSE)),
IF(COUNTA(M297:AC297)=16,(VLOOKUP(M297,CBIMPORT!$A$1:$AN$171,38,FALSE)+VLOOKUP(N297,CBIMPORT!$A$1:$AN$171,38,FALSE)+VLOOKUP(O297,CBIMPORT!$A$1:$AN$171,38,FALSE)+VLOOKUP(P297,CBIMPORT!$A$1:$AN$171,38,FALSE)+VLOOKUP(Q297,CBIMPORT!$A$1:$AN$171,38,FALSE)+VLOOKUP(R297,CBIMPORT!$A$1:$AN$171,38,FALSE)+VLOOKUP(S297,CBIMPORT!$A$1:$AN$171,38,FALSE)+VLOOKUP(T297,CBIMPORT!$A$1:$AN$171,38,FALSE)+VLOOKUP(U297,CBIMPORT!$A$1:$AN$171,38,FALSE)+VLOOKUP(V297,CBIMPORT!$A$1:$AN$171,38,FALSE)+VLOOKUP(W297,CBIMPORT!$A$1:$AN$171,38,FALSE)+VLOOKUP(X297,CBIMPORT!$A$1:$AN$171,38,FALSE)+VLOOKUP(Y297,CBIMPORT!$A$1:$AN$171,38,FALSE)+VLOOKUP(Z297,CBIMPORT!$A$1:$AN$171,38,FALSE)))))))))))))))))</f>
        <v>0</v>
      </c>
      <c r="M297" s="21" t="str" cm="1">
        <f t="array" ref="M297">IF(D198&gt;0,
TRANSPOSE(_xlfn._xlws.FILTER(
CHOOSE(
{1},
ANNOUNCEMENTS!$L$1:$L$180,
ANNOUNCEMENTS!$M$1:$M$180,
ANNOUNCEMENTS!$N$1:$N$180
),
((ANNOUNCEMENTS!$E$1:$E$180=B198)*(ANNOUNCEMENTS!$L$1:$L$180&lt;&gt;""))*
((ANNOUNCEMENTS!$J$1:$J$180=C198)))))</f>
        <v>Toyota</v>
      </c>
      <c r="AB297" s="289"/>
      <c r="AD297" s="293"/>
    </row>
    <row r="298" spans="1:46" hidden="1" x14ac:dyDescent="0.35">
      <c r="A298" s="21" t="str">
        <v>Isuzu North America</v>
      </c>
      <c r="C298" s="21"/>
      <c r="L298" s="293">
        <f>IF(ISERROR(M298),0,
IF(COUNTA(M298:AC298)=1,(VLOOKUP(M298,CBIMPORT!$A$1:$AN$171,38,FALSE)),
IF(COUNTA(M298:AC298)=2,(VLOOKUP(M298,CBIMPORT!$A$1:$AN$171,38,FALSE)+VLOOKUP(N298,CBIMPORT!$A$1:$AN$171,38,FALSE)),
IF(COUNTA(M298:AC298)=3,(VLOOKUP(M298,CBIMPORT!$A$1:$AN$171,38,FALSE)+VLOOKUP(N298,CBIMPORT!$A$1:$AN$171,38,FALSE)+VLOOKUP(O298,CBIMPORT!$A$1:$AN$171,38,FALSE)),
IF(COUNTA(M298:AC298)=4,(VLOOKUP(M298,CBIMPORT!$A$1:$AN$171,38,FALSE)+VLOOKUP(N298,CBIMPORT!$A$1:$AN$171,38,FALSE)+VLOOKUP(O298,CBIMPORT!$A$1:$AN$171,38,FALSE)+VLOOKUP(P298,CBIMPORT!$A$1:$AN$171,38,FALSE)),
IF(COUNTA(M298:AC298)=5,(VLOOKUP(M298,CBIMPORT!$A$1:$AN$171,38,FALSE)+VLOOKUP(N298,CBIMPORT!$A$1:$AN$171,38,FALSE)+VLOOKUP(O298,CBIMPORT!$A$1:$AN$171,38,FALSE)+VLOOKUP(P298,CBIMPORT!$A$1:$AN$171,38,FALSE)+VLOOKUP(Q298,CBIMPORT!$A$1:$AN$171,38,FALSE)),IF(COUNTA(M298:AC298),
IF(COUNTA(M298:AC298)=6,(VLOOKUP(M298,CBIMPORT!$A$1:$AN$171,38,FALSE)+VLOOKUP(N298,CBIMPORT!$A$1:$AN$171,38,FALSE)+VLOOKUP(O298,CBIMPORT!$A$1:$AN$171,38,FALSE)+VLOOKUP(P298,CBIMPORT!$A$1:$AN$171,38,FALSE)+VLOOKUP(Q298,CBIMPORT!$A$1:$AN$171,38,FALSE)+VLOOKUP(R298,CBIMPORT!$A$1:$AN$171,38,FALSE)),
IF(COUNTA(M298:AC298)=7,(VLOOKUP(M298,CBIMPORT!$A$1:$AN$171,38,FALSE)+VLOOKUP(N298,CBIMPORT!$A$1:$AN$171,38,FALSE)+VLOOKUP(O298,CBIMPORT!$A$1:$AN$171,38,FALSE)+VLOOKUP(P298,CBIMPORT!$A$1:$AN$171,38,FALSE)+VLOOKUP(Q298,CBIMPORT!$A$1:$AN$171,38,FALSE)+VLOOKUP(R298,CBIMPORT!$A$1:$AN$171,38,FALSE)+VLOOKUP(S298,CBIMPORT!$A$1:$AN$171,38,FALSE)),
IF(COUNTA(M298:AC298)=7,(VLOOKUP(M298,CBIMPORT!$A$1:$AN$171,38,FALSE)+VLOOKUP(N298,CBIMPORT!$A$1:$AN$171,38,FALSE)+VLOOKUP(O298,CBIMPORT!$A$1:$AN$171,38,FALSE)+VLOOKUP(P298,CBIMPORT!$A$1:$AN$171,38,FALSE)+VLOOKUP(Q298,CBIMPORT!$A$1:$AN$171,38,FALSE)+VLOOKUP(R298,CBIMPORT!$A$1:$AN$171,38,FALSE)+VLOOKUP(S298,CBIMPORT!$A$1:$AN$171,38,FALSE)+VLOOKUP(T298,CBIMPORT!$A$1:$AN$171,38,FALSE)),
IF(COUNTA(M298:AC298)=8,(VLOOKUP(M298,CBIMPORT!$A$1:$AN$171,38,FALSE)+VLOOKUP(N298,CBIMPORT!$A$1:$AN$171,38,FALSE)+VLOOKUP(O298,CBIMPORT!$A$1:$AN$171,38,FALSE)+VLOOKUP(P298,CBIMPORT!$A$1:$AN$171,38,FALSE)+VLOOKUP(Q298,CBIMPORT!$A$1:$AN$171,38,FALSE)+VLOOKUP(R298,CBIMPORT!$A$1:$AN$171,38,FALSE)+VLOOKUP(S298,CBIMPORT!$A$1:$AN$171,38,FALSE)+VLOOKUP(T298,CBIMPORT!$A$1:$AN$171,38,FALSE)),
IF(COUNTA(M298:AC298)=9,(VLOOKUP(M298,CBIMPORT!$A$1:$AN$171,38,FALSE)+VLOOKUP(N298,CBIMPORT!$A$1:$AN$171,38,FALSE)+VLOOKUP(O298,CBIMPORT!$A$1:$AN$171,38,FALSE)+VLOOKUP(P298,CBIMPORT!$A$1:$AN$171,38,FALSE)+VLOOKUP(Q298,CBIMPORT!$A$1:$AN$171,38,FALSE)+VLOOKUP(R298,CBIMPORT!$A$1:$AN$171,38,FALSE)+VLOOKUP(S298,CBIMPORT!$A$1:$AN$171,38,FALSE)+VLOOKUP(T298,CBIMPORT!$A$1:$AN$171,38,FALSE)+VLOOKUP(U298,CBIMPORT!$A$1:$AN$171,38,FALSE)),
IF(COUNTA(M298:AC298)=10,(VLOOKUP(M298,CBIMPORT!$A$1:$AN$171,38,FALSE)+VLOOKUP(N298,CBIMPORT!$A$1:$AN$171,38,FALSE)+VLOOKUP(O298,CBIMPORT!$A$1:$AN$171,38,FALSE)+VLOOKUP(P298,CBIMPORT!$A$1:$AN$171,38,FALSE)+VLOOKUP(Q298,CBIMPORT!$A$1:$AN$171,38,FALSE)+VLOOKUP(R298,CBIMPORT!$A$1:$AN$171,38,FALSE)+VLOOKUP(S298,CBIMPORT!$A$1:$AN$171,38,FALSE)+VLOOKUP(T298,CBIMPORT!$A$1:$AN$171,38,FALSE)),
IF(COUNTA(M298:AC298)=14,(VLOOKUP(M298,CBIMPORT!$A$1:$AN$171,38,FALSE)+VLOOKUP(N298,CBIMPORT!$A$1:$AN$171,38,FALSE)+VLOOKUP(O298,CBIMPORT!$A$1:$AN$171,38,FALSE)+VLOOKUP(P298,CBIMPORT!$A$1:$AN$171,38,FALSE)+VLOOKUP(Q298,CBIMPORT!$A$1:$AN$171,38,FALSE)+VLOOKUP(R298,CBIMPORT!$A$1:$AN$171,38,FALSE)+VLOOKUP(S298,CBIMPORT!$A$1:$AN$171,38,FALSE)+VLOOKUP(T298,CBIMPORT!$A$1:$AN$171,38,FALSE)+VLOOKUP(U298,CBIMPORT!$A$1:$AN$171,38,FALSE)+VLOOKUP(V298,CBIMPORT!$A$1:$AN$171,38,FALSE)+VLOOKUP(W298,CBIMPORT!$A$1:$AN$171,38,FALSE)+VLOOKUP(X298,CBIMPORT!$A$1:$AN$171,38,FALSE)),
IF(COUNTA(M298:AC298)=16,(VLOOKUP(M298,CBIMPORT!$A$1:$AN$171,38,FALSE)+VLOOKUP(N298,CBIMPORT!$A$1:$AN$171,38,FALSE)+VLOOKUP(O298,CBIMPORT!$A$1:$AN$171,38,FALSE)+VLOOKUP(P298,CBIMPORT!$A$1:$AN$171,38,FALSE)+VLOOKUP(Q298,CBIMPORT!$A$1:$AN$171,38,FALSE)+VLOOKUP(R298,CBIMPORT!$A$1:$AN$171,38,FALSE)+VLOOKUP(S298,CBIMPORT!$A$1:$AN$171,38,FALSE)+VLOOKUP(T298,CBIMPORT!$A$1:$AN$171,38,FALSE)+VLOOKUP(U298,CBIMPORT!$A$1:$AN$171,38,FALSE)+VLOOKUP(V298,CBIMPORT!$A$1:$AN$171,38,FALSE)+VLOOKUP(W298,CBIMPORT!$A$1:$AN$171,38,FALSE)+VLOOKUP(X298,CBIMPORT!$A$1:$AN$171,38,FALSE)+VLOOKUP(Y298,CBIMPORT!$A$1:$AN$171,38,FALSE)+VLOOKUP(Z298,CBIMPORT!$A$1:$AN$171,38,FALSE)))))))))))))))))</f>
        <v>0</v>
      </c>
      <c r="M298" s="21" t="str" cm="1">
        <f t="array" ref="M298:O298">IF(D199&gt;0,
TRANSPOSE(_xlfn._xlws.FILTER(
CHOOSE(
{1},
ANNOUNCEMENTS!$L$1:$L$180,
ANNOUNCEMENTS!$M$1:$M$180,
ANNOUNCEMENTS!$N$1:$N$180
),
((ANNOUNCEMENTS!$E$1:$E$180=B199)*(ANNOUNCEMENTS!$L$1:$L$180&lt;&gt;""))*
((ANNOUNCEMENTS!$J$1:$J$180=C199)))))</f>
        <v>Volvo Autonomous Solutions</v>
      </c>
      <c r="N298" s="21" t="str">
        <v>Waymo</v>
      </c>
      <c r="O298" s="21" t="str">
        <v>Waabi</v>
      </c>
      <c r="AB298" s="289"/>
      <c r="AD298" s="293"/>
    </row>
    <row r="299" spans="1:46" hidden="1" x14ac:dyDescent="0.35">
      <c r="A299" s="21" t="str">
        <v>Pitney Bowes</v>
      </c>
      <c r="C299" s="21"/>
      <c r="L299" s="293">
        <f>IF(ISERROR(M299),0,
IF(COUNTA(M299:AC299)=1,(VLOOKUP(M299,CBIMPORT!$A$1:$AN$171,38,FALSE)),
IF(COUNTA(M299:AC299)=2,(VLOOKUP(M299,CBIMPORT!$A$1:$AN$171,38,FALSE)+VLOOKUP(N299,CBIMPORT!$A$1:$AN$171,38,FALSE)),
IF(COUNTA(M299:AC299)=3,(VLOOKUP(M299,CBIMPORT!$A$1:$AN$171,38,FALSE)+VLOOKUP(N299,CBIMPORT!$A$1:$AN$171,38,FALSE)+VLOOKUP(O299,CBIMPORT!$A$1:$AN$171,38,FALSE)),
IF(COUNTA(M299:AC299)=4,(VLOOKUP(M299,CBIMPORT!$A$1:$AN$171,38,FALSE)+VLOOKUP(N299,CBIMPORT!$A$1:$AN$171,38,FALSE)+VLOOKUP(O299,CBIMPORT!$A$1:$AN$171,38,FALSE)+VLOOKUP(P299,CBIMPORT!$A$1:$AN$171,38,FALSE)),
IF(COUNTA(M299:AC299)=5,(VLOOKUP(M299,CBIMPORT!$A$1:$AN$171,38,FALSE)+VLOOKUP(N299,CBIMPORT!$A$1:$AN$171,38,FALSE)+VLOOKUP(O299,CBIMPORT!$A$1:$AN$171,38,FALSE)+VLOOKUP(P299,CBIMPORT!$A$1:$AN$171,38,FALSE)+VLOOKUP(Q299,CBIMPORT!$A$1:$AN$171,38,FALSE)),IF(COUNTA(M299:AC299),
IF(COUNTA(M299:AC299)=6,(VLOOKUP(M299,CBIMPORT!$A$1:$AN$171,38,FALSE)+VLOOKUP(N299,CBIMPORT!$A$1:$AN$171,38,FALSE)+VLOOKUP(O299,CBIMPORT!$A$1:$AN$171,38,FALSE)+VLOOKUP(P299,CBIMPORT!$A$1:$AN$171,38,FALSE)+VLOOKUP(Q299,CBIMPORT!$A$1:$AN$171,38,FALSE)+VLOOKUP(R299,CBIMPORT!$A$1:$AN$171,38,FALSE)),
IF(COUNTA(M299:AC299)=7,(VLOOKUP(M299,CBIMPORT!$A$1:$AN$171,38,FALSE)+VLOOKUP(N299,CBIMPORT!$A$1:$AN$171,38,FALSE)+VLOOKUP(O299,CBIMPORT!$A$1:$AN$171,38,FALSE)+VLOOKUP(P299,CBIMPORT!$A$1:$AN$171,38,FALSE)+VLOOKUP(Q299,CBIMPORT!$A$1:$AN$171,38,FALSE)+VLOOKUP(R299,CBIMPORT!$A$1:$AN$171,38,FALSE)+VLOOKUP(S299,CBIMPORT!$A$1:$AN$171,38,FALSE)),
IF(COUNTA(M299:AC299)=7,(VLOOKUP(M299,CBIMPORT!$A$1:$AN$171,38,FALSE)+VLOOKUP(N299,CBIMPORT!$A$1:$AN$171,38,FALSE)+VLOOKUP(O299,CBIMPORT!$A$1:$AN$171,38,FALSE)+VLOOKUP(P299,CBIMPORT!$A$1:$AN$171,38,FALSE)+VLOOKUP(Q299,CBIMPORT!$A$1:$AN$171,38,FALSE)+VLOOKUP(R299,CBIMPORT!$A$1:$AN$171,38,FALSE)+VLOOKUP(S299,CBIMPORT!$A$1:$AN$171,38,FALSE)+VLOOKUP(T299,CBIMPORT!$A$1:$AN$171,38,FALSE)),
IF(COUNTA(M299:AC299)=8,(VLOOKUP(M299,CBIMPORT!$A$1:$AN$171,38,FALSE)+VLOOKUP(N299,CBIMPORT!$A$1:$AN$171,38,FALSE)+VLOOKUP(O299,CBIMPORT!$A$1:$AN$171,38,FALSE)+VLOOKUP(P299,CBIMPORT!$A$1:$AN$171,38,FALSE)+VLOOKUP(Q299,CBIMPORT!$A$1:$AN$171,38,FALSE)+VLOOKUP(R299,CBIMPORT!$A$1:$AN$171,38,FALSE)+VLOOKUP(S299,CBIMPORT!$A$1:$AN$171,38,FALSE)+VLOOKUP(T299,CBIMPORT!$A$1:$AN$171,38,FALSE)),
IF(COUNTA(M299:AC299)=9,(VLOOKUP(M299,CBIMPORT!$A$1:$AN$171,38,FALSE)+VLOOKUP(N299,CBIMPORT!$A$1:$AN$171,38,FALSE)+VLOOKUP(O299,CBIMPORT!$A$1:$AN$171,38,FALSE)+VLOOKUP(P299,CBIMPORT!$A$1:$AN$171,38,FALSE)+VLOOKUP(Q299,CBIMPORT!$A$1:$AN$171,38,FALSE)+VLOOKUP(R299,CBIMPORT!$A$1:$AN$171,38,FALSE)+VLOOKUP(S299,CBIMPORT!$A$1:$AN$171,38,FALSE)+VLOOKUP(T299,CBIMPORT!$A$1:$AN$171,38,FALSE)+VLOOKUP(U299,CBIMPORT!$A$1:$AN$171,38,FALSE)),
IF(COUNTA(M299:AC299)=10,(VLOOKUP(M299,CBIMPORT!$A$1:$AN$171,38,FALSE)+VLOOKUP(N299,CBIMPORT!$A$1:$AN$171,38,FALSE)+VLOOKUP(O299,CBIMPORT!$A$1:$AN$171,38,FALSE)+VLOOKUP(P299,CBIMPORT!$A$1:$AN$171,38,FALSE)+VLOOKUP(Q299,CBIMPORT!$A$1:$AN$171,38,FALSE)+VLOOKUP(R299,CBIMPORT!$A$1:$AN$171,38,FALSE)+VLOOKUP(S299,CBIMPORT!$A$1:$AN$171,38,FALSE)+VLOOKUP(T299,CBIMPORT!$A$1:$AN$171,38,FALSE)),
IF(COUNTA(M299:AC299)=14,(VLOOKUP(M299,CBIMPORT!$A$1:$AN$171,38,FALSE)+VLOOKUP(N299,CBIMPORT!$A$1:$AN$171,38,FALSE)+VLOOKUP(O299,CBIMPORT!$A$1:$AN$171,38,FALSE)+VLOOKUP(P299,CBIMPORT!$A$1:$AN$171,38,FALSE)+VLOOKUP(Q299,CBIMPORT!$A$1:$AN$171,38,FALSE)+VLOOKUP(R299,CBIMPORT!$A$1:$AN$171,38,FALSE)+VLOOKUP(S299,CBIMPORT!$A$1:$AN$171,38,FALSE)+VLOOKUP(T299,CBIMPORT!$A$1:$AN$171,38,FALSE)+VLOOKUP(U299,CBIMPORT!$A$1:$AN$171,38,FALSE)+VLOOKUP(V299,CBIMPORT!$A$1:$AN$171,38,FALSE)+VLOOKUP(W299,CBIMPORT!$A$1:$AN$171,38,FALSE)+VLOOKUP(X299,CBIMPORT!$A$1:$AN$171,38,FALSE)),
IF(COUNTA(M299:AC299)=16,(VLOOKUP(M299,CBIMPORT!$A$1:$AN$171,38,FALSE)+VLOOKUP(N299,CBIMPORT!$A$1:$AN$171,38,FALSE)+VLOOKUP(O299,CBIMPORT!$A$1:$AN$171,38,FALSE)+VLOOKUP(P299,CBIMPORT!$A$1:$AN$171,38,FALSE)+VLOOKUP(Q299,CBIMPORT!$A$1:$AN$171,38,FALSE)+VLOOKUP(R299,CBIMPORT!$A$1:$AN$171,38,FALSE)+VLOOKUP(S299,CBIMPORT!$A$1:$AN$171,38,FALSE)+VLOOKUP(T299,CBIMPORT!$A$1:$AN$171,38,FALSE)+VLOOKUP(U299,CBIMPORT!$A$1:$AN$171,38,FALSE)+VLOOKUP(V299,CBIMPORT!$A$1:$AN$171,38,FALSE)+VLOOKUP(W299,CBIMPORT!$A$1:$AN$171,38,FALSE)+VLOOKUP(X299,CBIMPORT!$A$1:$AN$171,38,FALSE)+VLOOKUP(Y299,CBIMPORT!$A$1:$AN$171,38,FALSE)+VLOOKUP(Z299,CBIMPORT!$A$1:$AN$171,38,FALSE)))))))))))))))))</f>
        <v>2</v>
      </c>
      <c r="M299" s="21" t="str" cm="1">
        <f t="array" ref="M299:P299">IF(D200&gt;0,
TRANSPOSE(_xlfn._xlws.FILTER(
CHOOSE(
{1},
ANNOUNCEMENTS!$L$1:$L$180,
ANNOUNCEMENTS!$M$1:$M$180,
ANNOUNCEMENTS!$N$1:$N$180
),
((ANNOUNCEMENTS!$E$1:$E$180=B200)*(ANNOUNCEMENTS!$L$1:$L$180&lt;&gt;""))*
((ANNOUNCEMENTS!$J$1:$J$180=C200)))))</f>
        <v>Walmart</v>
      </c>
      <c r="N299" s="21" t="str">
        <v>Farmstead</v>
      </c>
      <c r="O299" s="21" t="str">
        <v>H-E-B</v>
      </c>
      <c r="P299" s="21" t="str">
        <v>Mobileye</v>
      </c>
      <c r="AB299" s="289"/>
      <c r="AD299" s="293"/>
      <c r="AL299" s="296"/>
      <c r="AM299" s="296"/>
      <c r="AN299" s="296"/>
      <c r="AO299" s="296"/>
    </row>
    <row r="300" spans="1:46" hidden="1" x14ac:dyDescent="0.35">
      <c r="A300" s="21" t="str">
        <v>Kroger</v>
      </c>
      <c r="C300" s="21"/>
      <c r="L300" s="293">
        <f>IF(ISERROR(M300),0,
IF(COUNTA(M300:AC300)=1,(VLOOKUP(M300,CBIMPORT!$A$1:$AN$171,38,FALSE)),
IF(COUNTA(M300:AC300)=2,(VLOOKUP(M300,CBIMPORT!$A$1:$AN$171,38,FALSE)+VLOOKUP(N300,CBIMPORT!$A$1:$AN$171,38,FALSE)),
IF(COUNTA(M300:AC300)=3,(VLOOKUP(M300,CBIMPORT!$A$1:$AN$171,38,FALSE)+VLOOKUP(N300,CBIMPORT!$A$1:$AN$171,38,FALSE)+VLOOKUP(O300,CBIMPORT!$A$1:$AN$171,38,FALSE)),
IF(COUNTA(M300:AC300)=4,(VLOOKUP(M300,CBIMPORT!$A$1:$AN$171,38,FALSE)+VLOOKUP(N300,CBIMPORT!$A$1:$AN$171,38,FALSE)+VLOOKUP(O300,CBIMPORT!$A$1:$AN$171,38,FALSE)+VLOOKUP(P300,CBIMPORT!$A$1:$AN$171,38,FALSE)),
IF(COUNTA(M300:AC300)=5,(VLOOKUP(M300,CBIMPORT!$A$1:$AN$171,38,FALSE)+VLOOKUP(N300,CBIMPORT!$A$1:$AN$171,38,FALSE)+VLOOKUP(O300,CBIMPORT!$A$1:$AN$171,38,FALSE)+VLOOKUP(P300,CBIMPORT!$A$1:$AN$171,38,FALSE)+VLOOKUP(Q300,CBIMPORT!$A$1:$AN$171,38,FALSE)),IF(COUNTA(M300:AC300),
IF(COUNTA(M300:AC300)=6,(VLOOKUP(M300,CBIMPORT!$A$1:$AN$171,38,FALSE)+VLOOKUP(N300,CBIMPORT!$A$1:$AN$171,38,FALSE)+VLOOKUP(O300,CBIMPORT!$A$1:$AN$171,38,FALSE)+VLOOKUP(P300,CBIMPORT!$A$1:$AN$171,38,FALSE)+VLOOKUP(Q300,CBIMPORT!$A$1:$AN$171,38,FALSE)+VLOOKUP(R300,CBIMPORT!$A$1:$AN$171,38,FALSE)),
IF(COUNTA(M300:AC300)=7,(VLOOKUP(M300,CBIMPORT!$A$1:$AN$171,38,FALSE)+VLOOKUP(N300,CBIMPORT!$A$1:$AN$171,38,FALSE)+VLOOKUP(O300,CBIMPORT!$A$1:$AN$171,38,FALSE)+VLOOKUP(P300,CBIMPORT!$A$1:$AN$171,38,FALSE)+VLOOKUP(Q300,CBIMPORT!$A$1:$AN$171,38,FALSE)+VLOOKUP(R300,CBIMPORT!$A$1:$AN$171,38,FALSE)+VLOOKUP(S300,CBIMPORT!$A$1:$AN$171,38,FALSE)),
IF(COUNTA(M300:AC300)=7,(VLOOKUP(M300,CBIMPORT!$A$1:$AN$171,38,FALSE)+VLOOKUP(N300,CBIMPORT!$A$1:$AN$171,38,FALSE)+VLOOKUP(O300,CBIMPORT!$A$1:$AN$171,38,FALSE)+VLOOKUP(P300,CBIMPORT!$A$1:$AN$171,38,FALSE)+VLOOKUP(Q300,CBIMPORT!$A$1:$AN$171,38,FALSE)+VLOOKUP(R300,CBIMPORT!$A$1:$AN$171,38,FALSE)+VLOOKUP(S300,CBIMPORT!$A$1:$AN$171,38,FALSE)+VLOOKUP(T300,CBIMPORT!$A$1:$AN$171,38,FALSE)),
IF(COUNTA(M300:AC300)=8,(VLOOKUP(M300,CBIMPORT!$A$1:$AN$171,38,FALSE)+VLOOKUP(N300,CBIMPORT!$A$1:$AN$171,38,FALSE)+VLOOKUP(O300,CBIMPORT!$A$1:$AN$171,38,FALSE)+VLOOKUP(P300,CBIMPORT!$A$1:$AN$171,38,FALSE)+VLOOKUP(Q300,CBIMPORT!$A$1:$AN$171,38,FALSE)+VLOOKUP(R300,CBIMPORT!$A$1:$AN$171,38,FALSE)+VLOOKUP(S300,CBIMPORT!$A$1:$AN$171,38,FALSE)+VLOOKUP(T300,CBIMPORT!$A$1:$AN$171,38,FALSE)),
IF(COUNTA(M300:AC300)=9,(VLOOKUP(M300,CBIMPORT!$A$1:$AN$171,38,FALSE)+VLOOKUP(N300,CBIMPORT!$A$1:$AN$171,38,FALSE)+VLOOKUP(O300,CBIMPORT!$A$1:$AN$171,38,FALSE)+VLOOKUP(P300,CBIMPORT!$A$1:$AN$171,38,FALSE)+VLOOKUP(Q300,CBIMPORT!$A$1:$AN$171,38,FALSE)+VLOOKUP(R300,CBIMPORT!$A$1:$AN$171,38,FALSE)+VLOOKUP(S300,CBIMPORT!$A$1:$AN$171,38,FALSE)+VLOOKUP(T300,CBIMPORT!$A$1:$AN$171,38,FALSE)+VLOOKUP(U300,CBIMPORT!$A$1:$AN$171,38,FALSE)),
IF(COUNTA(M300:AC300)=10,(VLOOKUP(M300,CBIMPORT!$A$1:$AN$171,38,FALSE)+VLOOKUP(N300,CBIMPORT!$A$1:$AN$171,38,FALSE)+VLOOKUP(O300,CBIMPORT!$A$1:$AN$171,38,FALSE)+VLOOKUP(P300,CBIMPORT!$A$1:$AN$171,38,FALSE)+VLOOKUP(Q300,CBIMPORT!$A$1:$AN$171,38,FALSE)+VLOOKUP(R300,CBIMPORT!$A$1:$AN$171,38,FALSE)+VLOOKUP(S300,CBIMPORT!$A$1:$AN$171,38,FALSE)+VLOOKUP(T300,CBIMPORT!$A$1:$AN$171,38,FALSE)),
IF(COUNTA(M300:AC300)=14,(VLOOKUP(M300,CBIMPORT!$A$1:$AN$171,38,FALSE)+VLOOKUP(N300,CBIMPORT!$A$1:$AN$171,38,FALSE)+VLOOKUP(O300,CBIMPORT!$A$1:$AN$171,38,FALSE)+VLOOKUP(P300,CBIMPORT!$A$1:$AN$171,38,FALSE)+VLOOKUP(Q300,CBIMPORT!$A$1:$AN$171,38,FALSE)+VLOOKUP(R300,CBIMPORT!$A$1:$AN$171,38,FALSE)+VLOOKUP(S300,CBIMPORT!$A$1:$AN$171,38,FALSE)+VLOOKUP(T300,CBIMPORT!$A$1:$AN$171,38,FALSE)+VLOOKUP(U300,CBIMPORT!$A$1:$AN$171,38,FALSE)+VLOOKUP(V300,CBIMPORT!$A$1:$AN$171,38,FALSE)+VLOOKUP(W300,CBIMPORT!$A$1:$AN$171,38,FALSE)+VLOOKUP(X300,CBIMPORT!$A$1:$AN$171,38,FALSE)),
IF(COUNTA(M300:AC300)=16,(VLOOKUP(M300,CBIMPORT!$A$1:$AN$171,38,FALSE)+VLOOKUP(N300,CBIMPORT!$A$1:$AN$171,38,FALSE)+VLOOKUP(O300,CBIMPORT!$A$1:$AN$171,38,FALSE)+VLOOKUP(P300,CBIMPORT!$A$1:$AN$171,38,FALSE)+VLOOKUP(Q300,CBIMPORT!$A$1:$AN$171,38,FALSE)+VLOOKUP(R300,CBIMPORT!$A$1:$AN$171,38,FALSE)+VLOOKUP(S300,CBIMPORT!$A$1:$AN$171,38,FALSE)+VLOOKUP(T300,CBIMPORT!$A$1:$AN$171,38,FALSE)+VLOOKUP(U300,CBIMPORT!$A$1:$AN$171,38,FALSE)+VLOOKUP(V300,CBIMPORT!$A$1:$AN$171,38,FALSE)+VLOOKUP(W300,CBIMPORT!$A$1:$AN$171,38,FALSE)+VLOOKUP(X300,CBIMPORT!$A$1:$AN$171,38,FALSE)+VLOOKUP(Y300,CBIMPORT!$A$1:$AN$171,38,FALSE)+VLOOKUP(Z300,CBIMPORT!$A$1:$AN$171,38,FALSE)))))))))))))))))</f>
        <v>0</v>
      </c>
      <c r="M300" s="21" t="str" cm="1">
        <f t="array" ref="M300:N300">IF(D201&gt;0,
TRANSPOSE(_xlfn._xlws.FILTER(
CHOOSE(
{1},
ANNOUNCEMENTS!$L$1:$L$180,
ANNOUNCEMENTS!$M$1:$M$180,
ANNOUNCEMENTS!$N$1:$N$180
),
((ANNOUNCEMENTS!$E$1:$E$180=B201)*(ANNOUNCEMENTS!$L$1:$L$180&lt;&gt;""))*
((ANNOUNCEMENTS!$J$1:$J$180=C201)))))</f>
        <v>MIT Center for Transportation &amp; Logistics</v>
      </c>
      <c r="N300" s="21" t="str">
        <v>Uber Freight</v>
      </c>
      <c r="AB300" s="289"/>
      <c r="AD300" s="293"/>
      <c r="AL300" s="296"/>
      <c r="AM300" s="296"/>
      <c r="AN300" s="296"/>
      <c r="AO300" s="296"/>
    </row>
    <row r="301" spans="1:46" hidden="1" x14ac:dyDescent="0.35">
      <c r="A301" s="21" t="str">
        <v>Deutsche Bahn</v>
      </c>
      <c r="C301" s="21"/>
      <c r="L301" s="293">
        <f>IF(ISERROR(M301),0,
IF(COUNTA(M301:AC301)=1,(VLOOKUP(M301,CBIMPORT!$A$1:$AN$171,38,FALSE)),
IF(COUNTA(M301:AC301)=2,(VLOOKUP(M301,CBIMPORT!$A$1:$AN$171,38,FALSE)+VLOOKUP(N301,CBIMPORT!$A$1:$AN$171,38,FALSE)),
IF(COUNTA(M301:AC301)=3,(VLOOKUP(M301,CBIMPORT!$A$1:$AN$171,38,FALSE)+VLOOKUP(N301,CBIMPORT!$A$1:$AN$171,38,FALSE)+VLOOKUP(O301,CBIMPORT!$A$1:$AN$171,38,FALSE)),
IF(COUNTA(M301:AC301)=4,(VLOOKUP(M301,CBIMPORT!$A$1:$AN$171,38,FALSE)+VLOOKUP(N301,CBIMPORT!$A$1:$AN$171,38,FALSE)+VLOOKUP(O301,CBIMPORT!$A$1:$AN$171,38,FALSE)+VLOOKUP(P301,CBIMPORT!$A$1:$AN$171,38,FALSE)),
IF(COUNTA(M301:AC301)=5,(VLOOKUP(M301,CBIMPORT!$A$1:$AN$171,38,FALSE)+VLOOKUP(N301,CBIMPORT!$A$1:$AN$171,38,FALSE)+VLOOKUP(O301,CBIMPORT!$A$1:$AN$171,38,FALSE)+VLOOKUP(P301,CBIMPORT!$A$1:$AN$171,38,FALSE)+VLOOKUP(Q301,CBIMPORT!$A$1:$AN$171,38,FALSE)),IF(COUNTA(M301:AC301),
IF(COUNTA(M301:AC301)=6,(VLOOKUP(M301,CBIMPORT!$A$1:$AN$171,38,FALSE)+VLOOKUP(N301,CBIMPORT!$A$1:$AN$171,38,FALSE)+VLOOKUP(O301,CBIMPORT!$A$1:$AN$171,38,FALSE)+VLOOKUP(P301,CBIMPORT!$A$1:$AN$171,38,FALSE)+VLOOKUP(Q301,CBIMPORT!$A$1:$AN$171,38,FALSE)+VLOOKUP(R301,CBIMPORT!$A$1:$AN$171,38,FALSE)),
IF(COUNTA(M301:AC301)=7,(VLOOKUP(M301,CBIMPORT!$A$1:$AN$171,38,FALSE)+VLOOKUP(N301,CBIMPORT!$A$1:$AN$171,38,FALSE)+VLOOKUP(O301,CBIMPORT!$A$1:$AN$171,38,FALSE)+VLOOKUP(P301,CBIMPORT!$A$1:$AN$171,38,FALSE)+VLOOKUP(Q301,CBIMPORT!$A$1:$AN$171,38,FALSE)+VLOOKUP(R301,CBIMPORT!$A$1:$AN$171,38,FALSE)+VLOOKUP(S301,CBIMPORT!$A$1:$AN$171,38,FALSE)),
IF(COUNTA(M301:AC301)=7,(VLOOKUP(M301,CBIMPORT!$A$1:$AN$171,38,FALSE)+VLOOKUP(N301,CBIMPORT!$A$1:$AN$171,38,FALSE)+VLOOKUP(O301,CBIMPORT!$A$1:$AN$171,38,FALSE)+VLOOKUP(P301,CBIMPORT!$A$1:$AN$171,38,FALSE)+VLOOKUP(Q301,CBIMPORT!$A$1:$AN$171,38,FALSE)+VLOOKUP(R301,CBIMPORT!$A$1:$AN$171,38,FALSE)+VLOOKUP(S301,CBIMPORT!$A$1:$AN$171,38,FALSE)+VLOOKUP(T301,CBIMPORT!$A$1:$AN$171,38,FALSE)),
IF(COUNTA(M301:AC301)=8,(VLOOKUP(M301,CBIMPORT!$A$1:$AN$171,38,FALSE)+VLOOKUP(N301,CBIMPORT!$A$1:$AN$171,38,FALSE)+VLOOKUP(O301,CBIMPORT!$A$1:$AN$171,38,FALSE)+VLOOKUP(P301,CBIMPORT!$A$1:$AN$171,38,FALSE)+VLOOKUP(Q301,CBIMPORT!$A$1:$AN$171,38,FALSE)+VLOOKUP(R301,CBIMPORT!$A$1:$AN$171,38,FALSE)+VLOOKUP(S301,CBIMPORT!$A$1:$AN$171,38,FALSE)+VLOOKUP(T301,CBIMPORT!$A$1:$AN$171,38,FALSE)),
IF(COUNTA(M301:AC301)=9,(VLOOKUP(M301,CBIMPORT!$A$1:$AN$171,38,FALSE)+VLOOKUP(N301,CBIMPORT!$A$1:$AN$171,38,FALSE)+VLOOKUP(O301,CBIMPORT!$A$1:$AN$171,38,FALSE)+VLOOKUP(P301,CBIMPORT!$A$1:$AN$171,38,FALSE)+VLOOKUP(Q301,CBIMPORT!$A$1:$AN$171,38,FALSE)+VLOOKUP(R301,CBIMPORT!$A$1:$AN$171,38,FALSE)+VLOOKUP(S301,CBIMPORT!$A$1:$AN$171,38,FALSE)+VLOOKUP(T301,CBIMPORT!$A$1:$AN$171,38,FALSE)+VLOOKUP(U301,CBIMPORT!$A$1:$AN$171,38,FALSE)),
IF(COUNTA(M301:AC301)=10,(VLOOKUP(M301,CBIMPORT!$A$1:$AN$171,38,FALSE)+VLOOKUP(N301,CBIMPORT!$A$1:$AN$171,38,FALSE)+VLOOKUP(O301,CBIMPORT!$A$1:$AN$171,38,FALSE)+VLOOKUP(P301,CBIMPORT!$A$1:$AN$171,38,FALSE)+VLOOKUP(Q301,CBIMPORT!$A$1:$AN$171,38,FALSE)+VLOOKUP(R301,CBIMPORT!$A$1:$AN$171,38,FALSE)+VLOOKUP(S301,CBIMPORT!$A$1:$AN$171,38,FALSE)+VLOOKUP(T301,CBIMPORT!$A$1:$AN$171,38,FALSE)),
IF(COUNTA(M301:AC301)=14,(VLOOKUP(M301,CBIMPORT!$A$1:$AN$171,38,FALSE)+VLOOKUP(N301,CBIMPORT!$A$1:$AN$171,38,FALSE)+VLOOKUP(O301,CBIMPORT!$A$1:$AN$171,38,FALSE)+VLOOKUP(P301,CBIMPORT!$A$1:$AN$171,38,FALSE)+VLOOKUP(Q301,CBIMPORT!$A$1:$AN$171,38,FALSE)+VLOOKUP(R301,CBIMPORT!$A$1:$AN$171,38,FALSE)+VLOOKUP(S301,CBIMPORT!$A$1:$AN$171,38,FALSE)+VLOOKUP(T301,CBIMPORT!$A$1:$AN$171,38,FALSE)+VLOOKUP(U301,CBIMPORT!$A$1:$AN$171,38,FALSE)+VLOOKUP(V301,CBIMPORT!$A$1:$AN$171,38,FALSE)+VLOOKUP(W301,CBIMPORT!$A$1:$AN$171,38,FALSE)+VLOOKUP(X301,CBIMPORT!$A$1:$AN$171,38,FALSE)),
IF(COUNTA(M301:AC301)=16,(VLOOKUP(M301,CBIMPORT!$A$1:$AN$171,38,FALSE)+VLOOKUP(N301,CBIMPORT!$A$1:$AN$171,38,FALSE)+VLOOKUP(O301,CBIMPORT!$A$1:$AN$171,38,FALSE)+VLOOKUP(P301,CBIMPORT!$A$1:$AN$171,38,FALSE)+VLOOKUP(Q301,CBIMPORT!$A$1:$AN$171,38,FALSE)+VLOOKUP(R301,CBIMPORT!$A$1:$AN$171,38,FALSE)+VLOOKUP(S301,CBIMPORT!$A$1:$AN$171,38,FALSE)+VLOOKUP(T301,CBIMPORT!$A$1:$AN$171,38,FALSE)+VLOOKUP(U301,CBIMPORT!$A$1:$AN$171,38,FALSE)+VLOOKUP(V301,CBIMPORT!$A$1:$AN$171,38,FALSE)+VLOOKUP(W301,CBIMPORT!$A$1:$AN$171,38,FALSE)+VLOOKUP(X301,CBIMPORT!$A$1:$AN$171,38,FALSE)+VLOOKUP(Y301,CBIMPORT!$A$1:$AN$171,38,FALSE)+VLOOKUP(Z301,CBIMPORT!$A$1:$AN$171,38,FALSE)))))))))))))))))</f>
        <v>2</v>
      </c>
      <c r="M301" s="21" t="str" cm="1">
        <f t="array" ref="M301:R301">IF(D202&gt;0,
TRANSPOSE(_xlfn._xlws.FILTER(
CHOOSE(
{1},
ANNOUNCEMENTS!$L$1:$L$180,
ANNOUNCEMENTS!$M$1:$M$180,
ANNOUNCEMENTS!$N$1:$N$180
),
((ANNOUNCEMENTS!$E$1:$E$180=B202)*(ANNOUNCEMENTS!$L$1:$L$180&lt;&gt;""))*
((ANNOUNCEMENTS!$J$1:$J$180=C202)))))</f>
        <v>Fiat Chrysler Automobiles</v>
      </c>
      <c r="N301" s="21" t="str">
        <v>Avis</v>
      </c>
      <c r="O301" s="21" t="str">
        <v>Valley Metro</v>
      </c>
      <c r="P301" s="21" t="str">
        <v>Lyft</v>
      </c>
      <c r="Q301" s="21" t="str">
        <v>Alliance Ventures (Renault, Nissan, Mitsubishi)</v>
      </c>
      <c r="R301" s="21" t="str">
        <v>Volvo Car Group</v>
      </c>
      <c r="AB301" s="289"/>
      <c r="AD301" s="293"/>
      <c r="AL301" s="296"/>
      <c r="AM301" s="296"/>
      <c r="AN301" s="296"/>
      <c r="AO301" s="296"/>
    </row>
    <row r="302" spans="1:46" hidden="1" x14ac:dyDescent="0.35">
      <c r="A302" s="21" t="str">
        <v>MINGA</v>
      </c>
      <c r="C302" s="21"/>
      <c r="L302" s="293">
        <f>IF(ISERROR(M302),0,
IF(COUNTA(M302:AC302)=1,(VLOOKUP(M302,CBIMPORT!$A$1:$AN$171,38,FALSE)),
IF(COUNTA(M302:AC302)=2,(VLOOKUP(M302,CBIMPORT!$A$1:$AN$171,38,FALSE)+VLOOKUP(N302,CBIMPORT!$A$1:$AN$171,38,FALSE)),
IF(COUNTA(M302:AC302)=3,(VLOOKUP(M302,CBIMPORT!$A$1:$AN$171,38,FALSE)+VLOOKUP(N302,CBIMPORT!$A$1:$AN$171,38,FALSE)+VLOOKUP(O302,CBIMPORT!$A$1:$AN$171,38,FALSE)),
IF(COUNTA(M302:AC302)=4,(VLOOKUP(M302,CBIMPORT!$A$1:$AN$171,38,FALSE)+VLOOKUP(N302,CBIMPORT!$A$1:$AN$171,38,FALSE)+VLOOKUP(O302,CBIMPORT!$A$1:$AN$171,38,FALSE)+VLOOKUP(P302,CBIMPORT!$A$1:$AN$171,38,FALSE)),
IF(COUNTA(M302:AC302)=5,(VLOOKUP(M302,CBIMPORT!$A$1:$AN$171,38,FALSE)+VLOOKUP(N302,CBIMPORT!$A$1:$AN$171,38,FALSE)+VLOOKUP(O302,CBIMPORT!$A$1:$AN$171,38,FALSE)+VLOOKUP(P302,CBIMPORT!$A$1:$AN$171,38,FALSE)+VLOOKUP(Q302,CBIMPORT!$A$1:$AN$171,38,FALSE)),IF(COUNTA(M302:AC302),
IF(COUNTA(M302:AC302)=6,(VLOOKUP(M302,CBIMPORT!$A$1:$AN$171,38,FALSE)+VLOOKUP(N302,CBIMPORT!$A$1:$AN$171,38,FALSE)+VLOOKUP(O302,CBIMPORT!$A$1:$AN$171,38,FALSE)+VLOOKUP(P302,CBIMPORT!$A$1:$AN$171,38,FALSE)+VLOOKUP(Q302,CBIMPORT!$A$1:$AN$171,38,FALSE)+VLOOKUP(R302,CBIMPORT!$A$1:$AN$171,38,FALSE)),
IF(COUNTA(M302:AC302)=7,(VLOOKUP(M302,CBIMPORT!$A$1:$AN$171,38,FALSE)+VLOOKUP(N302,CBIMPORT!$A$1:$AN$171,38,FALSE)+VLOOKUP(O302,CBIMPORT!$A$1:$AN$171,38,FALSE)+VLOOKUP(P302,CBIMPORT!$A$1:$AN$171,38,FALSE)+VLOOKUP(Q302,CBIMPORT!$A$1:$AN$171,38,FALSE)+VLOOKUP(R302,CBIMPORT!$A$1:$AN$171,38,FALSE)+VLOOKUP(S302,CBIMPORT!$A$1:$AN$171,38,FALSE)),
IF(COUNTA(M302:AC302)=7,(VLOOKUP(M302,CBIMPORT!$A$1:$AN$171,38,FALSE)+VLOOKUP(N302,CBIMPORT!$A$1:$AN$171,38,FALSE)+VLOOKUP(O302,CBIMPORT!$A$1:$AN$171,38,FALSE)+VLOOKUP(P302,CBIMPORT!$A$1:$AN$171,38,FALSE)+VLOOKUP(Q302,CBIMPORT!$A$1:$AN$171,38,FALSE)+VLOOKUP(R302,CBIMPORT!$A$1:$AN$171,38,FALSE)+VLOOKUP(S302,CBIMPORT!$A$1:$AN$171,38,FALSE)+VLOOKUP(T302,CBIMPORT!$A$1:$AN$171,38,FALSE)),
IF(COUNTA(M302:AC302)=8,(VLOOKUP(M302,CBIMPORT!$A$1:$AN$171,38,FALSE)+VLOOKUP(N302,CBIMPORT!$A$1:$AN$171,38,FALSE)+VLOOKUP(O302,CBIMPORT!$A$1:$AN$171,38,FALSE)+VLOOKUP(P302,CBIMPORT!$A$1:$AN$171,38,FALSE)+VLOOKUP(Q302,CBIMPORT!$A$1:$AN$171,38,FALSE)+VLOOKUP(R302,CBIMPORT!$A$1:$AN$171,38,FALSE)+VLOOKUP(S302,CBIMPORT!$A$1:$AN$171,38,FALSE)+VLOOKUP(T302,CBIMPORT!$A$1:$AN$171,38,FALSE)),
IF(COUNTA(M302:AC302)=9,(VLOOKUP(M302,CBIMPORT!$A$1:$AN$171,38,FALSE)+VLOOKUP(N302,CBIMPORT!$A$1:$AN$171,38,FALSE)+VLOOKUP(O302,CBIMPORT!$A$1:$AN$171,38,FALSE)+VLOOKUP(P302,CBIMPORT!$A$1:$AN$171,38,FALSE)+VLOOKUP(Q302,CBIMPORT!$A$1:$AN$171,38,FALSE)+VLOOKUP(R302,CBIMPORT!$A$1:$AN$171,38,FALSE)+VLOOKUP(S302,CBIMPORT!$A$1:$AN$171,38,FALSE)+VLOOKUP(T302,CBIMPORT!$A$1:$AN$171,38,FALSE)+VLOOKUP(U302,CBIMPORT!$A$1:$AN$171,38,FALSE)),
IF(COUNTA(M302:AC302)=10,(VLOOKUP(M302,CBIMPORT!$A$1:$AN$171,38,FALSE)+VLOOKUP(N302,CBIMPORT!$A$1:$AN$171,38,FALSE)+VLOOKUP(O302,CBIMPORT!$A$1:$AN$171,38,FALSE)+VLOOKUP(P302,CBIMPORT!$A$1:$AN$171,38,FALSE)+VLOOKUP(Q302,CBIMPORT!$A$1:$AN$171,38,FALSE)+VLOOKUP(R302,CBIMPORT!$A$1:$AN$171,38,FALSE)+VLOOKUP(S302,CBIMPORT!$A$1:$AN$171,38,FALSE)+VLOOKUP(T302,CBIMPORT!$A$1:$AN$171,38,FALSE)),
IF(COUNTA(M302:AC302)=14,(VLOOKUP(M302,CBIMPORT!$A$1:$AN$171,38,FALSE)+VLOOKUP(N302,CBIMPORT!$A$1:$AN$171,38,FALSE)+VLOOKUP(O302,CBIMPORT!$A$1:$AN$171,38,FALSE)+VLOOKUP(P302,CBIMPORT!$A$1:$AN$171,38,FALSE)+VLOOKUP(Q302,CBIMPORT!$A$1:$AN$171,38,FALSE)+VLOOKUP(R302,CBIMPORT!$A$1:$AN$171,38,FALSE)+VLOOKUP(S302,CBIMPORT!$A$1:$AN$171,38,FALSE)+VLOOKUP(T302,CBIMPORT!$A$1:$AN$171,38,FALSE)+VLOOKUP(U302,CBIMPORT!$A$1:$AN$171,38,FALSE)+VLOOKUP(V302,CBIMPORT!$A$1:$AN$171,38,FALSE)+VLOOKUP(W302,CBIMPORT!$A$1:$AN$171,38,FALSE)+VLOOKUP(X302,CBIMPORT!$A$1:$AN$171,38,FALSE)),
IF(COUNTA(M302:AC302)=16,(VLOOKUP(M302,CBIMPORT!$A$1:$AN$171,38,FALSE)+VLOOKUP(N302,CBIMPORT!$A$1:$AN$171,38,FALSE)+VLOOKUP(O302,CBIMPORT!$A$1:$AN$171,38,FALSE)+VLOOKUP(P302,CBIMPORT!$A$1:$AN$171,38,FALSE)+VLOOKUP(Q302,CBIMPORT!$A$1:$AN$171,38,FALSE)+VLOOKUP(R302,CBIMPORT!$A$1:$AN$171,38,FALSE)+VLOOKUP(S302,CBIMPORT!$A$1:$AN$171,38,FALSE)+VLOOKUP(T302,CBIMPORT!$A$1:$AN$171,38,FALSE)+VLOOKUP(U302,CBIMPORT!$A$1:$AN$171,38,FALSE)+VLOOKUP(V302,CBIMPORT!$A$1:$AN$171,38,FALSE)+VLOOKUP(W302,CBIMPORT!$A$1:$AN$171,38,FALSE)+VLOOKUP(X302,CBIMPORT!$A$1:$AN$171,38,FALSE)+VLOOKUP(Y302,CBIMPORT!$A$1:$AN$171,38,FALSE)+VLOOKUP(Z302,CBIMPORT!$A$1:$AN$171,38,FALSE)))))))))))))))))</f>
        <v>1</v>
      </c>
      <c r="M302" s="21" t="str" cm="1">
        <f t="array" ref="M302:O302">IF(D203&gt;0,
TRANSPOSE(_xlfn._xlws.FILTER(
CHOOSE(
{1},
ANNOUNCEMENTS!$L$1:$L$180,
ANNOUNCEMENTS!$M$1:$M$180,
ANNOUNCEMENTS!$N$1:$N$180
),
((ANNOUNCEMENTS!$E$1:$E$180=B203)*(ANNOUNCEMENTS!$L$1:$L$180&lt;&gt;""))*
((ANNOUNCEMENTS!$J$1:$J$180=C203)))))</f>
        <v>Verily</v>
      </c>
      <c r="N302" s="21" t="str">
        <v>Swiss Re</v>
      </c>
      <c r="O302" s="21" t="str">
        <v>AAA Northern California, Nevada &amp; Utah</v>
      </c>
      <c r="AB302" s="289"/>
      <c r="AD302" s="293"/>
    </row>
    <row r="303" spans="1:46" hidden="1" x14ac:dyDescent="0.35">
      <c r="A303" s="21" t="str">
        <v>Aramex</v>
      </c>
      <c r="C303" s="21"/>
      <c r="L303" s="293">
        <f>IF(ISERROR(M303),0,
IF(COUNTA(M303:AC303)=1,(VLOOKUP(M303,CBIMPORT!$A$1:$AN$171,38,FALSE)),
IF(COUNTA(M303:AC303)=2,(VLOOKUP(M303,CBIMPORT!$A$1:$AN$171,38,FALSE)+VLOOKUP(N303,CBIMPORT!$A$1:$AN$171,38,FALSE)),
IF(COUNTA(M303:AC303)=3,(VLOOKUP(M303,CBIMPORT!$A$1:$AN$171,38,FALSE)+VLOOKUP(N303,CBIMPORT!$A$1:$AN$171,38,FALSE)+VLOOKUP(O303,CBIMPORT!$A$1:$AN$171,38,FALSE)),
IF(COUNTA(M303:AC303)=4,(VLOOKUP(M303,CBIMPORT!$A$1:$AN$171,38,FALSE)+VLOOKUP(N303,CBIMPORT!$A$1:$AN$171,38,FALSE)+VLOOKUP(O303,CBIMPORT!$A$1:$AN$171,38,FALSE)+VLOOKUP(P303,CBIMPORT!$A$1:$AN$171,38,FALSE)),
IF(COUNTA(M303:AC303)=5,(VLOOKUP(M303,CBIMPORT!$A$1:$AN$171,38,FALSE)+VLOOKUP(N303,CBIMPORT!$A$1:$AN$171,38,FALSE)+VLOOKUP(O303,CBIMPORT!$A$1:$AN$171,38,FALSE)+VLOOKUP(P303,CBIMPORT!$A$1:$AN$171,38,FALSE)+VLOOKUP(Q303,CBIMPORT!$A$1:$AN$171,38,FALSE)),IF(COUNTA(M303:AC303),
IF(COUNTA(M303:AC303)=6,(VLOOKUP(M303,CBIMPORT!$A$1:$AN$171,38,FALSE)+VLOOKUP(N303,CBIMPORT!$A$1:$AN$171,38,FALSE)+VLOOKUP(O303,CBIMPORT!$A$1:$AN$171,38,FALSE)+VLOOKUP(P303,CBIMPORT!$A$1:$AN$171,38,FALSE)+VLOOKUP(Q303,CBIMPORT!$A$1:$AN$171,38,FALSE)+VLOOKUP(R303,CBIMPORT!$A$1:$AN$171,38,FALSE)),
IF(COUNTA(M303:AC303)=7,(VLOOKUP(M303,CBIMPORT!$A$1:$AN$171,38,FALSE)+VLOOKUP(N303,CBIMPORT!$A$1:$AN$171,38,FALSE)+VLOOKUP(O303,CBIMPORT!$A$1:$AN$171,38,FALSE)+VLOOKUP(P303,CBIMPORT!$A$1:$AN$171,38,FALSE)+VLOOKUP(Q303,CBIMPORT!$A$1:$AN$171,38,FALSE)+VLOOKUP(R303,CBIMPORT!$A$1:$AN$171,38,FALSE)+VLOOKUP(S303,CBIMPORT!$A$1:$AN$171,38,FALSE)),
IF(COUNTA(M303:AC303)=7,(VLOOKUP(M303,CBIMPORT!$A$1:$AN$171,38,FALSE)+VLOOKUP(N303,CBIMPORT!$A$1:$AN$171,38,FALSE)+VLOOKUP(O303,CBIMPORT!$A$1:$AN$171,38,FALSE)+VLOOKUP(P303,CBIMPORT!$A$1:$AN$171,38,FALSE)+VLOOKUP(Q303,CBIMPORT!$A$1:$AN$171,38,FALSE)+VLOOKUP(R303,CBIMPORT!$A$1:$AN$171,38,FALSE)+VLOOKUP(S303,CBIMPORT!$A$1:$AN$171,38,FALSE)+VLOOKUP(T303,CBIMPORT!$A$1:$AN$171,38,FALSE)),
IF(COUNTA(M303:AC303)=8,(VLOOKUP(M303,CBIMPORT!$A$1:$AN$171,38,FALSE)+VLOOKUP(N303,CBIMPORT!$A$1:$AN$171,38,FALSE)+VLOOKUP(O303,CBIMPORT!$A$1:$AN$171,38,FALSE)+VLOOKUP(P303,CBIMPORT!$A$1:$AN$171,38,FALSE)+VLOOKUP(Q303,CBIMPORT!$A$1:$AN$171,38,FALSE)+VLOOKUP(R303,CBIMPORT!$A$1:$AN$171,38,FALSE)+VLOOKUP(S303,CBIMPORT!$A$1:$AN$171,38,FALSE)+VLOOKUP(T303,CBIMPORT!$A$1:$AN$171,38,FALSE)),
IF(COUNTA(M303:AC303)=9,(VLOOKUP(M303,CBIMPORT!$A$1:$AN$171,38,FALSE)+VLOOKUP(N303,CBIMPORT!$A$1:$AN$171,38,FALSE)+VLOOKUP(O303,CBIMPORT!$A$1:$AN$171,38,FALSE)+VLOOKUP(P303,CBIMPORT!$A$1:$AN$171,38,FALSE)+VLOOKUP(Q303,CBIMPORT!$A$1:$AN$171,38,FALSE)+VLOOKUP(R303,CBIMPORT!$A$1:$AN$171,38,FALSE)+VLOOKUP(S303,CBIMPORT!$A$1:$AN$171,38,FALSE)+VLOOKUP(T303,CBIMPORT!$A$1:$AN$171,38,FALSE)+VLOOKUP(U303,CBIMPORT!$A$1:$AN$171,38,FALSE)),
IF(COUNTA(M303:AC303)=10,(VLOOKUP(M303,CBIMPORT!$A$1:$AN$171,38,FALSE)+VLOOKUP(N303,CBIMPORT!$A$1:$AN$171,38,FALSE)+VLOOKUP(O303,CBIMPORT!$A$1:$AN$171,38,FALSE)+VLOOKUP(P303,CBIMPORT!$A$1:$AN$171,38,FALSE)+VLOOKUP(Q303,CBIMPORT!$A$1:$AN$171,38,FALSE)+VLOOKUP(R303,CBIMPORT!$A$1:$AN$171,38,FALSE)+VLOOKUP(S303,CBIMPORT!$A$1:$AN$171,38,FALSE)+VLOOKUP(T303,CBIMPORT!$A$1:$AN$171,38,FALSE)),
IF(COUNTA(M303:AC303)=14,(VLOOKUP(M303,CBIMPORT!$A$1:$AN$171,38,FALSE)+VLOOKUP(N303,CBIMPORT!$A$1:$AN$171,38,FALSE)+VLOOKUP(O303,CBIMPORT!$A$1:$AN$171,38,FALSE)+VLOOKUP(P303,CBIMPORT!$A$1:$AN$171,38,FALSE)+VLOOKUP(Q303,CBIMPORT!$A$1:$AN$171,38,FALSE)+VLOOKUP(R303,CBIMPORT!$A$1:$AN$171,38,FALSE)+VLOOKUP(S303,CBIMPORT!$A$1:$AN$171,38,FALSE)+VLOOKUP(T303,CBIMPORT!$A$1:$AN$171,38,FALSE)+VLOOKUP(U303,CBIMPORT!$A$1:$AN$171,38,FALSE)+VLOOKUP(V303,CBIMPORT!$A$1:$AN$171,38,FALSE)+VLOOKUP(W303,CBIMPORT!$A$1:$AN$171,38,FALSE)+VLOOKUP(X303,CBIMPORT!$A$1:$AN$171,38,FALSE)),
IF(COUNTA(M303:AC303)=16,(VLOOKUP(M303,CBIMPORT!$A$1:$AN$171,38,FALSE)+VLOOKUP(N303,CBIMPORT!$A$1:$AN$171,38,FALSE)+VLOOKUP(O303,CBIMPORT!$A$1:$AN$171,38,FALSE)+VLOOKUP(P303,CBIMPORT!$A$1:$AN$171,38,FALSE)+VLOOKUP(Q303,CBIMPORT!$A$1:$AN$171,38,FALSE)+VLOOKUP(R303,CBIMPORT!$A$1:$AN$171,38,FALSE)+VLOOKUP(S303,CBIMPORT!$A$1:$AN$171,38,FALSE)+VLOOKUP(T303,CBIMPORT!$A$1:$AN$171,38,FALSE)+VLOOKUP(U303,CBIMPORT!$A$1:$AN$171,38,FALSE)+VLOOKUP(V303,CBIMPORT!$A$1:$AN$171,38,FALSE)+VLOOKUP(W303,CBIMPORT!$A$1:$AN$171,38,FALSE)+VLOOKUP(X303,CBIMPORT!$A$1:$AN$171,38,FALSE)+VLOOKUP(Y303,CBIMPORT!$A$1:$AN$171,38,FALSE)+VLOOKUP(Z303,CBIMPORT!$A$1:$AN$171,38,FALSE)))))))))))))))))</f>
        <v>1</v>
      </c>
      <c r="M303" s="21" t="str" cm="1">
        <f t="array" ref="M303:N303">IF(D204&gt;0,
TRANSPOSE(_xlfn._xlws.FILTER(
CHOOSE(
{1},
ANNOUNCEMENTS!$L$1:$L$180,
ANNOUNCEMENTS!$M$1:$M$180,
ANNOUNCEMENTS!$N$1:$N$180
),
((ANNOUNCEMENTS!$E$1:$E$180=B204)*(ANNOUNCEMENTS!$L$1:$L$180&lt;&gt;""))*
((ANNOUNCEMENTS!$J$1:$J$180=C204)))))</f>
        <v>Asda</v>
      </c>
      <c r="N303" s="21" t="str">
        <v>Ocado Group</v>
      </c>
      <c r="AB303" s="289"/>
      <c r="AD303" s="293"/>
    </row>
    <row r="304" spans="1:46" hidden="1" x14ac:dyDescent="0.35">
      <c r="A304" s="21" t="str">
        <v>Grubhub</v>
      </c>
      <c r="C304" s="21"/>
      <c r="L304" s="293">
        <f>IF(ISERROR(M304),0,
IF(COUNTA(M304:AC304)=1,(VLOOKUP(M304,CBIMPORT!$A$1:$AN$171,38,FALSE)),
IF(COUNTA(M304:AC304)=2,(VLOOKUP(M304,CBIMPORT!$A$1:$AN$171,38,FALSE)+VLOOKUP(N304,CBIMPORT!$A$1:$AN$171,38,FALSE)),
IF(COUNTA(M304:AC304)=3,(VLOOKUP(M304,CBIMPORT!$A$1:$AN$171,38,FALSE)+VLOOKUP(N304,CBIMPORT!$A$1:$AN$171,38,FALSE)+VLOOKUP(O304,CBIMPORT!$A$1:$AN$171,38,FALSE)),
IF(COUNTA(M304:AC304)=4,(VLOOKUP(M304,CBIMPORT!$A$1:$AN$171,38,FALSE)+VLOOKUP(N304,CBIMPORT!$A$1:$AN$171,38,FALSE)+VLOOKUP(O304,CBIMPORT!$A$1:$AN$171,38,FALSE)+VLOOKUP(P304,CBIMPORT!$A$1:$AN$171,38,FALSE)),
IF(COUNTA(M304:AC304)=5,(VLOOKUP(M304,CBIMPORT!$A$1:$AN$171,38,FALSE)+VLOOKUP(N304,CBIMPORT!$A$1:$AN$171,38,FALSE)+VLOOKUP(O304,CBIMPORT!$A$1:$AN$171,38,FALSE)+VLOOKUP(P304,CBIMPORT!$A$1:$AN$171,38,FALSE)+VLOOKUP(Q304,CBIMPORT!$A$1:$AN$171,38,FALSE)),IF(COUNTA(M304:AC304),
IF(COUNTA(M304:AC304)=6,(VLOOKUP(M304,CBIMPORT!$A$1:$AN$171,38,FALSE)+VLOOKUP(N304,CBIMPORT!$A$1:$AN$171,38,FALSE)+VLOOKUP(O304,CBIMPORT!$A$1:$AN$171,38,FALSE)+VLOOKUP(P304,CBIMPORT!$A$1:$AN$171,38,FALSE)+VLOOKUP(Q304,CBIMPORT!$A$1:$AN$171,38,FALSE)+VLOOKUP(R304,CBIMPORT!$A$1:$AN$171,38,FALSE)),
IF(COUNTA(M304:AC304)=7,(VLOOKUP(M304,CBIMPORT!$A$1:$AN$171,38,FALSE)+VLOOKUP(N304,CBIMPORT!$A$1:$AN$171,38,FALSE)+VLOOKUP(O304,CBIMPORT!$A$1:$AN$171,38,FALSE)+VLOOKUP(P304,CBIMPORT!$A$1:$AN$171,38,FALSE)+VLOOKUP(Q304,CBIMPORT!$A$1:$AN$171,38,FALSE)+VLOOKUP(R304,CBIMPORT!$A$1:$AN$171,38,FALSE)+VLOOKUP(S304,CBIMPORT!$A$1:$AN$171,38,FALSE)),
IF(COUNTA(M304:AC304)=7,(VLOOKUP(M304,CBIMPORT!$A$1:$AN$171,38,FALSE)+VLOOKUP(N304,CBIMPORT!$A$1:$AN$171,38,FALSE)+VLOOKUP(O304,CBIMPORT!$A$1:$AN$171,38,FALSE)+VLOOKUP(P304,CBIMPORT!$A$1:$AN$171,38,FALSE)+VLOOKUP(Q304,CBIMPORT!$A$1:$AN$171,38,FALSE)+VLOOKUP(R304,CBIMPORT!$A$1:$AN$171,38,FALSE)+VLOOKUP(S304,CBIMPORT!$A$1:$AN$171,38,FALSE)+VLOOKUP(T304,CBIMPORT!$A$1:$AN$171,38,FALSE)),
IF(COUNTA(M304:AC304)=8,(VLOOKUP(M304,CBIMPORT!$A$1:$AN$171,38,FALSE)+VLOOKUP(N304,CBIMPORT!$A$1:$AN$171,38,FALSE)+VLOOKUP(O304,CBIMPORT!$A$1:$AN$171,38,FALSE)+VLOOKUP(P304,CBIMPORT!$A$1:$AN$171,38,FALSE)+VLOOKUP(Q304,CBIMPORT!$A$1:$AN$171,38,FALSE)+VLOOKUP(R304,CBIMPORT!$A$1:$AN$171,38,FALSE)+VLOOKUP(S304,CBIMPORT!$A$1:$AN$171,38,FALSE)+VLOOKUP(T304,CBIMPORT!$A$1:$AN$171,38,FALSE)),
IF(COUNTA(M304:AC304)=9,(VLOOKUP(M304,CBIMPORT!$A$1:$AN$171,38,FALSE)+VLOOKUP(N304,CBIMPORT!$A$1:$AN$171,38,FALSE)+VLOOKUP(O304,CBIMPORT!$A$1:$AN$171,38,FALSE)+VLOOKUP(P304,CBIMPORT!$A$1:$AN$171,38,FALSE)+VLOOKUP(Q304,CBIMPORT!$A$1:$AN$171,38,FALSE)+VLOOKUP(R304,CBIMPORT!$A$1:$AN$171,38,FALSE)+VLOOKUP(S304,CBIMPORT!$A$1:$AN$171,38,FALSE)+VLOOKUP(T304,CBIMPORT!$A$1:$AN$171,38,FALSE)+VLOOKUP(U304,CBIMPORT!$A$1:$AN$171,38,FALSE)),
IF(COUNTA(M304:AC304)=10,(VLOOKUP(M304,CBIMPORT!$A$1:$AN$171,38,FALSE)+VLOOKUP(N304,CBIMPORT!$A$1:$AN$171,38,FALSE)+VLOOKUP(O304,CBIMPORT!$A$1:$AN$171,38,FALSE)+VLOOKUP(P304,CBIMPORT!$A$1:$AN$171,38,FALSE)+VLOOKUP(Q304,CBIMPORT!$A$1:$AN$171,38,FALSE)+VLOOKUP(R304,CBIMPORT!$A$1:$AN$171,38,FALSE)+VLOOKUP(S304,CBIMPORT!$A$1:$AN$171,38,FALSE)+VLOOKUP(T304,CBIMPORT!$A$1:$AN$171,38,FALSE)),
IF(COUNTA(M304:AC304)=14,(VLOOKUP(M304,CBIMPORT!$A$1:$AN$171,38,FALSE)+VLOOKUP(N304,CBIMPORT!$A$1:$AN$171,38,FALSE)+VLOOKUP(O304,CBIMPORT!$A$1:$AN$171,38,FALSE)+VLOOKUP(P304,CBIMPORT!$A$1:$AN$171,38,FALSE)+VLOOKUP(Q304,CBIMPORT!$A$1:$AN$171,38,FALSE)+VLOOKUP(R304,CBIMPORT!$A$1:$AN$171,38,FALSE)+VLOOKUP(S304,CBIMPORT!$A$1:$AN$171,38,FALSE)+VLOOKUP(T304,CBIMPORT!$A$1:$AN$171,38,FALSE)+VLOOKUP(U304,CBIMPORT!$A$1:$AN$171,38,FALSE)+VLOOKUP(V304,CBIMPORT!$A$1:$AN$171,38,FALSE)+VLOOKUP(W304,CBIMPORT!$A$1:$AN$171,38,FALSE)+VLOOKUP(X304,CBIMPORT!$A$1:$AN$171,38,FALSE)),
IF(COUNTA(M304:AC304)=16,(VLOOKUP(M304,CBIMPORT!$A$1:$AN$171,38,FALSE)+VLOOKUP(N304,CBIMPORT!$A$1:$AN$171,38,FALSE)+VLOOKUP(O304,CBIMPORT!$A$1:$AN$171,38,FALSE)+VLOOKUP(P304,CBIMPORT!$A$1:$AN$171,38,FALSE)+VLOOKUP(Q304,CBIMPORT!$A$1:$AN$171,38,FALSE)+VLOOKUP(R304,CBIMPORT!$A$1:$AN$171,38,FALSE)+VLOOKUP(S304,CBIMPORT!$A$1:$AN$171,38,FALSE)+VLOOKUP(T304,CBIMPORT!$A$1:$AN$171,38,FALSE)+VLOOKUP(U304,CBIMPORT!$A$1:$AN$171,38,FALSE)+VLOOKUP(V304,CBIMPORT!$A$1:$AN$171,38,FALSE)+VLOOKUP(W304,CBIMPORT!$A$1:$AN$171,38,FALSE)+VLOOKUP(X304,CBIMPORT!$A$1:$AN$171,38,FALSE)+VLOOKUP(Y304,CBIMPORT!$A$1:$AN$171,38,FALSE)+VLOOKUP(Z304,CBIMPORT!$A$1:$AN$171,38,FALSE)))))))))))))))))</f>
        <v>1</v>
      </c>
      <c r="M304" s="21" t="str" cm="1">
        <f t="array" ref="M304">IF(D205&gt;0,
TRANSPOSE(_xlfn._xlws.FILTER(
CHOOSE(
{1},
ANNOUNCEMENTS!$L$1:$L$180,
ANNOUNCEMENTS!$M$1:$M$180,
ANNOUNCEMENTS!$N$1:$N$180
),
((ANNOUNCEMENTS!$E$1:$E$180=B205)*(ANNOUNCEMENTS!$L$1:$L$180&lt;&gt;""))*
((ANNOUNCEMENTS!$J$1:$J$180=C205)))))</f>
        <v>NIO</v>
      </c>
      <c r="N304" s="294"/>
      <c r="P304" s="294"/>
      <c r="R304" s="294"/>
      <c r="S304" s="294"/>
      <c r="T304" s="294"/>
      <c r="U304" s="294"/>
      <c r="V304" s="294"/>
      <c r="W304" s="294"/>
      <c r="X304" s="294"/>
      <c r="Y304" s="294"/>
      <c r="Z304" s="294"/>
      <c r="AA304" s="294"/>
      <c r="AB304" s="288"/>
      <c r="AD304" s="295"/>
      <c r="AF304" s="294"/>
      <c r="AG304" s="294"/>
      <c r="AH304" s="294"/>
      <c r="AI304" s="294"/>
      <c r="AJ304" s="294"/>
      <c r="AK304" s="294"/>
    </row>
    <row r="305" spans="1:38" hidden="1" x14ac:dyDescent="0.35">
      <c r="A305" s="21" t="str">
        <v>kineo</v>
      </c>
      <c r="C305" s="21"/>
      <c r="L305" s="293">
        <f>IF(ISERROR(M305),0,
IF(COUNTA(M305:AC305)=1,(VLOOKUP(M305,CBIMPORT!$A$1:$AN$171,38,FALSE)),
IF(COUNTA(M305:AC305)=2,(VLOOKUP(M305,CBIMPORT!$A$1:$AN$171,38,FALSE)+VLOOKUP(N305,CBIMPORT!$A$1:$AN$171,38,FALSE)),
IF(COUNTA(M305:AC305)=3,(VLOOKUP(M305,CBIMPORT!$A$1:$AN$171,38,FALSE)+VLOOKUP(N305,CBIMPORT!$A$1:$AN$171,38,FALSE)+VLOOKUP(O305,CBIMPORT!$A$1:$AN$171,38,FALSE)),
IF(COUNTA(M305:AC305)=4,(VLOOKUP(M305,CBIMPORT!$A$1:$AN$171,38,FALSE)+VLOOKUP(N305,CBIMPORT!$A$1:$AN$171,38,FALSE)+VLOOKUP(O305,CBIMPORT!$A$1:$AN$171,38,FALSE)+VLOOKUP(P305,CBIMPORT!$A$1:$AN$171,38,FALSE)),
IF(COUNTA(M305:AC305)=5,(VLOOKUP(M305,CBIMPORT!$A$1:$AN$171,38,FALSE)+VLOOKUP(N305,CBIMPORT!$A$1:$AN$171,38,FALSE)+VLOOKUP(O305,CBIMPORT!$A$1:$AN$171,38,FALSE)+VLOOKUP(P305,CBIMPORT!$A$1:$AN$171,38,FALSE)+VLOOKUP(Q305,CBIMPORT!$A$1:$AN$171,38,FALSE)),IF(COUNTA(M305:AC305),
IF(COUNTA(M305:AC305)=6,(VLOOKUP(M305,CBIMPORT!$A$1:$AN$171,38,FALSE)+VLOOKUP(N305,CBIMPORT!$A$1:$AN$171,38,FALSE)+VLOOKUP(O305,CBIMPORT!$A$1:$AN$171,38,FALSE)+VLOOKUP(P305,CBIMPORT!$A$1:$AN$171,38,FALSE)+VLOOKUP(Q305,CBIMPORT!$A$1:$AN$171,38,FALSE)+VLOOKUP(R305,CBIMPORT!$A$1:$AN$171,38,FALSE)),
IF(COUNTA(M305:AC305)=7,(VLOOKUP(M305,CBIMPORT!$A$1:$AN$171,38,FALSE)+VLOOKUP(N305,CBIMPORT!$A$1:$AN$171,38,FALSE)+VLOOKUP(O305,CBIMPORT!$A$1:$AN$171,38,FALSE)+VLOOKUP(P305,CBIMPORT!$A$1:$AN$171,38,FALSE)+VLOOKUP(Q305,CBIMPORT!$A$1:$AN$171,38,FALSE)+VLOOKUP(R305,CBIMPORT!$A$1:$AN$171,38,FALSE)+VLOOKUP(S305,CBIMPORT!$A$1:$AN$171,38,FALSE)),
IF(COUNTA(M305:AC305)=7,(VLOOKUP(M305,CBIMPORT!$A$1:$AN$171,38,FALSE)+VLOOKUP(N305,CBIMPORT!$A$1:$AN$171,38,FALSE)+VLOOKUP(O305,CBIMPORT!$A$1:$AN$171,38,FALSE)+VLOOKUP(P305,CBIMPORT!$A$1:$AN$171,38,FALSE)+VLOOKUP(Q305,CBIMPORT!$A$1:$AN$171,38,FALSE)+VLOOKUP(R305,CBIMPORT!$A$1:$AN$171,38,FALSE)+VLOOKUP(S305,CBIMPORT!$A$1:$AN$171,38,FALSE)+VLOOKUP(T305,CBIMPORT!$A$1:$AN$171,38,FALSE)),
IF(COUNTA(M305:AC305)=8,(VLOOKUP(M305,CBIMPORT!$A$1:$AN$171,38,FALSE)+VLOOKUP(N305,CBIMPORT!$A$1:$AN$171,38,FALSE)+VLOOKUP(O305,CBIMPORT!$A$1:$AN$171,38,FALSE)+VLOOKUP(P305,CBIMPORT!$A$1:$AN$171,38,FALSE)+VLOOKUP(Q305,CBIMPORT!$A$1:$AN$171,38,FALSE)+VLOOKUP(R305,CBIMPORT!$A$1:$AN$171,38,FALSE)+VLOOKUP(S305,CBIMPORT!$A$1:$AN$171,38,FALSE)+VLOOKUP(T305,CBIMPORT!$A$1:$AN$171,38,FALSE)),
IF(COUNTA(M305:AC305)=9,(VLOOKUP(M305,CBIMPORT!$A$1:$AN$171,38,FALSE)+VLOOKUP(N305,CBIMPORT!$A$1:$AN$171,38,FALSE)+VLOOKUP(O305,CBIMPORT!$A$1:$AN$171,38,FALSE)+VLOOKUP(P305,CBIMPORT!$A$1:$AN$171,38,FALSE)+VLOOKUP(Q305,CBIMPORT!$A$1:$AN$171,38,FALSE)+VLOOKUP(R305,CBIMPORT!$A$1:$AN$171,38,FALSE)+VLOOKUP(S305,CBIMPORT!$A$1:$AN$171,38,FALSE)+VLOOKUP(T305,CBIMPORT!$A$1:$AN$171,38,FALSE)+VLOOKUP(U305,CBIMPORT!$A$1:$AN$171,38,FALSE)),
IF(COUNTA(M305:AC305)=10,(VLOOKUP(M305,CBIMPORT!$A$1:$AN$171,38,FALSE)+VLOOKUP(N305,CBIMPORT!$A$1:$AN$171,38,FALSE)+VLOOKUP(O305,CBIMPORT!$A$1:$AN$171,38,FALSE)+VLOOKUP(P305,CBIMPORT!$A$1:$AN$171,38,FALSE)+VLOOKUP(Q305,CBIMPORT!$A$1:$AN$171,38,FALSE)+VLOOKUP(R305,CBIMPORT!$A$1:$AN$171,38,FALSE)+VLOOKUP(S305,CBIMPORT!$A$1:$AN$171,38,FALSE)+VLOOKUP(T305,CBIMPORT!$A$1:$AN$171,38,FALSE)),
IF(COUNTA(M305:AC305)=14,(VLOOKUP(M305,CBIMPORT!$A$1:$AN$171,38,FALSE)+VLOOKUP(N305,CBIMPORT!$A$1:$AN$171,38,FALSE)+VLOOKUP(O305,CBIMPORT!$A$1:$AN$171,38,FALSE)+VLOOKUP(P305,CBIMPORT!$A$1:$AN$171,38,FALSE)+VLOOKUP(Q305,CBIMPORT!$A$1:$AN$171,38,FALSE)+VLOOKUP(R305,CBIMPORT!$A$1:$AN$171,38,FALSE)+VLOOKUP(S305,CBIMPORT!$A$1:$AN$171,38,FALSE)+VLOOKUP(T305,CBIMPORT!$A$1:$AN$171,38,FALSE)+VLOOKUP(U305,CBIMPORT!$A$1:$AN$171,38,FALSE)+VLOOKUP(V305,CBIMPORT!$A$1:$AN$171,38,FALSE)+VLOOKUP(W305,CBIMPORT!$A$1:$AN$171,38,FALSE)+VLOOKUP(X305,CBIMPORT!$A$1:$AN$171,38,FALSE)),
IF(COUNTA(M305:AC305)=16,(VLOOKUP(M305,CBIMPORT!$A$1:$AN$171,38,FALSE)+VLOOKUP(N305,CBIMPORT!$A$1:$AN$171,38,FALSE)+VLOOKUP(O305,CBIMPORT!$A$1:$AN$171,38,FALSE)+VLOOKUP(P305,CBIMPORT!$A$1:$AN$171,38,FALSE)+VLOOKUP(Q305,CBIMPORT!$A$1:$AN$171,38,FALSE)+VLOOKUP(R305,CBIMPORT!$A$1:$AN$171,38,FALSE)+VLOOKUP(S305,CBIMPORT!$A$1:$AN$171,38,FALSE)+VLOOKUP(T305,CBIMPORT!$A$1:$AN$171,38,FALSE)+VLOOKUP(U305,CBIMPORT!$A$1:$AN$171,38,FALSE)+VLOOKUP(V305,CBIMPORT!$A$1:$AN$171,38,FALSE)+VLOOKUP(W305,CBIMPORT!$A$1:$AN$171,38,FALSE)+VLOOKUP(X305,CBIMPORT!$A$1:$AN$171,38,FALSE)+VLOOKUP(Y305,CBIMPORT!$A$1:$AN$171,38,FALSE)+VLOOKUP(Z305,CBIMPORT!$A$1:$AN$171,38,FALSE)))))))))))))))))</f>
        <v>1</v>
      </c>
      <c r="M305" s="21" t="str" cm="1">
        <f t="array" ref="M305:P305">IF(D206&gt;0,
TRANSPOSE(_xlfn._xlws.FILTER(
CHOOSE(
{1},
ANNOUNCEMENTS!$L$1:$L$180,
ANNOUNCEMENTS!$M$1:$M$180,
ANNOUNCEMENTS!$N$1:$N$180
),
((ANNOUNCEMENTS!$E$1:$E$180=B206)*(ANNOUNCEMENTS!$L$1:$L$180&lt;&gt;""))*
((ANNOUNCEMENTS!$J$1:$J$180=C206)))))</f>
        <v>Anheuser - Busch InBev</v>
      </c>
      <c r="N305" s="21" t="str">
        <v>DB Regio</v>
      </c>
      <c r="O305" s="21" t="str">
        <v>Beep</v>
      </c>
      <c r="P305" s="21" t="str">
        <v>Transdev</v>
      </c>
    </row>
    <row r="306" spans="1:38" hidden="1" x14ac:dyDescent="0.35">
      <c r="A306" s="21" t="str">
        <v>Ten Roads Express</v>
      </c>
      <c r="C306" s="21"/>
      <c r="L306" s="293">
        <f>IF(ISERROR(M306),0,
IF(COUNTA(M306:AC306)=1,(VLOOKUP(M306,CBIMPORT!$A$1:$AN$171,38,FALSE)),
IF(COUNTA(M306:AC306)=2,(VLOOKUP(M306,CBIMPORT!$A$1:$AN$171,38,FALSE)+VLOOKUP(N306,CBIMPORT!$A$1:$AN$171,38,FALSE)),
IF(COUNTA(M306:AC306)=3,(VLOOKUP(M306,CBIMPORT!$A$1:$AN$171,38,FALSE)+VLOOKUP(N306,CBIMPORT!$A$1:$AN$171,38,FALSE)+VLOOKUP(O306,CBIMPORT!$A$1:$AN$171,38,FALSE)),
IF(COUNTA(M306:AC306)=4,(VLOOKUP(M306,CBIMPORT!$A$1:$AN$171,38,FALSE)+VLOOKUP(N306,CBIMPORT!$A$1:$AN$171,38,FALSE)+VLOOKUP(O306,CBIMPORT!$A$1:$AN$171,38,FALSE)+VLOOKUP(P306,CBIMPORT!$A$1:$AN$171,38,FALSE)),
IF(COUNTA(M306:AC306)=5,(VLOOKUP(M306,CBIMPORT!$A$1:$AN$171,38,FALSE)+VLOOKUP(N306,CBIMPORT!$A$1:$AN$171,38,FALSE)+VLOOKUP(O306,CBIMPORT!$A$1:$AN$171,38,FALSE)+VLOOKUP(P306,CBIMPORT!$A$1:$AN$171,38,FALSE)+VLOOKUP(Q306,CBIMPORT!$A$1:$AN$171,38,FALSE)),IF(COUNTA(M306:AC306),
IF(COUNTA(M306:AC306)=6,(VLOOKUP(M306,CBIMPORT!$A$1:$AN$171,38,FALSE)+VLOOKUP(N306,CBIMPORT!$A$1:$AN$171,38,FALSE)+VLOOKUP(O306,CBIMPORT!$A$1:$AN$171,38,FALSE)+VLOOKUP(P306,CBIMPORT!$A$1:$AN$171,38,FALSE)+VLOOKUP(Q306,CBIMPORT!$A$1:$AN$171,38,FALSE)+VLOOKUP(R306,CBIMPORT!$A$1:$AN$171,38,FALSE)),
IF(COUNTA(M306:AC306)=7,(VLOOKUP(M306,CBIMPORT!$A$1:$AN$171,38,FALSE)+VLOOKUP(N306,CBIMPORT!$A$1:$AN$171,38,FALSE)+VLOOKUP(O306,CBIMPORT!$A$1:$AN$171,38,FALSE)+VLOOKUP(P306,CBIMPORT!$A$1:$AN$171,38,FALSE)+VLOOKUP(Q306,CBIMPORT!$A$1:$AN$171,38,FALSE)+VLOOKUP(R306,CBIMPORT!$A$1:$AN$171,38,FALSE)+VLOOKUP(S306,CBIMPORT!$A$1:$AN$171,38,FALSE)),
IF(COUNTA(M306:AC306)=7,(VLOOKUP(M306,CBIMPORT!$A$1:$AN$171,38,FALSE)+VLOOKUP(N306,CBIMPORT!$A$1:$AN$171,38,FALSE)+VLOOKUP(O306,CBIMPORT!$A$1:$AN$171,38,FALSE)+VLOOKUP(P306,CBIMPORT!$A$1:$AN$171,38,FALSE)+VLOOKUP(Q306,CBIMPORT!$A$1:$AN$171,38,FALSE)+VLOOKUP(R306,CBIMPORT!$A$1:$AN$171,38,FALSE)+VLOOKUP(S306,CBIMPORT!$A$1:$AN$171,38,FALSE)+VLOOKUP(T306,CBIMPORT!$A$1:$AN$171,38,FALSE)),
IF(COUNTA(M306:AC306)=8,(VLOOKUP(M306,CBIMPORT!$A$1:$AN$171,38,FALSE)+VLOOKUP(N306,CBIMPORT!$A$1:$AN$171,38,FALSE)+VLOOKUP(O306,CBIMPORT!$A$1:$AN$171,38,FALSE)+VLOOKUP(P306,CBIMPORT!$A$1:$AN$171,38,FALSE)+VLOOKUP(Q306,CBIMPORT!$A$1:$AN$171,38,FALSE)+VLOOKUP(R306,CBIMPORT!$A$1:$AN$171,38,FALSE)+VLOOKUP(S306,CBIMPORT!$A$1:$AN$171,38,FALSE)+VLOOKUP(T306,CBIMPORT!$A$1:$AN$171,38,FALSE)),
IF(COUNTA(M306:AC306)=9,(VLOOKUP(M306,CBIMPORT!$A$1:$AN$171,38,FALSE)+VLOOKUP(N306,CBIMPORT!$A$1:$AN$171,38,FALSE)+VLOOKUP(O306,CBIMPORT!$A$1:$AN$171,38,FALSE)+VLOOKUP(P306,CBIMPORT!$A$1:$AN$171,38,FALSE)+VLOOKUP(Q306,CBIMPORT!$A$1:$AN$171,38,FALSE)+VLOOKUP(R306,CBIMPORT!$A$1:$AN$171,38,FALSE)+VLOOKUP(S306,CBIMPORT!$A$1:$AN$171,38,FALSE)+VLOOKUP(T306,CBIMPORT!$A$1:$AN$171,38,FALSE)+VLOOKUP(U306,CBIMPORT!$A$1:$AN$171,38,FALSE)),
IF(COUNTA(M306:AC306)=10,(VLOOKUP(M306,CBIMPORT!$A$1:$AN$171,38,FALSE)+VLOOKUP(N306,CBIMPORT!$A$1:$AN$171,38,FALSE)+VLOOKUP(O306,CBIMPORT!$A$1:$AN$171,38,FALSE)+VLOOKUP(P306,CBIMPORT!$A$1:$AN$171,38,FALSE)+VLOOKUP(Q306,CBIMPORT!$A$1:$AN$171,38,FALSE)+VLOOKUP(R306,CBIMPORT!$A$1:$AN$171,38,FALSE)+VLOOKUP(S306,CBIMPORT!$A$1:$AN$171,38,FALSE)+VLOOKUP(T306,CBIMPORT!$A$1:$AN$171,38,FALSE)),
IF(COUNTA(M306:AC306)=14,(VLOOKUP(M306,CBIMPORT!$A$1:$AN$171,38,FALSE)+VLOOKUP(N306,CBIMPORT!$A$1:$AN$171,38,FALSE)+VLOOKUP(O306,CBIMPORT!$A$1:$AN$171,38,FALSE)+VLOOKUP(P306,CBIMPORT!$A$1:$AN$171,38,FALSE)+VLOOKUP(Q306,CBIMPORT!$A$1:$AN$171,38,FALSE)+VLOOKUP(R306,CBIMPORT!$A$1:$AN$171,38,FALSE)+VLOOKUP(S306,CBIMPORT!$A$1:$AN$171,38,FALSE)+VLOOKUP(T306,CBIMPORT!$A$1:$AN$171,38,FALSE)+VLOOKUP(U306,CBIMPORT!$A$1:$AN$171,38,FALSE)+VLOOKUP(V306,CBIMPORT!$A$1:$AN$171,38,FALSE)+VLOOKUP(W306,CBIMPORT!$A$1:$AN$171,38,FALSE)+VLOOKUP(X306,CBIMPORT!$A$1:$AN$171,38,FALSE)),
IF(COUNTA(M306:AC306)=16,(VLOOKUP(M306,CBIMPORT!$A$1:$AN$171,38,FALSE)+VLOOKUP(N306,CBIMPORT!$A$1:$AN$171,38,FALSE)+VLOOKUP(O306,CBIMPORT!$A$1:$AN$171,38,FALSE)+VLOOKUP(P306,CBIMPORT!$A$1:$AN$171,38,FALSE)+VLOOKUP(Q306,CBIMPORT!$A$1:$AN$171,38,FALSE)+VLOOKUP(R306,CBIMPORT!$A$1:$AN$171,38,FALSE)+VLOOKUP(S306,CBIMPORT!$A$1:$AN$171,38,FALSE)+VLOOKUP(T306,CBIMPORT!$A$1:$AN$171,38,FALSE)+VLOOKUP(U306,CBIMPORT!$A$1:$AN$171,38,FALSE)+VLOOKUP(V306,CBIMPORT!$A$1:$AN$171,38,FALSE)+VLOOKUP(W306,CBIMPORT!$A$1:$AN$171,38,FALSE)+VLOOKUP(X306,CBIMPORT!$A$1:$AN$171,38,FALSE)+VLOOKUP(Y306,CBIMPORT!$A$1:$AN$171,38,FALSE)+VLOOKUP(Z306,CBIMPORT!$A$1:$AN$171,38,FALSE)))))))))))))))))</f>
        <v>0</v>
      </c>
      <c r="M306" s="21" t="str" cm="1">
        <f t="array" ref="M306">IF(D207&gt;0,
TRANSPOSE(_xlfn._xlws.FILTER(
CHOOSE(
{1},
ANNOUNCEMENTS!$L$1:$L$180,
ANNOUNCEMENTS!$M$1:$M$180,
ANNOUNCEMENTS!$N$1:$N$180
),
((ANNOUNCEMENTS!$E$1:$E$180=B207)*(ANNOUNCEMENTS!$L$1:$L$180&lt;&gt;""))*
((ANNOUNCEMENTS!$J$1:$J$180=C207)))))</f>
        <v>Bolt</v>
      </c>
    </row>
    <row r="307" spans="1:38" hidden="1" x14ac:dyDescent="0.35">
      <c r="A307" s="21" t="str">
        <v>Werner</v>
      </c>
      <c r="C307" s="21"/>
      <c r="L307" s="293">
        <f>IF(ISERROR(M307),0,
IF(COUNTA(M307:AC307)=1,(VLOOKUP(M307,CBIMPORT!$A$1:$AN$171,38,FALSE)),
IF(COUNTA(M307:AC307)=2,(VLOOKUP(M307,CBIMPORT!$A$1:$AN$171,38,FALSE)+VLOOKUP(N307,CBIMPORT!$A$1:$AN$171,38,FALSE)),
IF(COUNTA(M307:AC307)=3,(VLOOKUP(M307,CBIMPORT!$A$1:$AN$171,38,FALSE)+VLOOKUP(N307,CBIMPORT!$A$1:$AN$171,38,FALSE)+VLOOKUP(O307,CBIMPORT!$A$1:$AN$171,38,FALSE)),
IF(COUNTA(M307:AC307)=4,(VLOOKUP(M307,CBIMPORT!$A$1:$AN$171,38,FALSE)+VLOOKUP(N307,CBIMPORT!$A$1:$AN$171,38,FALSE)+VLOOKUP(O307,CBIMPORT!$A$1:$AN$171,38,FALSE)+VLOOKUP(P307,CBIMPORT!$A$1:$AN$171,38,FALSE)),
IF(COUNTA(M307:AC307)=5,(VLOOKUP(M307,CBIMPORT!$A$1:$AN$171,38,FALSE)+VLOOKUP(N307,CBIMPORT!$A$1:$AN$171,38,FALSE)+VLOOKUP(O307,CBIMPORT!$A$1:$AN$171,38,FALSE)+VLOOKUP(P307,CBIMPORT!$A$1:$AN$171,38,FALSE)+VLOOKUP(Q307,CBIMPORT!$A$1:$AN$171,38,FALSE)),IF(COUNTA(M307:AC307),
IF(COUNTA(M307:AC307)=6,(VLOOKUP(M307,CBIMPORT!$A$1:$AN$171,38,FALSE)+VLOOKUP(N307,CBIMPORT!$A$1:$AN$171,38,FALSE)+VLOOKUP(O307,CBIMPORT!$A$1:$AN$171,38,FALSE)+VLOOKUP(P307,CBIMPORT!$A$1:$AN$171,38,FALSE)+VLOOKUP(Q307,CBIMPORT!$A$1:$AN$171,38,FALSE)+VLOOKUP(R307,CBIMPORT!$A$1:$AN$171,38,FALSE)),
IF(COUNTA(M307:AC307)=7,(VLOOKUP(M307,CBIMPORT!$A$1:$AN$171,38,FALSE)+VLOOKUP(N307,CBIMPORT!$A$1:$AN$171,38,FALSE)+VLOOKUP(O307,CBIMPORT!$A$1:$AN$171,38,FALSE)+VLOOKUP(P307,CBIMPORT!$A$1:$AN$171,38,FALSE)+VLOOKUP(Q307,CBIMPORT!$A$1:$AN$171,38,FALSE)+VLOOKUP(R307,CBIMPORT!$A$1:$AN$171,38,FALSE)+VLOOKUP(S307,CBIMPORT!$A$1:$AN$171,38,FALSE)),
IF(COUNTA(M307:AC307)=7,(VLOOKUP(M307,CBIMPORT!$A$1:$AN$171,38,FALSE)+VLOOKUP(N307,CBIMPORT!$A$1:$AN$171,38,FALSE)+VLOOKUP(O307,CBIMPORT!$A$1:$AN$171,38,FALSE)+VLOOKUP(P307,CBIMPORT!$A$1:$AN$171,38,FALSE)+VLOOKUP(Q307,CBIMPORT!$A$1:$AN$171,38,FALSE)+VLOOKUP(R307,CBIMPORT!$A$1:$AN$171,38,FALSE)+VLOOKUP(S307,CBIMPORT!$A$1:$AN$171,38,FALSE)+VLOOKUP(T307,CBIMPORT!$A$1:$AN$171,38,FALSE)),
IF(COUNTA(M307:AC307)=8,(VLOOKUP(M307,CBIMPORT!$A$1:$AN$171,38,FALSE)+VLOOKUP(N307,CBIMPORT!$A$1:$AN$171,38,FALSE)+VLOOKUP(O307,CBIMPORT!$A$1:$AN$171,38,FALSE)+VLOOKUP(P307,CBIMPORT!$A$1:$AN$171,38,FALSE)+VLOOKUP(Q307,CBIMPORT!$A$1:$AN$171,38,FALSE)+VLOOKUP(R307,CBIMPORT!$A$1:$AN$171,38,FALSE)+VLOOKUP(S307,CBIMPORT!$A$1:$AN$171,38,FALSE)+VLOOKUP(T307,CBIMPORT!$A$1:$AN$171,38,FALSE)),
IF(COUNTA(M307:AC307)=9,(VLOOKUP(M307,CBIMPORT!$A$1:$AN$171,38,FALSE)+VLOOKUP(N307,CBIMPORT!$A$1:$AN$171,38,FALSE)+VLOOKUP(O307,CBIMPORT!$A$1:$AN$171,38,FALSE)+VLOOKUP(P307,CBIMPORT!$A$1:$AN$171,38,FALSE)+VLOOKUP(Q307,CBIMPORT!$A$1:$AN$171,38,FALSE)+VLOOKUP(R307,CBIMPORT!$A$1:$AN$171,38,FALSE)+VLOOKUP(S307,CBIMPORT!$A$1:$AN$171,38,FALSE)+VLOOKUP(T307,CBIMPORT!$A$1:$AN$171,38,FALSE)+VLOOKUP(U307,CBIMPORT!$A$1:$AN$171,38,FALSE)),
IF(COUNTA(M307:AC307)=10,(VLOOKUP(M307,CBIMPORT!$A$1:$AN$171,38,FALSE)+VLOOKUP(N307,CBIMPORT!$A$1:$AN$171,38,FALSE)+VLOOKUP(O307,CBIMPORT!$A$1:$AN$171,38,FALSE)+VLOOKUP(P307,CBIMPORT!$A$1:$AN$171,38,FALSE)+VLOOKUP(Q307,CBIMPORT!$A$1:$AN$171,38,FALSE)+VLOOKUP(R307,CBIMPORT!$A$1:$AN$171,38,FALSE)+VLOOKUP(S307,CBIMPORT!$A$1:$AN$171,38,FALSE)+VLOOKUP(T307,CBIMPORT!$A$1:$AN$171,38,FALSE)),
IF(COUNTA(M307:AC307)=14,(VLOOKUP(M307,CBIMPORT!$A$1:$AN$171,38,FALSE)+VLOOKUP(N307,CBIMPORT!$A$1:$AN$171,38,FALSE)+VLOOKUP(O307,CBIMPORT!$A$1:$AN$171,38,FALSE)+VLOOKUP(P307,CBIMPORT!$A$1:$AN$171,38,FALSE)+VLOOKUP(Q307,CBIMPORT!$A$1:$AN$171,38,FALSE)+VLOOKUP(R307,CBIMPORT!$A$1:$AN$171,38,FALSE)+VLOOKUP(S307,CBIMPORT!$A$1:$AN$171,38,FALSE)+VLOOKUP(T307,CBIMPORT!$A$1:$AN$171,38,FALSE)+VLOOKUP(U307,CBIMPORT!$A$1:$AN$171,38,FALSE)+VLOOKUP(V307,CBIMPORT!$A$1:$AN$171,38,FALSE)+VLOOKUP(W307,CBIMPORT!$A$1:$AN$171,38,FALSE)+VLOOKUP(X307,CBIMPORT!$A$1:$AN$171,38,FALSE)),
IF(COUNTA(M307:AC307)=16,(VLOOKUP(M307,CBIMPORT!$A$1:$AN$171,38,FALSE)+VLOOKUP(N307,CBIMPORT!$A$1:$AN$171,38,FALSE)+VLOOKUP(O307,CBIMPORT!$A$1:$AN$171,38,FALSE)+VLOOKUP(P307,CBIMPORT!$A$1:$AN$171,38,FALSE)+VLOOKUP(Q307,CBIMPORT!$A$1:$AN$171,38,FALSE)+VLOOKUP(R307,CBIMPORT!$A$1:$AN$171,38,FALSE)+VLOOKUP(S307,CBIMPORT!$A$1:$AN$171,38,FALSE)+VLOOKUP(T307,CBIMPORT!$A$1:$AN$171,38,FALSE)+VLOOKUP(U307,CBIMPORT!$A$1:$AN$171,38,FALSE)+VLOOKUP(V307,CBIMPORT!$A$1:$AN$171,38,FALSE)+VLOOKUP(W307,CBIMPORT!$A$1:$AN$171,38,FALSE)+VLOOKUP(X307,CBIMPORT!$A$1:$AN$171,38,FALSE)+VLOOKUP(Y307,CBIMPORT!$A$1:$AN$171,38,FALSE)+VLOOKUP(Z307,CBIMPORT!$A$1:$AN$171,38,FALSE)))))))))))))))))</f>
        <v>0</v>
      </c>
      <c r="M307" s="21" t="str" cm="1">
        <f t="array" ref="M307">IF(D208&gt;0,
TRANSPOSE(_xlfn._xlws.FILTER(
CHOOSE(
{1},
ANNOUNCEMENTS!$L$1:$L$180,
ANNOUNCEMENTS!$M$1:$M$180,
ANNOUNCEMENTS!$N$1:$N$180
),
((ANNOUNCEMENTS!$E$1:$E$180=B208)*(ANNOUNCEMENTS!$L$1:$L$180&lt;&gt;""))*
((ANNOUNCEMENTS!$J$1:$J$180=C208)))))</f>
        <v>May Mobility</v>
      </c>
    </row>
    <row r="308" spans="1:38" hidden="1" x14ac:dyDescent="0.35">
      <c r="A308" s="21" t="str">
        <v>Bridgestone</v>
      </c>
      <c r="C308" s="21"/>
      <c r="L308" s="293">
        <f>IF(ISERROR(M308),0,
IF(COUNTA(M308:AC308)=1,(VLOOKUP(M308,CBIMPORT!$A$1:$AN$171,38,FALSE)),
IF(COUNTA(M308:AC308)=2,(VLOOKUP(M308,CBIMPORT!$A$1:$AN$171,38,FALSE)+VLOOKUP(N308,CBIMPORT!$A$1:$AN$171,38,FALSE)),
IF(COUNTA(M308:AC308)=3,(VLOOKUP(M308,CBIMPORT!$A$1:$AN$171,38,FALSE)+VLOOKUP(N308,CBIMPORT!$A$1:$AN$171,38,FALSE)+VLOOKUP(O308,CBIMPORT!$A$1:$AN$171,38,FALSE)),
IF(COUNTA(M308:AC308)=4,(VLOOKUP(M308,CBIMPORT!$A$1:$AN$171,38,FALSE)+VLOOKUP(N308,CBIMPORT!$A$1:$AN$171,38,FALSE)+VLOOKUP(O308,CBIMPORT!$A$1:$AN$171,38,FALSE)+VLOOKUP(P308,CBIMPORT!$A$1:$AN$171,38,FALSE)),
IF(COUNTA(M308:AC308)=5,(VLOOKUP(M308,CBIMPORT!$A$1:$AN$171,38,FALSE)+VLOOKUP(N308,CBIMPORT!$A$1:$AN$171,38,FALSE)+VLOOKUP(O308,CBIMPORT!$A$1:$AN$171,38,FALSE)+VLOOKUP(P308,CBIMPORT!$A$1:$AN$171,38,FALSE)+VLOOKUP(Q308,CBIMPORT!$A$1:$AN$171,38,FALSE)),IF(COUNTA(M308:AC308),
IF(COUNTA(M308:AC308)=6,(VLOOKUP(M308,CBIMPORT!$A$1:$AN$171,38,FALSE)+VLOOKUP(N308,CBIMPORT!$A$1:$AN$171,38,FALSE)+VLOOKUP(O308,CBIMPORT!$A$1:$AN$171,38,FALSE)+VLOOKUP(P308,CBIMPORT!$A$1:$AN$171,38,FALSE)+VLOOKUP(Q308,CBIMPORT!$A$1:$AN$171,38,FALSE)+VLOOKUP(R308,CBIMPORT!$A$1:$AN$171,38,FALSE)),
IF(COUNTA(M308:AC308)=7,(VLOOKUP(M308,CBIMPORT!$A$1:$AN$171,38,FALSE)+VLOOKUP(N308,CBIMPORT!$A$1:$AN$171,38,FALSE)+VLOOKUP(O308,CBIMPORT!$A$1:$AN$171,38,FALSE)+VLOOKUP(P308,CBIMPORT!$A$1:$AN$171,38,FALSE)+VLOOKUP(Q308,CBIMPORT!$A$1:$AN$171,38,FALSE)+VLOOKUP(R308,CBIMPORT!$A$1:$AN$171,38,FALSE)+VLOOKUP(S308,CBIMPORT!$A$1:$AN$171,38,FALSE)),
IF(COUNTA(M308:AC308)=7,(VLOOKUP(M308,CBIMPORT!$A$1:$AN$171,38,FALSE)+VLOOKUP(N308,CBIMPORT!$A$1:$AN$171,38,FALSE)+VLOOKUP(O308,CBIMPORT!$A$1:$AN$171,38,FALSE)+VLOOKUP(P308,CBIMPORT!$A$1:$AN$171,38,FALSE)+VLOOKUP(Q308,CBIMPORT!$A$1:$AN$171,38,FALSE)+VLOOKUP(R308,CBIMPORT!$A$1:$AN$171,38,FALSE)+VLOOKUP(S308,CBIMPORT!$A$1:$AN$171,38,FALSE)+VLOOKUP(T308,CBIMPORT!$A$1:$AN$171,38,FALSE)),
IF(COUNTA(M308:AC308)=8,(VLOOKUP(M308,CBIMPORT!$A$1:$AN$171,38,FALSE)+VLOOKUP(N308,CBIMPORT!$A$1:$AN$171,38,FALSE)+VLOOKUP(O308,CBIMPORT!$A$1:$AN$171,38,FALSE)+VLOOKUP(P308,CBIMPORT!$A$1:$AN$171,38,FALSE)+VLOOKUP(Q308,CBIMPORT!$A$1:$AN$171,38,FALSE)+VLOOKUP(R308,CBIMPORT!$A$1:$AN$171,38,FALSE)+VLOOKUP(S308,CBIMPORT!$A$1:$AN$171,38,FALSE)+VLOOKUP(T308,CBIMPORT!$A$1:$AN$171,38,FALSE)),
IF(COUNTA(M308:AC308)=9,(VLOOKUP(M308,CBIMPORT!$A$1:$AN$171,38,FALSE)+VLOOKUP(N308,CBIMPORT!$A$1:$AN$171,38,FALSE)+VLOOKUP(O308,CBIMPORT!$A$1:$AN$171,38,FALSE)+VLOOKUP(P308,CBIMPORT!$A$1:$AN$171,38,FALSE)+VLOOKUP(Q308,CBIMPORT!$A$1:$AN$171,38,FALSE)+VLOOKUP(R308,CBIMPORT!$A$1:$AN$171,38,FALSE)+VLOOKUP(S308,CBIMPORT!$A$1:$AN$171,38,FALSE)+VLOOKUP(T308,CBIMPORT!$A$1:$AN$171,38,FALSE)+VLOOKUP(U308,CBIMPORT!$A$1:$AN$171,38,FALSE)),
IF(COUNTA(M308:AC308)=10,(VLOOKUP(M308,CBIMPORT!$A$1:$AN$171,38,FALSE)+VLOOKUP(N308,CBIMPORT!$A$1:$AN$171,38,FALSE)+VLOOKUP(O308,CBIMPORT!$A$1:$AN$171,38,FALSE)+VLOOKUP(P308,CBIMPORT!$A$1:$AN$171,38,FALSE)+VLOOKUP(Q308,CBIMPORT!$A$1:$AN$171,38,FALSE)+VLOOKUP(R308,CBIMPORT!$A$1:$AN$171,38,FALSE)+VLOOKUP(S308,CBIMPORT!$A$1:$AN$171,38,FALSE)+VLOOKUP(T308,CBIMPORT!$A$1:$AN$171,38,FALSE)),
IF(COUNTA(M308:AC308)=14,(VLOOKUP(M308,CBIMPORT!$A$1:$AN$171,38,FALSE)+VLOOKUP(N308,CBIMPORT!$A$1:$AN$171,38,FALSE)+VLOOKUP(O308,CBIMPORT!$A$1:$AN$171,38,FALSE)+VLOOKUP(P308,CBIMPORT!$A$1:$AN$171,38,FALSE)+VLOOKUP(Q308,CBIMPORT!$A$1:$AN$171,38,FALSE)+VLOOKUP(R308,CBIMPORT!$A$1:$AN$171,38,FALSE)+VLOOKUP(S308,CBIMPORT!$A$1:$AN$171,38,FALSE)+VLOOKUP(T308,CBIMPORT!$A$1:$AN$171,38,FALSE)+VLOOKUP(U308,CBIMPORT!$A$1:$AN$171,38,FALSE)+VLOOKUP(V308,CBIMPORT!$A$1:$AN$171,38,FALSE)+VLOOKUP(W308,CBIMPORT!$A$1:$AN$171,38,FALSE)+VLOOKUP(X308,CBIMPORT!$A$1:$AN$171,38,FALSE)),
IF(COUNTA(M308:AC308)=16,(VLOOKUP(M308,CBIMPORT!$A$1:$AN$171,38,FALSE)+VLOOKUP(N308,CBIMPORT!$A$1:$AN$171,38,FALSE)+VLOOKUP(O308,CBIMPORT!$A$1:$AN$171,38,FALSE)+VLOOKUP(P308,CBIMPORT!$A$1:$AN$171,38,FALSE)+VLOOKUP(Q308,CBIMPORT!$A$1:$AN$171,38,FALSE)+VLOOKUP(R308,CBIMPORT!$A$1:$AN$171,38,FALSE)+VLOOKUP(S308,CBIMPORT!$A$1:$AN$171,38,FALSE)+VLOOKUP(T308,CBIMPORT!$A$1:$AN$171,38,FALSE)+VLOOKUP(U308,CBIMPORT!$A$1:$AN$171,38,FALSE)+VLOOKUP(V308,CBIMPORT!$A$1:$AN$171,38,FALSE)+VLOOKUP(W308,CBIMPORT!$A$1:$AN$171,38,FALSE)+VLOOKUP(X308,CBIMPORT!$A$1:$AN$171,38,FALSE)+VLOOKUP(Y308,CBIMPORT!$A$1:$AN$171,38,FALSE)+VLOOKUP(Z308,CBIMPORT!$A$1:$AN$171,38,FALSE)))))))))))))))))</f>
        <v>1</v>
      </c>
      <c r="M308" s="21" t="str" cm="1">
        <f t="array" ref="M308">IF(D209&gt;0,
TRANSPOSE(_xlfn._xlws.FILTER(
CHOOSE(
{1},
ANNOUNCEMENTS!$L$1:$L$180,
ANNOUNCEMENTS!$M$1:$M$180,
ANNOUNCEMENTS!$N$1:$N$180
),
((ANNOUNCEMENTS!$E$1:$E$180=B209)*(ANNOUNCEMENTS!$L$1:$L$180&lt;&gt;""))*
((ANNOUNCEMENTS!$J$1:$J$180=C209)))))</f>
        <v>Navya</v>
      </c>
    </row>
    <row r="309" spans="1:38" hidden="1" x14ac:dyDescent="0.35">
      <c r="A309" s="21" t="str">
        <v>Stantec</v>
      </c>
      <c r="C309" s="21"/>
      <c r="L309" s="293">
        <f>IF(ISERROR(M309),0,
IF(COUNTA(M309:AC309)=1,(VLOOKUP(M309,CBIMPORT!$A$1:$AN$171,38,FALSE)),
IF(COUNTA(M309:AC309)=2,(VLOOKUP(M309,CBIMPORT!$A$1:$AN$171,38,FALSE)+VLOOKUP(N309,CBIMPORT!$A$1:$AN$171,38,FALSE)),
IF(COUNTA(M309:AC309)=3,(VLOOKUP(M309,CBIMPORT!$A$1:$AN$171,38,FALSE)+VLOOKUP(N309,CBIMPORT!$A$1:$AN$171,38,FALSE)+VLOOKUP(O309,CBIMPORT!$A$1:$AN$171,38,FALSE)),
IF(COUNTA(M309:AC309)=4,(VLOOKUP(M309,CBIMPORT!$A$1:$AN$171,38,FALSE)+VLOOKUP(N309,CBIMPORT!$A$1:$AN$171,38,FALSE)+VLOOKUP(O309,CBIMPORT!$A$1:$AN$171,38,FALSE)+VLOOKUP(P309,CBIMPORT!$A$1:$AN$171,38,FALSE)),
IF(COUNTA(M309:AC309)=5,(VLOOKUP(M309,CBIMPORT!$A$1:$AN$171,38,FALSE)+VLOOKUP(N309,CBIMPORT!$A$1:$AN$171,38,FALSE)+VLOOKUP(O309,CBIMPORT!$A$1:$AN$171,38,FALSE)+VLOOKUP(P309,CBIMPORT!$A$1:$AN$171,38,FALSE)+VLOOKUP(Q309,CBIMPORT!$A$1:$AN$171,38,FALSE)),IF(COUNTA(M309:AC309),
IF(COUNTA(M309:AC309)=6,(VLOOKUP(M309,CBIMPORT!$A$1:$AN$171,38,FALSE)+VLOOKUP(N309,CBIMPORT!$A$1:$AN$171,38,FALSE)+VLOOKUP(O309,CBIMPORT!$A$1:$AN$171,38,FALSE)+VLOOKUP(P309,CBIMPORT!$A$1:$AN$171,38,FALSE)+VLOOKUP(Q309,CBIMPORT!$A$1:$AN$171,38,FALSE)+VLOOKUP(R309,CBIMPORT!$A$1:$AN$171,38,FALSE)),
IF(COUNTA(M309:AC309)=7,(VLOOKUP(M309,CBIMPORT!$A$1:$AN$171,38,FALSE)+VLOOKUP(N309,CBIMPORT!$A$1:$AN$171,38,FALSE)+VLOOKUP(O309,CBIMPORT!$A$1:$AN$171,38,FALSE)+VLOOKUP(P309,CBIMPORT!$A$1:$AN$171,38,FALSE)+VLOOKUP(Q309,CBIMPORT!$A$1:$AN$171,38,FALSE)+VLOOKUP(R309,CBIMPORT!$A$1:$AN$171,38,FALSE)+VLOOKUP(S309,CBIMPORT!$A$1:$AN$171,38,FALSE)),
IF(COUNTA(M309:AC309)=7,(VLOOKUP(M309,CBIMPORT!$A$1:$AN$171,38,FALSE)+VLOOKUP(N309,CBIMPORT!$A$1:$AN$171,38,FALSE)+VLOOKUP(O309,CBIMPORT!$A$1:$AN$171,38,FALSE)+VLOOKUP(P309,CBIMPORT!$A$1:$AN$171,38,FALSE)+VLOOKUP(Q309,CBIMPORT!$A$1:$AN$171,38,FALSE)+VLOOKUP(R309,CBIMPORT!$A$1:$AN$171,38,FALSE)+VLOOKUP(S309,CBIMPORT!$A$1:$AN$171,38,FALSE)+VLOOKUP(T309,CBIMPORT!$A$1:$AN$171,38,FALSE)),
IF(COUNTA(M309:AC309)=8,(VLOOKUP(M309,CBIMPORT!$A$1:$AN$171,38,FALSE)+VLOOKUP(N309,CBIMPORT!$A$1:$AN$171,38,FALSE)+VLOOKUP(O309,CBIMPORT!$A$1:$AN$171,38,FALSE)+VLOOKUP(P309,CBIMPORT!$A$1:$AN$171,38,FALSE)+VLOOKUP(Q309,CBIMPORT!$A$1:$AN$171,38,FALSE)+VLOOKUP(R309,CBIMPORT!$A$1:$AN$171,38,FALSE)+VLOOKUP(S309,CBIMPORT!$A$1:$AN$171,38,FALSE)+VLOOKUP(T309,CBIMPORT!$A$1:$AN$171,38,FALSE)),
IF(COUNTA(M309:AC309)=9,(VLOOKUP(M309,CBIMPORT!$A$1:$AN$171,38,FALSE)+VLOOKUP(N309,CBIMPORT!$A$1:$AN$171,38,FALSE)+VLOOKUP(O309,CBIMPORT!$A$1:$AN$171,38,FALSE)+VLOOKUP(P309,CBIMPORT!$A$1:$AN$171,38,FALSE)+VLOOKUP(Q309,CBIMPORT!$A$1:$AN$171,38,FALSE)+VLOOKUP(R309,CBIMPORT!$A$1:$AN$171,38,FALSE)+VLOOKUP(S309,CBIMPORT!$A$1:$AN$171,38,FALSE)+VLOOKUP(T309,CBIMPORT!$A$1:$AN$171,38,FALSE)+VLOOKUP(U309,CBIMPORT!$A$1:$AN$171,38,FALSE)),
IF(COUNTA(M309:AC309)=10,(VLOOKUP(M309,CBIMPORT!$A$1:$AN$171,38,FALSE)+VLOOKUP(N309,CBIMPORT!$A$1:$AN$171,38,FALSE)+VLOOKUP(O309,CBIMPORT!$A$1:$AN$171,38,FALSE)+VLOOKUP(P309,CBIMPORT!$A$1:$AN$171,38,FALSE)+VLOOKUP(Q309,CBIMPORT!$A$1:$AN$171,38,FALSE)+VLOOKUP(R309,CBIMPORT!$A$1:$AN$171,38,FALSE)+VLOOKUP(S309,CBIMPORT!$A$1:$AN$171,38,FALSE)+VLOOKUP(T309,CBIMPORT!$A$1:$AN$171,38,FALSE)),
IF(COUNTA(M309:AC309)=14,(VLOOKUP(M309,CBIMPORT!$A$1:$AN$171,38,FALSE)+VLOOKUP(N309,CBIMPORT!$A$1:$AN$171,38,FALSE)+VLOOKUP(O309,CBIMPORT!$A$1:$AN$171,38,FALSE)+VLOOKUP(P309,CBIMPORT!$A$1:$AN$171,38,FALSE)+VLOOKUP(Q309,CBIMPORT!$A$1:$AN$171,38,FALSE)+VLOOKUP(R309,CBIMPORT!$A$1:$AN$171,38,FALSE)+VLOOKUP(S309,CBIMPORT!$A$1:$AN$171,38,FALSE)+VLOOKUP(T309,CBIMPORT!$A$1:$AN$171,38,FALSE)+VLOOKUP(U309,CBIMPORT!$A$1:$AN$171,38,FALSE)+VLOOKUP(V309,CBIMPORT!$A$1:$AN$171,38,FALSE)+VLOOKUP(W309,CBIMPORT!$A$1:$AN$171,38,FALSE)+VLOOKUP(X309,CBIMPORT!$A$1:$AN$171,38,FALSE)),
IF(COUNTA(M309:AC309)=16,(VLOOKUP(M309,CBIMPORT!$A$1:$AN$171,38,FALSE)+VLOOKUP(N309,CBIMPORT!$A$1:$AN$171,38,FALSE)+VLOOKUP(O309,CBIMPORT!$A$1:$AN$171,38,FALSE)+VLOOKUP(P309,CBIMPORT!$A$1:$AN$171,38,FALSE)+VLOOKUP(Q309,CBIMPORT!$A$1:$AN$171,38,FALSE)+VLOOKUP(R309,CBIMPORT!$A$1:$AN$171,38,FALSE)+VLOOKUP(S309,CBIMPORT!$A$1:$AN$171,38,FALSE)+VLOOKUP(T309,CBIMPORT!$A$1:$AN$171,38,FALSE)+VLOOKUP(U309,CBIMPORT!$A$1:$AN$171,38,FALSE)+VLOOKUP(V309,CBIMPORT!$A$1:$AN$171,38,FALSE)+VLOOKUP(W309,CBIMPORT!$A$1:$AN$171,38,FALSE)+VLOOKUP(X309,CBIMPORT!$A$1:$AN$171,38,FALSE)+VLOOKUP(Y309,CBIMPORT!$A$1:$AN$171,38,FALSE)+VLOOKUP(Z309,CBIMPORT!$A$1:$AN$171,38,FALSE)))))))))))))))))</f>
        <v>0</v>
      </c>
      <c r="M309" s="21" t="str" cm="1">
        <f t="array" ref="M309:N309">IF(D210&gt;0,
TRANSPOSE(_xlfn._xlws.FILTER(
CHOOSE(
{1},
ANNOUNCEMENTS!$L$1:$L$180,
ANNOUNCEMENTS!$M$1:$M$180,
ANNOUNCEMENTS!$N$1:$N$180
),
((ANNOUNCEMENTS!$E$1:$E$180=B210)*(ANNOUNCEMENTS!$L$1:$L$180&lt;&gt;""))*
((ANNOUNCEMENTS!$J$1:$J$180=C210)))))</f>
        <v>Nuro</v>
      </c>
      <c r="N309" s="21" t="str">
        <v>ServeRobotics</v>
      </c>
    </row>
    <row r="310" spans="1:38" hidden="1" x14ac:dyDescent="0.35">
      <c r="A310" s="21" t="str">
        <v>Spare</v>
      </c>
      <c r="C310" s="21"/>
      <c r="L310" s="293">
        <f>IF(ISERROR(M310),0,
IF(COUNTA(M310:AC310)=1,(VLOOKUP(M310,CBIMPORT!$A$1:$AN$171,38,FALSE)),
IF(COUNTA(M310:AC310)=2,(VLOOKUP(M310,CBIMPORT!$A$1:$AN$171,38,FALSE)+VLOOKUP(N310,CBIMPORT!$A$1:$AN$171,38,FALSE)),
IF(COUNTA(M310:AC310)=3,(VLOOKUP(M310,CBIMPORT!$A$1:$AN$171,38,FALSE)+VLOOKUP(N310,CBIMPORT!$A$1:$AN$171,38,FALSE)+VLOOKUP(O310,CBIMPORT!$A$1:$AN$171,38,FALSE)),
IF(COUNTA(M310:AC310)=4,(VLOOKUP(M310,CBIMPORT!$A$1:$AN$171,38,FALSE)+VLOOKUP(N310,CBIMPORT!$A$1:$AN$171,38,FALSE)+VLOOKUP(O310,CBIMPORT!$A$1:$AN$171,38,FALSE)+VLOOKUP(P310,CBIMPORT!$A$1:$AN$171,38,FALSE)),
IF(COUNTA(M310:AC310)=5,(VLOOKUP(M310,CBIMPORT!$A$1:$AN$171,38,FALSE)+VLOOKUP(N310,CBIMPORT!$A$1:$AN$171,38,FALSE)+VLOOKUP(O310,CBIMPORT!$A$1:$AN$171,38,FALSE)+VLOOKUP(P310,CBIMPORT!$A$1:$AN$171,38,FALSE)+VLOOKUP(Q310,CBIMPORT!$A$1:$AN$171,38,FALSE)),IF(COUNTA(M310:AC310),
IF(COUNTA(M310:AC310)=6,(VLOOKUP(M310,CBIMPORT!$A$1:$AN$171,38,FALSE)+VLOOKUP(N310,CBIMPORT!$A$1:$AN$171,38,FALSE)+VLOOKUP(O310,CBIMPORT!$A$1:$AN$171,38,FALSE)+VLOOKUP(P310,CBIMPORT!$A$1:$AN$171,38,FALSE)+VLOOKUP(Q310,CBIMPORT!$A$1:$AN$171,38,FALSE)+VLOOKUP(R310,CBIMPORT!$A$1:$AN$171,38,FALSE)),
IF(COUNTA(M310:AC310)=7,(VLOOKUP(M310,CBIMPORT!$A$1:$AN$171,38,FALSE)+VLOOKUP(N310,CBIMPORT!$A$1:$AN$171,38,FALSE)+VLOOKUP(O310,CBIMPORT!$A$1:$AN$171,38,FALSE)+VLOOKUP(P310,CBIMPORT!$A$1:$AN$171,38,FALSE)+VLOOKUP(Q310,CBIMPORT!$A$1:$AN$171,38,FALSE)+VLOOKUP(R310,CBIMPORT!$A$1:$AN$171,38,FALSE)+VLOOKUP(S310,CBIMPORT!$A$1:$AN$171,38,FALSE)),
IF(COUNTA(M310:AC310)=7,(VLOOKUP(M310,CBIMPORT!$A$1:$AN$171,38,FALSE)+VLOOKUP(N310,CBIMPORT!$A$1:$AN$171,38,FALSE)+VLOOKUP(O310,CBIMPORT!$A$1:$AN$171,38,FALSE)+VLOOKUP(P310,CBIMPORT!$A$1:$AN$171,38,FALSE)+VLOOKUP(Q310,CBIMPORT!$A$1:$AN$171,38,FALSE)+VLOOKUP(R310,CBIMPORT!$A$1:$AN$171,38,FALSE)+VLOOKUP(S310,CBIMPORT!$A$1:$AN$171,38,FALSE)+VLOOKUP(T310,CBIMPORT!$A$1:$AN$171,38,FALSE)),
IF(COUNTA(M310:AC310)=8,(VLOOKUP(M310,CBIMPORT!$A$1:$AN$171,38,FALSE)+VLOOKUP(N310,CBIMPORT!$A$1:$AN$171,38,FALSE)+VLOOKUP(O310,CBIMPORT!$A$1:$AN$171,38,FALSE)+VLOOKUP(P310,CBIMPORT!$A$1:$AN$171,38,FALSE)+VLOOKUP(Q310,CBIMPORT!$A$1:$AN$171,38,FALSE)+VLOOKUP(R310,CBIMPORT!$A$1:$AN$171,38,FALSE)+VLOOKUP(S310,CBIMPORT!$A$1:$AN$171,38,FALSE)+VLOOKUP(T310,CBIMPORT!$A$1:$AN$171,38,FALSE)),
IF(COUNTA(M310:AC310)=9,(VLOOKUP(M310,CBIMPORT!$A$1:$AN$171,38,FALSE)+VLOOKUP(N310,CBIMPORT!$A$1:$AN$171,38,FALSE)+VLOOKUP(O310,CBIMPORT!$A$1:$AN$171,38,FALSE)+VLOOKUP(P310,CBIMPORT!$A$1:$AN$171,38,FALSE)+VLOOKUP(Q310,CBIMPORT!$A$1:$AN$171,38,FALSE)+VLOOKUP(R310,CBIMPORT!$A$1:$AN$171,38,FALSE)+VLOOKUP(S310,CBIMPORT!$A$1:$AN$171,38,FALSE)+VLOOKUP(T310,CBIMPORT!$A$1:$AN$171,38,FALSE)+VLOOKUP(U310,CBIMPORT!$A$1:$AN$171,38,FALSE)),
IF(COUNTA(M310:AC310)=10,(VLOOKUP(M310,CBIMPORT!$A$1:$AN$171,38,FALSE)+VLOOKUP(N310,CBIMPORT!$A$1:$AN$171,38,FALSE)+VLOOKUP(O310,CBIMPORT!$A$1:$AN$171,38,FALSE)+VLOOKUP(P310,CBIMPORT!$A$1:$AN$171,38,FALSE)+VLOOKUP(Q310,CBIMPORT!$A$1:$AN$171,38,FALSE)+VLOOKUP(R310,CBIMPORT!$A$1:$AN$171,38,FALSE)+VLOOKUP(S310,CBIMPORT!$A$1:$AN$171,38,FALSE)+VLOOKUP(T310,CBIMPORT!$A$1:$AN$171,38,FALSE)),
IF(COUNTA(M310:AC310)=14,(VLOOKUP(M310,CBIMPORT!$A$1:$AN$171,38,FALSE)+VLOOKUP(N310,CBIMPORT!$A$1:$AN$171,38,FALSE)+VLOOKUP(O310,CBIMPORT!$A$1:$AN$171,38,FALSE)+VLOOKUP(P310,CBIMPORT!$A$1:$AN$171,38,FALSE)+VLOOKUP(Q310,CBIMPORT!$A$1:$AN$171,38,FALSE)+VLOOKUP(R310,CBIMPORT!$A$1:$AN$171,38,FALSE)+VLOOKUP(S310,CBIMPORT!$A$1:$AN$171,38,FALSE)+VLOOKUP(T310,CBIMPORT!$A$1:$AN$171,38,FALSE)+VLOOKUP(U310,CBIMPORT!$A$1:$AN$171,38,FALSE)+VLOOKUP(V310,CBIMPORT!$A$1:$AN$171,38,FALSE)+VLOOKUP(W310,CBIMPORT!$A$1:$AN$171,38,FALSE)+VLOOKUP(X310,CBIMPORT!$A$1:$AN$171,38,FALSE)),
IF(COUNTA(M310:AC310)=16,(VLOOKUP(M310,CBIMPORT!$A$1:$AN$171,38,FALSE)+VLOOKUP(N310,CBIMPORT!$A$1:$AN$171,38,FALSE)+VLOOKUP(O310,CBIMPORT!$A$1:$AN$171,38,FALSE)+VLOOKUP(P310,CBIMPORT!$A$1:$AN$171,38,FALSE)+VLOOKUP(Q310,CBIMPORT!$A$1:$AN$171,38,FALSE)+VLOOKUP(R310,CBIMPORT!$A$1:$AN$171,38,FALSE)+VLOOKUP(S310,CBIMPORT!$A$1:$AN$171,38,FALSE)+VLOOKUP(T310,CBIMPORT!$A$1:$AN$171,38,FALSE)+VLOOKUP(U310,CBIMPORT!$A$1:$AN$171,38,FALSE)+VLOOKUP(V310,CBIMPORT!$A$1:$AN$171,38,FALSE)+VLOOKUP(W310,CBIMPORT!$A$1:$AN$171,38,FALSE)+VLOOKUP(X310,CBIMPORT!$A$1:$AN$171,38,FALSE)+VLOOKUP(Y310,CBIMPORT!$A$1:$AN$171,38,FALSE)+VLOOKUP(Z310,CBIMPORT!$A$1:$AN$171,38,FALSE)))))))))))))))))</f>
        <v>0</v>
      </c>
      <c r="M310" s="21" t="str" cm="1">
        <f t="array" ref="M310">IF(D211&gt;0,
TRANSPOSE(_xlfn._xlws.FILTER(
CHOOSE(
{1},
ANNOUNCEMENTS!$L$1:$L$180,
ANNOUNCEMENTS!$M$1:$M$180,
ANNOUNCEMENTS!$N$1:$N$180
),
((ANNOUNCEMENTS!$E$1:$E$180=B211)*(ANNOUNCEMENTS!$L$1:$L$180&lt;&gt;""))*
((ANNOUNCEMENTS!$J$1:$J$180=C211)))))</f>
        <v>Transdev</v>
      </c>
    </row>
    <row r="311" spans="1:38" hidden="1" x14ac:dyDescent="0.35">
      <c r="A311" s="21" t="str">
        <v>Moovit</v>
      </c>
      <c r="C311" s="21"/>
      <c r="L311" s="293">
        <f>IF(ISERROR(M311),0,
IF(COUNTA(M311:AC311)=1,(VLOOKUP(M311,CBIMPORT!$A$1:$AN$171,38,FALSE)),
IF(COUNTA(M311:AC311)=2,(VLOOKUP(M311,CBIMPORT!$A$1:$AN$171,38,FALSE)+VLOOKUP(N311,CBIMPORT!$A$1:$AN$171,38,FALSE)),
IF(COUNTA(M311:AC311)=3,(VLOOKUP(M311,CBIMPORT!$A$1:$AN$171,38,FALSE)+VLOOKUP(N311,CBIMPORT!$A$1:$AN$171,38,FALSE)+VLOOKUP(O311,CBIMPORT!$A$1:$AN$171,38,FALSE)),
IF(COUNTA(M311:AC311)=4,(VLOOKUP(M311,CBIMPORT!$A$1:$AN$171,38,FALSE)+VLOOKUP(N311,CBIMPORT!$A$1:$AN$171,38,FALSE)+VLOOKUP(O311,CBIMPORT!$A$1:$AN$171,38,FALSE)+VLOOKUP(P311,CBIMPORT!$A$1:$AN$171,38,FALSE)),
IF(COUNTA(M311:AC311)=5,(VLOOKUP(M311,CBIMPORT!$A$1:$AN$171,38,FALSE)+VLOOKUP(N311,CBIMPORT!$A$1:$AN$171,38,FALSE)+VLOOKUP(O311,CBIMPORT!$A$1:$AN$171,38,FALSE)+VLOOKUP(P311,CBIMPORT!$A$1:$AN$171,38,FALSE)+VLOOKUP(Q311,CBIMPORT!$A$1:$AN$171,38,FALSE)),IF(COUNTA(M311:AC311),
IF(COUNTA(M311:AC311)=6,(VLOOKUP(M311,CBIMPORT!$A$1:$AN$171,38,FALSE)+VLOOKUP(N311,CBIMPORT!$A$1:$AN$171,38,FALSE)+VLOOKUP(O311,CBIMPORT!$A$1:$AN$171,38,FALSE)+VLOOKUP(P311,CBIMPORT!$A$1:$AN$171,38,FALSE)+VLOOKUP(Q311,CBIMPORT!$A$1:$AN$171,38,FALSE)+VLOOKUP(R311,CBIMPORT!$A$1:$AN$171,38,FALSE)),
IF(COUNTA(M311:AC311)=7,(VLOOKUP(M311,CBIMPORT!$A$1:$AN$171,38,FALSE)+VLOOKUP(N311,CBIMPORT!$A$1:$AN$171,38,FALSE)+VLOOKUP(O311,CBIMPORT!$A$1:$AN$171,38,FALSE)+VLOOKUP(P311,CBIMPORT!$A$1:$AN$171,38,FALSE)+VLOOKUP(Q311,CBIMPORT!$A$1:$AN$171,38,FALSE)+VLOOKUP(R311,CBIMPORT!$A$1:$AN$171,38,FALSE)+VLOOKUP(S311,CBIMPORT!$A$1:$AN$171,38,FALSE)),
IF(COUNTA(M311:AC311)=7,(VLOOKUP(M311,CBIMPORT!$A$1:$AN$171,38,FALSE)+VLOOKUP(N311,CBIMPORT!$A$1:$AN$171,38,FALSE)+VLOOKUP(O311,CBIMPORT!$A$1:$AN$171,38,FALSE)+VLOOKUP(P311,CBIMPORT!$A$1:$AN$171,38,FALSE)+VLOOKUP(Q311,CBIMPORT!$A$1:$AN$171,38,FALSE)+VLOOKUP(R311,CBIMPORT!$A$1:$AN$171,38,FALSE)+VLOOKUP(S311,CBIMPORT!$A$1:$AN$171,38,FALSE)+VLOOKUP(T311,CBIMPORT!$A$1:$AN$171,38,FALSE)),
IF(COUNTA(M311:AC311)=8,(VLOOKUP(M311,CBIMPORT!$A$1:$AN$171,38,FALSE)+VLOOKUP(N311,CBIMPORT!$A$1:$AN$171,38,FALSE)+VLOOKUP(O311,CBIMPORT!$A$1:$AN$171,38,FALSE)+VLOOKUP(P311,CBIMPORT!$A$1:$AN$171,38,FALSE)+VLOOKUP(Q311,CBIMPORT!$A$1:$AN$171,38,FALSE)+VLOOKUP(R311,CBIMPORT!$A$1:$AN$171,38,FALSE)+VLOOKUP(S311,CBIMPORT!$A$1:$AN$171,38,FALSE)+VLOOKUP(T311,CBIMPORT!$A$1:$AN$171,38,FALSE)),
IF(COUNTA(M311:AC311)=9,(VLOOKUP(M311,CBIMPORT!$A$1:$AN$171,38,FALSE)+VLOOKUP(N311,CBIMPORT!$A$1:$AN$171,38,FALSE)+VLOOKUP(O311,CBIMPORT!$A$1:$AN$171,38,FALSE)+VLOOKUP(P311,CBIMPORT!$A$1:$AN$171,38,FALSE)+VLOOKUP(Q311,CBIMPORT!$A$1:$AN$171,38,FALSE)+VLOOKUP(R311,CBIMPORT!$A$1:$AN$171,38,FALSE)+VLOOKUP(S311,CBIMPORT!$A$1:$AN$171,38,FALSE)+VLOOKUP(T311,CBIMPORT!$A$1:$AN$171,38,FALSE)+VLOOKUP(U311,CBIMPORT!$A$1:$AN$171,38,FALSE)),
IF(COUNTA(M311:AC311)=10,(VLOOKUP(M311,CBIMPORT!$A$1:$AN$171,38,FALSE)+VLOOKUP(N311,CBIMPORT!$A$1:$AN$171,38,FALSE)+VLOOKUP(O311,CBIMPORT!$A$1:$AN$171,38,FALSE)+VLOOKUP(P311,CBIMPORT!$A$1:$AN$171,38,FALSE)+VLOOKUP(Q311,CBIMPORT!$A$1:$AN$171,38,FALSE)+VLOOKUP(R311,CBIMPORT!$A$1:$AN$171,38,FALSE)+VLOOKUP(S311,CBIMPORT!$A$1:$AN$171,38,FALSE)+VLOOKUP(T311,CBIMPORT!$A$1:$AN$171,38,FALSE)),
IF(COUNTA(M311:AC311)=14,(VLOOKUP(M311,CBIMPORT!$A$1:$AN$171,38,FALSE)+VLOOKUP(N311,CBIMPORT!$A$1:$AN$171,38,FALSE)+VLOOKUP(O311,CBIMPORT!$A$1:$AN$171,38,FALSE)+VLOOKUP(P311,CBIMPORT!$A$1:$AN$171,38,FALSE)+VLOOKUP(Q311,CBIMPORT!$A$1:$AN$171,38,FALSE)+VLOOKUP(R311,CBIMPORT!$A$1:$AN$171,38,FALSE)+VLOOKUP(S311,CBIMPORT!$A$1:$AN$171,38,FALSE)+VLOOKUP(T311,CBIMPORT!$A$1:$AN$171,38,FALSE)+VLOOKUP(U311,CBIMPORT!$A$1:$AN$171,38,FALSE)+VLOOKUP(V311,CBIMPORT!$A$1:$AN$171,38,FALSE)+VLOOKUP(W311,CBIMPORT!$A$1:$AN$171,38,FALSE)+VLOOKUP(X311,CBIMPORT!$A$1:$AN$171,38,FALSE)),
IF(COUNTA(M311:AC311)=16,(VLOOKUP(M311,CBIMPORT!$A$1:$AN$171,38,FALSE)+VLOOKUP(N311,CBIMPORT!$A$1:$AN$171,38,FALSE)+VLOOKUP(O311,CBIMPORT!$A$1:$AN$171,38,FALSE)+VLOOKUP(P311,CBIMPORT!$A$1:$AN$171,38,FALSE)+VLOOKUP(Q311,CBIMPORT!$A$1:$AN$171,38,FALSE)+VLOOKUP(R311,CBIMPORT!$A$1:$AN$171,38,FALSE)+VLOOKUP(S311,CBIMPORT!$A$1:$AN$171,38,FALSE)+VLOOKUP(T311,CBIMPORT!$A$1:$AN$171,38,FALSE)+VLOOKUP(U311,CBIMPORT!$A$1:$AN$171,38,FALSE)+VLOOKUP(V311,CBIMPORT!$A$1:$AN$171,38,FALSE)+VLOOKUP(W311,CBIMPORT!$A$1:$AN$171,38,FALSE)+VLOOKUP(X311,CBIMPORT!$A$1:$AN$171,38,FALSE)+VLOOKUP(Y311,CBIMPORT!$A$1:$AN$171,38,FALSE)+VLOOKUP(Z311,CBIMPORT!$A$1:$AN$171,38,FALSE)))))))))))))))))</f>
        <v>1</v>
      </c>
      <c r="M311" s="21" t="str" cm="1">
        <f t="array" ref="M311">IF(D212&gt;0,
TRANSPOSE(_xlfn._xlws.FILTER(
CHOOSE(
{1},
ANNOUNCEMENTS!$L$1:$L$180,
ANNOUNCEMENTS!$M$1:$M$180,
ANNOUNCEMENTS!$N$1:$N$180
),
((ANNOUNCEMENTS!$E$1:$E$180=B212)*(ANNOUNCEMENTS!$L$1:$L$180&lt;&gt;""))*
((ANNOUNCEMENTS!$J$1:$J$180=C212)))))</f>
        <v>TuSimple</v>
      </c>
    </row>
    <row r="312" spans="1:38" hidden="1" x14ac:dyDescent="0.35">
      <c r="A312" s="21" t="str">
        <v>Liftango</v>
      </c>
      <c r="C312" s="21"/>
      <c r="L312" s="293">
        <f>IF(ISERROR(M312),0,
IF(COUNTA(M312:AC312)=1,(VLOOKUP(M312,CBIMPORT!$A$1:$AN$171,38,FALSE)),
IF(COUNTA(M312:AC312)=2,(VLOOKUP(M312,CBIMPORT!$A$1:$AN$171,38,FALSE)+VLOOKUP(N312,CBIMPORT!$A$1:$AN$171,38,FALSE)),
IF(COUNTA(M312:AC312)=3,(VLOOKUP(M312,CBIMPORT!$A$1:$AN$171,38,FALSE)+VLOOKUP(N312,CBIMPORT!$A$1:$AN$171,38,FALSE)+VLOOKUP(O312,CBIMPORT!$A$1:$AN$171,38,FALSE)),
IF(COUNTA(M312:AC312)=4,(VLOOKUP(M312,CBIMPORT!$A$1:$AN$171,38,FALSE)+VLOOKUP(N312,CBIMPORT!$A$1:$AN$171,38,FALSE)+VLOOKUP(O312,CBIMPORT!$A$1:$AN$171,38,FALSE)+VLOOKUP(P312,CBIMPORT!$A$1:$AN$171,38,FALSE)),
IF(COUNTA(M312:AC312)=5,(VLOOKUP(M312,CBIMPORT!$A$1:$AN$171,38,FALSE)+VLOOKUP(N312,CBIMPORT!$A$1:$AN$171,38,FALSE)+VLOOKUP(O312,CBIMPORT!$A$1:$AN$171,38,FALSE)+VLOOKUP(P312,CBIMPORT!$A$1:$AN$171,38,FALSE)+VLOOKUP(Q312,CBIMPORT!$A$1:$AN$171,38,FALSE)),IF(COUNTA(M312:AC312),
IF(COUNTA(M312:AC312)=6,(VLOOKUP(M312,CBIMPORT!$A$1:$AN$171,38,FALSE)+VLOOKUP(N312,CBIMPORT!$A$1:$AN$171,38,FALSE)+VLOOKUP(O312,CBIMPORT!$A$1:$AN$171,38,FALSE)+VLOOKUP(P312,CBIMPORT!$A$1:$AN$171,38,FALSE)+VLOOKUP(Q312,CBIMPORT!$A$1:$AN$171,38,FALSE)+VLOOKUP(R312,CBIMPORT!$A$1:$AN$171,38,FALSE)),
IF(COUNTA(M312:AC312)=7,(VLOOKUP(M312,CBIMPORT!$A$1:$AN$171,38,FALSE)+VLOOKUP(N312,CBIMPORT!$A$1:$AN$171,38,FALSE)+VLOOKUP(O312,CBIMPORT!$A$1:$AN$171,38,FALSE)+VLOOKUP(P312,CBIMPORT!$A$1:$AN$171,38,FALSE)+VLOOKUP(Q312,CBIMPORT!$A$1:$AN$171,38,FALSE)+VLOOKUP(R312,CBIMPORT!$A$1:$AN$171,38,FALSE)+VLOOKUP(S312,CBIMPORT!$A$1:$AN$171,38,FALSE)),
IF(COUNTA(M312:AC312)=7,(VLOOKUP(M312,CBIMPORT!$A$1:$AN$171,38,FALSE)+VLOOKUP(N312,CBIMPORT!$A$1:$AN$171,38,FALSE)+VLOOKUP(O312,CBIMPORT!$A$1:$AN$171,38,FALSE)+VLOOKUP(P312,CBIMPORT!$A$1:$AN$171,38,FALSE)+VLOOKUP(Q312,CBIMPORT!$A$1:$AN$171,38,FALSE)+VLOOKUP(R312,CBIMPORT!$A$1:$AN$171,38,FALSE)+VLOOKUP(S312,CBIMPORT!$A$1:$AN$171,38,FALSE)+VLOOKUP(T312,CBIMPORT!$A$1:$AN$171,38,FALSE)),
IF(COUNTA(M312:AC312)=8,(VLOOKUP(M312,CBIMPORT!$A$1:$AN$171,38,FALSE)+VLOOKUP(N312,CBIMPORT!$A$1:$AN$171,38,FALSE)+VLOOKUP(O312,CBIMPORT!$A$1:$AN$171,38,FALSE)+VLOOKUP(P312,CBIMPORT!$A$1:$AN$171,38,FALSE)+VLOOKUP(Q312,CBIMPORT!$A$1:$AN$171,38,FALSE)+VLOOKUP(R312,CBIMPORT!$A$1:$AN$171,38,FALSE)+VLOOKUP(S312,CBIMPORT!$A$1:$AN$171,38,FALSE)+VLOOKUP(T312,CBIMPORT!$A$1:$AN$171,38,FALSE)),
IF(COUNTA(M312:AC312)=9,(VLOOKUP(M312,CBIMPORT!$A$1:$AN$171,38,FALSE)+VLOOKUP(N312,CBIMPORT!$A$1:$AN$171,38,FALSE)+VLOOKUP(O312,CBIMPORT!$A$1:$AN$171,38,FALSE)+VLOOKUP(P312,CBIMPORT!$A$1:$AN$171,38,FALSE)+VLOOKUP(Q312,CBIMPORT!$A$1:$AN$171,38,FALSE)+VLOOKUP(R312,CBIMPORT!$A$1:$AN$171,38,FALSE)+VLOOKUP(S312,CBIMPORT!$A$1:$AN$171,38,FALSE)+VLOOKUP(T312,CBIMPORT!$A$1:$AN$171,38,FALSE)+VLOOKUP(U312,CBIMPORT!$A$1:$AN$171,38,FALSE)),
IF(COUNTA(M312:AC312)=10,(VLOOKUP(M312,CBIMPORT!$A$1:$AN$171,38,FALSE)+VLOOKUP(N312,CBIMPORT!$A$1:$AN$171,38,FALSE)+VLOOKUP(O312,CBIMPORT!$A$1:$AN$171,38,FALSE)+VLOOKUP(P312,CBIMPORT!$A$1:$AN$171,38,FALSE)+VLOOKUP(Q312,CBIMPORT!$A$1:$AN$171,38,FALSE)+VLOOKUP(R312,CBIMPORT!$A$1:$AN$171,38,FALSE)+VLOOKUP(S312,CBIMPORT!$A$1:$AN$171,38,FALSE)+VLOOKUP(T312,CBIMPORT!$A$1:$AN$171,38,FALSE)),
IF(COUNTA(M312:AC312)=14,(VLOOKUP(M312,CBIMPORT!$A$1:$AN$171,38,FALSE)+VLOOKUP(N312,CBIMPORT!$A$1:$AN$171,38,FALSE)+VLOOKUP(O312,CBIMPORT!$A$1:$AN$171,38,FALSE)+VLOOKUP(P312,CBIMPORT!$A$1:$AN$171,38,FALSE)+VLOOKUP(Q312,CBIMPORT!$A$1:$AN$171,38,FALSE)+VLOOKUP(R312,CBIMPORT!$A$1:$AN$171,38,FALSE)+VLOOKUP(S312,CBIMPORT!$A$1:$AN$171,38,FALSE)+VLOOKUP(T312,CBIMPORT!$A$1:$AN$171,38,FALSE)+VLOOKUP(U312,CBIMPORT!$A$1:$AN$171,38,FALSE)+VLOOKUP(V312,CBIMPORT!$A$1:$AN$171,38,FALSE)+VLOOKUP(W312,CBIMPORT!$A$1:$AN$171,38,FALSE)+VLOOKUP(X312,CBIMPORT!$A$1:$AN$171,38,FALSE)),
IF(COUNTA(M312:AC312)=16,(VLOOKUP(M312,CBIMPORT!$A$1:$AN$171,38,FALSE)+VLOOKUP(N312,CBIMPORT!$A$1:$AN$171,38,FALSE)+VLOOKUP(O312,CBIMPORT!$A$1:$AN$171,38,FALSE)+VLOOKUP(P312,CBIMPORT!$A$1:$AN$171,38,FALSE)+VLOOKUP(Q312,CBIMPORT!$A$1:$AN$171,38,FALSE)+VLOOKUP(R312,CBIMPORT!$A$1:$AN$171,38,FALSE)+VLOOKUP(S312,CBIMPORT!$A$1:$AN$171,38,FALSE)+VLOOKUP(T312,CBIMPORT!$A$1:$AN$171,38,FALSE)+VLOOKUP(U312,CBIMPORT!$A$1:$AN$171,38,FALSE)+VLOOKUP(V312,CBIMPORT!$A$1:$AN$171,38,FALSE)+VLOOKUP(W312,CBIMPORT!$A$1:$AN$171,38,FALSE)+VLOOKUP(X312,CBIMPORT!$A$1:$AN$171,38,FALSE)+VLOOKUP(Y312,CBIMPORT!$A$1:$AN$171,38,FALSE)+VLOOKUP(Z312,CBIMPORT!$A$1:$AN$171,38,FALSE)))))))))))))))))</f>
        <v>0</v>
      </c>
      <c r="M312" s="21" t="str" cm="1">
        <f t="array" ref="M312">IF(D213&gt;0,
TRANSPOSE(_xlfn._xlws.FILTER(
CHOOSE(
{1},
ANNOUNCEMENTS!$L$1:$L$180,
ANNOUNCEMENTS!$M$1:$M$180,
ANNOUNCEMENTS!$N$1:$N$180
),
((ANNOUNCEMENTS!$E$1:$E$180=B213)*(ANNOUNCEMENTS!$L$1:$L$180&lt;&gt;""))*
((ANNOUNCEMENTS!$J$1:$J$180=C213)))))</f>
        <v>Uber Freight</v>
      </c>
    </row>
    <row r="313" spans="1:38" hidden="1" x14ac:dyDescent="0.35">
      <c r="A313" s="21" t="str">
        <v>Via</v>
      </c>
      <c r="C313" s="21"/>
      <c r="L313" s="293">
        <f>IF(ISERROR(M313),0,
IF(COUNTA(M313:AC313)=1,(VLOOKUP(M313,CBIMPORT!$A$1:$AN$171,38,FALSE)),
IF(COUNTA(M313:AC313)=2,(VLOOKUP(M313,CBIMPORT!$A$1:$AN$171,38,FALSE)+VLOOKUP(N313,CBIMPORT!$A$1:$AN$171,38,FALSE)),
IF(COUNTA(M313:AC313)=3,(VLOOKUP(M313,CBIMPORT!$A$1:$AN$171,38,FALSE)+VLOOKUP(N313,CBIMPORT!$A$1:$AN$171,38,FALSE)+VLOOKUP(O313,CBIMPORT!$A$1:$AN$171,38,FALSE)),
IF(COUNTA(M313:AC313)=4,(VLOOKUP(M313,CBIMPORT!$A$1:$AN$171,38,FALSE)+VLOOKUP(N313,CBIMPORT!$A$1:$AN$171,38,FALSE)+VLOOKUP(O313,CBIMPORT!$A$1:$AN$171,38,FALSE)+VLOOKUP(P313,CBIMPORT!$A$1:$AN$171,38,FALSE)),
IF(COUNTA(M313:AC313)=5,(VLOOKUP(M313,CBIMPORT!$A$1:$AN$171,38,FALSE)+VLOOKUP(N313,CBIMPORT!$A$1:$AN$171,38,FALSE)+VLOOKUP(O313,CBIMPORT!$A$1:$AN$171,38,FALSE)+VLOOKUP(P313,CBIMPORT!$A$1:$AN$171,38,FALSE)+VLOOKUP(Q313,CBIMPORT!$A$1:$AN$171,38,FALSE)),IF(COUNTA(M313:AC313),
IF(COUNTA(M313:AC313)=6,(VLOOKUP(M313,CBIMPORT!$A$1:$AN$171,38,FALSE)+VLOOKUP(N313,CBIMPORT!$A$1:$AN$171,38,FALSE)+VLOOKUP(O313,CBIMPORT!$A$1:$AN$171,38,FALSE)+VLOOKUP(P313,CBIMPORT!$A$1:$AN$171,38,FALSE)+VLOOKUP(Q313,CBIMPORT!$A$1:$AN$171,38,FALSE)+VLOOKUP(R313,CBIMPORT!$A$1:$AN$171,38,FALSE)),
IF(COUNTA(M313:AC313)=7,(VLOOKUP(M313,CBIMPORT!$A$1:$AN$171,38,FALSE)+VLOOKUP(N313,CBIMPORT!$A$1:$AN$171,38,FALSE)+VLOOKUP(O313,CBIMPORT!$A$1:$AN$171,38,FALSE)+VLOOKUP(P313,CBIMPORT!$A$1:$AN$171,38,FALSE)+VLOOKUP(Q313,CBIMPORT!$A$1:$AN$171,38,FALSE)+VLOOKUP(R313,CBIMPORT!$A$1:$AN$171,38,FALSE)+VLOOKUP(S313,CBIMPORT!$A$1:$AN$171,38,FALSE)),
IF(COUNTA(M313:AC313)=7,(VLOOKUP(M313,CBIMPORT!$A$1:$AN$171,38,FALSE)+VLOOKUP(N313,CBIMPORT!$A$1:$AN$171,38,FALSE)+VLOOKUP(O313,CBIMPORT!$A$1:$AN$171,38,FALSE)+VLOOKUP(P313,CBIMPORT!$A$1:$AN$171,38,FALSE)+VLOOKUP(Q313,CBIMPORT!$A$1:$AN$171,38,FALSE)+VLOOKUP(R313,CBIMPORT!$A$1:$AN$171,38,FALSE)+VLOOKUP(S313,CBIMPORT!$A$1:$AN$171,38,FALSE)+VLOOKUP(T313,CBIMPORT!$A$1:$AN$171,38,FALSE)),
IF(COUNTA(M313:AC313)=8,(VLOOKUP(M313,CBIMPORT!$A$1:$AN$171,38,FALSE)+VLOOKUP(N313,CBIMPORT!$A$1:$AN$171,38,FALSE)+VLOOKUP(O313,CBIMPORT!$A$1:$AN$171,38,FALSE)+VLOOKUP(P313,CBIMPORT!$A$1:$AN$171,38,FALSE)+VLOOKUP(Q313,CBIMPORT!$A$1:$AN$171,38,FALSE)+VLOOKUP(R313,CBIMPORT!$A$1:$AN$171,38,FALSE)+VLOOKUP(S313,CBIMPORT!$A$1:$AN$171,38,FALSE)+VLOOKUP(T313,CBIMPORT!$A$1:$AN$171,38,FALSE)),
IF(COUNTA(M313:AC313)=9,(VLOOKUP(M313,CBIMPORT!$A$1:$AN$171,38,FALSE)+VLOOKUP(N313,CBIMPORT!$A$1:$AN$171,38,FALSE)+VLOOKUP(O313,CBIMPORT!$A$1:$AN$171,38,FALSE)+VLOOKUP(P313,CBIMPORT!$A$1:$AN$171,38,FALSE)+VLOOKUP(Q313,CBIMPORT!$A$1:$AN$171,38,FALSE)+VLOOKUP(R313,CBIMPORT!$A$1:$AN$171,38,FALSE)+VLOOKUP(S313,CBIMPORT!$A$1:$AN$171,38,FALSE)+VLOOKUP(T313,CBIMPORT!$A$1:$AN$171,38,FALSE)+VLOOKUP(U313,CBIMPORT!$A$1:$AN$171,38,FALSE)),
IF(COUNTA(M313:AC313)=10,(VLOOKUP(M313,CBIMPORT!$A$1:$AN$171,38,FALSE)+VLOOKUP(N313,CBIMPORT!$A$1:$AN$171,38,FALSE)+VLOOKUP(O313,CBIMPORT!$A$1:$AN$171,38,FALSE)+VLOOKUP(P313,CBIMPORT!$A$1:$AN$171,38,FALSE)+VLOOKUP(Q313,CBIMPORT!$A$1:$AN$171,38,FALSE)+VLOOKUP(R313,CBIMPORT!$A$1:$AN$171,38,FALSE)+VLOOKUP(S313,CBIMPORT!$A$1:$AN$171,38,FALSE)+VLOOKUP(T313,CBIMPORT!$A$1:$AN$171,38,FALSE)),
IF(COUNTA(M313:AC313)=14,(VLOOKUP(M313,CBIMPORT!$A$1:$AN$171,38,FALSE)+VLOOKUP(N313,CBIMPORT!$A$1:$AN$171,38,FALSE)+VLOOKUP(O313,CBIMPORT!$A$1:$AN$171,38,FALSE)+VLOOKUP(P313,CBIMPORT!$A$1:$AN$171,38,FALSE)+VLOOKUP(Q313,CBIMPORT!$A$1:$AN$171,38,FALSE)+VLOOKUP(R313,CBIMPORT!$A$1:$AN$171,38,FALSE)+VLOOKUP(S313,CBIMPORT!$A$1:$AN$171,38,FALSE)+VLOOKUP(T313,CBIMPORT!$A$1:$AN$171,38,FALSE)+VLOOKUP(U313,CBIMPORT!$A$1:$AN$171,38,FALSE)+VLOOKUP(V313,CBIMPORT!$A$1:$AN$171,38,FALSE)+VLOOKUP(W313,CBIMPORT!$A$1:$AN$171,38,FALSE)+VLOOKUP(X313,CBIMPORT!$A$1:$AN$171,38,FALSE)),
IF(COUNTA(M313:AC313)=16,(VLOOKUP(M313,CBIMPORT!$A$1:$AN$171,38,FALSE)+VLOOKUP(N313,CBIMPORT!$A$1:$AN$171,38,FALSE)+VLOOKUP(O313,CBIMPORT!$A$1:$AN$171,38,FALSE)+VLOOKUP(P313,CBIMPORT!$A$1:$AN$171,38,FALSE)+VLOOKUP(Q313,CBIMPORT!$A$1:$AN$171,38,FALSE)+VLOOKUP(R313,CBIMPORT!$A$1:$AN$171,38,FALSE)+VLOOKUP(S313,CBIMPORT!$A$1:$AN$171,38,FALSE)+VLOOKUP(T313,CBIMPORT!$A$1:$AN$171,38,FALSE)+VLOOKUP(U313,CBIMPORT!$A$1:$AN$171,38,FALSE)+VLOOKUP(V313,CBIMPORT!$A$1:$AN$171,38,FALSE)+VLOOKUP(W313,CBIMPORT!$A$1:$AN$171,38,FALSE)+VLOOKUP(X313,CBIMPORT!$A$1:$AN$171,38,FALSE)+VLOOKUP(Y313,CBIMPORT!$A$1:$AN$171,38,FALSE)+VLOOKUP(Z313,CBIMPORT!$A$1:$AN$171,38,FALSE)))))))))))))))))</f>
        <v>0</v>
      </c>
      <c r="M313" s="21" t="str" cm="1">
        <f t="array" ref="M313">IF(D214&gt;0,
TRANSPOSE(_xlfn._xlws.FILTER(
CHOOSE(
{1},
ANNOUNCEMENTS!$L$1:$L$180,
ANNOUNCEMENTS!$M$1:$M$180,
ANNOUNCEMENTS!$N$1:$N$180
),
((ANNOUNCEMENTS!$E$1:$E$180=B214)*(ANNOUNCEMENTS!$L$1:$L$180&lt;&gt;""))*
((ANNOUNCEMENTS!$J$1:$J$180=C214)))))</f>
        <v>Waymo</v>
      </c>
    </row>
    <row r="314" spans="1:38" hidden="1" x14ac:dyDescent="0.35">
      <c r="A314" s="21" t="str">
        <v>Mission Secure</v>
      </c>
      <c r="C314" s="21"/>
      <c r="AL314" s="292"/>
    </row>
    <row r="315" spans="1:38" hidden="1" x14ac:dyDescent="0.35">
      <c r="A315" s="21" t="str">
        <v>Goggo Network</v>
      </c>
      <c r="C315" s="21"/>
      <c r="AL315" s="289"/>
    </row>
    <row r="316" spans="1:38" hidden="1" x14ac:dyDescent="0.35">
      <c r="A316" s="21" t="str">
        <v>MAN Truck &amp; Bus</v>
      </c>
      <c r="C316" s="21"/>
      <c r="AL316" s="289"/>
    </row>
    <row r="317" spans="1:38" hidden="1" x14ac:dyDescent="0.35">
      <c r="A317" s="21" t="str">
        <v>Porsche</v>
      </c>
      <c r="C317" s="21"/>
      <c r="AL317" s="289"/>
    </row>
    <row r="318" spans="1:38" hidden="1" x14ac:dyDescent="0.35">
      <c r="A318" s="21" t="str">
        <v>Ecarx</v>
      </c>
      <c r="C318" s="21"/>
      <c r="AL318" s="289"/>
    </row>
    <row r="319" spans="1:38" hidden="1" x14ac:dyDescent="0.35">
      <c r="A319" s="21" t="str">
        <v>FAW Group</v>
      </c>
      <c r="C319" s="21"/>
      <c r="AL319" s="289"/>
    </row>
    <row r="320" spans="1:38" hidden="1" x14ac:dyDescent="0.35">
      <c r="A320" s="21" t="str">
        <v>WILLER</v>
      </c>
      <c r="C320" s="21"/>
      <c r="AL320" s="291"/>
    </row>
    <row r="321" spans="1:37" hidden="1" x14ac:dyDescent="0.35">
      <c r="A321" s="21" t="str">
        <v xml:space="preserve">Wistron NeWeb Corp </v>
      </c>
      <c r="C321" s="21"/>
      <c r="AK321" s="289"/>
    </row>
    <row r="322" spans="1:37" hidden="1" x14ac:dyDescent="0.35">
      <c r="A322" s="21" t="str">
        <v>Geely</v>
      </c>
      <c r="C322" s="21"/>
      <c r="AK322" s="289"/>
    </row>
    <row r="323" spans="1:37" hidden="1" x14ac:dyDescent="0.35">
      <c r="A323" s="21" t="str">
        <v>Zeekr</v>
      </c>
      <c r="C323" s="21"/>
      <c r="AK323" s="289"/>
    </row>
    <row r="324" spans="1:37" hidden="1" x14ac:dyDescent="0.35">
      <c r="A324" s="21" t="str">
        <v>Valeo</v>
      </c>
      <c r="C324" s="21"/>
      <c r="AK324" s="289"/>
    </row>
    <row r="325" spans="1:37" hidden="1" x14ac:dyDescent="0.35">
      <c r="A325" s="21" t="str">
        <v>Zeekr</v>
      </c>
      <c r="C325" s="21"/>
      <c r="AK325" s="289"/>
    </row>
    <row r="326" spans="1:37" hidden="1" x14ac:dyDescent="0.35">
      <c r="A326" s="21" t="str">
        <v>HOCHBAHN</v>
      </c>
      <c r="C326" s="21"/>
      <c r="AK326" s="289"/>
    </row>
    <row r="327" spans="1:37" hidden="1" x14ac:dyDescent="0.35">
      <c r="A327" s="21">
        <v>0</v>
      </c>
      <c r="C327" s="21"/>
      <c r="AK327" s="289"/>
    </row>
    <row r="328" spans="1:37" hidden="1" x14ac:dyDescent="0.35">
      <c r="A328" s="21" t="str">
        <v>Derq</v>
      </c>
      <c r="C328" s="21"/>
      <c r="AK328" s="289"/>
    </row>
    <row r="329" spans="1:37" hidden="1" x14ac:dyDescent="0.35">
      <c r="A329" s="21" t="str">
        <v>Boston University</v>
      </c>
      <c r="C329" s="21"/>
      <c r="AK329" s="289"/>
    </row>
    <row r="330" spans="1:37" hidden="1" x14ac:dyDescent="0.35">
      <c r="A330" s="21" t="str">
        <v>tfnsw</v>
      </c>
      <c r="C330" s="21"/>
      <c r="AK330" s="289"/>
    </row>
    <row r="331" spans="1:37" hidden="1" x14ac:dyDescent="0.35">
      <c r="A331" s="21" t="str">
        <v>Uber</v>
      </c>
      <c r="C331" s="21"/>
      <c r="AK331" s="289"/>
    </row>
    <row r="332" spans="1:37" hidden="1" x14ac:dyDescent="0.35">
      <c r="A332" s="21" t="str">
        <v>Valeo</v>
      </c>
      <c r="C332" s="21"/>
      <c r="AK332" s="289"/>
    </row>
    <row r="333" spans="1:37" hidden="1" x14ac:dyDescent="0.35">
      <c r="A333" s="21" t="str">
        <v>Ion</v>
      </c>
      <c r="C333" s="21"/>
      <c r="AK333" s="289"/>
    </row>
    <row r="334" spans="1:37" hidden="1" x14ac:dyDescent="0.35">
      <c r="A334" s="21" t="str">
        <v>Valeo</v>
      </c>
      <c r="C334" s="21"/>
      <c r="AK334" s="288"/>
    </row>
    <row r="335" spans="1:37" hidden="1" x14ac:dyDescent="0.35">
      <c r="A335" s="21" t="str">
        <v>Lohr</v>
      </c>
      <c r="C335" s="21"/>
    </row>
    <row r="336" spans="1:37" hidden="1" x14ac:dyDescent="0.35">
      <c r="A336" s="21" t="str">
        <v>Michelin</v>
      </c>
      <c r="C336" s="21"/>
    </row>
    <row r="337" spans="1:3" hidden="1" x14ac:dyDescent="0.35">
      <c r="A337" s="21" t="str">
        <v>Uber Eats</v>
      </c>
      <c r="C337" s="21"/>
    </row>
    <row r="338" spans="1:3" hidden="1" x14ac:dyDescent="0.35">
      <c r="A338" s="21" t="str">
        <v>eVersum</v>
      </c>
      <c r="C338" s="21"/>
    </row>
    <row r="339" spans="1:3" hidden="1" x14ac:dyDescent="0.35">
      <c r="A339" s="21" t="str">
        <v>Goggo Network</v>
      </c>
      <c r="C339" s="21"/>
    </row>
    <row r="340" spans="1:3" hidden="1" x14ac:dyDescent="0.35">
      <c r="A340" s="21" t="str">
        <v>Navtech Radar</v>
      </c>
      <c r="C340" s="21"/>
    </row>
    <row r="341" spans="1:3" hidden="1" x14ac:dyDescent="0.35">
      <c r="A341" s="21" t="str">
        <v>NEVS</v>
      </c>
      <c r="C341" s="21"/>
    </row>
    <row r="342" spans="1:3" hidden="1" x14ac:dyDescent="0.35">
      <c r="A342" s="21" t="str">
        <v>Ocado Group</v>
      </c>
      <c r="C342" s="21"/>
    </row>
    <row r="343" spans="1:3" hidden="1" x14ac:dyDescent="0.35">
      <c r="A343" s="21" t="str">
        <v>Global Finance Group</v>
      </c>
      <c r="C343" s="21"/>
    </row>
    <row r="344" spans="1:3" hidden="1" x14ac:dyDescent="0.35">
      <c r="A344" s="21" t="str">
        <v>Western Reserve Transit Authority</v>
      </c>
      <c r="C344" s="21"/>
    </row>
    <row r="345" spans="1:3" hidden="1" x14ac:dyDescent="0.35">
      <c r="A345" s="21" t="str">
        <v>SAE</v>
      </c>
      <c r="C345" s="21"/>
    </row>
    <row r="346" spans="1:3" hidden="1" x14ac:dyDescent="0.35">
      <c r="A346" s="21" t="str">
        <v>Tropos Technologies</v>
      </c>
      <c r="C346" s="21"/>
    </row>
    <row r="347" spans="1:3" hidden="1" x14ac:dyDescent="0.35">
      <c r="A347" s="21" t="str">
        <v>Tropos Technologies</v>
      </c>
      <c r="C347" s="21"/>
    </row>
    <row r="348" spans="1:3" hidden="1" x14ac:dyDescent="0.35">
      <c r="A348" s="21" t="str">
        <v>Greenpower</v>
      </c>
      <c r="C348" s="21"/>
    </row>
    <row r="349" spans="1:3" hidden="1" x14ac:dyDescent="0.35">
      <c r="A349" s="21" t="str">
        <v>Guident</v>
      </c>
      <c r="C349" s="21"/>
    </row>
    <row r="350" spans="1:3" hidden="1" x14ac:dyDescent="0.35">
      <c r="A350" s="21" t="str">
        <v>Lightning eMotors</v>
      </c>
      <c r="C350" s="21"/>
    </row>
    <row r="351" spans="1:3" hidden="1" x14ac:dyDescent="0.35">
      <c r="A351" s="21" t="str">
        <v>University of California</v>
      </c>
      <c r="C351" s="21"/>
    </row>
    <row r="352" spans="1:3" hidden="1" x14ac:dyDescent="0.35">
      <c r="A352" s="21" t="str">
        <v>Sustainability Partners</v>
      </c>
      <c r="C352" s="21"/>
    </row>
    <row r="353" spans="1:3" hidden="1" x14ac:dyDescent="0.35">
      <c r="A353" s="21" t="str">
        <v>Rampini</v>
      </c>
      <c r="C353" s="21"/>
    </row>
    <row r="354" spans="1:3" hidden="1" x14ac:dyDescent="0.35">
      <c r="A354" s="21" t="str">
        <v>Tropos Technologies</v>
      </c>
      <c r="C354" s="21"/>
    </row>
    <row r="355" spans="1:3" hidden="1" x14ac:dyDescent="0.35">
      <c r="A355" s="21" t="str">
        <v>GreenPower</v>
      </c>
      <c r="C355" s="21"/>
    </row>
    <row r="356" spans="1:3" hidden="1" x14ac:dyDescent="0.35">
      <c r="A356" s="21" t="str">
        <v>UVA Foundation</v>
      </c>
      <c r="C356" s="21"/>
    </row>
    <row r="357" spans="1:3" hidden="1" x14ac:dyDescent="0.35">
      <c r="A357" s="21" t="str">
        <v>E Charger Systems</v>
      </c>
      <c r="C357" s="21"/>
    </row>
    <row r="358" spans="1:3" hidden="1" x14ac:dyDescent="0.35">
      <c r="A358" s="21" t="str">
        <v>Bosch</v>
      </c>
      <c r="C358" s="21"/>
    </row>
    <row r="359" spans="1:3" hidden="1" x14ac:dyDescent="0.35">
      <c r="A359" s="21" t="str">
        <v>Minnesota Department of Transportation</v>
      </c>
      <c r="C359" s="21"/>
    </row>
    <row r="360" spans="1:3" hidden="1" x14ac:dyDescent="0.35">
      <c r="A360" s="21" t="str">
        <v>Transurban</v>
      </c>
      <c r="C360" s="21"/>
    </row>
    <row r="361" spans="1:3" hidden="1" x14ac:dyDescent="0.35">
      <c r="A361" s="21" t="str">
        <v>Goodyear</v>
      </c>
      <c r="C361" s="21"/>
    </row>
    <row r="362" spans="1:3" hidden="1" x14ac:dyDescent="0.35">
      <c r="A362" s="21" t="str">
        <v>IVECO</v>
      </c>
      <c r="C362" s="21"/>
    </row>
    <row r="363" spans="1:3" hidden="1" x14ac:dyDescent="0.35">
      <c r="A363" s="21" t="str">
        <v>Cummins</v>
      </c>
      <c r="C363" s="21"/>
    </row>
    <row r="364" spans="1:3" hidden="1" x14ac:dyDescent="0.35">
      <c r="A364" s="21" t="str">
        <v>Luminar</v>
      </c>
      <c r="C364" s="21"/>
    </row>
    <row r="365" spans="1:3" hidden="1" x14ac:dyDescent="0.35">
      <c r="A365" s="21" t="str">
        <v>Toyota</v>
      </c>
      <c r="C365" s="21"/>
    </row>
    <row r="366" spans="1:3" hidden="1" x14ac:dyDescent="0.35">
      <c r="A366" s="21" t="str">
        <v>Onsemi</v>
      </c>
      <c r="C366" s="21"/>
    </row>
    <row r="367" spans="1:3" hidden="1" x14ac:dyDescent="0.35">
      <c r="A367" s="21" t="str">
        <v>Horizon Robotics</v>
      </c>
      <c r="C367" s="21"/>
    </row>
    <row r="368" spans="1:3" hidden="1" x14ac:dyDescent="0.35">
      <c r="A368" s="21" t="str">
        <v>Toyota</v>
      </c>
      <c r="C368" s="21"/>
    </row>
    <row r="369" spans="1:3" hidden="1" x14ac:dyDescent="0.35">
      <c r="A369" s="21" t="str">
        <v>Luminar</v>
      </c>
      <c r="C369" s="21"/>
    </row>
    <row r="370" spans="1:3" hidden="1" x14ac:dyDescent="0.35">
      <c r="A370" s="21" t="str">
        <v>Sinotrans</v>
      </c>
      <c r="C370" s="21"/>
    </row>
    <row r="371" spans="1:3" hidden="1" x14ac:dyDescent="0.35">
      <c r="A371" s="21" t="str">
        <v>SANY Heavy Truck</v>
      </c>
      <c r="C371" s="21"/>
    </row>
    <row r="372" spans="1:3" hidden="1" x14ac:dyDescent="0.35">
      <c r="A372" s="21" t="str">
        <v>Nickelytics</v>
      </c>
      <c r="C372" s="21"/>
    </row>
    <row r="373" spans="1:3" hidden="1" x14ac:dyDescent="0.35">
      <c r="A373" s="21" t="str">
        <v>Pizza Hut</v>
      </c>
      <c r="C373" s="21"/>
    </row>
    <row r="374" spans="1:3" hidden="1" x14ac:dyDescent="0.35">
      <c r="A374" s="21" t="str">
        <v>Uber Eats</v>
      </c>
      <c r="C374" s="21"/>
    </row>
    <row r="375" spans="1:3" hidden="1" x14ac:dyDescent="0.35">
      <c r="A375" s="21" t="str">
        <v>Piestro</v>
      </c>
      <c r="C375" s="21"/>
    </row>
    <row r="376" spans="1:3" hidden="1" x14ac:dyDescent="0.35">
      <c r="A376" s="21" t="str">
        <v>Daimler Truck</v>
      </c>
      <c r="C376" s="21"/>
    </row>
    <row r="377" spans="1:3" hidden="1" x14ac:dyDescent="0.35">
      <c r="A377" s="21" t="str">
        <v>Applied Intuition</v>
      </c>
      <c r="C377" s="21"/>
    </row>
    <row r="378" spans="1:3" hidden="1" x14ac:dyDescent="0.35">
      <c r="A378" s="21" t="str">
        <v>Daimler Truck</v>
      </c>
      <c r="C378" s="21"/>
    </row>
    <row r="379" spans="1:3" hidden="1" x14ac:dyDescent="0.35">
      <c r="A379" s="21" t="str">
        <v>Torc</v>
      </c>
      <c r="C379" s="21"/>
    </row>
    <row r="380" spans="1:3" hidden="1" x14ac:dyDescent="0.35">
      <c r="A380" s="21" t="str">
        <v>LAVTA</v>
      </c>
      <c r="C380" s="21"/>
    </row>
    <row r="381" spans="1:3" hidden="1" x14ac:dyDescent="0.35">
      <c r="A381" s="21" t="str">
        <v>Delphi</v>
      </c>
      <c r="C381" s="21"/>
    </row>
    <row r="382" spans="1:3" hidden="1" x14ac:dyDescent="0.35">
      <c r="A382" s="21" t="str">
        <v>ZF</v>
      </c>
      <c r="C382" s="21"/>
    </row>
    <row r="383" spans="1:3" hidden="1" x14ac:dyDescent="0.35">
      <c r="A383" s="21" t="str">
        <v>ZF</v>
      </c>
      <c r="C383" s="21"/>
    </row>
    <row r="384" spans="1:3" hidden="1" x14ac:dyDescent="0.35">
      <c r="A384" s="21" t="str">
        <v>Navistar</v>
      </c>
      <c r="C384" s="21"/>
    </row>
    <row r="385" spans="1:3" hidden="1" x14ac:dyDescent="0.35">
      <c r="A385" s="21" t="str">
        <v>Traton</v>
      </c>
      <c r="C385" s="21"/>
    </row>
    <row r="386" spans="1:3" hidden="1" x14ac:dyDescent="0.35">
      <c r="A386" s="21" t="str">
        <v>Goodyear</v>
      </c>
      <c r="C386" s="21"/>
    </row>
    <row r="387" spans="1:3" hidden="1" x14ac:dyDescent="0.35">
      <c r="A387" s="21" t="str">
        <v>Liberty Mutual Insurance</v>
      </c>
      <c r="C387" s="21"/>
    </row>
    <row r="388" spans="1:3" hidden="1" x14ac:dyDescent="0.35">
      <c r="A388" s="21" t="str">
        <v>Ryder</v>
      </c>
      <c r="C388" s="21"/>
    </row>
    <row r="389" spans="1:3" hidden="1" x14ac:dyDescent="0.35">
      <c r="A389" s="21" t="str">
        <v>Loadsmith</v>
      </c>
      <c r="C389" s="21"/>
    </row>
    <row r="390" spans="1:3" hidden="1" x14ac:dyDescent="0.35">
      <c r="A390" s="21" t="str">
        <v>Hegelmann Group</v>
      </c>
      <c r="C390" s="21"/>
    </row>
    <row r="391" spans="1:3" hidden="1" x14ac:dyDescent="0.35">
      <c r="A391" s="21" t="str">
        <v>DHL</v>
      </c>
      <c r="C391" s="21"/>
    </row>
    <row r="392" spans="1:3" hidden="1" x14ac:dyDescent="0.35">
      <c r="A392" s="21" t="str">
        <v>Toyota</v>
      </c>
      <c r="C392" s="21"/>
    </row>
    <row r="393" spans="1:3" hidden="1" x14ac:dyDescent="0.35">
      <c r="A393" s="21" t="str">
        <v>Volvo Autonomous Solutions</v>
      </c>
      <c r="C393" s="21"/>
    </row>
    <row r="394" spans="1:3" hidden="1" x14ac:dyDescent="0.35">
      <c r="A394" s="21" t="str">
        <v>Waymo</v>
      </c>
      <c r="C394" s="21"/>
    </row>
    <row r="395" spans="1:3" hidden="1" x14ac:dyDescent="0.35">
      <c r="A395" s="21" t="str">
        <v>Walmart</v>
      </c>
      <c r="C395" s="21"/>
    </row>
    <row r="396" spans="1:3" hidden="1" x14ac:dyDescent="0.35">
      <c r="A396" s="21" t="str">
        <v>Farmstead</v>
      </c>
      <c r="C396" s="21"/>
    </row>
    <row r="397" spans="1:3" hidden="1" x14ac:dyDescent="0.35">
      <c r="A397" s="21" t="str">
        <v>H-E-B</v>
      </c>
      <c r="C397" s="21"/>
    </row>
    <row r="398" spans="1:3" hidden="1" x14ac:dyDescent="0.35">
      <c r="A398" s="21" t="str">
        <v>Mobileye</v>
      </c>
      <c r="C398" s="21"/>
    </row>
    <row r="399" spans="1:3" hidden="1" x14ac:dyDescent="0.35">
      <c r="A399" s="21" t="str">
        <v>MIT Center for Transportation &amp; Logistics</v>
      </c>
      <c r="C399" s="21"/>
    </row>
    <row r="400" spans="1:3" hidden="1" x14ac:dyDescent="0.35">
      <c r="A400" s="21" t="str">
        <v>Uber Freight</v>
      </c>
      <c r="C400" s="21"/>
    </row>
    <row r="401" spans="1:3" hidden="1" x14ac:dyDescent="0.35">
      <c r="A401" s="21" t="str">
        <v>Fiat Chrysler Automobiles</v>
      </c>
      <c r="C401" s="21"/>
    </row>
    <row r="402" spans="1:3" hidden="1" x14ac:dyDescent="0.35">
      <c r="A402" s="21" t="str">
        <v>Verily</v>
      </c>
      <c r="C402" s="21"/>
    </row>
    <row r="403" spans="1:3" hidden="1" x14ac:dyDescent="0.35">
      <c r="A403" s="21" t="str">
        <v>Swiss Re</v>
      </c>
      <c r="C403" s="21"/>
    </row>
    <row r="404" spans="1:3" hidden="1" x14ac:dyDescent="0.35">
      <c r="A404" s="21" t="str">
        <v>AAA Northern California, Nevada &amp; Utah</v>
      </c>
      <c r="C404" s="21"/>
    </row>
    <row r="405" spans="1:3" hidden="1" x14ac:dyDescent="0.35">
      <c r="A405" s="21" t="str">
        <v>Avis</v>
      </c>
      <c r="C405" s="21"/>
    </row>
    <row r="406" spans="1:3" hidden="1" x14ac:dyDescent="0.35">
      <c r="A406" s="21" t="str">
        <v>Valley Metro</v>
      </c>
      <c r="C406" s="21"/>
    </row>
    <row r="407" spans="1:3" hidden="1" x14ac:dyDescent="0.35">
      <c r="A407" s="21" t="str">
        <v>Lyft</v>
      </c>
      <c r="C407" s="21"/>
    </row>
    <row r="408" spans="1:3" hidden="1" x14ac:dyDescent="0.35">
      <c r="A408" s="21" t="str">
        <v>Alliance Ventures (Renault, Nissan, Mitsubishi)</v>
      </c>
      <c r="C408" s="21"/>
    </row>
    <row r="409" spans="1:3" hidden="1" x14ac:dyDescent="0.35">
      <c r="A409" s="21" t="str">
        <v>Volvo Car Group</v>
      </c>
      <c r="C409" s="21"/>
    </row>
    <row r="410" spans="1:3" hidden="1" x14ac:dyDescent="0.35">
      <c r="A410" s="21" t="str">
        <v>Asda</v>
      </c>
      <c r="C410" s="21"/>
    </row>
    <row r="411" spans="1:3" hidden="1" x14ac:dyDescent="0.35">
      <c r="A411" s="21" t="str">
        <v>Ocado Group</v>
      </c>
      <c r="C411" s="21"/>
    </row>
    <row r="412" spans="1:3" hidden="1" x14ac:dyDescent="0.35">
      <c r="A412" s="21" t="str">
        <v>NIO</v>
      </c>
      <c r="C412" s="21"/>
    </row>
    <row r="413" spans="1:3" hidden="1" x14ac:dyDescent="0.35">
      <c r="A413" s="21" t="str">
        <v>Anheuser - Busch InBev</v>
      </c>
      <c r="C413" s="21"/>
    </row>
    <row r="414" spans="1:3" hidden="1" x14ac:dyDescent="0.35">
      <c r="A414" s="21" t="str">
        <v>DB Regio</v>
      </c>
      <c r="C414" s="21"/>
    </row>
    <row r="415" spans="1:3" hidden="1" x14ac:dyDescent="0.35">
      <c r="A415" s="21" t="str">
        <v>Beep</v>
      </c>
      <c r="C415" s="21"/>
    </row>
    <row r="416" spans="1:3" hidden="1" x14ac:dyDescent="0.35">
      <c r="A416" s="21" t="str">
        <v>Beep</v>
      </c>
      <c r="C416" s="21"/>
    </row>
    <row r="417" spans="1:3" hidden="1" x14ac:dyDescent="0.35">
      <c r="A417" s="21" t="str">
        <v>Bolt</v>
      </c>
      <c r="C417" s="21"/>
    </row>
    <row r="418" spans="1:3" hidden="1" x14ac:dyDescent="0.35">
      <c r="A418" s="21" t="str">
        <v>May Mobility</v>
      </c>
      <c r="C418" s="21"/>
    </row>
    <row r="419" spans="1:3" hidden="1" x14ac:dyDescent="0.35">
      <c r="A419" s="21" t="str">
        <v>Navya</v>
      </c>
      <c r="C419" s="21"/>
    </row>
    <row r="420" spans="1:3" hidden="1" x14ac:dyDescent="0.35">
      <c r="A420" s="21" t="str">
        <v>Nuro</v>
      </c>
      <c r="C420" s="21"/>
    </row>
    <row r="421" spans="1:3" hidden="1" x14ac:dyDescent="0.35">
      <c r="A421" s="21" t="str">
        <v>ServeRobotics</v>
      </c>
      <c r="C421" s="21"/>
    </row>
    <row r="422" spans="1:3" hidden="1" x14ac:dyDescent="0.35">
      <c r="A422" s="21" t="str">
        <v>Transdev</v>
      </c>
      <c r="C422" s="21"/>
    </row>
    <row r="423" spans="1:3" hidden="1" x14ac:dyDescent="0.35">
      <c r="A423" s="21" t="str">
        <v>Transdev</v>
      </c>
      <c r="C423" s="21"/>
    </row>
    <row r="424" spans="1:3" hidden="1" x14ac:dyDescent="0.35">
      <c r="A424" s="21" t="str">
        <v>TuSimple</v>
      </c>
      <c r="C424" s="21"/>
    </row>
    <row r="425" spans="1:3" hidden="1" x14ac:dyDescent="0.35">
      <c r="A425" s="21" t="str">
        <v>Uber Freight</v>
      </c>
      <c r="C425" s="21"/>
    </row>
    <row r="426" spans="1:3" hidden="1" x14ac:dyDescent="0.35">
      <c r="A426" s="21" t="str">
        <v>Waabi</v>
      </c>
      <c r="C426" s="21"/>
    </row>
    <row r="427" spans="1:3" hidden="1" x14ac:dyDescent="0.35">
      <c r="A427" s="21" t="str">
        <v>Waymo</v>
      </c>
      <c r="C427" s="21"/>
    </row>
    <row r="428" spans="1:3" x14ac:dyDescent="0.35">
      <c r="C428" s="21"/>
    </row>
  </sheetData>
  <autoFilter ref="A159:BH215" xr:uid="{B7B11891-D2F2-4580-B255-C71F71CE0244}">
    <filterColumn colId="2">
      <filters>
        <filter val="Last-Mile"/>
        <filter val="Ridehailing"/>
        <filter val="Ridepooling"/>
        <filter val="Trucking"/>
      </filters>
    </filterColumn>
    <sortState xmlns:xlrd2="http://schemas.microsoft.com/office/spreadsheetml/2017/richdata2" ref="A160:BH214">
      <sortCondition ref="A159:A214"/>
    </sortState>
  </autoFilter>
  <conditionalFormatting sqref="B160:B215">
    <cfRule type="duplicateValues" dxfId="72" priority="22"/>
  </conditionalFormatting>
  <conditionalFormatting sqref="H38:P44">
    <cfRule type="colorScale" priority="23">
      <colorScale>
        <cfvo type="min"/>
        <cfvo type="max"/>
        <color rgb="FFFFF5C1"/>
        <color rgb="FF44A25D"/>
      </colorScale>
    </cfRule>
    <cfRule type="colorScale" priority="24">
      <colorScale>
        <cfvo type="min"/>
        <cfvo type="percentile" val="50"/>
        <cfvo type="max"/>
        <color rgb="FFF8696B"/>
        <color rgb="FFFFEB84"/>
        <color rgb="FF63BE7B"/>
      </colorScale>
    </cfRule>
  </conditionalFormatting>
  <conditionalFormatting sqref="H14:P20">
    <cfRule type="colorScale" priority="25">
      <colorScale>
        <cfvo type="min"/>
        <cfvo type="max"/>
        <color rgb="FFFFF5C1"/>
        <color rgb="FF44A25D"/>
      </colorScale>
    </cfRule>
    <cfRule type="colorScale" priority="26">
      <colorScale>
        <cfvo type="min"/>
        <cfvo type="percentile" val="50"/>
        <cfvo type="max"/>
        <color rgb="FFF8696B"/>
        <color rgb="FFFFEB84"/>
        <color rgb="FF63BE7B"/>
      </colorScale>
    </cfRule>
  </conditionalFormatting>
  <conditionalFormatting sqref="H26:P32">
    <cfRule type="colorScale" priority="27">
      <colorScale>
        <cfvo type="min"/>
        <cfvo type="max"/>
        <color rgb="FFFFF5C1"/>
        <color rgb="FF44A25D"/>
      </colorScale>
    </cfRule>
    <cfRule type="colorScale" priority="28">
      <colorScale>
        <cfvo type="min"/>
        <cfvo type="percentile" val="50"/>
        <cfvo type="max"/>
        <color rgb="FFF8696B"/>
        <color rgb="FFFFEB84"/>
        <color rgb="FF63BE7B"/>
      </colorScale>
    </cfRule>
  </conditionalFormatting>
  <conditionalFormatting sqref="M54:S57">
    <cfRule type="colorScale" priority="21">
      <colorScale>
        <cfvo type="min"/>
        <cfvo type="max"/>
        <color rgb="FFFFF5C1"/>
        <color rgb="FF44A25D"/>
      </colorScale>
    </cfRule>
  </conditionalFormatting>
  <conditionalFormatting sqref="M64:S67">
    <cfRule type="colorScale" priority="20">
      <colorScale>
        <cfvo type="min"/>
        <cfvo type="max"/>
        <color rgb="FFFFF5C1"/>
        <color rgb="FF44A25D"/>
      </colorScale>
    </cfRule>
  </conditionalFormatting>
  <conditionalFormatting sqref="M74:S77">
    <cfRule type="colorScale" priority="19">
      <colorScale>
        <cfvo type="min"/>
        <cfvo type="max"/>
        <color rgb="FFFFF5C1"/>
        <color rgb="FF44A25D"/>
      </colorScale>
    </cfRule>
  </conditionalFormatting>
  <conditionalFormatting sqref="M84:S87">
    <cfRule type="colorScale" priority="18">
      <colorScale>
        <cfvo type="min"/>
        <cfvo type="max"/>
        <color rgb="FFFFF5C1"/>
        <color rgb="FF44A25D"/>
      </colorScale>
    </cfRule>
  </conditionalFormatting>
  <conditionalFormatting sqref="V54:AK57">
    <cfRule type="colorScale" priority="16">
      <colorScale>
        <cfvo type="min"/>
        <cfvo type="max"/>
        <color rgb="FFFFF5C1"/>
        <color rgb="FF44A25D"/>
      </colorScale>
    </cfRule>
  </conditionalFormatting>
  <conditionalFormatting sqref="AE54:AK57">
    <cfRule type="colorScale" priority="17">
      <colorScale>
        <cfvo type="min"/>
        <cfvo type="max"/>
        <color rgb="FFFFF5C1"/>
        <color rgb="FF44A25D"/>
      </colorScale>
    </cfRule>
  </conditionalFormatting>
  <conditionalFormatting sqref="V64:AD67">
    <cfRule type="colorScale" priority="15">
      <colorScale>
        <cfvo type="min"/>
        <cfvo type="max"/>
        <color rgb="FFFFF5C1"/>
        <color rgb="FF44A25D"/>
      </colorScale>
    </cfRule>
  </conditionalFormatting>
  <conditionalFormatting sqref="V74:AD77">
    <cfRule type="colorScale" priority="14">
      <colorScale>
        <cfvo type="min"/>
        <cfvo type="max"/>
        <color rgb="FFFFF5C1"/>
        <color rgb="FF44A25D"/>
      </colorScale>
    </cfRule>
  </conditionalFormatting>
  <conditionalFormatting sqref="AE64:AK67">
    <cfRule type="colorScale" priority="12">
      <colorScale>
        <cfvo type="min"/>
        <cfvo type="max"/>
        <color rgb="FFFFF5C1"/>
        <color rgb="FF44A25D"/>
      </colorScale>
    </cfRule>
  </conditionalFormatting>
  <conditionalFormatting sqref="AE64:AK67">
    <cfRule type="colorScale" priority="13">
      <colorScale>
        <cfvo type="min"/>
        <cfvo type="max"/>
        <color rgb="FFFFF5C1"/>
        <color rgb="FF44A25D"/>
      </colorScale>
    </cfRule>
  </conditionalFormatting>
  <conditionalFormatting sqref="AE74:AK75 AE77:AK77 AF76:AK76">
    <cfRule type="colorScale" priority="10">
      <colorScale>
        <cfvo type="min"/>
        <cfvo type="max"/>
        <color rgb="FFFFF5C1"/>
        <color rgb="FF44A25D"/>
      </colorScale>
    </cfRule>
  </conditionalFormatting>
  <conditionalFormatting sqref="AE74:AK75">
    <cfRule type="colorScale" priority="11">
      <colorScale>
        <cfvo type="min"/>
        <cfvo type="max"/>
        <color rgb="FFFFF5C1"/>
        <color rgb="FF44A25D"/>
      </colorScale>
    </cfRule>
  </conditionalFormatting>
  <conditionalFormatting sqref="AE84:AK87">
    <cfRule type="colorScale" priority="8">
      <colorScale>
        <cfvo type="min"/>
        <cfvo type="max"/>
        <color rgb="FFFFF5C1"/>
        <color rgb="FF44A25D"/>
      </colorScale>
    </cfRule>
  </conditionalFormatting>
  <conditionalFormatting sqref="AE84:AK87">
    <cfRule type="colorScale" priority="9">
      <colorScale>
        <cfvo type="min"/>
        <cfvo type="max"/>
        <color rgb="FFFFF5C1"/>
        <color rgb="FF44A25D"/>
      </colorScale>
    </cfRule>
  </conditionalFormatting>
  <conditionalFormatting sqref="M54:M57 B54:J57">
    <cfRule type="colorScale" priority="29">
      <colorScale>
        <cfvo type="min"/>
        <cfvo type="max"/>
        <color rgb="FFFFF5C1"/>
        <color rgb="FF44A25D"/>
      </colorScale>
    </cfRule>
  </conditionalFormatting>
  <conditionalFormatting sqref="M64:S67 B64:J67">
    <cfRule type="colorScale" priority="30">
      <colorScale>
        <cfvo type="min"/>
        <cfvo type="max"/>
        <color rgb="FFFFF5C1"/>
        <color rgb="FF44A25D"/>
      </colorScale>
    </cfRule>
  </conditionalFormatting>
  <conditionalFormatting sqref="M74:S77 B74:J77">
    <cfRule type="colorScale" priority="31">
      <colorScale>
        <cfvo type="min"/>
        <cfvo type="max"/>
        <color rgb="FFFFF5C1"/>
        <color rgb="FF44A25D"/>
      </colorScale>
    </cfRule>
  </conditionalFormatting>
  <conditionalFormatting sqref="M84:S87 B84:J87">
    <cfRule type="colorScale" priority="32">
      <colorScale>
        <cfvo type="min"/>
        <cfvo type="max"/>
        <color rgb="FFFFF5C1"/>
        <color rgb="FF44A25D"/>
      </colorScale>
    </cfRule>
  </conditionalFormatting>
  <conditionalFormatting sqref="AE76">
    <cfRule type="colorScale" priority="7">
      <colorScale>
        <cfvo type="min"/>
        <cfvo type="max"/>
        <color rgb="FFFFF5C1"/>
        <color rgb="FF44A25D"/>
      </colorScale>
    </cfRule>
  </conditionalFormatting>
  <conditionalFormatting sqref="V84:AD87">
    <cfRule type="colorScale" priority="6">
      <colorScale>
        <cfvo type="min"/>
        <cfvo type="max"/>
        <color rgb="FFFFF5C1"/>
        <color rgb="FF44A25D"/>
      </colorScale>
    </cfRule>
  </conditionalFormatting>
  <conditionalFormatting sqref="M94:S95">
    <cfRule type="colorScale" priority="376">
      <colorScale>
        <cfvo type="min"/>
        <cfvo type="max"/>
        <color rgb="FFFFF5C1"/>
        <color rgb="FF44A25D"/>
      </colorScale>
    </cfRule>
  </conditionalFormatting>
  <conditionalFormatting sqref="AE94:AK95">
    <cfRule type="colorScale" priority="377">
      <colorScale>
        <cfvo type="min"/>
        <cfvo type="max"/>
        <color rgb="FFFFF5C1"/>
        <color rgb="FF44A25D"/>
      </colorScale>
    </cfRule>
  </conditionalFormatting>
  <conditionalFormatting sqref="B94:J95 M94:S95">
    <cfRule type="colorScale" priority="379">
      <colorScale>
        <cfvo type="min"/>
        <cfvo type="max"/>
        <color rgb="FFFFF5C1"/>
        <color rgb="FF44A25D"/>
      </colorScale>
    </cfRule>
  </conditionalFormatting>
  <conditionalFormatting sqref="V94:AD95">
    <cfRule type="colorScale" priority="381">
      <colorScale>
        <cfvo type="min"/>
        <cfvo type="max"/>
        <color rgb="FFFFF5C1"/>
        <color rgb="FF44A25D"/>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2343-7420-491E-8F13-3628A00632E7}">
  <dimension ref="A1:P197"/>
  <sheetViews>
    <sheetView zoomScale="55" zoomScaleNormal="55" workbookViewId="0"/>
  </sheetViews>
  <sheetFormatPr defaultRowHeight="14.5" x14ac:dyDescent="0.35"/>
  <cols>
    <col min="1" max="1" width="4.81640625" customWidth="1"/>
    <col min="2" max="2" width="9.453125" customWidth="1"/>
    <col min="3" max="3" width="10.54296875" style="66" customWidth="1"/>
    <col min="4" max="4" width="9.36328125" customWidth="1"/>
    <col min="5" max="5" width="5.1796875" customWidth="1"/>
    <col min="6" max="6" width="12.54296875" customWidth="1"/>
    <col min="7" max="7" width="135.26953125" bestFit="1" customWidth="1"/>
    <col min="8" max="8" width="15.7265625" customWidth="1"/>
    <col min="9" max="9" width="26.36328125" style="58" customWidth="1"/>
    <col min="10" max="10" width="24.7265625" customWidth="1"/>
    <col min="11" max="11" width="8.7265625" style="58"/>
    <col min="13" max="13" width="8.7265625" style="58"/>
    <col min="16" max="16" width="49.1796875" bestFit="1" customWidth="1"/>
  </cols>
  <sheetData>
    <row r="1" spans="1:16" s="59" customFormat="1" x14ac:dyDescent="0.35">
      <c r="A1" s="135" t="s">
        <v>2094</v>
      </c>
      <c r="B1" s="135" t="str" cm="1">
        <f t="array" ref="B1:P1">TRANSPOSE(CHOOSE({1;2;3;4;5;6;7;8;13;14;15;16;17;18;19},'Summary per Company and Use Cas'!A159,'Summary per Company and Use Cas'!B159,'Summary per Company and Use Cas'!C159,'Summary per Company and Use Cas'!M159,'Summary per Company and Use Cas'!D159, 'Summary per Company and Use Cas'!E159,'Summary per Company and Use Cas'!G159, 'Summary per Company and Use Cas'!H159,'Summary per Company and Use Cas'!I159,'Summary per Company and Use Cas'!J159,'Summary per Company and Use Cas'!K159,'Summary per Company and Use Cas'!L159,'Summary per Company and Use Cas'!AI159,'Summary per Company and Use Cas'!AJ159,'Summary per Company and Use Cas'!AK159,'Summary per Company and Use Cas'!AL159,'Summary per Company and Use Cas'!AO159,'Summary per Company and Use Cas'!AP159,'Summary per Company and Use Cas'!AQ159))</f>
        <v>Company combinations</v>
      </c>
      <c r="C1" s="286" t="str">
        <v>Company</v>
      </c>
      <c r="D1" s="135" t="str">
        <v>Industry</v>
      </c>
      <c r="E1" s="135" t="str">
        <v>Layer</v>
      </c>
      <c r="F1" s="135" t="str">
        <v>Announcements</v>
      </c>
      <c r="G1" s="135" t="str">
        <v>Partners</v>
      </c>
      <c r="H1" s="135" t="str">
        <v>Top 1 Industry</v>
      </c>
      <c r="I1" s="351" t="str">
        <v>Top 1%</v>
      </c>
      <c r="J1" s="59" t="str">
        <v>Total Customer relevant</v>
      </c>
      <c r="K1" s="350" t="str">
        <v>Total Product relevant</v>
      </c>
      <c r="L1" s="59" t="str">
        <v>Total Unserious</v>
      </c>
      <c r="M1" s="350" t="str">
        <v>Equity Partnerships</v>
      </c>
      <c r="N1" s="59" t="str">
        <v>IPO Status P(Public = 1; Private = 0)</v>
      </c>
      <c r="O1" s="59" t="str">
        <v>Employees (Nominal)</v>
      </c>
      <c r="P1" s="59" t="str">
        <v>Funding (currency adapted) (in millions)</v>
      </c>
    </row>
    <row r="2" spans="1:16" x14ac:dyDescent="0.35">
      <c r="A2" s="134">
        <v>1</v>
      </c>
      <c r="B2" s="134" t="str" cm="1">
        <f t="array" ref="B2:P2">TRANSPOSE(CHOOSE({1;2;3;4;5;6;7;8;13;14;15;16;17;18;19},'Summary per Company and Use Cas'!A160,'Summary per Company and Use Cas'!B160,'Summary per Company and Use Cas'!C160,'Summary per Company and Use Cas'!M160,'Summary per Company and Use Cas'!D160, 'Summary per Company and Use Cas'!E160,'Summary per Company and Use Cas'!G160, 'Summary per Company and Use Cas'!H160,'Summary per Company and Use Cas'!I160,'Summary per Company and Use Cas'!J160,'Summary per Company and Use Cas'!K160,'Summary per Company and Use Cas'!L160,'Summary per Company and Use Cas'!AI160,'Summary per Company and Use Cas'!AJ160,'Summary per Company and Use Cas'!AK160,'Summary per Company and Use Cas'!AL160,'Summary per Company and Use Cas'!AO160,'Summary per Company and Use Cas'!AP160,'Summary per Company and Use Cas'!AQ160))</f>
        <v>2getthere-Ridepooling</v>
      </c>
      <c r="C2" s="352" t="str">
        <v>2getthere</v>
      </c>
      <c r="D2" s="134" t="str">
        <v>Ridepooling</v>
      </c>
      <c r="E2" s="134" t="str">
        <v>L2</v>
      </c>
      <c r="F2" s="134">
        <v>5</v>
      </c>
      <c r="G2" s="134" t="str">
        <v>SLTN; Benteler; SMRT; United Technical Services; SMRT</v>
      </c>
      <c r="H2" s="134" t="str">
        <v>Transport Operator</v>
      </c>
      <c r="I2" s="353">
        <v>0.4</v>
      </c>
      <c r="J2" s="354">
        <v>2</v>
      </c>
      <c r="K2" s="355">
        <v>2</v>
      </c>
      <c r="L2" s="354">
        <v>2</v>
      </c>
      <c r="M2" s="355">
        <v>2</v>
      </c>
      <c r="N2" s="354">
        <v>0</v>
      </c>
      <c r="O2" s="354">
        <v>60</v>
      </c>
      <c r="P2" s="354" t="str">
        <v>n.a.</v>
      </c>
    </row>
    <row r="3" spans="1:16" x14ac:dyDescent="0.35">
      <c r="A3" s="134">
        <f>A2+1</f>
        <v>2</v>
      </c>
      <c r="B3" s="134" t="str" cm="1">
        <f t="array" ref="B3:P3">TRANSPOSE(CHOOSE({1;2;3;4;5;6;7;8;13;14;15;16;17;18;19},'Summary per Company and Use Cas'!A161,'Summary per Company and Use Cas'!B161,'Summary per Company and Use Cas'!C161,'Summary per Company and Use Cas'!M161,'Summary per Company and Use Cas'!D161, 'Summary per Company and Use Cas'!E161,'Summary per Company and Use Cas'!G161, 'Summary per Company and Use Cas'!H161,'Summary per Company and Use Cas'!I161,'Summary per Company and Use Cas'!J161,'Summary per Company and Use Cas'!K161,'Summary per Company and Use Cas'!L161,'Summary per Company and Use Cas'!AI161,'Summary per Company and Use Cas'!AJ161,'Summary per Company and Use Cas'!AK161,'Summary per Company and Use Cas'!AL161,'Summary per Company and Use Cas'!AO161,'Summary per Company and Use Cas'!AP161,'Summary per Company and Use Cas'!AQ161))</f>
        <v>ADASTEC-Ridepooling</v>
      </c>
      <c r="C3" s="352" t="str">
        <v>ADASTEC</v>
      </c>
      <c r="D3" s="134" t="str">
        <v>Ridepooling</v>
      </c>
      <c r="E3" s="134" t="str">
        <v>L1</v>
      </c>
      <c r="F3" s="134">
        <v>2</v>
      </c>
      <c r="G3" s="134" t="str">
        <v>Vicinity Motor Corp.; Vicinity Motor Corp.</v>
      </c>
      <c r="H3" s="134" t="str">
        <v>OEM Commercial Vehicles</v>
      </c>
      <c r="I3" s="353">
        <v>1</v>
      </c>
      <c r="J3" s="354">
        <v>0</v>
      </c>
      <c r="K3" s="355">
        <v>2</v>
      </c>
      <c r="L3" s="354">
        <v>2</v>
      </c>
      <c r="M3" s="355">
        <v>0</v>
      </c>
      <c r="N3" s="354">
        <v>0</v>
      </c>
      <c r="O3" s="354">
        <v>75</v>
      </c>
      <c r="P3" s="354">
        <v>4.75</v>
      </c>
    </row>
    <row r="4" spans="1:16" x14ac:dyDescent="0.35">
      <c r="A4" s="134">
        <f t="shared" ref="A4:A57" si="0">A3+1</f>
        <v>3</v>
      </c>
      <c r="B4" s="134" t="str" cm="1">
        <f t="array" ref="B4:P4">TRANSPOSE(CHOOSE({1;2;3;4;5;6;7;8;13;14;15;16;17;18;19},'Summary per Company and Use Cas'!A162,'Summary per Company and Use Cas'!B162,'Summary per Company and Use Cas'!C162,'Summary per Company and Use Cas'!M162,'Summary per Company and Use Cas'!D162, 'Summary per Company and Use Cas'!E162,'Summary per Company and Use Cas'!G162, 'Summary per Company and Use Cas'!H162,'Summary per Company and Use Cas'!I162,'Summary per Company and Use Cas'!J162,'Summary per Company and Use Cas'!K162,'Summary per Company and Use Cas'!L162,'Summary per Company and Use Cas'!AI162,'Summary per Company and Use Cas'!AJ162,'Summary per Company and Use Cas'!AK162,'Summary per Company and Use Cas'!AL162,'Summary per Company and Use Cas'!AO162,'Summary per Company and Use Cas'!AP162,'Summary per Company and Use Cas'!AQ162))</f>
        <v>Aurora-Trucking</v>
      </c>
      <c r="C4" s="352" t="str">
        <v>Aurora</v>
      </c>
      <c r="D4" s="134" t="str">
        <v>Trucking</v>
      </c>
      <c r="E4" s="134" t="str">
        <v>L1</v>
      </c>
      <c r="F4" s="134">
        <v>4</v>
      </c>
      <c r="G4" s="134" t="str">
        <v>Continental; Hirschbach; Covenant; U.S. Xpress</v>
      </c>
      <c r="H4" s="134" t="str">
        <v>Logistics</v>
      </c>
      <c r="I4" s="353">
        <v>0.75</v>
      </c>
      <c r="J4" s="354">
        <v>3</v>
      </c>
      <c r="K4" s="355">
        <v>2</v>
      </c>
      <c r="L4" s="354">
        <v>3</v>
      </c>
      <c r="M4" s="355">
        <v>0</v>
      </c>
      <c r="N4" s="354">
        <v>1</v>
      </c>
      <c r="O4" s="354">
        <v>1700</v>
      </c>
      <c r="P4" s="354">
        <v>3710</v>
      </c>
    </row>
    <row r="5" spans="1:16" x14ac:dyDescent="0.35">
      <c r="A5" s="134">
        <f t="shared" si="0"/>
        <v>4</v>
      </c>
      <c r="B5" s="134" t="str" cm="1">
        <f t="array" ref="B5:P5">TRANSPOSE(CHOOSE({1;2;3;4;5;6;7;8;13;14;15;16;17;18;19},'Summary per Company and Use Cas'!A163,'Summary per Company and Use Cas'!B163,'Summary per Company and Use Cas'!C163,'Summary per Company and Use Cas'!M163,'Summary per Company and Use Cas'!D163, 'Summary per Company and Use Cas'!E163,'Summary per Company and Use Cas'!G163, 'Summary per Company and Use Cas'!H163,'Summary per Company and Use Cas'!I163,'Summary per Company and Use Cas'!J163,'Summary per Company and Use Cas'!K163,'Summary per Company and Use Cas'!L163,'Summary per Company and Use Cas'!AI163,'Summary per Company and Use Cas'!AJ163,'Summary per Company and Use Cas'!AK163,'Summary per Company and Use Cas'!AL163,'Summary per Company and Use Cas'!AO163,'Summary per Company and Use Cas'!AP163,'Summary per Company and Use Cas'!AQ163))</f>
        <v>Beep-Ridepooling</v>
      </c>
      <c r="C5" s="352" t="str">
        <v>Beep</v>
      </c>
      <c r="D5" s="134" t="str">
        <v>Ridepooling</v>
      </c>
      <c r="E5" s="134" t="str">
        <v>L3</v>
      </c>
      <c r="F5" s="134">
        <v>4</v>
      </c>
      <c r="G5" s="134" t="str">
        <v>North Carolina Department of Transportation; Contra Costa Transportation Authority; ZF; Oxa</v>
      </c>
      <c r="H5" s="134" t="str">
        <v>Autonomous Vehicles</v>
      </c>
      <c r="I5" s="353">
        <v>0.5</v>
      </c>
      <c r="J5" s="354">
        <v>4</v>
      </c>
      <c r="K5" s="355">
        <v>0</v>
      </c>
      <c r="L5" s="354">
        <v>2</v>
      </c>
      <c r="M5" s="355">
        <v>0</v>
      </c>
      <c r="N5" s="354">
        <v>0</v>
      </c>
      <c r="O5" s="354">
        <v>50</v>
      </c>
      <c r="P5" s="354">
        <v>45</v>
      </c>
    </row>
    <row r="6" spans="1:16" x14ac:dyDescent="0.35">
      <c r="A6" s="134">
        <f t="shared" si="0"/>
        <v>5</v>
      </c>
      <c r="B6" s="134" t="str" cm="1">
        <f t="array" ref="B6:P6">TRANSPOSE(CHOOSE({1;2;3;4;5;6;7;8;13;14;15;16;17;18;19},'Summary per Company and Use Cas'!A164,'Summary per Company and Use Cas'!B164,'Summary per Company and Use Cas'!C164,'Summary per Company and Use Cas'!M164,'Summary per Company and Use Cas'!D164, 'Summary per Company and Use Cas'!E164,'Summary per Company and Use Cas'!G164, 'Summary per Company and Use Cas'!H164,'Summary per Company and Use Cas'!I164,'Summary per Company and Use Cas'!J164,'Summary per Company and Use Cas'!K164,'Summary per Company and Use Cas'!L164,'Summary per Company and Use Cas'!AI164,'Summary per Company and Use Cas'!AJ164,'Summary per Company and Use Cas'!AK164,'Summary per Company and Use Cas'!AL164,'Summary per Company and Use Cas'!AO164,'Summary per Company and Use Cas'!AP164,'Summary per Company and Use Cas'!AQ164))</f>
        <v>Bolt-Last-Mile</v>
      </c>
      <c r="C6" s="352" t="str">
        <v>Bolt</v>
      </c>
      <c r="D6" s="134" t="str">
        <v>Last-Mile</v>
      </c>
      <c r="E6" s="134" t="str">
        <v>L4</v>
      </c>
      <c r="F6" s="134">
        <v>1</v>
      </c>
      <c r="G6" s="134" t="str">
        <v>Starship Technologies</v>
      </c>
      <c r="H6" s="134" t="str">
        <v>Autonomous Vehicles</v>
      </c>
      <c r="I6" s="353">
        <v>1</v>
      </c>
      <c r="J6" s="354">
        <v>1</v>
      </c>
      <c r="K6" s="355">
        <v>0</v>
      </c>
      <c r="L6" s="354">
        <v>1</v>
      </c>
      <c r="M6" s="355">
        <v>0</v>
      </c>
      <c r="N6" s="354">
        <v>0</v>
      </c>
      <c r="O6" s="354">
        <v>4126</v>
      </c>
      <c r="P6" s="354">
        <v>2043.839702</v>
      </c>
    </row>
    <row r="7" spans="1:16" x14ac:dyDescent="0.35">
      <c r="A7" s="134">
        <f t="shared" si="0"/>
        <v>6</v>
      </c>
      <c r="B7" s="134" t="str" cm="1">
        <f t="array" ref="B7:P7">TRANSPOSE(CHOOSE({1;2;3;4;5;6;7;8;13;14;15;16;17;18;19},'Summary per Company and Use Cas'!A165,'Summary per Company and Use Cas'!B165,'Summary per Company and Use Cas'!C165,'Summary per Company and Use Cas'!M165,'Summary per Company and Use Cas'!D165, 'Summary per Company and Use Cas'!E165,'Summary per Company and Use Cas'!G165, 'Summary per Company and Use Cas'!H165,'Summary per Company and Use Cas'!I165,'Summary per Company and Use Cas'!J165,'Summary per Company and Use Cas'!K165,'Summary per Company and Use Cas'!L165,'Summary per Company and Use Cas'!AI165,'Summary per Company and Use Cas'!AJ165,'Summary per Company and Use Cas'!AK165,'Summary per Company and Use Cas'!AL165,'Summary per Company and Use Cas'!AO165,'Summary per Company and Use Cas'!AP165,'Summary per Company and Use Cas'!AQ165))</f>
        <v>Cartken-Last-Mile</v>
      </c>
      <c r="C7" s="352" t="str">
        <v>Cartken</v>
      </c>
      <c r="D7" s="134" t="str">
        <v>Last-Mile</v>
      </c>
      <c r="E7" s="134" t="str">
        <v>L2</v>
      </c>
      <c r="F7" s="134">
        <v>2</v>
      </c>
      <c r="G7" s="134" t="str">
        <v>Mitsubishi; Grubhub</v>
      </c>
      <c r="H7" s="134" t="str">
        <v>Delivery Service</v>
      </c>
      <c r="I7" s="353">
        <v>0.5</v>
      </c>
      <c r="J7" s="354">
        <v>1</v>
      </c>
      <c r="K7" s="355">
        <v>0</v>
      </c>
      <c r="L7" s="354">
        <v>2</v>
      </c>
      <c r="M7" s="355">
        <v>0</v>
      </c>
      <c r="N7" s="354">
        <v>0</v>
      </c>
      <c r="O7" s="354">
        <v>30</v>
      </c>
      <c r="P7" s="354" t="str">
        <v>n.a.</v>
      </c>
    </row>
    <row r="8" spans="1:16" x14ac:dyDescent="0.35">
      <c r="A8" s="134">
        <f t="shared" si="0"/>
        <v>7</v>
      </c>
      <c r="B8" s="134" t="str" cm="1">
        <f t="array" ref="B8:P8">TRANSPOSE(CHOOSE({1;2;3;4;5;6;7;8;13;14;15;16;17;18;19},'Summary per Company and Use Cas'!A166,'Summary per Company and Use Cas'!B166,'Summary per Company and Use Cas'!C166,'Summary per Company and Use Cas'!M166,'Summary per Company and Use Cas'!D166, 'Summary per Company and Use Cas'!E166,'Summary per Company and Use Cas'!G166, 'Summary per Company and Use Cas'!H166,'Summary per Company and Use Cas'!I166,'Summary per Company and Use Cas'!J166,'Summary per Company and Use Cas'!K166,'Summary per Company and Use Cas'!L166,'Summary per Company and Use Cas'!AI166,'Summary per Company and Use Cas'!AJ166,'Summary per Company and Use Cas'!AK166,'Summary per Company and Use Cas'!AL166,'Summary per Company and Use Cas'!AO166,'Summary per Company and Use Cas'!AP166,'Summary per Company and Use Cas'!AQ166))</f>
        <v>Cruise-Other</v>
      </c>
      <c r="C8" s="352" t="str">
        <v>Cruise</v>
      </c>
      <c r="D8" s="134" t="str">
        <v>Other</v>
      </c>
      <c r="E8" s="134" t="str">
        <v>L1</v>
      </c>
      <c r="F8" s="134">
        <v>1</v>
      </c>
      <c r="G8" s="134" t="str">
        <v>Mothers-Against-Drunk-Driving</v>
      </c>
      <c r="H8" s="134" t="str">
        <v>NPO</v>
      </c>
      <c r="I8" s="353">
        <v>1</v>
      </c>
      <c r="J8" s="354">
        <v>0</v>
      </c>
      <c r="K8" s="355">
        <v>0</v>
      </c>
      <c r="L8" s="354">
        <v>1</v>
      </c>
      <c r="M8" s="355">
        <v>0</v>
      </c>
      <c r="N8" s="354">
        <v>0</v>
      </c>
      <c r="O8" s="354">
        <v>3750</v>
      </c>
      <c r="P8" s="354">
        <v>15118.8</v>
      </c>
    </row>
    <row r="9" spans="1:16" x14ac:dyDescent="0.35">
      <c r="A9" s="134">
        <f t="shared" si="0"/>
        <v>8</v>
      </c>
      <c r="B9" s="134" t="str" cm="1">
        <f t="array" ref="B9:P9">TRANSPOSE(CHOOSE({1;2;3;4;5;6;7;8;13;14;15;16;17;18;19},'Summary per Company and Use Cas'!A167,'Summary per Company and Use Cas'!B167,'Summary per Company and Use Cas'!C167,'Summary per Company and Use Cas'!M167,'Summary per Company and Use Cas'!D167, 'Summary per Company and Use Cas'!E167,'Summary per Company and Use Cas'!G167, 'Summary per Company and Use Cas'!H167,'Summary per Company and Use Cas'!I167,'Summary per Company and Use Cas'!J167,'Summary per Company and Use Cas'!K167,'Summary per Company and Use Cas'!L167,'Summary per Company and Use Cas'!AI167,'Summary per Company and Use Cas'!AJ167,'Summary per Company and Use Cas'!AK167,'Summary per Company and Use Cas'!AL167,'Summary per Company and Use Cas'!AO167,'Summary per Company and Use Cas'!AP167,'Summary per Company and Use Cas'!AQ167))</f>
        <v>Cruise-Last-Mile</v>
      </c>
      <c r="C9" s="352" t="str">
        <v>Cruise</v>
      </c>
      <c r="D9" s="134" t="str">
        <v>Last-Mile</v>
      </c>
      <c r="E9" s="134" t="str">
        <v>L1</v>
      </c>
      <c r="F9" s="134">
        <v>2</v>
      </c>
      <c r="G9" s="134" t="str">
        <v>Walmart; Replate</v>
      </c>
      <c r="H9" s="134" t="str">
        <v>Retail</v>
      </c>
      <c r="I9" s="353">
        <v>0.5</v>
      </c>
      <c r="J9" s="354">
        <v>2</v>
      </c>
      <c r="K9" s="355">
        <v>0</v>
      </c>
      <c r="L9" s="354">
        <v>2</v>
      </c>
      <c r="M9" s="355">
        <v>0</v>
      </c>
      <c r="N9" s="354">
        <v>0</v>
      </c>
      <c r="O9" s="354">
        <v>3750</v>
      </c>
      <c r="P9" s="354">
        <v>15118.8</v>
      </c>
    </row>
    <row r="10" spans="1:16" x14ac:dyDescent="0.35">
      <c r="A10" s="134">
        <f t="shared" si="0"/>
        <v>9</v>
      </c>
      <c r="B10" s="134" t="str" cm="1">
        <f t="array" ref="B10:P10">TRANSPOSE(CHOOSE({1;2;3;4;5;6;7;8;13;14;15;16;17;18;19},'Summary per Company and Use Cas'!A168,'Summary per Company and Use Cas'!B168,'Summary per Company and Use Cas'!C168,'Summary per Company and Use Cas'!M168,'Summary per Company and Use Cas'!D168, 'Summary per Company and Use Cas'!E168,'Summary per Company and Use Cas'!G168, 'Summary per Company and Use Cas'!H168,'Summary per Company and Use Cas'!I168,'Summary per Company and Use Cas'!J168,'Summary per Company and Use Cas'!K168,'Summary per Company and Use Cas'!L168,'Summary per Company and Use Cas'!AI168,'Summary per Company and Use Cas'!AJ168,'Summary per Company and Use Cas'!AK168,'Summary per Company and Use Cas'!AL168,'Summary per Company and Use Cas'!AO168,'Summary per Company and Use Cas'!AP168,'Summary per Company and Use Cas'!AQ168))</f>
        <v>Cruise-Ridehailing</v>
      </c>
      <c r="C10" s="352" t="str">
        <v>Cruise</v>
      </c>
      <c r="D10" s="134" t="str">
        <v>Ridehailing</v>
      </c>
      <c r="E10" s="134" t="str">
        <v>L1</v>
      </c>
      <c r="F10" s="134">
        <v>1</v>
      </c>
      <c r="G10" s="134" t="str">
        <v>GM;Microsoft</v>
      </c>
      <c r="H10" s="134" t="str">
        <v>OEM</v>
      </c>
      <c r="I10" s="353">
        <v>0.5</v>
      </c>
      <c r="J10" s="354">
        <v>0</v>
      </c>
      <c r="K10" s="355">
        <v>1</v>
      </c>
      <c r="L10" s="354">
        <v>0</v>
      </c>
      <c r="M10" s="355">
        <v>1</v>
      </c>
      <c r="N10" s="354">
        <v>0</v>
      </c>
      <c r="O10" s="354">
        <v>3750</v>
      </c>
      <c r="P10" s="354">
        <v>15118.8</v>
      </c>
    </row>
    <row r="11" spans="1:16" x14ac:dyDescent="0.35">
      <c r="A11" s="134">
        <f t="shared" si="0"/>
        <v>10</v>
      </c>
      <c r="B11" s="134" t="str" cm="1">
        <f t="array" ref="B11:P11">TRANSPOSE(CHOOSE({1;2;3;4;5;6;7;8;13;14;15;16;17;18;19},'Summary per Company and Use Cas'!A169,'Summary per Company and Use Cas'!B169,'Summary per Company and Use Cas'!C169,'Summary per Company and Use Cas'!M169,'Summary per Company and Use Cas'!D169, 'Summary per Company and Use Cas'!E169,'Summary per Company and Use Cas'!G169, 'Summary per Company and Use Cas'!H169,'Summary per Company and Use Cas'!I169,'Summary per Company and Use Cas'!J169,'Summary per Company and Use Cas'!K169,'Summary per Company and Use Cas'!L169,'Summary per Company and Use Cas'!AI169,'Summary per Company and Use Cas'!AJ169,'Summary per Company and Use Cas'!AK169,'Summary per Company and Use Cas'!AL169,'Summary per Company and Use Cas'!AO169,'Summary per Company and Use Cas'!AP169,'Summary per Company and Use Cas'!AQ169))</f>
        <v>EasyMile-Other</v>
      </c>
      <c r="C11" s="352" t="str">
        <v>EasyMile</v>
      </c>
      <c r="D11" s="134" t="str">
        <v>Other</v>
      </c>
      <c r="E11" s="134" t="str">
        <v>L2</v>
      </c>
      <c r="F11" s="134">
        <v>1</v>
      </c>
      <c r="G11" s="134" t="str">
        <v/>
      </c>
      <c r="H11" s="134" t="str">
        <v/>
      </c>
      <c r="I11" s="353" t="str">
        <v/>
      </c>
      <c r="J11" s="354">
        <v>0</v>
      </c>
      <c r="K11" s="355">
        <v>0</v>
      </c>
      <c r="L11" s="354">
        <v>1</v>
      </c>
      <c r="M11" s="355">
        <v>0</v>
      </c>
      <c r="N11" s="354">
        <v>0</v>
      </c>
      <c r="O11" s="354">
        <v>250</v>
      </c>
      <c r="P11" s="354">
        <v>82.516926609999999</v>
      </c>
    </row>
    <row r="12" spans="1:16" x14ac:dyDescent="0.35">
      <c r="A12" s="134">
        <f t="shared" si="0"/>
        <v>11</v>
      </c>
      <c r="B12" s="134" t="str" cm="1">
        <f t="array" ref="B12:P12">TRANSPOSE(CHOOSE({1;2;3;4;5;6;7;8;13;14;15;16;17;18;19},'Summary per Company and Use Cas'!A170,'Summary per Company and Use Cas'!B170,'Summary per Company and Use Cas'!C170,'Summary per Company and Use Cas'!M170,'Summary per Company and Use Cas'!D170, 'Summary per Company and Use Cas'!E170,'Summary per Company and Use Cas'!G170, 'Summary per Company and Use Cas'!H170,'Summary per Company and Use Cas'!I170,'Summary per Company and Use Cas'!J170,'Summary per Company and Use Cas'!K170,'Summary per Company and Use Cas'!L170,'Summary per Company and Use Cas'!AI170,'Summary per Company and Use Cas'!AJ170,'Summary per Company and Use Cas'!AK170,'Summary per Company and Use Cas'!AL170,'Summary per Company and Use Cas'!AO170,'Summary per Company and Use Cas'!AP170,'Summary per Company and Use Cas'!AQ170))</f>
        <v>EasyMile-Ridepooling</v>
      </c>
      <c r="C12" s="352" t="str">
        <v>EasyMile</v>
      </c>
      <c r="D12" s="134" t="str">
        <v>Ridepooling</v>
      </c>
      <c r="E12" s="134" t="str">
        <v>L2</v>
      </c>
      <c r="F12" s="134">
        <v>6</v>
      </c>
      <c r="G12" s="134" t="str">
        <v>TrustInSoft; Continental; Sono Motors; Phoenix Motorcars; Continental;Shanghai Jiading Industrial Zone; Kalray</v>
      </c>
      <c r="H12" s="134" t="str">
        <v>Automotive Supplier</v>
      </c>
      <c r="I12" s="353">
        <v>0.2857142857142857</v>
      </c>
      <c r="J12" s="354">
        <v>0</v>
      </c>
      <c r="K12" s="355">
        <v>3</v>
      </c>
      <c r="L12" s="354">
        <v>6</v>
      </c>
      <c r="M12" s="355">
        <v>0</v>
      </c>
      <c r="N12" s="354">
        <v>0</v>
      </c>
      <c r="O12" s="354">
        <v>250</v>
      </c>
      <c r="P12" s="354">
        <v>82.516926609999999</v>
      </c>
    </row>
    <row r="13" spans="1:16" x14ac:dyDescent="0.35">
      <c r="A13" s="134">
        <f t="shared" si="0"/>
        <v>12</v>
      </c>
      <c r="B13" s="134" t="str" cm="1">
        <f t="array" ref="B13:P13">TRANSPOSE(CHOOSE({1;2;3;4;5;6;7;8;13;14;15;16;17;18;19},'Summary per Company and Use Cas'!A171,'Summary per Company and Use Cas'!B171,'Summary per Company and Use Cas'!C171,'Summary per Company and Use Cas'!M171,'Summary per Company and Use Cas'!D171, 'Summary per Company and Use Cas'!E171,'Summary per Company and Use Cas'!G171, 'Summary per Company and Use Cas'!H171,'Summary per Company and Use Cas'!I171,'Summary per Company and Use Cas'!J171,'Summary per Company and Use Cas'!K171,'Summary per Company and Use Cas'!L171,'Summary per Company and Use Cas'!AI171,'Summary per Company and Use Cas'!AJ171,'Summary per Company and Use Cas'!AK171,'Summary per Company and Use Cas'!AL171,'Summary per Company and Use Cas'!AO171,'Summary per Company and Use Cas'!AP171,'Summary per Company and Use Cas'!AQ171))</f>
        <v>Einride-Trucking</v>
      </c>
      <c r="C13" s="352" t="str">
        <v>Einride</v>
      </c>
      <c r="D13" s="134" t="str">
        <v>Trucking</v>
      </c>
      <c r="E13" s="134" t="str">
        <v>L2</v>
      </c>
      <c r="F13" s="134">
        <v>14</v>
      </c>
      <c r="G13" s="134" t="str">
        <v>Bridgestone; Ericsson;Bridgestone; SKF; Svenska Retursystem; Polarrenen; Ericsson;Telia; Oatly; Electrolux; Beyond Meat; Coca - Cola; UAE Ministry of Energy and Infrastructure; Oatly; GE Appliances; Lidl</v>
      </c>
      <c r="H13" s="134" t="str">
        <v>Food &amp; Beverage</v>
      </c>
      <c r="I13" s="353">
        <v>0.25</v>
      </c>
      <c r="J13" s="354">
        <v>10</v>
      </c>
      <c r="K13" s="355">
        <v>3</v>
      </c>
      <c r="L13" s="354">
        <v>7</v>
      </c>
      <c r="M13" s="355">
        <v>0</v>
      </c>
      <c r="N13" s="354">
        <v>0</v>
      </c>
      <c r="O13" s="354">
        <v>375</v>
      </c>
      <c r="P13" s="354">
        <v>652.34307000000001</v>
      </c>
    </row>
    <row r="14" spans="1:16" x14ac:dyDescent="0.35">
      <c r="A14" s="134">
        <f t="shared" si="0"/>
        <v>13</v>
      </c>
      <c r="B14" s="134" t="str" cm="1">
        <f t="array" ref="B14:P14">TRANSPOSE(CHOOSE({1;2;3;4;5;6;7;8;13;14;15;16;17;18;19},'Summary per Company and Use Cas'!A172,'Summary per Company and Use Cas'!B172,'Summary per Company and Use Cas'!C172,'Summary per Company and Use Cas'!M172,'Summary per Company and Use Cas'!D172, 'Summary per Company and Use Cas'!E172,'Summary per Company and Use Cas'!G172, 'Summary per Company and Use Cas'!H172,'Summary per Company and Use Cas'!I172,'Summary per Company and Use Cas'!J172,'Summary per Company and Use Cas'!K172,'Summary per Company and Use Cas'!L172,'Summary per Company and Use Cas'!AI172,'Summary per Company and Use Cas'!AJ172,'Summary per Company and Use Cas'!AK172,'Summary per Company and Use Cas'!AL172,'Summary per Company and Use Cas'!AO172,'Summary per Company and Use Cas'!AP172,'Summary per Company and Use Cas'!AQ172))</f>
        <v>Gatik-Trucking</v>
      </c>
      <c r="C14" s="352" t="str">
        <v>Gatik</v>
      </c>
      <c r="D14" s="134" t="str">
        <v>Trucking</v>
      </c>
      <c r="E14" s="134" t="str">
        <v>L1</v>
      </c>
      <c r="F14" s="134">
        <v>7</v>
      </c>
      <c r="G14" s="134" t="str">
        <v>Goodyear; Ryder; Walmart; ChargePoint; Isuzu North America; Pitney Bowes; Kroger</v>
      </c>
      <c r="H14" s="134" t="str">
        <v>Logistics</v>
      </c>
      <c r="I14" s="353">
        <v>0.2857142857142857</v>
      </c>
      <c r="J14" s="354">
        <v>3</v>
      </c>
      <c r="K14" s="355">
        <v>5</v>
      </c>
      <c r="L14" s="354">
        <v>3</v>
      </c>
      <c r="M14" s="355">
        <v>2</v>
      </c>
      <c r="N14" s="354">
        <v>0</v>
      </c>
      <c r="O14" s="354">
        <v>120</v>
      </c>
      <c r="P14" s="354">
        <v>122.857843</v>
      </c>
    </row>
    <row r="15" spans="1:16" x14ac:dyDescent="0.35">
      <c r="A15" s="134">
        <f t="shared" si="0"/>
        <v>14</v>
      </c>
      <c r="B15" s="134" t="str" cm="1">
        <f t="array" ref="B15:P15">TRANSPOSE(CHOOSE({1;2;3;4;5;6;7;8;13;14;15;16;17;18;19},'Summary per Company and Use Cas'!A173,'Summary per Company and Use Cas'!B173,'Summary per Company and Use Cas'!C173,'Summary per Company and Use Cas'!M173,'Summary per Company and Use Cas'!D173, 'Summary per Company and Use Cas'!E173,'Summary per Company and Use Cas'!G173, 'Summary per Company and Use Cas'!H173,'Summary per Company and Use Cas'!I173,'Summary per Company and Use Cas'!J173,'Summary per Company and Use Cas'!K173,'Summary per Company and Use Cas'!L173,'Summary per Company and Use Cas'!AI173,'Summary per Company and Use Cas'!AJ173,'Summary per Company and Use Cas'!AK173,'Summary per Company and Use Cas'!AL173,'Summary per Company and Use Cas'!AO173,'Summary per Company and Use Cas'!AP173,'Summary per Company and Use Cas'!AQ173))</f>
        <v>Ioki-Ridepooling</v>
      </c>
      <c r="C15" s="352" t="str">
        <v>Ioki</v>
      </c>
      <c r="D15" s="134" t="str">
        <v>Ridepooling</v>
      </c>
      <c r="E15" s="134" t="str">
        <v>L4</v>
      </c>
      <c r="F15" s="134">
        <v>2</v>
      </c>
      <c r="G15" s="134" t="str">
        <v>Deutsche Bahn;Berliner Verkehrsbetriebe; MINGA</v>
      </c>
      <c r="H15" s="134" t="str">
        <v>Transport Operator</v>
      </c>
      <c r="I15" s="353">
        <v>0.66666666666666663</v>
      </c>
      <c r="J15" s="354">
        <v>1</v>
      </c>
      <c r="K15" s="355">
        <v>1</v>
      </c>
      <c r="L15" s="354">
        <v>2</v>
      </c>
      <c r="M15" s="355">
        <v>0</v>
      </c>
      <c r="N15" s="354">
        <v>0</v>
      </c>
      <c r="O15" s="354">
        <v>180</v>
      </c>
      <c r="P15" s="354" t="str">
        <v>n.a.</v>
      </c>
    </row>
    <row r="16" spans="1:16" x14ac:dyDescent="0.35">
      <c r="A16" s="134">
        <f t="shared" si="0"/>
        <v>15</v>
      </c>
      <c r="B16" s="134" t="str" cm="1">
        <f t="array" ref="B16:P16">TRANSPOSE(CHOOSE({1;2;3;4;5;6;7;8;13;14;15;16;17;18;19},'Summary per Company and Use Cas'!A174,'Summary per Company and Use Cas'!B174,'Summary per Company and Use Cas'!C174,'Summary per Company and Use Cas'!M174,'Summary per Company and Use Cas'!D174, 'Summary per Company and Use Cas'!E174,'Summary per Company and Use Cas'!G174, 'Summary per Company and Use Cas'!H174,'Summary per Company and Use Cas'!I174,'Summary per Company and Use Cas'!J174,'Summary per Company and Use Cas'!K174,'Summary per Company and Use Cas'!L174,'Summary per Company and Use Cas'!AI174,'Summary per Company and Use Cas'!AJ174,'Summary per Company and Use Cas'!AK174,'Summary per Company and Use Cas'!AL174,'Summary per Company and Use Cas'!AO174,'Summary per Company and Use Cas'!AP174,'Summary per Company and Use Cas'!AQ174))</f>
        <v>Kiwibot-Last-Mile</v>
      </c>
      <c r="C16" s="352" t="str">
        <v>Kiwibot</v>
      </c>
      <c r="D16" s="134" t="str">
        <v>Last-Mile</v>
      </c>
      <c r="E16" s="134" t="str">
        <v>L2</v>
      </c>
      <c r="F16" s="134">
        <v>3</v>
      </c>
      <c r="G16" s="134" t="str">
        <v>Aramex; Grubhub; kineo</v>
      </c>
      <c r="H16" s="134" t="str">
        <v>Delivery Service</v>
      </c>
      <c r="I16" s="353">
        <v>0.33333333333333331</v>
      </c>
      <c r="J16" s="354">
        <v>2</v>
      </c>
      <c r="K16" s="355">
        <v>0</v>
      </c>
      <c r="L16" s="354">
        <v>2</v>
      </c>
      <c r="M16" s="355">
        <v>1</v>
      </c>
      <c r="N16" s="354">
        <v>0</v>
      </c>
      <c r="O16" s="354">
        <v>175</v>
      </c>
      <c r="P16" s="354">
        <v>30.083497999999999</v>
      </c>
    </row>
    <row r="17" spans="1:16" x14ac:dyDescent="0.35">
      <c r="A17" s="134">
        <f t="shared" si="0"/>
        <v>16</v>
      </c>
      <c r="B17" s="134" t="str" cm="1">
        <f t="array" ref="B17:P17">TRANSPOSE(CHOOSE({1;2;3;4;5;6;7;8;13;14;15;16;17;18;19},'Summary per Company and Use Cas'!A175,'Summary per Company and Use Cas'!B175,'Summary per Company and Use Cas'!C175,'Summary per Company and Use Cas'!M175,'Summary per Company and Use Cas'!D175, 'Summary per Company and Use Cas'!E175,'Summary per Company and Use Cas'!G175, 'Summary per Company and Use Cas'!H175,'Summary per Company and Use Cas'!I175,'Summary per Company and Use Cas'!J175,'Summary per Company and Use Cas'!K175,'Summary per Company and Use Cas'!L175,'Summary per Company and Use Cas'!AI175,'Summary per Company and Use Cas'!AJ175,'Summary per Company and Use Cas'!AK175,'Summary per Company and Use Cas'!AL175,'Summary per Company and Use Cas'!AO175,'Summary per Company and Use Cas'!AP175,'Summary per Company and Use Cas'!AQ175))</f>
        <v>Kodiak-Trucking</v>
      </c>
      <c r="C17" s="352" t="str">
        <v>Kodiak</v>
      </c>
      <c r="D17" s="134" t="str">
        <v>Trucking</v>
      </c>
      <c r="E17" s="134" t="str">
        <v>L1</v>
      </c>
      <c r="F17" s="134">
        <v>2</v>
      </c>
      <c r="G17" s="134" t="str">
        <v>Ten Roads Express; Werner</v>
      </c>
      <c r="H17" s="134" t="str">
        <v>Logistics</v>
      </c>
      <c r="I17" s="353">
        <v>1</v>
      </c>
      <c r="J17" s="354">
        <v>1</v>
      </c>
      <c r="K17" s="355">
        <v>1</v>
      </c>
      <c r="L17" s="354">
        <v>2</v>
      </c>
      <c r="M17" s="355">
        <v>0</v>
      </c>
      <c r="N17" s="354">
        <v>0</v>
      </c>
      <c r="O17" s="354">
        <v>250</v>
      </c>
      <c r="P17" s="354">
        <v>319.89999999999998</v>
      </c>
    </row>
    <row r="18" spans="1:16" x14ac:dyDescent="0.35">
      <c r="A18" s="134">
        <f t="shared" si="0"/>
        <v>17</v>
      </c>
      <c r="B18" s="134" t="str" cm="1">
        <f t="array" ref="B18:P18">TRANSPOSE(CHOOSE({1;2;3;4;5;6;7;8;13;14;15;16;17;18;19},'Summary per Company and Use Cas'!A176,'Summary per Company and Use Cas'!B176,'Summary per Company and Use Cas'!C176,'Summary per Company and Use Cas'!M176,'Summary per Company and Use Cas'!D176, 'Summary per Company and Use Cas'!E176,'Summary per Company and Use Cas'!G176, 'Summary per Company and Use Cas'!H176,'Summary per Company and Use Cas'!I176,'Summary per Company and Use Cas'!J176,'Summary per Company and Use Cas'!K176,'Summary per Company and Use Cas'!L176,'Summary per Company and Use Cas'!AI176,'Summary per Company and Use Cas'!AJ176,'Summary per Company and Use Cas'!AK176,'Summary per Company and Use Cas'!AL176,'Summary per Company and Use Cas'!AO176,'Summary per Company and Use Cas'!AP176,'Summary per Company and Use Cas'!AQ176))</f>
        <v>May Mobility-Ridehailing</v>
      </c>
      <c r="C18" s="352" t="str">
        <v>May Mobility</v>
      </c>
      <c r="D18" s="134" t="str">
        <v>Ridehailing</v>
      </c>
      <c r="E18" s="134" t="str">
        <v>L1</v>
      </c>
      <c r="F18" s="134">
        <v>5</v>
      </c>
      <c r="G18" s="134" t="str">
        <v>Bridgestone; Stantec; Spare; Moovit; Liftango</v>
      </c>
      <c r="H18" s="134" t="str">
        <v>Mobility Services Booking</v>
      </c>
      <c r="I18" s="353">
        <v>0.4</v>
      </c>
      <c r="J18" s="354">
        <v>3</v>
      </c>
      <c r="K18" s="355">
        <v>2</v>
      </c>
      <c r="L18" s="354">
        <v>4</v>
      </c>
      <c r="M18" s="355">
        <v>1</v>
      </c>
      <c r="N18" s="354">
        <v>0</v>
      </c>
      <c r="O18" s="354">
        <v>250</v>
      </c>
      <c r="P18" s="354">
        <v>302.62</v>
      </c>
    </row>
    <row r="19" spans="1:16" x14ac:dyDescent="0.35">
      <c r="A19" s="134">
        <f t="shared" si="0"/>
        <v>18</v>
      </c>
      <c r="B19" s="134" t="str" cm="1">
        <f t="array" ref="B19:P19">TRANSPOSE(CHOOSE({1;2;3;4;5;6;7;8;13;14;15;16;17;18;19},'Summary per Company and Use Cas'!A177,'Summary per Company and Use Cas'!B177,'Summary per Company and Use Cas'!C177,'Summary per Company and Use Cas'!M177,'Summary per Company and Use Cas'!D177, 'Summary per Company and Use Cas'!E177,'Summary per Company and Use Cas'!G177, 'Summary per Company and Use Cas'!H177,'Summary per Company and Use Cas'!I177,'Summary per Company and Use Cas'!J177,'Summary per Company and Use Cas'!K177,'Summary per Company and Use Cas'!L177,'Summary per Company and Use Cas'!AI177,'Summary per Company and Use Cas'!AJ177,'Summary per Company and Use Cas'!AK177,'Summary per Company and Use Cas'!AL177,'Summary per Company and Use Cas'!AO177,'Summary per Company and Use Cas'!AP177,'Summary per Company and Use Cas'!AQ177))</f>
        <v>May Mobility-Ridepooling</v>
      </c>
      <c r="C19" s="352" t="str">
        <v>May Mobility</v>
      </c>
      <c r="D19" s="134" t="str">
        <v>Ridepooling</v>
      </c>
      <c r="E19" s="134" t="str">
        <v>L1</v>
      </c>
      <c r="F19" s="134">
        <v>1</v>
      </c>
      <c r="G19" s="134" t="str">
        <v>Via</v>
      </c>
      <c r="H19" s="134" t="str">
        <v>Transport Operator</v>
      </c>
      <c r="I19" s="353">
        <v>1</v>
      </c>
      <c r="J19" s="354">
        <v>1</v>
      </c>
      <c r="K19" s="355">
        <v>0</v>
      </c>
      <c r="L19" s="354">
        <v>0</v>
      </c>
      <c r="M19" s="355">
        <v>0</v>
      </c>
      <c r="N19" s="354">
        <v>0</v>
      </c>
      <c r="O19" s="354">
        <v>250</v>
      </c>
      <c r="P19" s="354">
        <v>302.62</v>
      </c>
    </row>
    <row r="20" spans="1:16" x14ac:dyDescent="0.35">
      <c r="A20" s="134">
        <f t="shared" si="0"/>
        <v>19</v>
      </c>
      <c r="B20" s="134" t="str" cm="1">
        <f t="array" ref="B20:P20">TRANSPOSE(CHOOSE({1;2;3;4;5;6;7;8;13;14;15;16;17;18;19},'Summary per Company and Use Cas'!A178,'Summary per Company and Use Cas'!B178,'Summary per Company and Use Cas'!C178,'Summary per Company and Use Cas'!M178,'Summary per Company and Use Cas'!D178, 'Summary per Company and Use Cas'!E178,'Summary per Company and Use Cas'!G178, 'Summary per Company and Use Cas'!H178,'Summary per Company and Use Cas'!I178,'Summary per Company and Use Cas'!J178,'Summary per Company and Use Cas'!K178,'Summary per Company and Use Cas'!L178,'Summary per Company and Use Cas'!AI178,'Summary per Company and Use Cas'!AJ178,'Summary per Company and Use Cas'!AK178,'Summary per Company and Use Cas'!AL178,'Summary per Company and Use Cas'!AO178,'Summary per Company and Use Cas'!AP178,'Summary per Company and Use Cas'!AQ178))</f>
        <v>Perrone Robotics-Ridepooling</v>
      </c>
      <c r="C20" s="352" t="str">
        <v>Perrone Robotics</v>
      </c>
      <c r="D20" s="134" t="str">
        <v>Ridepooling</v>
      </c>
      <c r="E20" s="134" t="str">
        <v>L1</v>
      </c>
      <c r="F20" s="134">
        <v>16</v>
      </c>
      <c r="G20" s="134" t="e">
        <v>#VALUE!</v>
      </c>
      <c r="H20" s="134" t="str">
        <v>OEM Commercial Vehicles</v>
      </c>
      <c r="I20" s="353">
        <v>0.35294117647058826</v>
      </c>
      <c r="J20" s="354">
        <v>1</v>
      </c>
      <c r="K20" s="355">
        <v>9</v>
      </c>
      <c r="L20" s="354">
        <v>15</v>
      </c>
      <c r="M20" s="355">
        <v>0</v>
      </c>
      <c r="N20" s="354">
        <v>0</v>
      </c>
      <c r="O20" s="354">
        <v>30</v>
      </c>
      <c r="P20" s="354">
        <v>12.615</v>
      </c>
    </row>
    <row r="21" spans="1:16" x14ac:dyDescent="0.35">
      <c r="A21" s="134">
        <f t="shared" si="0"/>
        <v>20</v>
      </c>
      <c r="B21" s="134" t="str" cm="1">
        <f t="array" ref="B21:P21">TRANSPOSE(CHOOSE({1;2;3;4;5;6;7;8;13;14;15;16;17;18;19},'Summary per Company and Use Cas'!A179,'Summary per Company and Use Cas'!B179,'Summary per Company and Use Cas'!C179,'Summary per Company and Use Cas'!M179,'Summary per Company and Use Cas'!D179, 'Summary per Company and Use Cas'!E179,'Summary per Company and Use Cas'!G179, 'Summary per Company and Use Cas'!H179,'Summary per Company and Use Cas'!I179,'Summary per Company and Use Cas'!J179,'Summary per Company and Use Cas'!K179,'Summary per Company and Use Cas'!L179,'Summary per Company and Use Cas'!AI179,'Summary per Company and Use Cas'!AJ179,'Summary per Company and Use Cas'!AK179,'Summary per Company and Use Cas'!AL179,'Summary per Company and Use Cas'!AO179,'Summary per Company and Use Cas'!AP179,'Summary per Company and Use Cas'!AQ179))</f>
        <v>Mobileye-Last-Mile</v>
      </c>
      <c r="C21" s="352" t="str">
        <v>Mobileye</v>
      </c>
      <c r="D21" s="134" t="str">
        <v>Last-Mile</v>
      </c>
      <c r="E21" s="134" t="str">
        <v>L1</v>
      </c>
      <c r="F21" s="134">
        <v>1</v>
      </c>
      <c r="G21" s="134" t="str">
        <v>Goggo Network</v>
      </c>
      <c r="H21" s="134" t="str">
        <v>Autonomous mobility network</v>
      </c>
      <c r="I21" s="353">
        <v>1</v>
      </c>
      <c r="J21" s="354">
        <v>1</v>
      </c>
      <c r="K21" s="355">
        <v>0</v>
      </c>
      <c r="L21" s="354">
        <v>1</v>
      </c>
      <c r="M21" s="355">
        <v>0</v>
      </c>
      <c r="N21" s="354">
        <v>1</v>
      </c>
      <c r="O21" s="354">
        <v>3000</v>
      </c>
      <c r="P21" s="354">
        <v>2132</v>
      </c>
    </row>
    <row r="22" spans="1:16" x14ac:dyDescent="0.35">
      <c r="A22" s="134">
        <f t="shared" si="0"/>
        <v>21</v>
      </c>
      <c r="B22" s="134" t="str" cm="1">
        <f t="array" ref="B22:P22">TRANSPOSE(CHOOSE({1;2;3;4;5;6;7;8;13;14;15;16;17;18;19},'Summary per Company and Use Cas'!A180,'Summary per Company and Use Cas'!B180,'Summary per Company and Use Cas'!C180,'Summary per Company and Use Cas'!M180,'Summary per Company and Use Cas'!D180, 'Summary per Company and Use Cas'!E180,'Summary per Company and Use Cas'!G180, 'Summary per Company and Use Cas'!H180,'Summary per Company and Use Cas'!I180,'Summary per Company and Use Cas'!J180,'Summary per Company and Use Cas'!K180,'Summary per Company and Use Cas'!L180,'Summary per Company and Use Cas'!AI180,'Summary per Company and Use Cas'!AJ180,'Summary per Company and Use Cas'!AK180,'Summary per Company and Use Cas'!AL180,'Summary per Company and Use Cas'!AO180,'Summary per Company and Use Cas'!AP180,'Summary per Company and Use Cas'!AQ180))</f>
        <v>Mobileye-Ridepooling</v>
      </c>
      <c r="C22" s="352" t="str">
        <v>Mobileye</v>
      </c>
      <c r="D22" s="134" t="str">
        <v>Ridepooling</v>
      </c>
      <c r="E22" s="134" t="str">
        <v>L1</v>
      </c>
      <c r="F22" s="134">
        <v>2</v>
      </c>
      <c r="G22" s="134" t="str">
        <v>MAN Truck &amp; Bus; WILLER</v>
      </c>
      <c r="H22" s="134" t="str">
        <v>OEM Commercial Vehicles</v>
      </c>
      <c r="I22" s="353">
        <v>0.5</v>
      </c>
      <c r="J22" s="354">
        <v>1</v>
      </c>
      <c r="K22" s="355">
        <v>1</v>
      </c>
      <c r="L22" s="354">
        <v>1</v>
      </c>
      <c r="M22" s="355">
        <v>0</v>
      </c>
      <c r="N22" s="354">
        <v>1</v>
      </c>
      <c r="O22" s="354">
        <v>3000</v>
      </c>
      <c r="P22" s="354">
        <v>2132</v>
      </c>
    </row>
    <row r="23" spans="1:16" x14ac:dyDescent="0.35">
      <c r="A23" s="134">
        <f t="shared" si="0"/>
        <v>22</v>
      </c>
      <c r="B23" s="134" t="str" cm="1">
        <f t="array" ref="B23:P23">TRANSPOSE(CHOOSE({1;2;3;4;5;6;7;8;13;14;15;16;17;18;19},'Summary per Company and Use Cas'!A181,'Summary per Company and Use Cas'!B181,'Summary per Company and Use Cas'!C181,'Summary per Company and Use Cas'!M181,'Summary per Company and Use Cas'!D181, 'Summary per Company and Use Cas'!E181,'Summary per Company and Use Cas'!G181, 'Summary per Company and Use Cas'!H181,'Summary per Company and Use Cas'!I181,'Summary per Company and Use Cas'!J181,'Summary per Company and Use Cas'!K181,'Summary per Company and Use Cas'!L181,'Summary per Company and Use Cas'!AI181,'Summary per Company and Use Cas'!AJ181,'Summary per Company and Use Cas'!AK181,'Summary per Company and Use Cas'!AL181,'Summary per Company and Use Cas'!AO181,'Summary per Company and Use Cas'!AP181,'Summary per Company and Use Cas'!AQ181))</f>
        <v>Mobileye-Other</v>
      </c>
      <c r="C23" s="352" t="str">
        <v>Mobileye</v>
      </c>
      <c r="D23" s="134" t="str">
        <v>Other</v>
      </c>
      <c r="E23" s="134" t="str">
        <v>L1</v>
      </c>
      <c r="F23" s="134">
        <v>8</v>
      </c>
      <c r="G23" s="134" t="str">
        <v>Porsche; Ecarx; FAW Group; Wistron NeWeb Corp ; Geely; Zeekr; Valeo; Zeekr</v>
      </c>
      <c r="H23" s="134" t="str">
        <v>OEM</v>
      </c>
      <c r="I23" s="353">
        <v>0.625</v>
      </c>
      <c r="J23" s="354">
        <v>0</v>
      </c>
      <c r="K23" s="355">
        <v>8</v>
      </c>
      <c r="L23" s="354">
        <v>3</v>
      </c>
      <c r="M23" s="355">
        <v>1</v>
      </c>
      <c r="N23" s="354">
        <v>1</v>
      </c>
      <c r="O23" s="354">
        <v>3000</v>
      </c>
      <c r="P23" s="354">
        <v>2132</v>
      </c>
    </row>
    <row r="24" spans="1:16" x14ac:dyDescent="0.35">
      <c r="A24" s="134">
        <f t="shared" si="0"/>
        <v>23</v>
      </c>
      <c r="B24" s="134" t="str" cm="1">
        <f t="array" ref="B24:P24">TRANSPOSE(CHOOSE({1;2;3;4;5;6;7;8;13;14;15;16;17;18;19},'Summary per Company and Use Cas'!A182,'Summary per Company and Use Cas'!B182,'Summary per Company and Use Cas'!C182,'Summary per Company and Use Cas'!M182,'Summary per Company and Use Cas'!D182, 'Summary per Company and Use Cas'!E182,'Summary per Company and Use Cas'!G182, 'Summary per Company and Use Cas'!H182,'Summary per Company and Use Cas'!I182,'Summary per Company and Use Cas'!J182,'Summary per Company and Use Cas'!K182,'Summary per Company and Use Cas'!L182,'Summary per Company and Use Cas'!AI182,'Summary per Company and Use Cas'!AJ182,'Summary per Company and Use Cas'!AK182,'Summary per Company and Use Cas'!AL182,'Summary per Company and Use Cas'!AO182,'Summary per Company and Use Cas'!AP182,'Summary per Company and Use Cas'!AQ182))</f>
        <v>Mobileye-Ridehailing</v>
      </c>
      <c r="C24" s="352" t="str">
        <v>Mobileye</v>
      </c>
      <c r="D24" s="134" t="str">
        <v>Ridehailing</v>
      </c>
      <c r="E24" s="134" t="str">
        <v>L1</v>
      </c>
      <c r="F24" s="134">
        <v>1</v>
      </c>
      <c r="G24" s="134" t="str">
        <v>WILLER</v>
      </c>
      <c r="H24" s="134" t="str">
        <v>Mobility Services</v>
      </c>
      <c r="I24" s="353">
        <v>1</v>
      </c>
      <c r="J24" s="354">
        <v>1</v>
      </c>
      <c r="K24" s="355">
        <v>0</v>
      </c>
      <c r="L24" s="354">
        <v>0</v>
      </c>
      <c r="M24" s="355">
        <v>0</v>
      </c>
      <c r="N24" s="354">
        <v>1</v>
      </c>
      <c r="O24" s="354">
        <v>3000</v>
      </c>
      <c r="P24" s="354">
        <v>2132</v>
      </c>
    </row>
    <row r="25" spans="1:16" x14ac:dyDescent="0.35">
      <c r="A25" s="134">
        <f t="shared" si="0"/>
        <v>24</v>
      </c>
      <c r="B25" s="134" t="str" cm="1">
        <f t="array" ref="B25:P25">TRANSPOSE(CHOOSE({1;2;3;4;5;6;7;8;13;14;15;16;17;18;19},'Summary per Company and Use Cas'!A183,'Summary per Company and Use Cas'!B183,'Summary per Company and Use Cas'!C183,'Summary per Company and Use Cas'!M183,'Summary per Company and Use Cas'!D183, 'Summary per Company and Use Cas'!E183,'Summary per Company and Use Cas'!G183, 'Summary per Company and Use Cas'!H183,'Summary per Company and Use Cas'!I183,'Summary per Company and Use Cas'!J183,'Summary per Company and Use Cas'!K183,'Summary per Company and Use Cas'!L183,'Summary per Company and Use Cas'!AI183,'Summary per Company and Use Cas'!AJ183,'Summary per Company and Use Cas'!AK183,'Summary per Company and Use Cas'!AL183,'Summary per Company and Use Cas'!AO183,'Summary per Company and Use Cas'!AP183,'Summary per Company and Use Cas'!AQ183))</f>
        <v>MOIA-Ridepooling</v>
      </c>
      <c r="C25" s="352" t="str">
        <v>MOIA</v>
      </c>
      <c r="D25" s="134" t="str">
        <v>Ridepooling</v>
      </c>
      <c r="E25" s="134" t="str">
        <v>L3</v>
      </c>
      <c r="F25" s="134">
        <v>2</v>
      </c>
      <c r="G25" s="134" t="str">
        <v xml:space="preserve">HOCHBAHN;Volkswagen Commercial Vehicles; </v>
      </c>
      <c r="H25" s="134" t="str">
        <v>OEM Commercial Vehicles</v>
      </c>
      <c r="I25" s="353">
        <v>0.5</v>
      </c>
      <c r="J25" s="354">
        <v>1</v>
      </c>
      <c r="K25" s="355">
        <v>0</v>
      </c>
      <c r="L25" s="354">
        <v>1</v>
      </c>
      <c r="M25" s="355">
        <v>0</v>
      </c>
      <c r="N25" s="354">
        <v>0</v>
      </c>
      <c r="O25" s="354">
        <v>250</v>
      </c>
      <c r="P25" s="354" t="str">
        <v>n.a.</v>
      </c>
    </row>
    <row r="26" spans="1:16" x14ac:dyDescent="0.35">
      <c r="A26" s="134">
        <f t="shared" si="0"/>
        <v>25</v>
      </c>
      <c r="B26" s="134" t="str" cm="1">
        <f t="array" ref="B26:P26">TRANSPOSE(CHOOSE({1;2;3;4;5;6;7;8;13;14;15;16;17;18;19},'Summary per Company and Use Cas'!A184,'Summary per Company and Use Cas'!B184,'Summary per Company and Use Cas'!C184,'Summary per Company and Use Cas'!M184,'Summary per Company and Use Cas'!D184, 'Summary per Company and Use Cas'!E184,'Summary per Company and Use Cas'!G184, 'Summary per Company and Use Cas'!H184,'Summary per Company and Use Cas'!I184,'Summary per Company and Use Cas'!J184,'Summary per Company and Use Cas'!K184,'Summary per Company and Use Cas'!L184,'Summary per Company and Use Cas'!AI184,'Summary per Company and Use Cas'!AJ184,'Summary per Company and Use Cas'!AK184,'Summary per Company and Use Cas'!AL184,'Summary per Company and Use Cas'!AO184,'Summary per Company and Use Cas'!AP184,'Summary per Company and Use Cas'!AQ184))</f>
        <v>Motional-Ridehailing</v>
      </c>
      <c r="C26" s="352" t="str">
        <v>Motional</v>
      </c>
      <c r="D26" s="134" t="str">
        <v>Ridehailing</v>
      </c>
      <c r="E26" s="134" t="str">
        <v>L1</v>
      </c>
      <c r="F26" s="134">
        <v>3</v>
      </c>
      <c r="G26" s="134" t="str">
        <v>Derq; Boston University; tfnsw</v>
      </c>
      <c r="H26" s="134" t="str">
        <v>Transport Operator</v>
      </c>
      <c r="I26" s="353">
        <v>0.33333333333333331</v>
      </c>
      <c r="J26" s="354">
        <v>0</v>
      </c>
      <c r="K26" s="355">
        <v>2</v>
      </c>
      <c r="L26" s="354">
        <v>3</v>
      </c>
      <c r="M26" s="355">
        <v>0</v>
      </c>
      <c r="N26" s="354">
        <v>0</v>
      </c>
      <c r="O26" s="354">
        <v>750</v>
      </c>
      <c r="P26" s="354" t="str">
        <v>n.a.</v>
      </c>
    </row>
    <row r="27" spans="1:16" x14ac:dyDescent="0.35">
      <c r="A27" s="134">
        <f t="shared" si="0"/>
        <v>26</v>
      </c>
      <c r="B27" s="134" t="str" cm="1">
        <f t="array" ref="B27:P27">TRANSPOSE(CHOOSE({1;2;3;4;5;6;7;8;13;14;15;16;17;18;19},'Summary per Company and Use Cas'!A185,'Summary per Company and Use Cas'!B185,'Summary per Company and Use Cas'!C185,'Summary per Company and Use Cas'!M185,'Summary per Company and Use Cas'!D185, 'Summary per Company and Use Cas'!E185,'Summary per Company and Use Cas'!G185, 'Summary per Company and Use Cas'!H185,'Summary per Company and Use Cas'!I185,'Summary per Company and Use Cas'!J185,'Summary per Company and Use Cas'!K185,'Summary per Company and Use Cas'!L185,'Summary per Company and Use Cas'!AI185,'Summary per Company and Use Cas'!AJ185,'Summary per Company and Use Cas'!AK185,'Summary per Company and Use Cas'!AL185,'Summary per Company and Use Cas'!AO185,'Summary per Company and Use Cas'!AP185,'Summary per Company and Use Cas'!AQ185))</f>
        <v>Motional-Last-Mile</v>
      </c>
      <c r="C27" s="352" t="str">
        <v>Motional</v>
      </c>
      <c r="D27" s="134" t="str">
        <v>Last-Mile</v>
      </c>
      <c r="E27" s="134" t="str">
        <v>L1</v>
      </c>
      <c r="F27" s="134">
        <v>1</v>
      </c>
      <c r="G27" s="134" t="str">
        <v>Uber</v>
      </c>
      <c r="H27" s="134" t="str">
        <v>Mobility Services Booking</v>
      </c>
      <c r="I27" s="353">
        <v>1</v>
      </c>
      <c r="J27" s="354">
        <v>1</v>
      </c>
      <c r="K27" s="355">
        <v>0</v>
      </c>
      <c r="L27" s="354">
        <v>1</v>
      </c>
      <c r="M27" s="355">
        <v>0</v>
      </c>
      <c r="N27" s="354">
        <v>0</v>
      </c>
      <c r="O27" s="354">
        <v>750</v>
      </c>
      <c r="P27" s="354" t="str">
        <v>n.a.</v>
      </c>
    </row>
    <row r="28" spans="1:16" x14ac:dyDescent="0.35">
      <c r="A28" s="134">
        <f t="shared" si="0"/>
        <v>27</v>
      </c>
      <c r="B28" s="134" t="str" cm="1">
        <f t="array" ref="B28:P28">TRANSPOSE(CHOOSE({1;2;3;4;5;6;7;8;13;14;15;16;17;18;19},'Summary per Company and Use Cas'!A186,'Summary per Company and Use Cas'!B186,'Summary per Company and Use Cas'!C186,'Summary per Company and Use Cas'!M186,'Summary per Company and Use Cas'!D186, 'Summary per Company and Use Cas'!E186,'Summary per Company and Use Cas'!G186, 'Summary per Company and Use Cas'!H186,'Summary per Company and Use Cas'!I186,'Summary per Company and Use Cas'!J186,'Summary per Company and Use Cas'!K186,'Summary per Company and Use Cas'!L186,'Summary per Company and Use Cas'!AI186,'Summary per Company and Use Cas'!AJ186,'Summary per Company and Use Cas'!AK186,'Summary per Company and Use Cas'!AL186,'Summary per Company and Use Cas'!AO186,'Summary per Company and Use Cas'!AP186,'Summary per Company and Use Cas'!AQ186))</f>
        <v>Navya-Ridepooling</v>
      </c>
      <c r="C28" s="352" t="str">
        <v>Navya</v>
      </c>
      <c r="D28" s="134" t="str">
        <v>Ridepooling</v>
      </c>
      <c r="E28" s="134" t="str">
        <v>L2</v>
      </c>
      <c r="F28" s="134">
        <v>5</v>
      </c>
      <c r="G28" s="134" t="str">
        <v>Valeo; Ion; Valeo; Lohr; Michelin;Beti</v>
      </c>
      <c r="H28" s="134" t="str">
        <v>Mobility Services</v>
      </c>
      <c r="I28" s="353">
        <v>0.33333333333333331</v>
      </c>
      <c r="J28" s="354">
        <v>1</v>
      </c>
      <c r="K28" s="355">
        <v>4</v>
      </c>
      <c r="L28" s="354">
        <v>4</v>
      </c>
      <c r="M28" s="355">
        <v>0</v>
      </c>
      <c r="N28" s="354">
        <v>1</v>
      </c>
      <c r="O28" s="354">
        <v>375</v>
      </c>
      <c r="P28" s="354">
        <v>108.44449893000001</v>
      </c>
    </row>
    <row r="29" spans="1:16" x14ac:dyDescent="0.35">
      <c r="A29" s="134">
        <f t="shared" si="0"/>
        <v>28</v>
      </c>
      <c r="B29" s="134" t="str" cm="1">
        <f t="array" ref="B29:P29">TRANSPOSE(CHOOSE({1;2;3;4;5;6;7;8;13;14;15;16;17;18;19},'Summary per Company and Use Cas'!A187,'Summary per Company and Use Cas'!B187,'Summary per Company and Use Cas'!C187,'Summary per Company and Use Cas'!M187,'Summary per Company and Use Cas'!D187, 'Summary per Company and Use Cas'!E187,'Summary per Company and Use Cas'!G187, 'Summary per Company and Use Cas'!H187,'Summary per Company and Use Cas'!I187,'Summary per Company and Use Cas'!J187,'Summary per Company and Use Cas'!K187,'Summary per Company and Use Cas'!L187,'Summary per Company and Use Cas'!AI187,'Summary per Company and Use Cas'!AJ187,'Summary per Company and Use Cas'!AK187,'Summary per Company and Use Cas'!AL187,'Summary per Company and Use Cas'!AO187,'Summary per Company and Use Cas'!AP187,'Summary per Company and Use Cas'!AQ187))</f>
        <v>Nuro-Last-Mile</v>
      </c>
      <c r="C29" s="352" t="str">
        <v>Nuro</v>
      </c>
      <c r="D29" s="134" t="str">
        <v>Last-Mile</v>
      </c>
      <c r="E29" s="134" t="str">
        <v>L2</v>
      </c>
      <c r="F29" s="134">
        <v>1</v>
      </c>
      <c r="G29" s="134" t="str">
        <v>Uber Eats</v>
      </c>
      <c r="H29" s="134" t="str">
        <v>Delivery Service</v>
      </c>
      <c r="I29" s="353">
        <v>1</v>
      </c>
      <c r="J29" s="354">
        <v>1</v>
      </c>
      <c r="K29" s="355">
        <v>0</v>
      </c>
      <c r="L29" s="354">
        <v>0</v>
      </c>
      <c r="M29" s="355">
        <v>0</v>
      </c>
      <c r="N29" s="354">
        <v>0</v>
      </c>
      <c r="O29" s="354">
        <v>1133</v>
      </c>
      <c r="P29" s="354">
        <v>2132.1488549999999</v>
      </c>
    </row>
    <row r="30" spans="1:16" x14ac:dyDescent="0.35">
      <c r="A30" s="134">
        <f t="shared" si="0"/>
        <v>29</v>
      </c>
      <c r="B30" s="134" t="str" cm="1">
        <f t="array" ref="B30:P30">TRANSPOSE(CHOOSE({1;2;3;4;5;6;7;8;13;14;15;16;17;18;19},'Summary per Company and Use Cas'!A188,'Summary per Company and Use Cas'!B188,'Summary per Company and Use Cas'!C188,'Summary per Company and Use Cas'!M188,'Summary per Company and Use Cas'!D188, 'Summary per Company and Use Cas'!E188,'Summary per Company and Use Cas'!G188, 'Summary per Company and Use Cas'!H188,'Summary per Company and Use Cas'!I188,'Summary per Company and Use Cas'!J188,'Summary per Company and Use Cas'!K188,'Summary per Company and Use Cas'!L188,'Summary per Company and Use Cas'!AI188,'Summary per Company and Use Cas'!AJ188,'Summary per Company and Use Cas'!AK188,'Summary per Company and Use Cas'!AL188,'Summary per Company and Use Cas'!AO188,'Summary per Company and Use Cas'!AP188,'Summary per Company and Use Cas'!AQ188))</f>
        <v>Oxa-Ridepooling</v>
      </c>
      <c r="C30" s="352" t="str">
        <v>Oxa</v>
      </c>
      <c r="D30" s="134" t="str">
        <v>Ridepooling</v>
      </c>
      <c r="E30" s="134" t="str">
        <v>L1</v>
      </c>
      <c r="F30" s="134">
        <v>3</v>
      </c>
      <c r="G30" s="134" t="str">
        <v>eVersum; NEVS; Beep</v>
      </c>
      <c r="H30" s="134" t="str">
        <v>Autonomous Vehicles</v>
      </c>
      <c r="I30" s="353">
        <v>0.33333333333333331</v>
      </c>
      <c r="J30" s="354">
        <v>1</v>
      </c>
      <c r="K30" s="355">
        <v>3</v>
      </c>
      <c r="L30" s="354">
        <v>0</v>
      </c>
      <c r="M30" s="355">
        <v>0</v>
      </c>
      <c r="N30" s="354">
        <v>0</v>
      </c>
      <c r="O30" s="354">
        <v>300</v>
      </c>
      <c r="P30" s="354">
        <v>228.816</v>
      </c>
    </row>
    <row r="31" spans="1:16" x14ac:dyDescent="0.35">
      <c r="A31" s="134">
        <f t="shared" si="0"/>
        <v>30</v>
      </c>
      <c r="B31" s="134" t="str" cm="1">
        <f t="array" ref="B31:P31">TRANSPOSE(CHOOSE({1;2;3;4;5;6;7;8;13;14;15;16;17;18;19},'Summary per Company and Use Cas'!A189,'Summary per Company and Use Cas'!B189,'Summary per Company and Use Cas'!C189,'Summary per Company and Use Cas'!M189,'Summary per Company and Use Cas'!D189, 'Summary per Company and Use Cas'!E189,'Summary per Company and Use Cas'!G189, 'Summary per Company and Use Cas'!H189,'Summary per Company and Use Cas'!I189,'Summary per Company and Use Cas'!J189,'Summary per Company and Use Cas'!K189,'Summary per Company and Use Cas'!L189,'Summary per Company and Use Cas'!AI189,'Summary per Company and Use Cas'!AJ189,'Summary per Company and Use Cas'!AK189,'Summary per Company and Use Cas'!AL189,'Summary per Company and Use Cas'!AO189,'Summary per Company and Use Cas'!AP189,'Summary per Company and Use Cas'!AQ189))</f>
        <v>Oxa-Last-Mile</v>
      </c>
      <c r="C31" s="352" t="str">
        <v>Oxa</v>
      </c>
      <c r="D31" s="134" t="str">
        <v>Last-Mile</v>
      </c>
      <c r="E31" s="134" t="str">
        <v>L1</v>
      </c>
      <c r="F31" s="134">
        <v>2</v>
      </c>
      <c r="G31" s="134" t="str">
        <v>Goggo Network; Ocado Group</v>
      </c>
      <c r="H31" s="134" t="str">
        <v>Retail</v>
      </c>
      <c r="I31" s="353">
        <v>0.5</v>
      </c>
      <c r="J31" s="354">
        <v>1</v>
      </c>
      <c r="K31" s="355">
        <v>1</v>
      </c>
      <c r="L31" s="354">
        <v>1</v>
      </c>
      <c r="M31" s="355">
        <v>1</v>
      </c>
      <c r="N31" s="354">
        <v>0</v>
      </c>
      <c r="O31" s="354">
        <v>300</v>
      </c>
      <c r="P31" s="354">
        <v>228.816</v>
      </c>
    </row>
    <row r="32" spans="1:16" x14ac:dyDescent="0.35">
      <c r="A32" s="134">
        <f t="shared" si="0"/>
        <v>31</v>
      </c>
      <c r="B32" s="134" t="str" cm="1">
        <f t="array" ref="B32:P32">TRANSPOSE(CHOOSE({1;2;3;4;5;6;7;8;13;14;15;16;17;18;19},'Summary per Company and Use Cas'!A190,'Summary per Company and Use Cas'!B190,'Summary per Company and Use Cas'!C190,'Summary per Company and Use Cas'!M190,'Summary per Company and Use Cas'!D190, 'Summary per Company and Use Cas'!E190,'Summary per Company and Use Cas'!G190, 'Summary per Company and Use Cas'!H190,'Summary per Company and Use Cas'!I190,'Summary per Company and Use Cas'!J190,'Summary per Company and Use Cas'!K190,'Summary per Company and Use Cas'!L190,'Summary per Company and Use Cas'!AI190,'Summary per Company and Use Cas'!AJ190,'Summary per Company and Use Cas'!AK190,'Summary per Company and Use Cas'!AL190,'Summary per Company and Use Cas'!AO190,'Summary per Company and Use Cas'!AP190,'Summary per Company and Use Cas'!AQ190))</f>
        <v>Oxa-Other</v>
      </c>
      <c r="C32" s="352" t="str">
        <v>Oxa</v>
      </c>
      <c r="D32" s="134" t="str">
        <v>Other</v>
      </c>
      <c r="E32" s="134" t="str">
        <v>L1</v>
      </c>
      <c r="F32" s="134">
        <v>1</v>
      </c>
      <c r="G32" s="134" t="str">
        <v>Navtech Radar</v>
      </c>
      <c r="H32" s="134" t="str">
        <v>Sensor</v>
      </c>
      <c r="I32" s="353">
        <v>1</v>
      </c>
      <c r="J32" s="354">
        <v>0</v>
      </c>
      <c r="K32" s="355">
        <v>1</v>
      </c>
      <c r="L32" s="354">
        <v>1</v>
      </c>
      <c r="M32" s="355">
        <v>0</v>
      </c>
      <c r="N32" s="354">
        <v>0</v>
      </c>
      <c r="O32" s="354">
        <v>300</v>
      </c>
      <c r="P32" s="354">
        <v>228.816</v>
      </c>
    </row>
    <row r="33" spans="1:16" x14ac:dyDescent="0.35">
      <c r="A33" s="134">
        <f t="shared" si="0"/>
        <v>32</v>
      </c>
      <c r="B33" s="134" t="str" cm="1">
        <f t="array" ref="B33:P33">TRANSPOSE(CHOOSE({1;2;3;4;5;6;7;8;13;14;15;16;17;18;19},'Summary per Company and Use Cas'!A191,'Summary per Company and Use Cas'!B191,'Summary per Company and Use Cas'!C191,'Summary per Company and Use Cas'!M191,'Summary per Company and Use Cas'!D191, 'Summary per Company and Use Cas'!E191,'Summary per Company and Use Cas'!G191, 'Summary per Company and Use Cas'!H191,'Summary per Company and Use Cas'!I191,'Summary per Company and Use Cas'!J191,'Summary per Company and Use Cas'!K191,'Summary per Company and Use Cas'!L191,'Summary per Company and Use Cas'!AI191,'Summary per Company and Use Cas'!AJ191,'Summary per Company and Use Cas'!AK191,'Summary per Company and Use Cas'!AL191,'Summary per Company and Use Cas'!AO191,'Summary per Company and Use Cas'!AP191,'Summary per Company and Use Cas'!AQ191))</f>
        <v>Plus.ai-Trucking</v>
      </c>
      <c r="C33" s="352" t="str">
        <v>Plus.ai</v>
      </c>
      <c r="D33" s="134" t="str">
        <v>Trucking</v>
      </c>
      <c r="E33" s="134" t="str">
        <v>L1</v>
      </c>
      <c r="F33" s="134">
        <v>7</v>
      </c>
      <c r="G33" s="134" t="str">
        <v>Bosch; Minnesota Department of Transportation; Transurban; Goodyear; IVECO; Cummins; Luminar</v>
      </c>
      <c r="H33" s="134" t="str">
        <v>Automotive Supplier</v>
      </c>
      <c r="I33" s="353">
        <v>0.42857142857142855</v>
      </c>
      <c r="J33" s="354">
        <v>0</v>
      </c>
      <c r="K33" s="355">
        <v>5</v>
      </c>
      <c r="L33" s="354">
        <v>6</v>
      </c>
      <c r="M33" s="355">
        <v>0</v>
      </c>
      <c r="N33" s="354">
        <v>0</v>
      </c>
      <c r="O33" s="354">
        <v>250</v>
      </c>
      <c r="P33" s="354">
        <v>520.02510199999995</v>
      </c>
    </row>
    <row r="34" spans="1:16" x14ac:dyDescent="0.35">
      <c r="A34" s="134">
        <f t="shared" si="0"/>
        <v>33</v>
      </c>
      <c r="B34" s="134" t="str" cm="1">
        <f t="array" ref="B34:P34">TRANSPOSE(CHOOSE({1;2;3;4;5;6;7;8;13;14;15;16;17;18;19},'Summary per Company and Use Cas'!A192,'Summary per Company and Use Cas'!B192,'Summary per Company and Use Cas'!C192,'Summary per Company and Use Cas'!M192,'Summary per Company and Use Cas'!D192, 'Summary per Company and Use Cas'!E192,'Summary per Company and Use Cas'!G192, 'Summary per Company and Use Cas'!H192,'Summary per Company and Use Cas'!I192,'Summary per Company and Use Cas'!J192,'Summary per Company and Use Cas'!K192,'Summary per Company and Use Cas'!L192,'Summary per Company and Use Cas'!AI192,'Summary per Company and Use Cas'!AJ192,'Summary per Company and Use Cas'!AK192,'Summary per Company and Use Cas'!AL192,'Summary per Company and Use Cas'!AO192,'Summary per Company and Use Cas'!AP192,'Summary per Company and Use Cas'!AQ192))</f>
        <v>Pony.ai-Ridehailing</v>
      </c>
      <c r="C34" s="352" t="str">
        <v>Pony.ai</v>
      </c>
      <c r="D34" s="134" t="str">
        <v>Ridehailing</v>
      </c>
      <c r="E34" s="134" t="str">
        <v>L1</v>
      </c>
      <c r="F34" s="134">
        <v>6</v>
      </c>
      <c r="G34" s="134" t="str">
        <v>Toyota; Onsemi; Horizon Robotics; Toyota; Luminar; Sinotrans</v>
      </c>
      <c r="H34" s="134" t="str">
        <v>OEM</v>
      </c>
      <c r="I34" s="353">
        <v>0.33333333333333331</v>
      </c>
      <c r="J34" s="354">
        <v>0</v>
      </c>
      <c r="K34" s="355">
        <v>8</v>
      </c>
      <c r="L34" s="354">
        <v>3</v>
      </c>
      <c r="M34" s="355">
        <v>2</v>
      </c>
      <c r="N34" s="354">
        <v>0</v>
      </c>
      <c r="O34" s="354">
        <v>750</v>
      </c>
      <c r="P34" s="354">
        <v>1332</v>
      </c>
    </row>
    <row r="35" spans="1:16" x14ac:dyDescent="0.35">
      <c r="A35" s="134">
        <f t="shared" si="0"/>
        <v>34</v>
      </c>
      <c r="B35" s="134" t="str" cm="1">
        <f t="array" ref="B35:P35">TRANSPOSE(CHOOSE({1;2;3;4;5;6;7;8;13;14;15;16;17;18;19},'Summary per Company and Use Cas'!A193,'Summary per Company and Use Cas'!B193,'Summary per Company and Use Cas'!C193,'Summary per Company and Use Cas'!M193,'Summary per Company and Use Cas'!D193, 'Summary per Company and Use Cas'!E193,'Summary per Company and Use Cas'!G193, 'Summary per Company and Use Cas'!H193,'Summary per Company and Use Cas'!I193,'Summary per Company and Use Cas'!J193,'Summary per Company and Use Cas'!K193,'Summary per Company and Use Cas'!L193,'Summary per Company and Use Cas'!AI193,'Summary per Company and Use Cas'!AJ193,'Summary per Company and Use Cas'!AK193,'Summary per Company and Use Cas'!AL193,'Summary per Company and Use Cas'!AO193,'Summary per Company and Use Cas'!AP193,'Summary per Company and Use Cas'!AQ193))</f>
        <v>Pony.ai-Trucking</v>
      </c>
      <c r="C35" s="352" t="str">
        <v>Pony.ai</v>
      </c>
      <c r="D35" s="134" t="str">
        <v>Trucking</v>
      </c>
      <c r="E35" s="134" t="str">
        <v>L1</v>
      </c>
      <c r="F35" s="134">
        <v>1</v>
      </c>
      <c r="G35" s="134" t="str">
        <v>SANY Heavy Truck</v>
      </c>
      <c r="H35" s="134" t="str">
        <v>OEM Commercial Vehicles</v>
      </c>
      <c r="I35" s="353">
        <v>1</v>
      </c>
      <c r="J35" s="354">
        <v>0</v>
      </c>
      <c r="K35" s="355">
        <v>1</v>
      </c>
      <c r="L35" s="354">
        <v>0</v>
      </c>
      <c r="M35" s="355">
        <v>1</v>
      </c>
      <c r="N35" s="354">
        <v>0</v>
      </c>
      <c r="O35" s="354">
        <v>750</v>
      </c>
      <c r="P35" s="354">
        <v>1332</v>
      </c>
    </row>
    <row r="36" spans="1:16" x14ac:dyDescent="0.35">
      <c r="A36" s="134">
        <f t="shared" si="0"/>
        <v>35</v>
      </c>
      <c r="B36" s="134" t="str" cm="1">
        <f t="array" ref="B36:P36">TRANSPOSE(CHOOSE({1;2;3;4;5;6;7;8;13;14;15;16;17;18;19},'Summary per Company and Use Cas'!A194,'Summary per Company and Use Cas'!B194,'Summary per Company and Use Cas'!C194,'Summary per Company and Use Cas'!M194,'Summary per Company and Use Cas'!D194, 'Summary per Company and Use Cas'!E194,'Summary per Company and Use Cas'!G194, 'Summary per Company and Use Cas'!H194,'Summary per Company and Use Cas'!I194,'Summary per Company and Use Cas'!J194,'Summary per Company and Use Cas'!K194,'Summary per Company and Use Cas'!L194,'Summary per Company and Use Cas'!AI194,'Summary per Company and Use Cas'!AJ194,'Summary per Company and Use Cas'!AK194,'Summary per Company and Use Cas'!AL194,'Summary per Company and Use Cas'!AO194,'Summary per Company and Use Cas'!AP194,'Summary per Company and Use Cas'!AQ194))</f>
        <v>ServeRobotics-Last-Mile</v>
      </c>
      <c r="C36" s="352" t="str">
        <v>ServeRobotics</v>
      </c>
      <c r="D36" s="134" t="str">
        <v>Last-Mile</v>
      </c>
      <c r="E36" s="134" t="str">
        <v>L2</v>
      </c>
      <c r="F36" s="134">
        <v>4</v>
      </c>
      <c r="G36" s="134" t="str">
        <v>Nickelytics;The Ad Council; Pizza Hut; Uber Eats; Piestro</v>
      </c>
      <c r="H36" s="134" t="str">
        <v>Food &amp; Beverage</v>
      </c>
      <c r="I36" s="353">
        <v>0.4</v>
      </c>
      <c r="J36" s="354">
        <v>3</v>
      </c>
      <c r="K36" s="355">
        <v>0</v>
      </c>
      <c r="L36" s="354">
        <v>4</v>
      </c>
      <c r="M36" s="355">
        <v>0</v>
      </c>
      <c r="N36" s="354">
        <v>0</v>
      </c>
      <c r="O36" s="354">
        <v>75</v>
      </c>
      <c r="P36" s="354">
        <v>53</v>
      </c>
    </row>
    <row r="37" spans="1:16" x14ac:dyDescent="0.35">
      <c r="A37" s="134">
        <f t="shared" si="0"/>
        <v>36</v>
      </c>
      <c r="B37" s="134" t="str" cm="1">
        <f t="array" ref="B37:P37">TRANSPOSE(CHOOSE({1;2;3;4;5;6;7;8;13;14;15;16;17;18;19},'Summary per Company and Use Cas'!A195,'Summary per Company and Use Cas'!B195,'Summary per Company and Use Cas'!C195,'Summary per Company and Use Cas'!M195,'Summary per Company and Use Cas'!D195, 'Summary per Company and Use Cas'!E195,'Summary per Company and Use Cas'!G195, 'Summary per Company and Use Cas'!H195,'Summary per Company and Use Cas'!I195,'Summary per Company and Use Cas'!J195,'Summary per Company and Use Cas'!K195,'Summary per Company and Use Cas'!L195,'Summary per Company and Use Cas'!AI195,'Summary per Company and Use Cas'!AJ195,'Summary per Company and Use Cas'!AK195,'Summary per Company and Use Cas'!AL195,'Summary per Company and Use Cas'!AO195,'Summary per Company and Use Cas'!AP195,'Summary per Company and Use Cas'!AQ195))</f>
        <v>Torc-Trucking</v>
      </c>
      <c r="C37" s="352" t="str">
        <v>Torc</v>
      </c>
      <c r="D37" s="134" t="str">
        <v>Trucking</v>
      </c>
      <c r="E37" s="134" t="str">
        <v>L1</v>
      </c>
      <c r="F37" s="134">
        <v>3</v>
      </c>
      <c r="G37" s="134" t="str">
        <v>Daimler Truck; Applied Intuition; Daimler Truck;Luminar</v>
      </c>
      <c r="H37" s="134" t="str">
        <v>OEM Commercial Vehicles</v>
      </c>
      <c r="I37" s="353">
        <v>0.5</v>
      </c>
      <c r="J37" s="354">
        <v>0</v>
      </c>
      <c r="K37" s="355">
        <v>3</v>
      </c>
      <c r="L37" s="354">
        <v>1</v>
      </c>
      <c r="M37" s="355">
        <v>1</v>
      </c>
      <c r="N37" s="354">
        <v>0</v>
      </c>
      <c r="O37" s="354">
        <v>175</v>
      </c>
      <c r="P37" s="354" t="str">
        <v>n.a.</v>
      </c>
    </row>
    <row r="38" spans="1:16" x14ac:dyDescent="0.35">
      <c r="A38" s="134">
        <f t="shared" si="0"/>
        <v>37</v>
      </c>
      <c r="B38" s="134" t="str" cm="1">
        <f t="array" ref="B38:P38">TRANSPOSE(CHOOSE({1;2;3;4;5;6;7;8;13;14;15;16;17;18;19},'Summary per Company and Use Cas'!A196,'Summary per Company and Use Cas'!B196,'Summary per Company and Use Cas'!C196,'Summary per Company and Use Cas'!M196,'Summary per Company and Use Cas'!D196, 'Summary per Company and Use Cas'!E196,'Summary per Company and Use Cas'!G196, 'Summary per Company and Use Cas'!H196,'Summary per Company and Use Cas'!I196,'Summary per Company and Use Cas'!J196,'Summary per Company and Use Cas'!K196,'Summary per Company and Use Cas'!L196,'Summary per Company and Use Cas'!AI196,'Summary per Company and Use Cas'!AJ196,'Summary per Company and Use Cas'!AK196,'Summary per Company and Use Cas'!AL196,'Summary per Company and Use Cas'!AO196,'Summary per Company and Use Cas'!AP196,'Summary per Company and Use Cas'!AQ196))</f>
        <v>Transdev-Ridepooling</v>
      </c>
      <c r="C38" s="352" t="str">
        <v>Transdev</v>
      </c>
      <c r="D38" s="134" t="str">
        <v>Ridepooling</v>
      </c>
      <c r="E38" s="134" t="str">
        <v>L3</v>
      </c>
      <c r="F38" s="134">
        <v>4</v>
      </c>
      <c r="G38" s="134" t="str">
        <v>Torc; LAVTA; Delphi; ZF;e.GO</v>
      </c>
      <c r="H38" s="134" t="str">
        <v>Autonomous Vehicles</v>
      </c>
      <c r="I38" s="353">
        <v>0.4</v>
      </c>
      <c r="J38" s="354">
        <v>2</v>
      </c>
      <c r="K38" s="355">
        <v>1</v>
      </c>
      <c r="L38" s="354">
        <v>3</v>
      </c>
      <c r="M38" s="355">
        <v>0</v>
      </c>
      <c r="N38" s="354">
        <v>0</v>
      </c>
      <c r="O38" s="354">
        <v>74928</v>
      </c>
      <c r="P38" s="354" t="str">
        <v>n.a.</v>
      </c>
    </row>
    <row r="39" spans="1:16" x14ac:dyDescent="0.35">
      <c r="A39" s="134">
        <f t="shared" si="0"/>
        <v>38</v>
      </c>
      <c r="B39" s="134" t="str" cm="1">
        <f t="array" ref="B39:P39">TRANSPOSE(CHOOSE({1;2;3;4;5;6;7;8;13;14;15;16;17;18;19},'Summary per Company and Use Cas'!A197,'Summary per Company and Use Cas'!B197,'Summary per Company and Use Cas'!C197,'Summary per Company and Use Cas'!M197,'Summary per Company and Use Cas'!D197, 'Summary per Company and Use Cas'!E197,'Summary per Company and Use Cas'!G197, 'Summary per Company and Use Cas'!H197,'Summary per Company and Use Cas'!I197,'Summary per Company and Use Cas'!J197,'Summary per Company and Use Cas'!K197,'Summary per Company and Use Cas'!L197,'Summary per Company and Use Cas'!AI197,'Summary per Company and Use Cas'!AJ197,'Summary per Company and Use Cas'!AK197,'Summary per Company and Use Cas'!AL197,'Summary per Company and Use Cas'!AO197,'Summary per Company and Use Cas'!AP197,'Summary per Company and Use Cas'!AQ197))</f>
        <v>TuSimple-Trucking</v>
      </c>
      <c r="C39" s="352" t="str">
        <v>TuSimple</v>
      </c>
      <c r="D39" s="134" t="str">
        <v>Trucking</v>
      </c>
      <c r="E39" s="134" t="str">
        <v>L1</v>
      </c>
      <c r="F39" s="134">
        <v>9</v>
      </c>
      <c r="G39" s="134" t="str">
        <v>ZF; Navistar; Traton; Goodyear; Liberty Mutual Insurance; Ryder; Loadsmith; Hegelmann Group; DHL</v>
      </c>
      <c r="H39" s="134" t="str">
        <v>Logistics</v>
      </c>
      <c r="I39" s="353">
        <v>0.44444444444444442</v>
      </c>
      <c r="J39" s="354">
        <v>4</v>
      </c>
      <c r="K39" s="355">
        <v>6</v>
      </c>
      <c r="L39" s="354">
        <v>7</v>
      </c>
      <c r="M39" s="355">
        <v>2</v>
      </c>
      <c r="N39" s="354">
        <v>1</v>
      </c>
      <c r="O39" s="354">
        <v>700</v>
      </c>
      <c r="P39" s="354">
        <v>648.071101</v>
      </c>
    </row>
    <row r="40" spans="1:16" x14ac:dyDescent="0.35">
      <c r="A40" s="134">
        <f t="shared" si="0"/>
        <v>39</v>
      </c>
      <c r="B40" s="134" t="str" cm="1">
        <f t="array" ref="B40:P40">TRANSPOSE(CHOOSE({1;2;3;4;5;6;7;8;13;14;15;16;17;18;19},'Summary per Company and Use Cas'!A198,'Summary per Company and Use Cas'!B198,'Summary per Company and Use Cas'!C198,'Summary per Company and Use Cas'!M198,'Summary per Company and Use Cas'!D198, 'Summary per Company and Use Cas'!E198,'Summary per Company and Use Cas'!G198, 'Summary per Company and Use Cas'!H198,'Summary per Company and Use Cas'!I198,'Summary per Company and Use Cas'!J198,'Summary per Company and Use Cas'!K198,'Summary per Company and Use Cas'!L198,'Summary per Company and Use Cas'!AI198,'Summary per Company and Use Cas'!AJ198,'Summary per Company and Use Cas'!AK198,'Summary per Company and Use Cas'!AL198,'Summary per Company and Use Cas'!AO198,'Summary per Company and Use Cas'!AP198,'Summary per Company and Use Cas'!AQ198))</f>
        <v>Uber-Ridehailing</v>
      </c>
      <c r="C40" s="352" t="str">
        <v>Uber</v>
      </c>
      <c r="D40" s="134" t="str">
        <v>Ridehailing</v>
      </c>
      <c r="E40" s="134" t="str">
        <v>L4</v>
      </c>
      <c r="F40" s="134">
        <v>1</v>
      </c>
      <c r="G40" s="134" t="str">
        <v>Toyota</v>
      </c>
      <c r="H40" s="134" t="str">
        <v>OEM</v>
      </c>
      <c r="I40" s="353">
        <v>1</v>
      </c>
      <c r="J40" s="354">
        <v>0</v>
      </c>
      <c r="K40" s="355">
        <v>1</v>
      </c>
      <c r="L40" s="354">
        <v>1</v>
      </c>
      <c r="M40" s="355">
        <v>0</v>
      </c>
      <c r="N40" s="354">
        <v>1</v>
      </c>
      <c r="O40" s="354">
        <v>3000</v>
      </c>
      <c r="P40" s="354">
        <v>25212.45</v>
      </c>
    </row>
    <row r="41" spans="1:16" x14ac:dyDescent="0.35">
      <c r="A41" s="134">
        <f t="shared" si="0"/>
        <v>40</v>
      </c>
      <c r="B41" s="134" t="str" cm="1">
        <f t="array" ref="B41:P41">TRANSPOSE(CHOOSE({1;2;3;4;5;6;7;8;13;14;15;16;17;18;19},'Summary per Company and Use Cas'!A199,'Summary per Company and Use Cas'!B199,'Summary per Company and Use Cas'!C199,'Summary per Company and Use Cas'!M199,'Summary per Company and Use Cas'!D199, 'Summary per Company and Use Cas'!E199,'Summary per Company and Use Cas'!G199, 'Summary per Company and Use Cas'!H199,'Summary per Company and Use Cas'!I199,'Summary per Company and Use Cas'!J199,'Summary per Company and Use Cas'!K199,'Summary per Company and Use Cas'!L199,'Summary per Company and Use Cas'!AI199,'Summary per Company and Use Cas'!AJ199,'Summary per Company and Use Cas'!AK199,'Summary per Company and Use Cas'!AL199,'Summary per Company and Use Cas'!AO199,'Summary per Company and Use Cas'!AP199,'Summary per Company and Use Cas'!AQ199))</f>
        <v>Uber Freight-Trucking</v>
      </c>
      <c r="C41" s="352" t="str">
        <v>Uber Freight</v>
      </c>
      <c r="D41" s="134" t="str">
        <v>Trucking</v>
      </c>
      <c r="E41" s="134" t="str">
        <v>L4</v>
      </c>
      <c r="F41" s="134">
        <v>3</v>
      </c>
      <c r="G41" s="134" t="str">
        <v>Volvo Autonomous Solutions; Waymo; Waabi</v>
      </c>
      <c r="H41" s="134" t="str">
        <v>Autonomous Vehicles</v>
      </c>
      <c r="I41" s="353">
        <v>1</v>
      </c>
      <c r="J41" s="354">
        <v>3</v>
      </c>
      <c r="K41" s="355">
        <v>0</v>
      </c>
      <c r="L41" s="354">
        <v>1</v>
      </c>
      <c r="M41" s="355">
        <v>0</v>
      </c>
      <c r="N41" s="354">
        <v>0</v>
      </c>
      <c r="O41" s="354">
        <v>3000</v>
      </c>
      <c r="P41" s="354">
        <v>1050</v>
      </c>
    </row>
    <row r="42" spans="1:16" x14ac:dyDescent="0.35">
      <c r="A42" s="134">
        <f t="shared" si="0"/>
        <v>41</v>
      </c>
      <c r="B42" s="134" t="str" cm="1">
        <f t="array" ref="B42:P42">TRANSPOSE(CHOOSE({1;2;3;4;5;6;7;8;13;14;15;16;17;18;19},'Summary per Company and Use Cas'!A200,'Summary per Company and Use Cas'!B200,'Summary per Company and Use Cas'!C200,'Summary per Company and Use Cas'!M200,'Summary per Company and Use Cas'!D200, 'Summary per Company and Use Cas'!E200,'Summary per Company and Use Cas'!G200, 'Summary per Company and Use Cas'!H200,'Summary per Company and Use Cas'!I200,'Summary per Company and Use Cas'!J200,'Summary per Company and Use Cas'!K200,'Summary per Company and Use Cas'!L200,'Summary per Company and Use Cas'!AI200,'Summary per Company and Use Cas'!AJ200,'Summary per Company and Use Cas'!AK200,'Summary per Company and Use Cas'!AL200,'Summary per Company and Use Cas'!AO200,'Summary per Company and Use Cas'!AP200,'Summary per Company and Use Cas'!AQ200))</f>
        <v>Udelv-Last-Mile</v>
      </c>
      <c r="C42" s="352" t="str">
        <v>Udelv</v>
      </c>
      <c r="D42" s="134" t="str">
        <v>Last-Mile</v>
      </c>
      <c r="E42" s="134" t="str">
        <v>L2</v>
      </c>
      <c r="F42" s="134">
        <v>4</v>
      </c>
      <c r="G42" s="134" t="str">
        <v>Walmart; Farmstead; H-E-B; Mobileye</v>
      </c>
      <c r="H42" s="134" t="str">
        <v>Retail</v>
      </c>
      <c r="I42" s="353">
        <v>0.5</v>
      </c>
      <c r="J42" s="354">
        <v>3</v>
      </c>
      <c r="K42" s="355">
        <v>1</v>
      </c>
      <c r="L42" s="354">
        <v>3</v>
      </c>
      <c r="M42" s="355">
        <v>0</v>
      </c>
      <c r="N42" s="354">
        <v>0</v>
      </c>
      <c r="O42" s="354">
        <v>30</v>
      </c>
      <c r="P42" s="354" t="str">
        <v>n.a.</v>
      </c>
    </row>
    <row r="43" spans="1:16" x14ac:dyDescent="0.35">
      <c r="A43" s="134">
        <f t="shared" si="0"/>
        <v>42</v>
      </c>
      <c r="B43" s="134" t="str" cm="1">
        <f t="array" ref="B43:P43">TRANSPOSE(CHOOSE({1;2;3;4;5;6;7;8;13;14;15;16;17;18;19},'Summary per Company and Use Cas'!A201,'Summary per Company and Use Cas'!B201,'Summary per Company and Use Cas'!C201,'Summary per Company and Use Cas'!M201,'Summary per Company and Use Cas'!D201, 'Summary per Company and Use Cas'!E201,'Summary per Company and Use Cas'!G201, 'Summary per Company and Use Cas'!H201,'Summary per Company and Use Cas'!I201,'Summary per Company and Use Cas'!J201,'Summary per Company and Use Cas'!K201,'Summary per Company and Use Cas'!L201,'Summary per Company and Use Cas'!AI201,'Summary per Company and Use Cas'!AJ201,'Summary per Company and Use Cas'!AK201,'Summary per Company and Use Cas'!AL201,'Summary per Company and Use Cas'!AO201,'Summary per Company and Use Cas'!AP201,'Summary per Company and Use Cas'!AQ201))</f>
        <v>Waabi-Trucking</v>
      </c>
      <c r="C43" s="352" t="str">
        <v>Waabi</v>
      </c>
      <c r="D43" s="134" t="str">
        <v>Trucking</v>
      </c>
      <c r="E43" s="134" t="str">
        <v>L1</v>
      </c>
      <c r="F43" s="134">
        <v>2</v>
      </c>
      <c r="G43" s="134" t="str">
        <v>MIT Center for Transportation &amp; Logistics; Uber Freight</v>
      </c>
      <c r="H43" s="134" t="str">
        <v>Mobility Services Booking</v>
      </c>
      <c r="I43" s="353">
        <v>0.5</v>
      </c>
      <c r="J43" s="354">
        <v>1</v>
      </c>
      <c r="K43" s="355">
        <v>0</v>
      </c>
      <c r="L43" s="354">
        <v>1</v>
      </c>
      <c r="M43" s="355">
        <v>0</v>
      </c>
      <c r="N43" s="354">
        <v>0</v>
      </c>
      <c r="O43" s="354">
        <v>110</v>
      </c>
      <c r="P43" s="354">
        <v>73</v>
      </c>
    </row>
    <row r="44" spans="1:16" x14ac:dyDescent="0.35">
      <c r="A44" s="134">
        <f t="shared" si="0"/>
        <v>43</v>
      </c>
      <c r="B44" s="134" t="str" cm="1">
        <f t="array" ref="B44:P44">TRANSPOSE(CHOOSE({1;2;3;4;5;6;7;8;13;14;15;16;17;18;19},'Summary per Company and Use Cas'!A202,'Summary per Company and Use Cas'!B202,'Summary per Company and Use Cas'!C202,'Summary per Company and Use Cas'!M202,'Summary per Company and Use Cas'!D202, 'Summary per Company and Use Cas'!E202,'Summary per Company and Use Cas'!G202, 'Summary per Company and Use Cas'!H202,'Summary per Company and Use Cas'!I202,'Summary per Company and Use Cas'!J202,'Summary per Company and Use Cas'!K202,'Summary per Company and Use Cas'!L202,'Summary per Company and Use Cas'!AI202,'Summary per Company and Use Cas'!AJ202,'Summary per Company and Use Cas'!AK202,'Summary per Company and Use Cas'!AL202,'Summary per Company and Use Cas'!AO202,'Summary per Company and Use Cas'!AP202,'Summary per Company and Use Cas'!AQ202))</f>
        <v>Waymo-Ridehailing</v>
      </c>
      <c r="C44" s="352" t="str">
        <v>Waymo</v>
      </c>
      <c r="D44" s="134" t="str">
        <v>Ridehailing</v>
      </c>
      <c r="E44" s="134" t="str">
        <v>L1</v>
      </c>
      <c r="F44" s="134">
        <v>6</v>
      </c>
      <c r="G44" s="134" t="str">
        <v>Fiat Chrysler Automobiles; Avis; Valley Metro; Lyft; Alliance Ventures (Renault, Nissan, Mitsubishi); Volvo Car Group</v>
      </c>
      <c r="H44" s="134" t="str">
        <v>OEM</v>
      </c>
      <c r="I44" s="353">
        <v>0.33333333333333331</v>
      </c>
      <c r="J44" s="354">
        <v>2</v>
      </c>
      <c r="K44" s="355">
        <v>2</v>
      </c>
      <c r="L44" s="354">
        <v>3</v>
      </c>
      <c r="M44" s="355">
        <v>0</v>
      </c>
      <c r="N44" s="354">
        <v>0</v>
      </c>
      <c r="O44" s="354">
        <v>3000</v>
      </c>
      <c r="P44" s="354">
        <v>5500</v>
      </c>
    </row>
    <row r="45" spans="1:16" x14ac:dyDescent="0.35">
      <c r="A45" s="134">
        <f t="shared" si="0"/>
        <v>44</v>
      </c>
      <c r="B45" s="134" t="str" cm="1">
        <f t="array" ref="B45:P45">TRANSPOSE(CHOOSE({1;2;3;4;5;6;7;8;13;14;15;16;17;18;19},'Summary per Company and Use Cas'!A203,'Summary per Company and Use Cas'!B203,'Summary per Company and Use Cas'!C203,'Summary per Company and Use Cas'!M203,'Summary per Company and Use Cas'!D203, 'Summary per Company and Use Cas'!E203,'Summary per Company and Use Cas'!G203, 'Summary per Company and Use Cas'!H203,'Summary per Company and Use Cas'!I203,'Summary per Company and Use Cas'!J203,'Summary per Company and Use Cas'!K203,'Summary per Company and Use Cas'!L203,'Summary per Company and Use Cas'!AI203,'Summary per Company and Use Cas'!AJ203,'Summary per Company and Use Cas'!AK203,'Summary per Company and Use Cas'!AL203,'Summary per Company and Use Cas'!AO203,'Summary per Company and Use Cas'!AP203,'Summary per Company and Use Cas'!AQ203))</f>
        <v>Waymo-Other</v>
      </c>
      <c r="C45" s="352" t="str">
        <v>Waymo</v>
      </c>
      <c r="D45" s="134" t="str">
        <v>Other</v>
      </c>
      <c r="E45" s="134" t="str">
        <v>L1</v>
      </c>
      <c r="F45" s="134">
        <v>3</v>
      </c>
      <c r="G45" s="134" t="str">
        <v>Verily; Swiss Re; AAA Northern California, Nevada &amp; Utah</v>
      </c>
      <c r="H45" s="134" t="str">
        <v>Insurance</v>
      </c>
      <c r="I45" s="353">
        <v>0.66666666666666663</v>
      </c>
      <c r="J45" s="354">
        <v>0</v>
      </c>
      <c r="K45" s="355">
        <v>0</v>
      </c>
      <c r="L45" s="354">
        <v>3</v>
      </c>
      <c r="M45" s="355">
        <v>0</v>
      </c>
      <c r="N45" s="354">
        <v>0</v>
      </c>
      <c r="O45" s="354">
        <v>3000</v>
      </c>
      <c r="P45" s="354">
        <v>5500</v>
      </c>
    </row>
    <row r="46" spans="1:16" x14ac:dyDescent="0.35">
      <c r="A46" s="134">
        <f t="shared" si="0"/>
        <v>45</v>
      </c>
      <c r="B46" s="134" t="str" cm="1">
        <f t="array" ref="B46:P46">TRANSPOSE(CHOOSE({1;2;3;4;5;6;7;8;13;14;15;16;17;18;19},'Summary per Company and Use Cas'!A204,'Summary per Company and Use Cas'!B204,'Summary per Company and Use Cas'!C204,'Summary per Company and Use Cas'!M204,'Summary per Company and Use Cas'!D204, 'Summary per Company and Use Cas'!E204,'Summary per Company and Use Cas'!G204, 'Summary per Company and Use Cas'!H204,'Summary per Company and Use Cas'!I204,'Summary per Company and Use Cas'!J204,'Summary per Company and Use Cas'!K204,'Summary per Company and Use Cas'!L204,'Summary per Company and Use Cas'!AI204,'Summary per Company and Use Cas'!AJ204,'Summary per Company and Use Cas'!AK204,'Summary per Company and Use Cas'!AL204,'Summary per Company and Use Cas'!AO204,'Summary per Company and Use Cas'!AP204,'Summary per Company and Use Cas'!AQ204))</f>
        <v>Wayve-Last-Mile</v>
      </c>
      <c r="C46" s="352" t="str">
        <v>Wayve</v>
      </c>
      <c r="D46" s="134" t="str">
        <v>Last-Mile</v>
      </c>
      <c r="E46" s="134" t="str">
        <v>L1</v>
      </c>
      <c r="F46" s="134">
        <v>2</v>
      </c>
      <c r="G46" s="134" t="str">
        <v>Asda; Ocado Group</v>
      </c>
      <c r="H46" s="134" t="str">
        <v>Retail</v>
      </c>
      <c r="I46" s="353">
        <v>1</v>
      </c>
      <c r="J46" s="354">
        <v>2</v>
      </c>
      <c r="K46" s="355">
        <v>0</v>
      </c>
      <c r="L46" s="354">
        <v>1</v>
      </c>
      <c r="M46" s="355">
        <v>0</v>
      </c>
      <c r="N46" s="354">
        <v>0</v>
      </c>
      <c r="O46" s="354">
        <v>175</v>
      </c>
      <c r="P46" s="354">
        <v>257.21844499999997</v>
      </c>
    </row>
    <row r="47" spans="1:16" x14ac:dyDescent="0.35">
      <c r="A47" s="134">
        <f t="shared" si="0"/>
        <v>46</v>
      </c>
      <c r="B47" s="134" t="str" cm="1">
        <f t="array" ref="B47:P47">TRANSPOSE(CHOOSE({1;2;3;4;5;6;7;8;13;14;15;16;17;18;19},'Summary per Company and Use Cas'!A205,'Summary per Company and Use Cas'!B205,'Summary per Company and Use Cas'!C205,'Summary per Company and Use Cas'!M205,'Summary per Company and Use Cas'!D205, 'Summary per Company and Use Cas'!E205,'Summary per Company and Use Cas'!G205, 'Summary per Company and Use Cas'!H205,'Summary per Company and Use Cas'!I205,'Summary per Company and Use Cas'!J205,'Summary per Company and Use Cas'!K205,'Summary per Company and Use Cas'!L205,'Summary per Company and Use Cas'!AI205,'Summary per Company and Use Cas'!AJ205,'Summary per Company and Use Cas'!AK205,'Summary per Company and Use Cas'!AL205,'Summary per Company and Use Cas'!AO205,'Summary per Company and Use Cas'!AP205,'Summary per Company and Use Cas'!AQ205))</f>
        <v>ZF-Other</v>
      </c>
      <c r="C47" s="352" t="str">
        <v>ZF</v>
      </c>
      <c r="D47" s="134" t="str">
        <v>Other</v>
      </c>
      <c r="E47" s="134" t="str">
        <v>L2</v>
      </c>
      <c r="F47" s="134">
        <v>1</v>
      </c>
      <c r="G47" s="134" t="str">
        <v>NIO</v>
      </c>
      <c r="H47" s="134" t="str">
        <v>OEM</v>
      </c>
      <c r="I47" s="353">
        <v>1</v>
      </c>
      <c r="J47" s="354">
        <v>0</v>
      </c>
      <c r="K47" s="355">
        <v>1</v>
      </c>
      <c r="L47" s="354">
        <v>1</v>
      </c>
      <c r="M47" s="355">
        <v>0</v>
      </c>
      <c r="N47" s="354">
        <v>0</v>
      </c>
      <c r="O47" s="354">
        <v>3000</v>
      </c>
      <c r="P47" s="354" t="str">
        <v>n.a.</v>
      </c>
    </row>
    <row r="48" spans="1:16" x14ac:dyDescent="0.35">
      <c r="A48" s="134">
        <f t="shared" si="0"/>
        <v>47</v>
      </c>
      <c r="B48" s="134" t="str" cm="1">
        <f t="array" ref="B48:P48">TRANSPOSE(CHOOSE({1;2;3;4;5;6;7;8;13;14;15;16;17;18;19},'Summary per Company and Use Cas'!A206,'Summary per Company and Use Cas'!B206,'Summary per Company and Use Cas'!C206,'Summary per Company and Use Cas'!M206,'Summary per Company and Use Cas'!D206, 'Summary per Company and Use Cas'!E206,'Summary per Company and Use Cas'!G206, 'Summary per Company and Use Cas'!H206,'Summary per Company and Use Cas'!I206,'Summary per Company and Use Cas'!J206,'Summary per Company and Use Cas'!K206,'Summary per Company and Use Cas'!L206,'Summary per Company and Use Cas'!AI206,'Summary per Company and Use Cas'!AJ206,'Summary per Company and Use Cas'!AK206,'Summary per Company and Use Cas'!AL206,'Summary per Company and Use Cas'!AO206,'Summary per Company and Use Cas'!AP206,'Summary per Company and Use Cas'!AQ206))</f>
        <v>ZF-Ridepooling</v>
      </c>
      <c r="C48" s="352" t="str">
        <v>ZF</v>
      </c>
      <c r="D48" s="134" t="str">
        <v>Ridepooling</v>
      </c>
      <c r="E48" s="134" t="str">
        <v>L2</v>
      </c>
      <c r="F48" s="134">
        <v>4</v>
      </c>
      <c r="G48" s="134" t="str">
        <v>Anheuser - Busch InBev;Bosch;Microsoft; DB Regio; Beep; Transdev;e.GO</v>
      </c>
      <c r="H48" s="134" t="str">
        <v>Transport Operator</v>
      </c>
      <c r="I48" s="353">
        <v>0.42857142857142855</v>
      </c>
      <c r="J48" s="354">
        <v>2</v>
      </c>
      <c r="K48" s="355">
        <v>1</v>
      </c>
      <c r="L48" s="354">
        <v>2</v>
      </c>
      <c r="M48" s="355">
        <v>0</v>
      </c>
      <c r="N48" s="354">
        <v>0</v>
      </c>
      <c r="O48" s="354">
        <v>3000</v>
      </c>
      <c r="P48" s="354" t="str">
        <v>n.a.</v>
      </c>
    </row>
    <row r="49" spans="1:16" x14ac:dyDescent="0.35">
      <c r="A49" s="134">
        <f t="shared" si="0"/>
        <v>48</v>
      </c>
      <c r="B49" s="134" t="str" cm="1">
        <f t="array" ref="B49:P49">TRANSPOSE(CHOOSE({1;2;3;4;5;6;7;8;13;14;15;16;17;18;19},'Summary per Company and Use Cas'!A207,'Summary per Company and Use Cas'!B207,'Summary per Company and Use Cas'!C207,'Summary per Company and Use Cas'!M207,'Summary per Company and Use Cas'!D207, 'Summary per Company and Use Cas'!E207,'Summary per Company and Use Cas'!G207, 'Summary per Company and Use Cas'!H207,'Summary per Company and Use Cas'!I207,'Summary per Company and Use Cas'!J207,'Summary per Company and Use Cas'!K207,'Summary per Company and Use Cas'!L207,'Summary per Company and Use Cas'!AI207,'Summary per Company and Use Cas'!AJ207,'Summary per Company and Use Cas'!AK207,'Summary per Company and Use Cas'!AL207,'Summary per Company and Use Cas'!AO207,'Summary per Company and Use Cas'!AP207,'Summary per Company and Use Cas'!AQ207))</f>
        <v>Starship Technologies-Last-Mile</v>
      </c>
      <c r="C49" s="352" t="str">
        <v>Starship Technologies</v>
      </c>
      <c r="D49" s="134" t="str">
        <v>Last-Mile</v>
      </c>
      <c r="E49" s="134" t="str">
        <v>L2</v>
      </c>
      <c r="F49" s="134">
        <v>1</v>
      </c>
      <c r="G49" s="134" t="str">
        <v>Bolt</v>
      </c>
      <c r="H49" s="134" t="str">
        <v>Mobility Services Booking</v>
      </c>
      <c r="I49" s="353">
        <v>1</v>
      </c>
      <c r="J49" s="354">
        <v>1</v>
      </c>
      <c r="K49" s="355">
        <v>0</v>
      </c>
      <c r="L49" s="354">
        <v>1</v>
      </c>
      <c r="M49" s="355">
        <v>0</v>
      </c>
      <c r="N49" s="354">
        <v>0</v>
      </c>
      <c r="O49" s="354">
        <v>375</v>
      </c>
      <c r="P49" s="354">
        <v>197.715822</v>
      </c>
    </row>
    <row r="50" spans="1:16" x14ac:dyDescent="0.35">
      <c r="A50" s="134">
        <f t="shared" si="0"/>
        <v>49</v>
      </c>
      <c r="B50" s="134" t="str" cm="1">
        <f t="array" ref="B50:P50">TRANSPOSE(CHOOSE({1;2;3;4;5;6;7;8;13;14;15;16;17;18;19},'Summary per Company and Use Cas'!A208,'Summary per Company and Use Cas'!B208,'Summary per Company and Use Cas'!C208,'Summary per Company and Use Cas'!M208,'Summary per Company and Use Cas'!D208, 'Summary per Company and Use Cas'!E208,'Summary per Company and Use Cas'!G208, 'Summary per Company and Use Cas'!H208,'Summary per Company and Use Cas'!I208,'Summary per Company and Use Cas'!J208,'Summary per Company and Use Cas'!K208,'Summary per Company and Use Cas'!L208,'Summary per Company and Use Cas'!AI208,'Summary per Company and Use Cas'!AJ208,'Summary per Company and Use Cas'!AK208,'Summary per Company and Use Cas'!AL208,'Summary per Company and Use Cas'!AO208,'Summary per Company and Use Cas'!AP208,'Summary per Company and Use Cas'!AQ208))</f>
        <v>Via-Ridepooling</v>
      </c>
      <c r="C50" s="352" t="str">
        <v>Via</v>
      </c>
      <c r="D50" s="134" t="str">
        <v>Ridepooling</v>
      </c>
      <c r="E50" s="134" t="str">
        <v>L3</v>
      </c>
      <c r="F50" s="134">
        <v>1</v>
      </c>
      <c r="G50" s="134" t="str">
        <v>May Mobility</v>
      </c>
      <c r="H50" s="134" t="str">
        <v>Autonomous Vehicles</v>
      </c>
      <c r="I50" s="353">
        <v>1</v>
      </c>
      <c r="J50" s="354">
        <v>1</v>
      </c>
      <c r="K50" s="355">
        <v>0</v>
      </c>
      <c r="L50" s="354">
        <v>0</v>
      </c>
      <c r="M50" s="355">
        <v>0</v>
      </c>
      <c r="N50" s="354">
        <v>0</v>
      </c>
      <c r="O50" s="354">
        <v>3000</v>
      </c>
      <c r="P50" s="354">
        <v>887.06411100000003</v>
      </c>
    </row>
    <row r="51" spans="1:16" x14ac:dyDescent="0.35">
      <c r="A51" s="134">
        <f t="shared" si="0"/>
        <v>50</v>
      </c>
      <c r="B51" s="134" t="str" cm="1">
        <f t="array" ref="B51:P51">TRANSPOSE(CHOOSE({1;2;3;4;5;6;7;8;13;14;15;16;17;18;19},'Summary per Company and Use Cas'!A209,'Summary per Company and Use Cas'!B209,'Summary per Company and Use Cas'!C209,'Summary per Company and Use Cas'!M209,'Summary per Company and Use Cas'!D209, 'Summary per Company and Use Cas'!E209,'Summary per Company and Use Cas'!G209, 'Summary per Company and Use Cas'!H209,'Summary per Company and Use Cas'!I209,'Summary per Company and Use Cas'!J209,'Summary per Company and Use Cas'!K209,'Summary per Company and Use Cas'!L209,'Summary per Company and Use Cas'!AI209,'Summary per Company and Use Cas'!AJ209,'Summary per Company and Use Cas'!AK209,'Summary per Company and Use Cas'!AL209,'Summary per Company and Use Cas'!AO209,'Summary per Company and Use Cas'!AP209,'Summary per Company and Use Cas'!AQ209))</f>
        <v>Lohr-Ridepooling</v>
      </c>
      <c r="C51" s="352" t="str">
        <v>Lohr</v>
      </c>
      <c r="D51" s="134" t="str">
        <v>Ridepooling</v>
      </c>
      <c r="E51" s="134" t="str">
        <v>L2</v>
      </c>
      <c r="F51" s="134">
        <v>1</v>
      </c>
      <c r="G51" s="134" t="str">
        <v>Navya</v>
      </c>
      <c r="H51" s="134" t="str">
        <v>Autonomous Vehicles</v>
      </c>
      <c r="I51" s="353">
        <v>1</v>
      </c>
      <c r="J51" s="354">
        <v>0</v>
      </c>
      <c r="K51" s="355">
        <v>1</v>
      </c>
      <c r="L51" s="354">
        <v>1</v>
      </c>
      <c r="M51" s="355">
        <v>0</v>
      </c>
      <c r="N51" s="354">
        <v>0</v>
      </c>
      <c r="O51" s="354">
        <v>75</v>
      </c>
      <c r="P51" s="354" t="str">
        <v>n.a.</v>
      </c>
    </row>
    <row r="52" spans="1:16" x14ac:dyDescent="0.35">
      <c r="A52" s="134">
        <f t="shared" si="0"/>
        <v>51</v>
      </c>
      <c r="B52" s="134" t="str" cm="1">
        <f t="array" ref="B52:P52">TRANSPOSE(CHOOSE({1;2;3;4;5;6;7;8;13;14;15;16;17;18;19},'Summary per Company and Use Cas'!A210,'Summary per Company and Use Cas'!B210,'Summary per Company and Use Cas'!C210,'Summary per Company and Use Cas'!M210,'Summary per Company and Use Cas'!D210, 'Summary per Company and Use Cas'!E210,'Summary per Company and Use Cas'!G210, 'Summary per Company and Use Cas'!H210,'Summary per Company and Use Cas'!I210,'Summary per Company and Use Cas'!J210,'Summary per Company and Use Cas'!K210,'Summary per Company and Use Cas'!L210,'Summary per Company and Use Cas'!AI210,'Summary per Company and Use Cas'!AJ210,'Summary per Company and Use Cas'!AK210,'Summary per Company and Use Cas'!AL210,'Summary per Company and Use Cas'!AO210,'Summary per Company and Use Cas'!AP210,'Summary per Company and Use Cas'!AQ210))</f>
        <v>Uber Eats-Last-Mile</v>
      </c>
      <c r="C52" s="352" t="str">
        <v>Uber Eats</v>
      </c>
      <c r="D52" s="134" t="str">
        <v>Last-Mile</v>
      </c>
      <c r="E52" s="134" t="str">
        <v>L4</v>
      </c>
      <c r="F52" s="134">
        <v>2</v>
      </c>
      <c r="G52" s="134" t="str">
        <v>Nuro; ServeRobotics</v>
      </c>
      <c r="H52" s="134" t="str">
        <v>Autonomous Vehicles</v>
      </c>
      <c r="I52" s="353">
        <v>1</v>
      </c>
      <c r="J52" s="354">
        <v>2</v>
      </c>
      <c r="K52" s="355">
        <v>0</v>
      </c>
      <c r="L52" s="354">
        <v>1</v>
      </c>
      <c r="M52" s="355">
        <v>0</v>
      </c>
      <c r="N52" s="354">
        <v>0</v>
      </c>
      <c r="O52" s="354">
        <v>175</v>
      </c>
      <c r="P52" s="354" t="str">
        <v>n.a.</v>
      </c>
    </row>
    <row r="53" spans="1:16" x14ac:dyDescent="0.35">
      <c r="A53" s="134">
        <f t="shared" si="0"/>
        <v>52</v>
      </c>
      <c r="B53" s="134" t="str" cm="1">
        <f t="array" ref="B53:P53">TRANSPOSE(CHOOSE({1;2;3;4;5;6;7;8;13;14;15;16;17;18;19},'Summary per Company and Use Cas'!A211,'Summary per Company and Use Cas'!B211,'Summary per Company and Use Cas'!C211,'Summary per Company and Use Cas'!M211,'Summary per Company and Use Cas'!D211, 'Summary per Company and Use Cas'!E211,'Summary per Company and Use Cas'!G211, 'Summary per Company and Use Cas'!H211,'Summary per Company and Use Cas'!I211,'Summary per Company and Use Cas'!J211,'Summary per Company and Use Cas'!K211,'Summary per Company and Use Cas'!L211,'Summary per Company and Use Cas'!AI211,'Summary per Company and Use Cas'!AJ211,'Summary per Company and Use Cas'!AK211,'Summary per Company and Use Cas'!AL211,'Summary per Company and Use Cas'!AO211,'Summary per Company and Use Cas'!AP211,'Summary per Company and Use Cas'!AQ211))</f>
        <v>Torc-Ridepooling</v>
      </c>
      <c r="C53" s="352" t="str">
        <v>Torc</v>
      </c>
      <c r="D53" s="134" t="str">
        <v>Ridepooling</v>
      </c>
      <c r="E53" s="134" t="str">
        <v>L1</v>
      </c>
      <c r="F53" s="134">
        <v>1</v>
      </c>
      <c r="G53" s="134" t="str">
        <v>Transdev</v>
      </c>
      <c r="H53" s="134" t="str">
        <v>Transport Operator</v>
      </c>
      <c r="I53" s="353">
        <v>1</v>
      </c>
      <c r="J53" s="354">
        <v>1</v>
      </c>
      <c r="K53" s="355">
        <v>0</v>
      </c>
      <c r="L53" s="354">
        <v>1</v>
      </c>
      <c r="M53" s="355">
        <v>0</v>
      </c>
      <c r="N53" s="354">
        <v>0</v>
      </c>
      <c r="O53" s="354">
        <v>175</v>
      </c>
      <c r="P53" s="354" t="str">
        <v>n.a.</v>
      </c>
    </row>
    <row r="54" spans="1:16" x14ac:dyDescent="0.35">
      <c r="A54" s="134">
        <f t="shared" si="0"/>
        <v>53</v>
      </c>
      <c r="B54" s="134" t="str" cm="1">
        <f t="array" ref="B54:P54">TRANSPOSE(CHOOSE({1;2;3;4;5;6;7;8;13;14;15;16;17;18;19},'Summary per Company and Use Cas'!A212,'Summary per Company and Use Cas'!B212,'Summary per Company and Use Cas'!C212,'Summary per Company and Use Cas'!M212,'Summary per Company and Use Cas'!D212, 'Summary per Company and Use Cas'!E212,'Summary per Company and Use Cas'!G212, 'Summary per Company and Use Cas'!H212,'Summary per Company and Use Cas'!I212,'Summary per Company and Use Cas'!J212,'Summary per Company and Use Cas'!K212,'Summary per Company and Use Cas'!L212,'Summary per Company and Use Cas'!AI212,'Summary per Company and Use Cas'!AJ212,'Summary per Company and Use Cas'!AK212,'Summary per Company and Use Cas'!AL212,'Summary per Company and Use Cas'!AO212,'Summary per Company and Use Cas'!AP212,'Summary per Company and Use Cas'!AQ212))</f>
        <v>ZF-Trucking</v>
      </c>
      <c r="C54" s="352" t="str">
        <v>ZF</v>
      </c>
      <c r="D54" s="134" t="str">
        <v>Trucking</v>
      </c>
      <c r="E54" s="134" t="str">
        <v>L2</v>
      </c>
      <c r="F54" s="134">
        <v>1</v>
      </c>
      <c r="G54" s="134" t="str">
        <v>TuSimple</v>
      </c>
      <c r="H54" s="134" t="str">
        <v>Autonomous Vehicles</v>
      </c>
      <c r="I54" s="353">
        <v>1</v>
      </c>
      <c r="J54" s="354">
        <v>0</v>
      </c>
      <c r="K54" s="355">
        <v>2</v>
      </c>
      <c r="L54" s="354">
        <v>1</v>
      </c>
      <c r="M54" s="355">
        <v>0</v>
      </c>
      <c r="N54" s="354">
        <v>0</v>
      </c>
      <c r="O54" s="354">
        <v>3000</v>
      </c>
      <c r="P54" s="354" t="str">
        <v>n.a.</v>
      </c>
    </row>
    <row r="55" spans="1:16" x14ac:dyDescent="0.35">
      <c r="A55" s="134">
        <f t="shared" si="0"/>
        <v>54</v>
      </c>
      <c r="B55" s="134" t="str" cm="1">
        <f t="array" ref="B55:P55">TRANSPOSE(CHOOSE({1;2;3;4;5;6;7;8;13;14;15;16;17;18;19},'Summary per Company and Use Cas'!A213,'Summary per Company and Use Cas'!B213,'Summary per Company and Use Cas'!C213,'Summary per Company and Use Cas'!M213,'Summary per Company and Use Cas'!D213, 'Summary per Company and Use Cas'!E213,'Summary per Company and Use Cas'!G213, 'Summary per Company and Use Cas'!H213,'Summary per Company and Use Cas'!I213,'Summary per Company and Use Cas'!J213,'Summary per Company and Use Cas'!K213,'Summary per Company and Use Cas'!L213,'Summary per Company and Use Cas'!AI213,'Summary per Company and Use Cas'!AJ213,'Summary per Company and Use Cas'!AK213,'Summary per Company and Use Cas'!AL213,'Summary per Company and Use Cas'!AO213,'Summary per Company and Use Cas'!AP213,'Summary per Company and Use Cas'!AQ213))</f>
        <v>Waymo-Trucking</v>
      </c>
      <c r="C55" s="352" t="str">
        <v>Waymo</v>
      </c>
      <c r="D55" s="134" t="str">
        <v>Trucking</v>
      </c>
      <c r="E55" s="134" t="str">
        <v>L1</v>
      </c>
      <c r="F55" s="134">
        <v>1</v>
      </c>
      <c r="G55" s="134" t="str">
        <v>Uber Freight</v>
      </c>
      <c r="H55" s="134" t="str">
        <v>Mobility Services Booking</v>
      </c>
      <c r="I55" s="353">
        <v>1</v>
      </c>
      <c r="J55" s="354">
        <v>1</v>
      </c>
      <c r="K55" s="355">
        <v>0</v>
      </c>
      <c r="L55" s="354">
        <v>0</v>
      </c>
      <c r="M55" s="355">
        <v>0</v>
      </c>
      <c r="N55" s="354">
        <v>0</v>
      </c>
      <c r="O55" s="354">
        <v>3000</v>
      </c>
      <c r="P55" s="354">
        <v>5500</v>
      </c>
    </row>
    <row r="56" spans="1:16" x14ac:dyDescent="0.35">
      <c r="A56" s="134">
        <f t="shared" si="0"/>
        <v>55</v>
      </c>
      <c r="B56" s="134" t="str" cm="1">
        <f t="array" ref="B56:P56">TRANSPOSE(CHOOSE({1;2;3;4;5;6;7;8;13;14;15;16;17;18;19},'Summary per Company and Use Cas'!A214,'Summary per Company and Use Cas'!B214,'Summary per Company and Use Cas'!C214,'Summary per Company and Use Cas'!M214,'Summary per Company and Use Cas'!D214, 'Summary per Company and Use Cas'!E214,'Summary per Company and Use Cas'!G214, 'Summary per Company and Use Cas'!H214,'Summary per Company and Use Cas'!I214,'Summary per Company and Use Cas'!J214,'Summary per Company and Use Cas'!K214,'Summary per Company and Use Cas'!L214,'Summary per Company and Use Cas'!AI214,'Summary per Company and Use Cas'!AJ214,'Summary per Company and Use Cas'!AK214,'Summary per Company and Use Cas'!AL214,'Summary per Company and Use Cas'!AO214,'Summary per Company and Use Cas'!AP214,'Summary per Company and Use Cas'!AQ214))</f>
        <v>Lyft-Ridehailing</v>
      </c>
      <c r="C56" s="352" t="str">
        <v>Lyft</v>
      </c>
      <c r="D56" s="134" t="str">
        <v>Ridehailing</v>
      </c>
      <c r="E56" s="134" t="str">
        <v>L4</v>
      </c>
      <c r="F56" s="134">
        <v>1</v>
      </c>
      <c r="G56" s="134" t="str">
        <v>Waymo</v>
      </c>
      <c r="H56" s="134" t="str">
        <v>Autonomous Vehicles</v>
      </c>
      <c r="I56" s="353">
        <v>1</v>
      </c>
      <c r="J56" s="354">
        <v>1</v>
      </c>
      <c r="K56" s="355">
        <v>0</v>
      </c>
      <c r="L56" s="354">
        <v>1</v>
      </c>
      <c r="M56" s="355">
        <v>0</v>
      </c>
      <c r="N56" s="354">
        <v>1</v>
      </c>
      <c r="O56" s="354">
        <v>4419</v>
      </c>
      <c r="P56" s="354">
        <v>4913.6067780000003</v>
      </c>
    </row>
    <row r="57" spans="1:16" x14ac:dyDescent="0.35">
      <c r="A57" s="134">
        <f t="shared" si="0"/>
        <v>56</v>
      </c>
      <c r="B57" s="134" t="str" cm="1">
        <f t="array" ref="B57:P57">TRANSPOSE(CHOOSE({1;2;3;4;5;6;7;8;13;14;15;16;17;18;19},'Summary per Company and Use Cas'!A215,'Summary per Company and Use Cas'!B215,'Summary per Company and Use Cas'!C215,'Summary per Company and Use Cas'!M215,'Summary per Company and Use Cas'!D215, 'Summary per Company and Use Cas'!E215,'Summary per Company and Use Cas'!G215, 'Summary per Company and Use Cas'!H215,'Summary per Company and Use Cas'!I215,'Summary per Company and Use Cas'!J215,'Summary per Company and Use Cas'!K215,'Summary per Company and Use Cas'!L215,'Summary per Company and Use Cas'!AI215,'Summary per Company and Use Cas'!AJ215,'Summary per Company and Use Cas'!AK215,'Summary per Company and Use Cas'!AL215,'Summary per Company and Use Cas'!AO215,'Summary per Company and Use Cas'!AP215,'Summary per Company and Use Cas'!AQ215))</f>
        <v>Waymo-Last-Mile</v>
      </c>
      <c r="C57" s="352" t="str">
        <v>Waymo</v>
      </c>
      <c r="D57" s="134" t="str">
        <v>Last-Mile</v>
      </c>
      <c r="E57" s="134" t="str">
        <v>L1</v>
      </c>
      <c r="F57" s="134">
        <v>1</v>
      </c>
      <c r="G57" s="134" t="str">
        <v>Alliance Ventures (Renault, Nissan, Mitsubishi)</v>
      </c>
      <c r="H57" s="134" t="str">
        <v>Mobility Project</v>
      </c>
      <c r="I57" s="353">
        <v>1</v>
      </c>
      <c r="J57" s="354">
        <v>0</v>
      </c>
      <c r="K57" s="355">
        <v>0</v>
      </c>
      <c r="L57" s="354">
        <v>0</v>
      </c>
      <c r="M57" s="355">
        <v>0</v>
      </c>
      <c r="N57" s="354">
        <v>0</v>
      </c>
      <c r="O57" s="354">
        <v>3000</v>
      </c>
      <c r="P57" s="354">
        <v>5500</v>
      </c>
    </row>
    <row r="58" spans="1:16" x14ac:dyDescent="0.35">
      <c r="A58" s="134"/>
      <c r="B58" s="134"/>
      <c r="C58" s="352"/>
      <c r="D58" s="134"/>
      <c r="E58" s="134"/>
      <c r="F58" s="134"/>
      <c r="G58" s="134"/>
      <c r="H58" s="134"/>
      <c r="I58" s="353"/>
      <c r="J58" s="354"/>
      <c r="K58" s="355"/>
      <c r="L58" s="354"/>
      <c r="M58" s="355"/>
      <c r="N58" s="354"/>
      <c r="O58" s="354"/>
      <c r="P58" s="354"/>
    </row>
    <row r="59" spans="1:16" x14ac:dyDescent="0.35">
      <c r="A59" s="134"/>
      <c r="B59" s="134"/>
      <c r="C59" s="352"/>
      <c r="D59" s="134"/>
      <c r="E59" s="134"/>
      <c r="F59" s="134"/>
      <c r="G59" s="134"/>
      <c r="H59" s="134"/>
      <c r="I59" s="353"/>
      <c r="J59" s="354"/>
      <c r="K59" s="355"/>
      <c r="L59" s="354"/>
      <c r="M59" s="355"/>
      <c r="N59" s="354"/>
      <c r="O59" s="354"/>
      <c r="P59" s="354"/>
    </row>
    <row r="60" spans="1:16" x14ac:dyDescent="0.35">
      <c r="A60" s="134"/>
      <c r="B60" s="135"/>
      <c r="C60" s="286"/>
      <c r="D60" s="135"/>
      <c r="E60" s="135"/>
      <c r="F60" s="135"/>
      <c r="G60" s="135"/>
      <c r="H60" s="135"/>
      <c r="I60" s="351"/>
      <c r="J60" s="59"/>
      <c r="K60" s="350"/>
      <c r="L60" s="59"/>
      <c r="M60" s="350"/>
      <c r="N60" s="59"/>
    </row>
    <row r="61" spans="1:16" x14ac:dyDescent="0.35">
      <c r="A61" s="134"/>
      <c r="B61" s="135"/>
      <c r="C61" s="286"/>
      <c r="D61" s="135"/>
      <c r="E61" s="135"/>
      <c r="F61" s="135"/>
      <c r="G61" s="135"/>
      <c r="H61" s="135"/>
      <c r="I61" s="351"/>
      <c r="J61" s="59"/>
      <c r="K61" s="350"/>
      <c r="L61" s="59"/>
      <c r="M61" s="350"/>
      <c r="N61" s="59"/>
    </row>
    <row r="62" spans="1:16" x14ac:dyDescent="0.35">
      <c r="A62" s="134"/>
      <c r="B62" s="135"/>
      <c r="C62" s="286"/>
      <c r="D62" s="135"/>
      <c r="E62" s="135"/>
      <c r="F62" s="135"/>
      <c r="G62" s="135"/>
      <c r="H62" s="135"/>
      <c r="I62" s="351"/>
      <c r="J62" s="59"/>
      <c r="K62" s="350"/>
      <c r="L62" s="59"/>
      <c r="M62" s="350"/>
      <c r="N62" s="59"/>
    </row>
    <row r="63" spans="1:16" x14ac:dyDescent="0.35">
      <c r="A63" s="134"/>
      <c r="B63" s="135"/>
      <c r="C63" s="286"/>
      <c r="D63" s="135"/>
      <c r="E63" s="135"/>
      <c r="F63" s="135"/>
      <c r="G63" s="135"/>
      <c r="H63" s="135"/>
      <c r="I63" s="351"/>
      <c r="J63" s="59"/>
      <c r="K63" s="350"/>
      <c r="L63" s="59"/>
      <c r="M63" s="350"/>
      <c r="N63" s="59"/>
    </row>
    <row r="64" spans="1:16" x14ac:dyDescent="0.35">
      <c r="A64" s="134"/>
      <c r="B64" s="135"/>
      <c r="C64" s="286"/>
      <c r="D64" s="135"/>
      <c r="E64" s="135"/>
      <c r="F64" s="135"/>
      <c r="G64" s="135"/>
      <c r="H64" s="135"/>
      <c r="I64" s="351"/>
      <c r="J64" s="59"/>
      <c r="K64" s="350"/>
      <c r="L64" s="59"/>
      <c r="M64" s="350"/>
      <c r="N64" s="59"/>
    </row>
    <row r="65" spans="1:14" x14ac:dyDescent="0.35">
      <c r="A65" s="134"/>
      <c r="B65" s="135"/>
      <c r="C65" s="286"/>
      <c r="D65" s="135"/>
      <c r="E65" s="135"/>
      <c r="F65" s="135"/>
      <c r="G65" s="135"/>
      <c r="H65" s="135"/>
      <c r="I65" s="351"/>
      <c r="J65" s="59"/>
      <c r="K65" s="350"/>
      <c r="L65" s="59"/>
      <c r="M65" s="350"/>
      <c r="N65" s="59"/>
    </row>
    <row r="66" spans="1:14" x14ac:dyDescent="0.35">
      <c r="A66" s="134"/>
      <c r="B66" s="135"/>
      <c r="C66" s="286"/>
      <c r="D66" s="135"/>
      <c r="E66" s="135"/>
      <c r="F66" s="135"/>
      <c r="G66" s="135"/>
      <c r="H66" s="135"/>
      <c r="I66" s="351"/>
      <c r="J66" s="59"/>
      <c r="K66" s="350"/>
      <c r="L66" s="59"/>
      <c r="M66" s="350"/>
      <c r="N66" s="59"/>
    </row>
    <row r="67" spans="1:14" x14ac:dyDescent="0.35">
      <c r="A67" s="134"/>
      <c r="B67" s="135"/>
      <c r="C67" s="286"/>
      <c r="D67" s="135"/>
      <c r="E67" s="135"/>
      <c r="F67" s="135"/>
      <c r="G67" s="135"/>
      <c r="H67" s="135"/>
      <c r="I67" s="351"/>
      <c r="J67" s="59"/>
      <c r="K67" s="350"/>
      <c r="L67" s="59"/>
      <c r="M67" s="350"/>
      <c r="N67" s="59"/>
    </row>
    <row r="68" spans="1:14" x14ac:dyDescent="0.35">
      <c r="A68" s="134"/>
      <c r="B68" s="135"/>
      <c r="C68" s="286"/>
      <c r="D68" s="135"/>
      <c r="E68" s="135"/>
      <c r="F68" s="135"/>
      <c r="G68" s="135"/>
      <c r="H68" s="135"/>
      <c r="I68" s="351"/>
      <c r="J68" s="59"/>
      <c r="K68" s="350"/>
      <c r="L68" s="59"/>
      <c r="M68" s="350"/>
      <c r="N68" s="59"/>
    </row>
    <row r="69" spans="1:14" x14ac:dyDescent="0.35">
      <c r="A69" s="134"/>
      <c r="B69" s="135"/>
      <c r="C69" s="286"/>
      <c r="D69" s="135"/>
      <c r="E69" s="135"/>
      <c r="F69" s="135"/>
      <c r="G69" s="135"/>
      <c r="H69" s="135"/>
      <c r="I69" s="351"/>
      <c r="J69" s="59"/>
      <c r="K69" s="350"/>
      <c r="L69" s="59"/>
      <c r="M69" s="350"/>
      <c r="N69" s="59"/>
    </row>
    <row r="70" spans="1:14" x14ac:dyDescent="0.35">
      <c r="A70" s="134"/>
      <c r="B70" s="135"/>
      <c r="C70" s="286"/>
      <c r="D70" s="135"/>
      <c r="E70" s="135"/>
      <c r="F70" s="135"/>
      <c r="G70" s="135"/>
      <c r="H70" s="135"/>
      <c r="I70" s="351"/>
      <c r="J70" s="59"/>
      <c r="K70" s="350"/>
      <c r="L70" s="59"/>
      <c r="M70" s="350"/>
      <c r="N70" s="59"/>
    </row>
    <row r="71" spans="1:14" x14ac:dyDescent="0.35">
      <c r="A71" s="134"/>
      <c r="B71" s="135"/>
      <c r="C71" s="286"/>
      <c r="D71" s="135"/>
      <c r="E71" s="135"/>
      <c r="F71" s="135"/>
      <c r="G71" s="135"/>
      <c r="H71" s="135"/>
      <c r="I71" s="351"/>
      <c r="J71" s="59"/>
      <c r="K71" s="350"/>
      <c r="L71" s="59"/>
      <c r="M71" s="350"/>
      <c r="N71" s="59"/>
    </row>
    <row r="72" spans="1:14" x14ac:dyDescent="0.35">
      <c r="A72" s="134"/>
      <c r="B72" s="135"/>
      <c r="C72" s="286"/>
      <c r="D72" s="135"/>
      <c r="E72" s="135"/>
      <c r="F72" s="135"/>
      <c r="G72" s="135"/>
      <c r="H72" s="135"/>
      <c r="I72" s="351"/>
      <c r="J72" s="59"/>
      <c r="K72" s="350"/>
      <c r="L72" s="59"/>
      <c r="M72" s="350"/>
      <c r="N72" s="59"/>
    </row>
    <row r="73" spans="1:14" x14ac:dyDescent="0.35">
      <c r="A73" s="134"/>
      <c r="B73" s="135"/>
      <c r="C73" s="286"/>
      <c r="D73" s="135"/>
      <c r="E73" s="135"/>
      <c r="F73" s="135"/>
      <c r="G73" s="135"/>
      <c r="H73" s="135"/>
      <c r="I73" s="351"/>
      <c r="J73" s="59"/>
      <c r="K73" s="350"/>
      <c r="L73" s="59"/>
      <c r="M73" s="350"/>
      <c r="N73" s="59"/>
    </row>
    <row r="74" spans="1:14" x14ac:dyDescent="0.35">
      <c r="A74" s="134"/>
      <c r="B74" s="135"/>
      <c r="C74" s="286"/>
      <c r="D74" s="135"/>
      <c r="E74" s="135"/>
      <c r="F74" s="135"/>
      <c r="G74" s="135"/>
      <c r="H74" s="135"/>
      <c r="I74" s="351"/>
      <c r="J74" s="59"/>
      <c r="K74" s="350"/>
      <c r="L74" s="59"/>
      <c r="M74" s="350"/>
      <c r="N74" s="59"/>
    </row>
    <row r="75" spans="1:14" x14ac:dyDescent="0.35">
      <c r="A75" s="134"/>
      <c r="B75" s="135"/>
      <c r="C75" s="286"/>
      <c r="D75" s="135"/>
      <c r="E75" s="135"/>
      <c r="F75" s="135"/>
      <c r="G75" s="135"/>
      <c r="H75" s="135"/>
      <c r="I75" s="351"/>
      <c r="J75" s="59"/>
      <c r="K75" s="350"/>
      <c r="L75" s="59"/>
      <c r="M75" s="350"/>
      <c r="N75" s="59"/>
    </row>
    <row r="76" spans="1:14" x14ac:dyDescent="0.35">
      <c r="A76" s="134"/>
      <c r="B76" s="135"/>
      <c r="C76" s="286"/>
      <c r="D76" s="135"/>
      <c r="E76" s="135"/>
      <c r="F76" s="135"/>
      <c r="G76" s="135"/>
      <c r="H76" s="135"/>
      <c r="I76" s="351"/>
      <c r="J76" s="59"/>
      <c r="K76" s="350"/>
      <c r="L76" s="59"/>
      <c r="M76" s="350"/>
      <c r="N76" s="59"/>
    </row>
    <row r="77" spans="1:14" x14ac:dyDescent="0.35">
      <c r="A77" s="134"/>
      <c r="B77" s="135"/>
      <c r="C77" s="286"/>
      <c r="D77" s="135"/>
      <c r="E77" s="135"/>
      <c r="F77" s="135"/>
      <c r="G77" s="135"/>
      <c r="H77" s="135"/>
      <c r="I77" s="351"/>
      <c r="J77" s="59"/>
      <c r="K77" s="350"/>
      <c r="L77" s="59"/>
      <c r="M77" s="350"/>
      <c r="N77" s="59"/>
    </row>
    <row r="78" spans="1:14" x14ac:dyDescent="0.35">
      <c r="A78" s="134"/>
      <c r="B78" s="135"/>
      <c r="C78" s="286"/>
      <c r="D78" s="135"/>
      <c r="E78" s="135"/>
      <c r="F78" s="135"/>
      <c r="G78" s="135"/>
      <c r="H78" s="135"/>
      <c r="I78" s="351"/>
      <c r="J78" s="59"/>
      <c r="K78" s="350"/>
      <c r="L78" s="59"/>
      <c r="M78" s="350"/>
      <c r="N78" s="59"/>
    </row>
    <row r="79" spans="1:14" x14ac:dyDescent="0.35">
      <c r="A79" s="134"/>
      <c r="B79" s="135"/>
      <c r="C79" s="286"/>
      <c r="D79" s="135"/>
      <c r="E79" s="135"/>
      <c r="F79" s="135"/>
      <c r="G79" s="135"/>
      <c r="H79" s="135"/>
      <c r="I79" s="351"/>
      <c r="J79" s="59"/>
      <c r="K79" s="350"/>
      <c r="L79" s="59"/>
      <c r="M79" s="350"/>
      <c r="N79" s="59"/>
    </row>
    <row r="80" spans="1:14" x14ac:dyDescent="0.35">
      <c r="A80" s="134"/>
      <c r="B80" s="135"/>
      <c r="C80" s="286"/>
      <c r="D80" s="135"/>
      <c r="E80" s="135"/>
      <c r="F80" s="135"/>
      <c r="G80" s="135"/>
      <c r="H80" s="135"/>
      <c r="I80" s="351"/>
      <c r="J80" s="59"/>
      <c r="K80" s="350"/>
      <c r="L80" s="59"/>
      <c r="M80" s="350"/>
      <c r="N80" s="59"/>
    </row>
    <row r="81" spans="1:14" x14ac:dyDescent="0.35">
      <c r="A81" s="134"/>
      <c r="B81" s="135"/>
      <c r="C81" s="286"/>
      <c r="D81" s="135"/>
      <c r="E81" s="135"/>
      <c r="F81" s="135"/>
      <c r="G81" s="135"/>
      <c r="H81" s="135"/>
      <c r="I81" s="351"/>
      <c r="J81" s="59"/>
      <c r="K81" s="350"/>
      <c r="L81" s="59"/>
      <c r="M81" s="350"/>
      <c r="N81" s="59"/>
    </row>
    <row r="82" spans="1:14" x14ac:dyDescent="0.35">
      <c r="A82" s="134"/>
      <c r="B82" s="135"/>
      <c r="C82" s="286"/>
      <c r="D82" s="135"/>
      <c r="E82" s="135"/>
      <c r="F82" s="135"/>
      <c r="G82" s="135"/>
      <c r="H82" s="135"/>
      <c r="I82" s="351"/>
      <c r="J82" s="59"/>
      <c r="K82" s="350"/>
      <c r="L82" s="59"/>
      <c r="M82" s="350"/>
      <c r="N82" s="59"/>
    </row>
    <row r="83" spans="1:14" x14ac:dyDescent="0.35">
      <c r="A83" s="134"/>
      <c r="B83" s="135"/>
      <c r="C83" s="286"/>
      <c r="D83" s="135"/>
      <c r="E83" s="135"/>
      <c r="F83" s="135"/>
      <c r="G83" s="135"/>
      <c r="H83" s="135"/>
      <c r="I83" s="351"/>
      <c r="J83" s="59"/>
      <c r="K83" s="350"/>
      <c r="L83" s="59"/>
      <c r="M83" s="350"/>
      <c r="N83" s="59"/>
    </row>
    <row r="84" spans="1:14" x14ac:dyDescent="0.35">
      <c r="A84" s="134"/>
      <c r="B84" s="135"/>
      <c r="C84" s="286"/>
      <c r="D84" s="135"/>
      <c r="E84" s="135"/>
      <c r="F84" s="135"/>
      <c r="G84" s="135"/>
      <c r="H84" s="135"/>
      <c r="I84" s="351"/>
      <c r="J84" s="59"/>
      <c r="K84" s="350"/>
      <c r="L84" s="59"/>
      <c r="M84" s="350"/>
      <c r="N84" s="59"/>
    </row>
    <row r="85" spans="1:14" x14ac:dyDescent="0.35">
      <c r="A85" s="134"/>
      <c r="B85" s="135"/>
      <c r="C85" s="286"/>
      <c r="D85" s="135"/>
      <c r="E85" s="135"/>
      <c r="F85" s="135"/>
      <c r="G85" s="135"/>
      <c r="H85" s="135"/>
      <c r="I85" s="351"/>
      <c r="J85" s="59"/>
      <c r="K85" s="350"/>
      <c r="L85" s="59"/>
      <c r="M85" s="350"/>
      <c r="N85" s="59"/>
    </row>
    <row r="86" spans="1:14" x14ac:dyDescent="0.35">
      <c r="A86" s="134"/>
      <c r="B86" s="135"/>
      <c r="C86" s="286"/>
      <c r="D86" s="135"/>
      <c r="E86" s="135"/>
      <c r="F86" s="135"/>
      <c r="G86" s="135"/>
      <c r="H86" s="135"/>
      <c r="I86" s="351"/>
      <c r="J86" s="59"/>
      <c r="K86" s="350"/>
      <c r="L86" s="59"/>
      <c r="M86" s="350"/>
      <c r="N86" s="59"/>
    </row>
    <row r="87" spans="1:14" x14ac:dyDescent="0.35">
      <c r="A87" s="134"/>
      <c r="B87" s="135"/>
      <c r="C87" s="286"/>
      <c r="D87" s="135"/>
      <c r="E87" s="135"/>
      <c r="F87" s="135"/>
      <c r="G87" s="135"/>
      <c r="H87" s="135"/>
      <c r="I87" s="351"/>
      <c r="J87" s="59"/>
      <c r="K87" s="350"/>
      <c r="L87" s="59"/>
      <c r="M87" s="350"/>
      <c r="N87" s="59"/>
    </row>
    <row r="88" spans="1:14" x14ac:dyDescent="0.35">
      <c r="A88" s="134"/>
      <c r="B88" s="135"/>
      <c r="C88" s="286"/>
      <c r="D88" s="135"/>
      <c r="E88" s="135"/>
      <c r="F88" s="135"/>
      <c r="G88" s="135"/>
      <c r="H88" s="135"/>
      <c r="I88" s="351"/>
      <c r="J88" s="59"/>
      <c r="K88" s="350"/>
      <c r="L88" s="59"/>
      <c r="M88" s="350"/>
      <c r="N88" s="59"/>
    </row>
    <row r="89" spans="1:14" x14ac:dyDescent="0.35">
      <c r="A89" s="134"/>
      <c r="B89" s="135"/>
      <c r="C89" s="286"/>
      <c r="D89" s="135"/>
      <c r="E89" s="135"/>
      <c r="F89" s="135"/>
      <c r="G89" s="135"/>
      <c r="H89" s="135"/>
      <c r="I89" s="351"/>
      <c r="J89" s="59"/>
      <c r="K89" s="350"/>
      <c r="L89" s="59"/>
      <c r="M89" s="350"/>
      <c r="N89" s="59"/>
    </row>
    <row r="90" spans="1:14" x14ac:dyDescent="0.35">
      <c r="A90" s="134"/>
      <c r="B90" s="135"/>
      <c r="C90" s="286"/>
      <c r="D90" s="135"/>
      <c r="E90" s="135"/>
      <c r="F90" s="135"/>
      <c r="G90" s="135"/>
      <c r="H90" s="135"/>
      <c r="I90" s="351"/>
      <c r="J90" s="59"/>
      <c r="K90" s="350"/>
      <c r="L90" s="59"/>
      <c r="M90" s="350"/>
      <c r="N90" s="59"/>
    </row>
    <row r="91" spans="1:14" x14ac:dyDescent="0.35">
      <c r="A91" s="134"/>
      <c r="B91" s="135"/>
      <c r="C91" s="286"/>
      <c r="D91" s="135"/>
      <c r="E91" s="135"/>
      <c r="F91" s="135"/>
      <c r="G91" s="135"/>
      <c r="H91" s="135"/>
      <c r="I91" s="351"/>
      <c r="J91" s="59"/>
      <c r="K91" s="350"/>
      <c r="L91" s="59"/>
      <c r="M91" s="350"/>
      <c r="N91" s="59"/>
    </row>
    <row r="92" spans="1:14" x14ac:dyDescent="0.35">
      <c r="A92" s="134"/>
      <c r="B92" s="135"/>
      <c r="C92" s="286"/>
      <c r="D92" s="135"/>
      <c r="E92" s="135"/>
      <c r="F92" s="135"/>
      <c r="G92" s="135"/>
      <c r="H92" s="135"/>
      <c r="I92" s="351"/>
      <c r="J92" s="59"/>
      <c r="K92" s="350"/>
      <c r="L92" s="59"/>
      <c r="M92" s="350"/>
      <c r="N92" s="59"/>
    </row>
    <row r="93" spans="1:14" x14ac:dyDescent="0.35">
      <c r="A93" s="134"/>
      <c r="B93" s="135"/>
      <c r="C93" s="286"/>
      <c r="D93" s="135"/>
      <c r="E93" s="135"/>
      <c r="F93" s="135"/>
      <c r="G93" s="135"/>
      <c r="H93" s="135"/>
      <c r="I93" s="351"/>
      <c r="J93" s="59"/>
      <c r="K93" s="350"/>
      <c r="L93" s="59"/>
      <c r="M93" s="350"/>
      <c r="N93" s="59"/>
    </row>
    <row r="94" spans="1:14" x14ac:dyDescent="0.35">
      <c r="A94" s="134"/>
      <c r="B94" s="135"/>
      <c r="C94" s="286"/>
      <c r="D94" s="135"/>
      <c r="E94" s="135"/>
      <c r="F94" s="135"/>
      <c r="G94" s="135"/>
      <c r="H94" s="135"/>
      <c r="I94" s="351"/>
      <c r="J94" s="59"/>
      <c r="K94" s="350"/>
      <c r="L94" s="59"/>
      <c r="M94" s="350"/>
      <c r="N94" s="59"/>
    </row>
    <row r="95" spans="1:14" x14ac:dyDescent="0.35">
      <c r="A95" s="134"/>
      <c r="B95" s="135"/>
      <c r="C95" s="286"/>
      <c r="D95" s="135"/>
      <c r="E95" s="135"/>
      <c r="F95" s="135"/>
      <c r="G95" s="135"/>
      <c r="H95" s="135"/>
      <c r="I95" s="351"/>
      <c r="J95" s="59"/>
      <c r="K95" s="350"/>
      <c r="L95" s="59"/>
      <c r="M95" s="350"/>
      <c r="N95" s="59"/>
    </row>
    <row r="96" spans="1:14" x14ac:dyDescent="0.35">
      <c r="A96" s="134"/>
      <c r="B96" s="135"/>
      <c r="C96" s="286"/>
      <c r="D96" s="135"/>
      <c r="E96" s="135"/>
      <c r="F96" s="135"/>
      <c r="G96" s="135"/>
      <c r="H96" s="135"/>
      <c r="I96" s="351"/>
      <c r="J96" s="59"/>
      <c r="K96" s="350"/>
      <c r="L96" s="59"/>
      <c r="M96" s="350"/>
      <c r="N96" s="59"/>
    </row>
    <row r="97" spans="1:14" x14ac:dyDescent="0.35">
      <c r="A97" s="134"/>
      <c r="B97" s="135"/>
      <c r="C97" s="286"/>
      <c r="D97" s="135"/>
      <c r="E97" s="135"/>
      <c r="F97" s="135"/>
      <c r="G97" s="135"/>
      <c r="H97" s="135"/>
      <c r="I97" s="351"/>
      <c r="J97" s="59"/>
      <c r="K97" s="350"/>
      <c r="L97" s="59"/>
      <c r="M97" s="350"/>
      <c r="N97" s="59"/>
    </row>
    <row r="98" spans="1:14" x14ac:dyDescent="0.35">
      <c r="A98" s="134"/>
      <c r="B98" s="135"/>
      <c r="C98" s="286"/>
      <c r="D98" s="135"/>
      <c r="E98" s="135"/>
      <c r="F98" s="135"/>
      <c r="G98" s="135"/>
      <c r="H98" s="135"/>
      <c r="I98" s="351"/>
      <c r="J98" s="59"/>
      <c r="K98" s="350"/>
      <c r="L98" s="59"/>
      <c r="M98" s="350"/>
      <c r="N98" s="59"/>
    </row>
    <row r="99" spans="1:14" x14ac:dyDescent="0.35">
      <c r="A99" s="134"/>
      <c r="B99" s="135"/>
      <c r="C99" s="286"/>
      <c r="D99" s="135"/>
      <c r="E99" s="135"/>
      <c r="F99" s="135"/>
      <c r="G99" s="135"/>
      <c r="H99" s="135"/>
      <c r="I99" s="351"/>
      <c r="J99" s="59"/>
      <c r="K99" s="350"/>
      <c r="L99" s="59"/>
      <c r="M99" s="350"/>
      <c r="N99" s="59"/>
    </row>
    <row r="100" spans="1:14" x14ac:dyDescent="0.35">
      <c r="A100" s="134"/>
      <c r="B100" s="135"/>
      <c r="C100" s="286"/>
      <c r="D100" s="135"/>
      <c r="E100" s="135"/>
      <c r="F100" s="135"/>
      <c r="G100" s="135"/>
      <c r="H100" s="135"/>
      <c r="I100" s="351"/>
      <c r="J100" s="59"/>
      <c r="K100" s="350"/>
      <c r="L100" s="59"/>
      <c r="M100" s="350"/>
      <c r="N100" s="59"/>
    </row>
    <row r="101" spans="1:14" x14ac:dyDescent="0.35">
      <c r="A101" s="134"/>
      <c r="B101" s="135"/>
      <c r="C101" s="286"/>
      <c r="D101" s="135"/>
      <c r="E101" s="135"/>
      <c r="F101" s="135"/>
      <c r="G101" s="135"/>
      <c r="H101" s="135"/>
      <c r="I101" s="351"/>
      <c r="J101" s="59"/>
      <c r="K101" s="350"/>
      <c r="L101" s="59"/>
      <c r="M101" s="350"/>
      <c r="N101" s="59"/>
    </row>
    <row r="102" spans="1:14" x14ac:dyDescent="0.35">
      <c r="A102" s="134"/>
      <c r="B102" s="135"/>
      <c r="C102" s="286"/>
      <c r="D102" s="135"/>
      <c r="E102" s="135"/>
      <c r="F102" s="135"/>
      <c r="G102" s="135"/>
      <c r="H102" s="135"/>
      <c r="I102" s="351"/>
      <c r="J102" s="59"/>
      <c r="K102" s="350"/>
      <c r="L102" s="59"/>
      <c r="M102" s="350"/>
      <c r="N102" s="59"/>
    </row>
    <row r="103" spans="1:14" x14ac:dyDescent="0.35">
      <c r="A103" s="134"/>
      <c r="B103" s="135"/>
      <c r="C103" s="286"/>
      <c r="D103" s="135"/>
      <c r="E103" s="135"/>
      <c r="F103" s="135"/>
      <c r="G103" s="135"/>
      <c r="H103" s="135"/>
      <c r="I103" s="351"/>
      <c r="J103" s="59"/>
      <c r="K103" s="350"/>
      <c r="L103" s="59"/>
      <c r="M103" s="350"/>
      <c r="N103" s="59"/>
    </row>
    <row r="104" spans="1:14" x14ac:dyDescent="0.35">
      <c r="A104" s="134"/>
      <c r="B104" s="135"/>
      <c r="C104" s="286"/>
      <c r="D104" s="135"/>
      <c r="E104" s="135"/>
      <c r="F104" s="135"/>
      <c r="G104" s="135"/>
      <c r="H104" s="135"/>
      <c r="I104" s="351"/>
      <c r="J104" s="59"/>
      <c r="K104" s="350"/>
      <c r="L104" s="59"/>
      <c r="M104" s="350"/>
      <c r="N104" s="59"/>
    </row>
    <row r="105" spans="1:14" x14ac:dyDescent="0.35">
      <c r="A105" s="134"/>
      <c r="B105" s="135"/>
      <c r="C105" s="286"/>
      <c r="D105" s="135"/>
      <c r="E105" s="135"/>
      <c r="F105" s="135"/>
      <c r="G105" s="135"/>
      <c r="H105" s="135"/>
      <c r="I105" s="351"/>
      <c r="J105" s="59"/>
      <c r="K105" s="350"/>
      <c r="L105" s="59"/>
      <c r="M105" s="350"/>
      <c r="N105" s="59"/>
    </row>
    <row r="106" spans="1:14" x14ac:dyDescent="0.35">
      <c r="A106" s="134"/>
      <c r="B106" s="135"/>
      <c r="C106" s="286"/>
      <c r="D106" s="135"/>
      <c r="E106" s="135"/>
      <c r="F106" s="135"/>
      <c r="G106" s="135"/>
      <c r="H106" s="135"/>
      <c r="I106" s="351"/>
      <c r="J106" s="59"/>
      <c r="K106" s="350"/>
      <c r="L106" s="59"/>
      <c r="M106" s="350"/>
      <c r="N106" s="59"/>
    </row>
    <row r="107" spans="1:14" x14ac:dyDescent="0.35">
      <c r="A107" s="134"/>
      <c r="B107" s="135"/>
      <c r="C107" s="286"/>
      <c r="D107" s="135"/>
      <c r="E107" s="135"/>
      <c r="F107" s="135"/>
      <c r="G107" s="135"/>
      <c r="H107" s="135"/>
      <c r="I107" s="351"/>
      <c r="J107" s="59"/>
      <c r="K107" s="350"/>
      <c r="L107" s="59"/>
      <c r="M107" s="350"/>
      <c r="N107" s="59"/>
    </row>
    <row r="108" spans="1:14" x14ac:dyDescent="0.35">
      <c r="A108" s="134"/>
      <c r="B108" s="135"/>
      <c r="C108" s="286"/>
      <c r="D108" s="135"/>
      <c r="E108" s="135"/>
      <c r="F108" s="135"/>
      <c r="G108" s="135"/>
      <c r="H108" s="135"/>
      <c r="I108" s="351"/>
      <c r="J108" s="59"/>
      <c r="K108" s="350"/>
      <c r="L108" s="59"/>
      <c r="M108" s="350"/>
      <c r="N108" s="59"/>
    </row>
    <row r="109" spans="1:14" x14ac:dyDescent="0.35">
      <c r="A109" s="134"/>
      <c r="B109" s="135"/>
      <c r="C109" s="286"/>
      <c r="D109" s="135"/>
      <c r="E109" s="135"/>
      <c r="F109" s="135"/>
      <c r="G109" s="135"/>
      <c r="H109" s="135"/>
      <c r="I109" s="351"/>
      <c r="J109" s="59"/>
      <c r="K109" s="350"/>
      <c r="L109" s="59"/>
      <c r="M109" s="350"/>
      <c r="N109" s="59"/>
    </row>
    <row r="110" spans="1:14" x14ac:dyDescent="0.35">
      <c r="A110" s="134"/>
      <c r="B110" s="135"/>
      <c r="C110" s="286"/>
      <c r="D110" s="135"/>
      <c r="E110" s="135"/>
      <c r="F110" s="135"/>
      <c r="G110" s="135"/>
      <c r="H110" s="135"/>
      <c r="I110" s="351"/>
      <c r="J110" s="59"/>
      <c r="K110" s="350"/>
      <c r="L110" s="59"/>
      <c r="M110" s="350"/>
      <c r="N110" s="59"/>
    </row>
    <row r="111" spans="1:14" x14ac:dyDescent="0.35">
      <c r="A111" s="134"/>
      <c r="B111" s="135"/>
      <c r="C111" s="286"/>
      <c r="D111" s="135"/>
      <c r="E111" s="135"/>
      <c r="F111" s="135"/>
      <c r="G111" s="135"/>
      <c r="H111" s="135"/>
      <c r="I111" s="351"/>
      <c r="J111" s="59"/>
      <c r="K111" s="350"/>
      <c r="L111" s="59"/>
      <c r="M111" s="350"/>
      <c r="N111" s="59"/>
    </row>
    <row r="112" spans="1:14" x14ac:dyDescent="0.35">
      <c r="A112" s="134"/>
      <c r="B112" s="135"/>
      <c r="C112" s="286"/>
      <c r="D112" s="135"/>
      <c r="E112" s="135"/>
      <c r="F112" s="135"/>
      <c r="G112" s="135"/>
      <c r="H112" s="135"/>
      <c r="I112" s="351"/>
      <c r="J112" s="59"/>
      <c r="K112" s="350"/>
      <c r="L112" s="59"/>
      <c r="M112" s="350"/>
      <c r="N112" s="59"/>
    </row>
    <row r="113" spans="1:14" x14ac:dyDescent="0.35">
      <c r="A113" s="134"/>
      <c r="B113" s="135"/>
      <c r="C113" s="286"/>
      <c r="D113" s="135"/>
      <c r="E113" s="135"/>
      <c r="F113" s="135"/>
      <c r="G113" s="135"/>
      <c r="H113" s="135"/>
      <c r="I113" s="351"/>
      <c r="J113" s="59"/>
      <c r="K113" s="350"/>
      <c r="L113" s="59"/>
      <c r="M113" s="350"/>
      <c r="N113" s="59"/>
    </row>
    <row r="114" spans="1:14" x14ac:dyDescent="0.35">
      <c r="A114" s="134"/>
      <c r="B114" s="135"/>
      <c r="C114" s="286"/>
      <c r="D114" s="135"/>
      <c r="E114" s="135"/>
      <c r="F114" s="135"/>
      <c r="G114" s="135"/>
      <c r="H114" s="135"/>
      <c r="I114" s="351"/>
      <c r="J114" s="59"/>
      <c r="K114" s="350"/>
      <c r="L114" s="59"/>
      <c r="M114" s="350"/>
      <c r="N114" s="59"/>
    </row>
    <row r="115" spans="1:14" x14ac:dyDescent="0.35">
      <c r="A115" s="134"/>
      <c r="B115" s="135"/>
      <c r="C115" s="286"/>
      <c r="D115" s="135"/>
      <c r="E115" s="135"/>
      <c r="F115" s="135"/>
      <c r="G115" s="135"/>
      <c r="H115" s="135"/>
      <c r="I115" s="351"/>
      <c r="J115" s="59"/>
      <c r="K115" s="350"/>
      <c r="L115" s="59"/>
      <c r="M115" s="350"/>
      <c r="N115" s="59"/>
    </row>
    <row r="116" spans="1:14" x14ac:dyDescent="0.35">
      <c r="A116" s="134"/>
      <c r="B116" s="135"/>
      <c r="C116" s="286"/>
      <c r="D116" s="135"/>
      <c r="E116" s="135"/>
      <c r="F116" s="135"/>
      <c r="G116" s="135"/>
      <c r="H116" s="135"/>
      <c r="I116" s="351"/>
      <c r="J116" s="59"/>
      <c r="K116" s="350"/>
      <c r="L116" s="59"/>
      <c r="M116" s="350"/>
      <c r="N116" s="59"/>
    </row>
    <row r="117" spans="1:14" x14ac:dyDescent="0.35">
      <c r="A117" s="134"/>
      <c r="B117" s="135"/>
      <c r="C117" s="286"/>
      <c r="D117" s="135"/>
      <c r="E117" s="135"/>
      <c r="F117" s="135"/>
      <c r="G117" s="135"/>
      <c r="H117" s="135"/>
      <c r="I117" s="351"/>
      <c r="J117" s="59"/>
      <c r="K117" s="350"/>
      <c r="L117" s="59"/>
      <c r="M117" s="350"/>
      <c r="N117" s="59"/>
    </row>
    <row r="118" spans="1:14" x14ac:dyDescent="0.35">
      <c r="A118" s="134"/>
      <c r="B118" s="135"/>
      <c r="C118" s="286"/>
      <c r="D118" s="135"/>
      <c r="E118" s="135"/>
      <c r="F118" s="135"/>
      <c r="G118" s="135"/>
      <c r="H118" s="135"/>
      <c r="I118" s="351"/>
      <c r="J118" s="59"/>
      <c r="K118" s="350"/>
      <c r="L118" s="59"/>
      <c r="M118" s="350"/>
      <c r="N118" s="59"/>
    </row>
    <row r="119" spans="1:14" x14ac:dyDescent="0.35">
      <c r="A119" s="134"/>
      <c r="B119" s="135"/>
      <c r="C119" s="286"/>
      <c r="D119" s="135"/>
      <c r="E119" s="135"/>
      <c r="F119" s="135"/>
      <c r="G119" s="135"/>
      <c r="H119" s="135"/>
      <c r="I119" s="351"/>
      <c r="J119" s="59"/>
      <c r="K119" s="350"/>
      <c r="L119" s="59"/>
      <c r="M119" s="350"/>
      <c r="N119" s="59"/>
    </row>
    <row r="120" spans="1:14" x14ac:dyDescent="0.35">
      <c r="A120" s="134"/>
      <c r="B120" s="135"/>
      <c r="C120" s="286"/>
      <c r="D120" s="135"/>
      <c r="E120" s="135"/>
      <c r="F120" s="135"/>
      <c r="G120" s="135"/>
      <c r="H120" s="135"/>
      <c r="I120" s="351"/>
      <c r="J120" s="59"/>
      <c r="K120" s="350"/>
      <c r="L120" s="59"/>
      <c r="M120" s="350"/>
      <c r="N120" s="59"/>
    </row>
    <row r="121" spans="1:14" x14ac:dyDescent="0.35">
      <c r="A121" s="134"/>
      <c r="B121" s="135"/>
      <c r="C121" s="286"/>
      <c r="D121" s="135"/>
      <c r="E121" s="135"/>
      <c r="F121" s="135"/>
      <c r="G121" s="135"/>
      <c r="H121" s="135"/>
      <c r="I121" s="351"/>
      <c r="J121" s="59"/>
      <c r="K121" s="350"/>
      <c r="L121" s="59"/>
      <c r="M121" s="350"/>
      <c r="N121" s="59"/>
    </row>
    <row r="122" spans="1:14" x14ac:dyDescent="0.35">
      <c r="A122" s="134"/>
      <c r="B122" s="135"/>
      <c r="C122" s="286"/>
      <c r="D122" s="135"/>
      <c r="E122" s="135"/>
      <c r="F122" s="135"/>
      <c r="G122" s="135"/>
      <c r="H122" s="135"/>
      <c r="I122" s="351"/>
      <c r="J122" s="59"/>
      <c r="K122" s="350"/>
      <c r="L122" s="59"/>
      <c r="M122" s="350"/>
      <c r="N122" s="59"/>
    </row>
    <row r="123" spans="1:14" x14ac:dyDescent="0.35">
      <c r="A123" s="134"/>
      <c r="B123" s="135"/>
      <c r="C123" s="286"/>
      <c r="D123" s="135"/>
      <c r="E123" s="135"/>
      <c r="F123" s="135"/>
      <c r="G123" s="135"/>
      <c r="H123" s="135"/>
      <c r="I123" s="351"/>
      <c r="J123" s="59"/>
      <c r="K123" s="350"/>
      <c r="L123" s="59"/>
      <c r="M123" s="350"/>
      <c r="N123" s="59"/>
    </row>
    <row r="124" spans="1:14" x14ac:dyDescent="0.35">
      <c r="A124" s="134"/>
      <c r="B124" s="135"/>
      <c r="C124" s="286"/>
      <c r="D124" s="135"/>
      <c r="E124" s="135"/>
      <c r="F124" s="135"/>
      <c r="G124" s="135"/>
      <c r="H124" s="135"/>
      <c r="I124" s="351"/>
      <c r="J124" s="59"/>
      <c r="K124" s="350"/>
      <c r="L124" s="59"/>
      <c r="M124" s="350"/>
      <c r="N124" s="59"/>
    </row>
    <row r="125" spans="1:14" x14ac:dyDescent="0.35">
      <c r="A125" s="134"/>
      <c r="B125" s="135"/>
      <c r="C125" s="286"/>
      <c r="D125" s="135"/>
      <c r="E125" s="135"/>
      <c r="F125" s="135"/>
      <c r="G125" s="135"/>
      <c r="H125" s="135"/>
      <c r="I125" s="351"/>
      <c r="J125" s="59"/>
      <c r="K125" s="350"/>
      <c r="L125" s="59"/>
      <c r="M125" s="350"/>
      <c r="N125" s="59"/>
    </row>
    <row r="126" spans="1:14" x14ac:dyDescent="0.35">
      <c r="A126" s="134"/>
      <c r="B126" s="135"/>
      <c r="C126" s="286"/>
      <c r="D126" s="135"/>
      <c r="E126" s="135"/>
      <c r="F126" s="135"/>
      <c r="G126" s="135"/>
      <c r="H126" s="135"/>
      <c r="I126" s="351"/>
      <c r="J126" s="59"/>
      <c r="K126" s="350"/>
      <c r="L126" s="59"/>
      <c r="M126" s="350"/>
      <c r="N126" s="59"/>
    </row>
    <row r="127" spans="1:14" x14ac:dyDescent="0.35">
      <c r="A127" s="134"/>
      <c r="B127" s="135"/>
      <c r="C127" s="286"/>
      <c r="D127" s="135"/>
      <c r="E127" s="135"/>
      <c r="F127" s="135"/>
      <c r="G127" s="135"/>
      <c r="H127" s="135"/>
      <c r="I127" s="351"/>
      <c r="J127" s="59"/>
      <c r="K127" s="350"/>
      <c r="L127" s="59"/>
      <c r="M127" s="350"/>
      <c r="N127" s="59"/>
    </row>
    <row r="128" spans="1:14" x14ac:dyDescent="0.35">
      <c r="A128" s="134"/>
      <c r="B128" s="135"/>
      <c r="C128" s="286"/>
      <c r="D128" s="135"/>
      <c r="E128" s="135"/>
      <c r="F128" s="135"/>
      <c r="G128" s="135"/>
      <c r="H128" s="135"/>
      <c r="I128" s="351"/>
      <c r="J128" s="59"/>
      <c r="K128" s="350"/>
      <c r="L128" s="59"/>
      <c r="M128" s="350"/>
      <c r="N128" s="59"/>
    </row>
    <row r="129" spans="1:14" x14ac:dyDescent="0.35">
      <c r="A129" s="134"/>
      <c r="B129" s="135"/>
      <c r="C129" s="286"/>
      <c r="D129" s="135"/>
      <c r="E129" s="135"/>
      <c r="F129" s="135"/>
      <c r="G129" s="135"/>
      <c r="H129" s="135"/>
      <c r="I129" s="351"/>
      <c r="J129" s="59"/>
      <c r="K129" s="350"/>
      <c r="L129" s="59"/>
      <c r="M129" s="350"/>
      <c r="N129" s="59"/>
    </row>
    <row r="130" spans="1:14" x14ac:dyDescent="0.35">
      <c r="A130" s="134"/>
      <c r="B130" s="135"/>
      <c r="C130" s="286"/>
      <c r="D130" s="135"/>
      <c r="E130" s="135"/>
      <c r="F130" s="135"/>
      <c r="G130" s="135"/>
      <c r="H130" s="135"/>
      <c r="I130" s="351"/>
      <c r="J130" s="59"/>
      <c r="K130" s="350"/>
      <c r="L130" s="59"/>
      <c r="M130" s="350"/>
      <c r="N130" s="59"/>
    </row>
    <row r="131" spans="1:14" x14ac:dyDescent="0.35">
      <c r="A131" s="134"/>
      <c r="B131" s="135"/>
      <c r="C131" s="286"/>
      <c r="D131" s="135"/>
      <c r="E131" s="135"/>
      <c r="F131" s="135"/>
      <c r="G131" s="135"/>
      <c r="H131" s="135"/>
      <c r="I131" s="351"/>
      <c r="J131" s="59"/>
      <c r="K131" s="350"/>
      <c r="L131" s="59"/>
      <c r="M131" s="350"/>
      <c r="N131" s="59"/>
    </row>
    <row r="132" spans="1:14" x14ac:dyDescent="0.35">
      <c r="A132" s="134"/>
      <c r="B132" s="135"/>
      <c r="C132" s="286"/>
      <c r="D132" s="135"/>
      <c r="E132" s="135"/>
      <c r="F132" s="135"/>
      <c r="G132" s="135"/>
      <c r="H132" s="135"/>
      <c r="I132" s="351"/>
      <c r="J132" s="59"/>
      <c r="K132" s="350"/>
      <c r="L132" s="59"/>
      <c r="M132" s="350"/>
      <c r="N132" s="59"/>
    </row>
    <row r="133" spans="1:14" x14ac:dyDescent="0.35">
      <c r="A133" s="134"/>
      <c r="B133" s="135"/>
      <c r="C133" s="286"/>
      <c r="D133" s="135"/>
      <c r="E133" s="135"/>
      <c r="F133" s="135"/>
      <c r="G133" s="135"/>
      <c r="H133" s="135"/>
      <c r="I133" s="351"/>
      <c r="J133" s="59"/>
      <c r="K133" s="350"/>
      <c r="L133" s="59"/>
      <c r="M133" s="350"/>
      <c r="N133" s="59"/>
    </row>
    <row r="134" spans="1:14" x14ac:dyDescent="0.35">
      <c r="A134" s="134"/>
      <c r="B134" s="135"/>
      <c r="C134" s="286"/>
      <c r="D134" s="135"/>
      <c r="E134" s="135"/>
      <c r="F134" s="135"/>
      <c r="G134" s="135"/>
      <c r="H134" s="135"/>
      <c r="I134" s="351"/>
      <c r="J134" s="59"/>
      <c r="K134" s="350"/>
      <c r="L134" s="59"/>
      <c r="M134" s="350"/>
      <c r="N134" s="59"/>
    </row>
    <row r="135" spans="1:14" x14ac:dyDescent="0.35">
      <c r="A135" s="134"/>
      <c r="B135" s="135"/>
      <c r="C135" s="286"/>
      <c r="D135" s="135"/>
      <c r="E135" s="135"/>
      <c r="F135" s="135"/>
      <c r="G135" s="135"/>
      <c r="H135" s="135"/>
      <c r="I135" s="351"/>
      <c r="J135" s="59"/>
      <c r="K135" s="350"/>
      <c r="L135" s="59"/>
      <c r="M135" s="350"/>
      <c r="N135" s="59"/>
    </row>
    <row r="136" spans="1:14" x14ac:dyDescent="0.35">
      <c r="A136" s="134"/>
      <c r="B136" s="135"/>
      <c r="C136" s="286"/>
      <c r="D136" s="135"/>
      <c r="E136" s="135"/>
      <c r="F136" s="135"/>
      <c r="G136" s="135"/>
      <c r="H136" s="135"/>
      <c r="I136" s="351"/>
      <c r="J136" s="59"/>
      <c r="K136" s="350"/>
      <c r="L136" s="59"/>
      <c r="M136" s="350"/>
      <c r="N136" s="59"/>
    </row>
    <row r="137" spans="1:14" x14ac:dyDescent="0.35">
      <c r="A137" s="134"/>
      <c r="B137" s="135"/>
      <c r="C137" s="286"/>
      <c r="D137" s="135"/>
      <c r="E137" s="135"/>
      <c r="F137" s="135"/>
      <c r="G137" s="135"/>
      <c r="H137" s="135"/>
      <c r="I137" s="351"/>
      <c r="J137" s="59"/>
      <c r="K137" s="350"/>
      <c r="L137" s="59"/>
      <c r="M137" s="350"/>
      <c r="N137" s="59"/>
    </row>
    <row r="138" spans="1:14" x14ac:dyDescent="0.35">
      <c r="A138" s="134"/>
      <c r="B138" s="135"/>
      <c r="C138" s="286"/>
      <c r="D138" s="135"/>
      <c r="E138" s="135"/>
      <c r="F138" s="135"/>
      <c r="G138" s="135"/>
      <c r="H138" s="135"/>
      <c r="I138" s="351"/>
      <c r="J138" s="59"/>
      <c r="K138" s="350"/>
      <c r="L138" s="59"/>
      <c r="M138" s="350"/>
      <c r="N138" s="59"/>
    </row>
    <row r="139" spans="1:14" x14ac:dyDescent="0.35">
      <c r="A139" s="134"/>
      <c r="B139" s="135"/>
      <c r="C139" s="286"/>
      <c r="D139" s="135"/>
      <c r="E139" s="135"/>
      <c r="F139" s="135"/>
      <c r="G139" s="135"/>
      <c r="H139" s="135"/>
      <c r="I139" s="351"/>
      <c r="J139" s="59"/>
      <c r="K139" s="350"/>
      <c r="L139" s="59"/>
      <c r="M139" s="350"/>
      <c r="N139" s="59"/>
    </row>
    <row r="140" spans="1:14" x14ac:dyDescent="0.35">
      <c r="A140" s="134"/>
      <c r="B140" s="135"/>
      <c r="C140" s="286"/>
      <c r="D140" s="135"/>
      <c r="E140" s="135"/>
      <c r="F140" s="135"/>
      <c r="G140" s="135"/>
      <c r="H140" s="135"/>
      <c r="I140" s="351"/>
      <c r="J140" s="59"/>
      <c r="K140" s="350"/>
      <c r="L140" s="59"/>
      <c r="M140" s="350"/>
      <c r="N140" s="59"/>
    </row>
    <row r="141" spans="1:14" x14ac:dyDescent="0.35">
      <c r="A141" s="134"/>
      <c r="B141" s="135"/>
      <c r="C141" s="286"/>
      <c r="D141" s="135"/>
      <c r="E141" s="135"/>
      <c r="F141" s="135"/>
      <c r="G141" s="135"/>
      <c r="H141" s="135"/>
      <c r="I141" s="351"/>
      <c r="J141" s="59"/>
      <c r="K141" s="350"/>
      <c r="L141" s="59"/>
      <c r="M141" s="350"/>
      <c r="N141" s="59"/>
    </row>
    <row r="142" spans="1:14" x14ac:dyDescent="0.35">
      <c r="A142" s="134"/>
      <c r="B142" s="135"/>
      <c r="C142" s="286"/>
      <c r="D142" s="135"/>
      <c r="E142" s="135"/>
      <c r="F142" s="135"/>
      <c r="G142" s="135"/>
      <c r="H142" s="135"/>
      <c r="I142" s="351"/>
      <c r="J142" s="59"/>
      <c r="K142" s="350"/>
      <c r="L142" s="59"/>
      <c r="M142" s="350"/>
      <c r="N142" s="59"/>
    </row>
    <row r="143" spans="1:14" x14ac:dyDescent="0.35">
      <c r="A143" s="134"/>
      <c r="B143" s="135"/>
      <c r="C143" s="286"/>
      <c r="D143" s="135"/>
      <c r="E143" s="135"/>
      <c r="F143" s="135"/>
      <c r="G143" s="135"/>
      <c r="H143" s="135"/>
      <c r="I143" s="351"/>
      <c r="J143" s="59"/>
      <c r="K143" s="350"/>
      <c r="L143" s="59"/>
      <c r="M143" s="350"/>
      <c r="N143" s="59"/>
    </row>
    <row r="144" spans="1:14" x14ac:dyDescent="0.35">
      <c r="A144" s="134"/>
      <c r="B144" s="135"/>
      <c r="C144" s="286"/>
      <c r="D144" s="135"/>
      <c r="E144" s="135"/>
      <c r="F144" s="135"/>
      <c r="G144" s="135"/>
      <c r="H144" s="135"/>
      <c r="I144" s="351"/>
      <c r="J144" s="59"/>
      <c r="K144" s="350"/>
      <c r="L144" s="59"/>
      <c r="M144" s="350"/>
      <c r="N144" s="59"/>
    </row>
    <row r="145" spans="1:14" x14ac:dyDescent="0.35">
      <c r="A145" s="134"/>
      <c r="B145" s="135"/>
      <c r="C145" s="286"/>
      <c r="D145" s="135"/>
      <c r="E145" s="135"/>
      <c r="F145" s="135"/>
      <c r="G145" s="135"/>
      <c r="H145" s="135"/>
      <c r="I145" s="351"/>
      <c r="J145" s="59"/>
      <c r="K145" s="350"/>
      <c r="L145" s="59"/>
      <c r="M145" s="350"/>
      <c r="N145" s="59"/>
    </row>
    <row r="146" spans="1:14" x14ac:dyDescent="0.35">
      <c r="A146" s="134"/>
      <c r="B146" s="135"/>
      <c r="C146" s="286"/>
      <c r="D146" s="135"/>
      <c r="E146" s="135"/>
      <c r="F146" s="135"/>
      <c r="G146" s="135"/>
      <c r="H146" s="135"/>
      <c r="I146" s="351"/>
      <c r="J146" s="59"/>
      <c r="K146" s="350"/>
      <c r="L146" s="59"/>
      <c r="M146" s="350"/>
      <c r="N146" s="59"/>
    </row>
    <row r="147" spans="1:14" x14ac:dyDescent="0.35">
      <c r="A147" s="134"/>
      <c r="B147" s="135"/>
      <c r="C147" s="286"/>
      <c r="D147" s="135"/>
      <c r="E147" s="135"/>
      <c r="F147" s="135"/>
      <c r="G147" s="135"/>
      <c r="H147" s="135"/>
      <c r="I147" s="351"/>
      <c r="J147" s="59"/>
      <c r="K147" s="350"/>
      <c r="L147" s="59"/>
      <c r="M147" s="350"/>
      <c r="N147" s="59"/>
    </row>
    <row r="148" spans="1:14" x14ac:dyDescent="0.35">
      <c r="A148" s="134"/>
      <c r="B148" s="135"/>
      <c r="C148" s="286"/>
      <c r="D148" s="135"/>
      <c r="E148" s="135"/>
      <c r="F148" s="135"/>
      <c r="G148" s="135"/>
      <c r="H148" s="135"/>
      <c r="I148" s="351"/>
      <c r="J148" s="59"/>
      <c r="K148" s="350"/>
      <c r="L148" s="59"/>
      <c r="M148" s="350"/>
      <c r="N148" s="59"/>
    </row>
    <row r="149" spans="1:14" x14ac:dyDescent="0.35">
      <c r="A149" s="134"/>
      <c r="B149" s="135"/>
      <c r="C149" s="286"/>
      <c r="D149" s="135"/>
      <c r="E149" s="135"/>
      <c r="F149" s="135"/>
      <c r="G149" s="135"/>
      <c r="H149" s="135"/>
      <c r="I149" s="351"/>
      <c r="J149" s="59"/>
      <c r="K149" s="350"/>
      <c r="L149" s="59"/>
      <c r="M149" s="350"/>
      <c r="N149" s="59"/>
    </row>
    <row r="150" spans="1:14" x14ac:dyDescent="0.35">
      <c r="A150" s="134"/>
      <c r="B150" s="135"/>
      <c r="C150" s="286"/>
      <c r="D150" s="135"/>
      <c r="E150" s="135"/>
      <c r="F150" s="135"/>
      <c r="G150" s="135"/>
      <c r="H150" s="135"/>
      <c r="I150" s="351"/>
      <c r="J150" s="59"/>
      <c r="K150" s="350"/>
      <c r="L150" s="59"/>
      <c r="M150" s="350"/>
      <c r="N150" s="59"/>
    </row>
    <row r="151" spans="1:14" x14ac:dyDescent="0.35">
      <c r="A151" s="134"/>
      <c r="B151" s="135"/>
      <c r="C151" s="286"/>
      <c r="D151" s="135"/>
      <c r="E151" s="135"/>
      <c r="F151" s="135"/>
      <c r="G151" s="135"/>
      <c r="H151" s="135"/>
      <c r="I151" s="351"/>
      <c r="J151" s="59"/>
      <c r="K151" s="350"/>
      <c r="L151" s="59"/>
      <c r="M151" s="350"/>
      <c r="N151" s="59"/>
    </row>
    <row r="152" spans="1:14" x14ac:dyDescent="0.35">
      <c r="A152" s="134"/>
      <c r="B152" s="135"/>
      <c r="C152" s="286"/>
      <c r="D152" s="135"/>
      <c r="E152" s="135"/>
      <c r="F152" s="135"/>
      <c r="G152" s="135"/>
      <c r="H152" s="135"/>
      <c r="I152" s="351"/>
      <c r="J152" s="59"/>
      <c r="K152" s="350"/>
      <c r="L152" s="59"/>
      <c r="M152" s="350"/>
      <c r="N152" s="59"/>
    </row>
    <row r="153" spans="1:14" x14ac:dyDescent="0.35">
      <c r="A153" s="134"/>
      <c r="B153" s="135"/>
      <c r="C153" s="286"/>
      <c r="D153" s="135"/>
      <c r="E153" s="135"/>
      <c r="F153" s="135"/>
      <c r="G153" s="135"/>
      <c r="H153" s="135"/>
      <c r="I153" s="351"/>
      <c r="J153" s="59"/>
      <c r="K153" s="350"/>
      <c r="L153" s="59"/>
      <c r="M153" s="350"/>
      <c r="N153" s="59"/>
    </row>
    <row r="154" spans="1:14" x14ac:dyDescent="0.35">
      <c r="A154" s="134"/>
      <c r="B154" s="135"/>
      <c r="C154" s="286"/>
      <c r="D154" s="135"/>
      <c r="E154" s="135"/>
      <c r="F154" s="135"/>
      <c r="G154" s="135"/>
      <c r="H154" s="135"/>
      <c r="I154" s="351"/>
      <c r="J154" s="59"/>
      <c r="K154" s="350"/>
      <c r="L154" s="59"/>
      <c r="M154" s="350"/>
      <c r="N154" s="59"/>
    </row>
    <row r="155" spans="1:14" x14ac:dyDescent="0.35">
      <c r="A155" s="134"/>
      <c r="B155" s="135"/>
      <c r="C155" s="286"/>
      <c r="D155" s="135"/>
      <c r="E155" s="135"/>
      <c r="F155" s="135"/>
      <c r="G155" s="135"/>
      <c r="H155" s="135"/>
      <c r="I155" s="351"/>
      <c r="J155" s="59"/>
      <c r="K155" s="350"/>
      <c r="L155" s="59"/>
      <c r="M155" s="350"/>
      <c r="N155" s="59"/>
    </row>
    <row r="156" spans="1:14" x14ac:dyDescent="0.35">
      <c r="A156" s="134"/>
      <c r="B156" s="135"/>
      <c r="C156" s="286"/>
      <c r="D156" s="135"/>
      <c r="E156" s="135"/>
      <c r="F156" s="135"/>
      <c r="G156" s="135"/>
      <c r="H156" s="135"/>
      <c r="I156" s="351"/>
      <c r="J156" s="59"/>
      <c r="K156" s="350"/>
      <c r="L156" s="59"/>
      <c r="M156" s="350"/>
      <c r="N156" s="59"/>
    </row>
    <row r="157" spans="1:14" x14ac:dyDescent="0.35">
      <c r="A157" s="134"/>
      <c r="B157" s="135"/>
      <c r="C157" s="286"/>
      <c r="D157" s="135"/>
      <c r="E157" s="135"/>
      <c r="F157" s="135"/>
      <c r="G157" s="135"/>
      <c r="H157" s="135"/>
      <c r="I157" s="351"/>
      <c r="J157" s="59"/>
      <c r="K157" s="350"/>
      <c r="L157" s="59"/>
      <c r="M157" s="350"/>
      <c r="N157" s="59"/>
    </row>
    <row r="158" spans="1:14" x14ac:dyDescent="0.35">
      <c r="A158" s="134"/>
      <c r="B158" s="135"/>
      <c r="C158" s="286"/>
      <c r="D158" s="135"/>
      <c r="E158" s="135"/>
      <c r="F158" s="135"/>
      <c r="G158" s="135"/>
      <c r="H158" s="135"/>
      <c r="I158" s="351"/>
      <c r="J158" s="59"/>
      <c r="K158" s="350"/>
      <c r="L158" s="59"/>
      <c r="M158" s="350"/>
      <c r="N158" s="59"/>
    </row>
    <row r="159" spans="1:14" x14ac:dyDescent="0.35">
      <c r="A159" s="134"/>
      <c r="B159" s="135"/>
      <c r="C159" s="286"/>
      <c r="D159" s="135"/>
      <c r="E159" s="135"/>
      <c r="F159" s="135"/>
      <c r="G159" s="135"/>
      <c r="H159" s="135"/>
      <c r="I159" s="351"/>
      <c r="J159" s="59"/>
      <c r="K159" s="350"/>
      <c r="L159" s="59"/>
      <c r="M159" s="350"/>
      <c r="N159" s="59"/>
    </row>
    <row r="160" spans="1:14" x14ac:dyDescent="0.35">
      <c r="A160" s="134"/>
      <c r="B160" s="135"/>
      <c r="C160" s="286"/>
      <c r="D160" s="135"/>
      <c r="E160" s="135"/>
      <c r="F160" s="135"/>
      <c r="G160" s="135"/>
      <c r="H160" s="135"/>
      <c r="I160" s="351"/>
      <c r="J160" s="59"/>
      <c r="K160" s="350"/>
      <c r="L160" s="59"/>
      <c r="M160" s="350"/>
      <c r="N160" s="59"/>
    </row>
    <row r="161" spans="1:14" x14ac:dyDescent="0.35">
      <c r="A161" s="134"/>
      <c r="B161" s="135"/>
      <c r="C161" s="286"/>
      <c r="D161" s="135"/>
      <c r="E161" s="135"/>
      <c r="F161" s="135"/>
      <c r="G161" s="135"/>
      <c r="H161" s="135"/>
      <c r="I161" s="351"/>
      <c r="J161" s="59"/>
      <c r="K161" s="350"/>
      <c r="L161" s="59"/>
      <c r="M161" s="350"/>
      <c r="N161" s="59"/>
    </row>
    <row r="162" spans="1:14" x14ac:dyDescent="0.35">
      <c r="A162" s="134"/>
      <c r="B162" s="135"/>
      <c r="C162" s="286"/>
      <c r="D162" s="135"/>
      <c r="E162" s="135"/>
      <c r="F162" s="135"/>
      <c r="G162" s="135"/>
      <c r="H162" s="135"/>
      <c r="I162" s="351"/>
      <c r="J162" s="59"/>
      <c r="K162" s="350"/>
      <c r="L162" s="59"/>
      <c r="M162" s="350"/>
      <c r="N162" s="59"/>
    </row>
    <row r="163" spans="1:14" x14ac:dyDescent="0.35">
      <c r="A163" s="134"/>
      <c r="B163" s="135"/>
      <c r="C163" s="286"/>
      <c r="D163" s="135"/>
      <c r="E163" s="135"/>
      <c r="F163" s="135"/>
      <c r="G163" s="135"/>
      <c r="H163" s="135"/>
      <c r="I163" s="351"/>
      <c r="J163" s="59"/>
      <c r="K163" s="350"/>
      <c r="L163" s="59"/>
      <c r="M163" s="350"/>
      <c r="N163" s="59"/>
    </row>
    <row r="164" spans="1:14" x14ac:dyDescent="0.35">
      <c r="A164" s="134"/>
      <c r="B164" s="135"/>
      <c r="C164" s="286"/>
      <c r="D164" s="135"/>
      <c r="E164" s="135"/>
      <c r="F164" s="135"/>
      <c r="G164" s="135"/>
      <c r="H164" s="135"/>
      <c r="I164" s="351"/>
      <c r="J164" s="59"/>
      <c r="K164" s="350"/>
      <c r="L164" s="59"/>
      <c r="M164" s="350"/>
      <c r="N164" s="59"/>
    </row>
    <row r="165" spans="1:14" x14ac:dyDescent="0.35">
      <c r="A165" s="134"/>
      <c r="B165" s="135"/>
      <c r="C165" s="286"/>
      <c r="D165" s="135"/>
      <c r="E165" s="135"/>
      <c r="F165" s="135"/>
      <c r="G165" s="135"/>
      <c r="H165" s="135"/>
      <c r="I165" s="351"/>
      <c r="J165" s="59"/>
      <c r="K165" s="350"/>
      <c r="L165" s="59"/>
      <c r="M165" s="350"/>
      <c r="N165" s="59"/>
    </row>
    <row r="166" spans="1:14" x14ac:dyDescent="0.35">
      <c r="A166" s="134"/>
      <c r="B166" s="135"/>
      <c r="C166" s="286"/>
      <c r="D166" s="135"/>
      <c r="E166" s="135"/>
      <c r="F166" s="135"/>
      <c r="G166" s="135"/>
      <c r="H166" s="135"/>
      <c r="I166" s="351"/>
      <c r="J166" s="59"/>
      <c r="K166" s="350"/>
      <c r="L166" s="59"/>
      <c r="M166" s="350"/>
      <c r="N166" s="59"/>
    </row>
    <row r="167" spans="1:14" x14ac:dyDescent="0.35">
      <c r="A167" s="134"/>
      <c r="B167" s="135"/>
      <c r="C167" s="286"/>
      <c r="D167" s="135"/>
      <c r="E167" s="135"/>
      <c r="F167" s="135"/>
      <c r="G167" s="135"/>
      <c r="H167" s="135"/>
      <c r="I167" s="351"/>
      <c r="J167" s="59"/>
      <c r="K167" s="350"/>
      <c r="L167" s="59"/>
      <c r="M167" s="350"/>
      <c r="N167" s="59"/>
    </row>
    <row r="168" spans="1:14" x14ac:dyDescent="0.35">
      <c r="A168" s="134"/>
      <c r="B168" s="135"/>
      <c r="C168" s="286"/>
      <c r="D168" s="135"/>
      <c r="E168" s="135"/>
      <c r="F168" s="135"/>
      <c r="G168" s="135"/>
      <c r="H168" s="135"/>
      <c r="I168" s="351"/>
      <c r="J168" s="59"/>
      <c r="K168" s="350"/>
      <c r="L168" s="59"/>
      <c r="M168" s="350"/>
      <c r="N168" s="59"/>
    </row>
    <row r="169" spans="1:14" x14ac:dyDescent="0.35">
      <c r="A169" s="134"/>
      <c r="B169" s="135"/>
      <c r="C169" s="286"/>
      <c r="D169" s="135"/>
      <c r="E169" s="135"/>
      <c r="F169" s="135"/>
      <c r="G169" s="135"/>
      <c r="H169" s="135"/>
      <c r="I169" s="351"/>
      <c r="J169" s="59"/>
      <c r="K169" s="350"/>
    </row>
    <row r="170" spans="1:14" x14ac:dyDescent="0.35">
      <c r="A170" s="134"/>
      <c r="B170" s="135"/>
      <c r="C170" s="286"/>
      <c r="D170" s="135"/>
      <c r="E170" s="135"/>
      <c r="F170" s="135"/>
      <c r="G170" s="135"/>
      <c r="H170" s="135"/>
      <c r="I170" s="351"/>
      <c r="J170" s="59"/>
      <c r="K170" s="350"/>
    </row>
    <row r="171" spans="1:14" x14ac:dyDescent="0.35">
      <c r="A171" s="134"/>
      <c r="B171" s="135"/>
      <c r="C171" s="286"/>
      <c r="D171" s="135"/>
      <c r="E171" s="135"/>
      <c r="F171" s="135"/>
      <c r="G171" s="135"/>
      <c r="H171" s="135"/>
      <c r="I171" s="351"/>
      <c r="J171" s="59"/>
      <c r="K171" s="350"/>
    </row>
    <row r="172" spans="1:14" x14ac:dyDescent="0.35">
      <c r="A172" s="134"/>
      <c r="B172" s="135"/>
      <c r="C172" s="286"/>
      <c r="D172" s="135"/>
      <c r="E172" s="135"/>
      <c r="F172" s="135"/>
      <c r="G172" s="135"/>
      <c r="H172" s="135"/>
      <c r="I172" s="351"/>
      <c r="J172" s="59"/>
      <c r="K172" s="350"/>
    </row>
    <row r="173" spans="1:14" x14ac:dyDescent="0.35">
      <c r="A173" s="134"/>
      <c r="B173" s="135"/>
      <c r="C173" s="286"/>
      <c r="D173" s="135"/>
      <c r="E173" s="135"/>
      <c r="F173" s="135"/>
      <c r="G173" s="135"/>
      <c r="H173" s="135"/>
      <c r="I173" s="351"/>
      <c r="J173" s="59"/>
      <c r="K173" s="350"/>
    </row>
    <row r="174" spans="1:14" x14ac:dyDescent="0.35">
      <c r="A174" s="134"/>
      <c r="B174" s="135"/>
      <c r="C174" s="286"/>
      <c r="D174" s="135"/>
      <c r="E174" s="135"/>
      <c r="F174" s="135"/>
      <c r="G174" s="135"/>
      <c r="H174" s="135"/>
      <c r="I174" s="351"/>
      <c r="J174" s="59"/>
      <c r="K174" s="350"/>
    </row>
    <row r="175" spans="1:14" x14ac:dyDescent="0.35">
      <c r="A175" s="134"/>
      <c r="B175" s="135"/>
      <c r="C175" s="286"/>
      <c r="D175" s="135"/>
      <c r="E175" s="135"/>
      <c r="F175" s="135"/>
      <c r="G175" s="135"/>
      <c r="H175" s="135"/>
      <c r="I175" s="351"/>
      <c r="J175" s="59"/>
      <c r="K175" s="350"/>
    </row>
    <row r="176" spans="1:14" x14ac:dyDescent="0.35">
      <c r="A176" s="134"/>
      <c r="B176" s="135"/>
      <c r="C176" s="286"/>
      <c r="D176" s="135"/>
      <c r="E176" s="135"/>
      <c r="F176" s="135"/>
      <c r="G176" s="135"/>
      <c r="H176" s="135"/>
      <c r="I176" s="351"/>
      <c r="J176" s="59"/>
      <c r="K176" s="350"/>
    </row>
    <row r="177" spans="1:11" x14ac:dyDescent="0.35">
      <c r="A177" s="134"/>
      <c r="B177" s="135"/>
      <c r="C177" s="286"/>
      <c r="D177" s="135"/>
      <c r="E177" s="135"/>
      <c r="F177" s="135"/>
      <c r="G177" s="135"/>
      <c r="H177" s="135"/>
      <c r="I177" s="351"/>
      <c r="J177" s="59"/>
      <c r="K177" s="350"/>
    </row>
    <row r="178" spans="1:11" x14ac:dyDescent="0.35">
      <c r="A178" s="134"/>
      <c r="B178" s="135"/>
      <c r="C178" s="286"/>
      <c r="D178" s="135"/>
      <c r="E178" s="135"/>
      <c r="F178" s="135"/>
      <c r="G178" s="135"/>
      <c r="H178" s="135"/>
      <c r="I178" s="351"/>
      <c r="J178" s="59"/>
      <c r="K178" s="350"/>
    </row>
    <row r="179" spans="1:11" x14ac:dyDescent="0.35">
      <c r="A179" s="134"/>
      <c r="B179" s="135"/>
      <c r="C179" s="286"/>
      <c r="D179" s="135"/>
      <c r="E179" s="135"/>
      <c r="F179" s="135"/>
      <c r="G179" s="135"/>
      <c r="H179" s="135"/>
      <c r="I179" s="351"/>
      <c r="J179" s="59"/>
      <c r="K179" s="350"/>
    </row>
    <row r="180" spans="1:11" x14ac:dyDescent="0.35">
      <c r="A180" s="134"/>
      <c r="B180" s="135"/>
      <c r="C180" s="286"/>
      <c r="D180" s="135"/>
      <c r="E180" s="135"/>
      <c r="F180" s="135"/>
      <c r="G180" s="135"/>
      <c r="H180" s="135"/>
      <c r="I180" s="351"/>
      <c r="J180" s="59"/>
      <c r="K180" s="350"/>
    </row>
    <row r="181" spans="1:11" x14ac:dyDescent="0.35">
      <c r="B181" s="134"/>
    </row>
    <row r="182" spans="1:11" x14ac:dyDescent="0.35">
      <c r="B182" s="134"/>
    </row>
    <row r="183" spans="1:11" x14ac:dyDescent="0.35">
      <c r="B183" s="114"/>
    </row>
    <row r="184" spans="1:11" x14ac:dyDescent="0.35">
      <c r="B184" s="114"/>
    </row>
    <row r="185" spans="1:11" x14ac:dyDescent="0.35">
      <c r="B185" s="114"/>
    </row>
    <row r="186" spans="1:11" x14ac:dyDescent="0.35">
      <c r="B186" s="114"/>
    </row>
    <row r="187" spans="1:11" x14ac:dyDescent="0.35">
      <c r="B187" s="114"/>
    </row>
    <row r="188" spans="1:11" x14ac:dyDescent="0.35">
      <c r="B188" s="114"/>
    </row>
    <row r="189" spans="1:11" x14ac:dyDescent="0.35">
      <c r="B189" s="114"/>
    </row>
    <row r="190" spans="1:11" x14ac:dyDescent="0.35">
      <c r="B190" s="114"/>
    </row>
    <row r="191" spans="1:11" x14ac:dyDescent="0.35">
      <c r="B191" s="114"/>
    </row>
    <row r="192" spans="1:11" x14ac:dyDescent="0.35">
      <c r="B192" s="114"/>
    </row>
    <row r="193" spans="2:2" x14ac:dyDescent="0.35">
      <c r="B193" s="114"/>
    </row>
    <row r="194" spans="2:2" x14ac:dyDescent="0.35">
      <c r="B194" s="114"/>
    </row>
    <row r="195" spans="2:2" x14ac:dyDescent="0.35">
      <c r="B195" s="114"/>
    </row>
    <row r="196" spans="2:2" x14ac:dyDescent="0.35">
      <c r="B196" s="114"/>
    </row>
    <row r="197" spans="2:2" x14ac:dyDescent="0.35">
      <c r="B197" s="114"/>
    </row>
  </sheetDat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C0C20-88A3-4992-B356-C52BE4B1B08F}">
  <dimension ref="A1:O177"/>
  <sheetViews>
    <sheetView zoomScale="70" zoomScaleNormal="70" workbookViewId="0"/>
  </sheetViews>
  <sheetFormatPr defaultRowHeight="10.5" x14ac:dyDescent="0.25"/>
  <cols>
    <col min="1" max="1" width="4.81640625" style="364" customWidth="1"/>
    <col min="2" max="2" width="26.7265625" style="364" bestFit="1" customWidth="1"/>
    <col min="3" max="3" width="5.1796875" style="364" customWidth="1"/>
    <col min="4" max="4" width="5.6328125" style="364" customWidth="1"/>
    <col min="5" max="5" width="52.81640625" style="370" customWidth="1"/>
    <col min="6" max="6" width="12" style="368" customWidth="1"/>
    <col min="7" max="7" width="12.453125" style="364" bestFit="1" customWidth="1"/>
    <col min="8" max="8" width="12" style="368" bestFit="1" customWidth="1"/>
    <col min="9" max="9" width="12.453125" style="364" bestFit="1" customWidth="1"/>
    <col min="10" max="10" width="12.81640625" style="364" bestFit="1" customWidth="1"/>
    <col min="11" max="11" width="13" style="364" customWidth="1"/>
    <col min="12" max="13" width="8.7265625" style="364"/>
    <col min="14" max="14" width="8.7265625" style="406"/>
    <col min="15" max="16384" width="8.7265625" style="364"/>
  </cols>
  <sheetData>
    <row r="1" spans="1:14" s="359" customFormat="1" ht="31.5" x14ac:dyDescent="0.35">
      <c r="A1" s="356" t="s">
        <v>2094</v>
      </c>
      <c r="B1" s="356" t="s">
        <v>2086</v>
      </c>
      <c r="C1" s="356" t="s">
        <v>1946</v>
      </c>
      <c r="D1" s="356" t="s">
        <v>2169</v>
      </c>
      <c r="E1" s="357" t="s">
        <v>2157</v>
      </c>
      <c r="F1" s="358" t="s">
        <v>2355</v>
      </c>
      <c r="G1" s="356" t="s">
        <v>2356</v>
      </c>
      <c r="H1" s="358" t="s">
        <v>2339</v>
      </c>
      <c r="I1" s="356" t="s">
        <v>2340</v>
      </c>
      <c r="J1" s="356" t="s">
        <v>2338</v>
      </c>
      <c r="K1" s="356" t="s">
        <v>2228</v>
      </c>
      <c r="L1" s="359" t="s">
        <v>2329</v>
      </c>
      <c r="M1" s="359" t="s">
        <v>2353</v>
      </c>
      <c r="N1" s="408" t="s">
        <v>2354</v>
      </c>
    </row>
    <row r="2" spans="1:14" ht="21" x14ac:dyDescent="0.25">
      <c r="A2" s="360">
        <v>1</v>
      </c>
      <c r="B2" s="360" t="s">
        <v>2172</v>
      </c>
      <c r="C2" s="360" t="s">
        <v>309</v>
      </c>
      <c r="D2" s="360">
        <v>5</v>
      </c>
      <c r="E2" s="361" t="s">
        <v>2282</v>
      </c>
      <c r="F2" s="362" t="s">
        <v>398</v>
      </c>
      <c r="G2" s="371">
        <v>0.4</v>
      </c>
      <c r="H2" s="362">
        <v>2</v>
      </c>
      <c r="I2" s="363">
        <v>2</v>
      </c>
      <c r="J2" s="363">
        <v>2</v>
      </c>
      <c r="K2" s="363">
        <v>2</v>
      </c>
      <c r="L2" s="364">
        <v>0</v>
      </c>
      <c r="M2" s="364">
        <v>60</v>
      </c>
      <c r="N2" s="406" t="s">
        <v>69</v>
      </c>
    </row>
    <row r="3" spans="1:14" ht="21" x14ac:dyDescent="0.25">
      <c r="A3" s="360">
        <v>2</v>
      </c>
      <c r="B3" s="360" t="s">
        <v>2173</v>
      </c>
      <c r="C3" s="360" t="s">
        <v>286</v>
      </c>
      <c r="D3" s="360">
        <v>2</v>
      </c>
      <c r="E3" s="361" t="s">
        <v>2265</v>
      </c>
      <c r="F3" s="362" t="s">
        <v>784</v>
      </c>
      <c r="G3" s="371">
        <v>1</v>
      </c>
      <c r="H3" s="362">
        <v>0</v>
      </c>
      <c r="I3" s="363">
        <v>2</v>
      </c>
      <c r="J3" s="363">
        <v>2</v>
      </c>
      <c r="K3" s="363">
        <v>0</v>
      </c>
      <c r="L3" s="364">
        <v>0</v>
      </c>
      <c r="M3" s="364">
        <v>75</v>
      </c>
      <c r="N3" s="406">
        <v>4.8</v>
      </c>
    </row>
    <row r="4" spans="1:14" x14ac:dyDescent="0.25">
      <c r="A4" s="360">
        <v>3</v>
      </c>
      <c r="B4" s="360" t="s">
        <v>2174</v>
      </c>
      <c r="C4" s="360" t="s">
        <v>286</v>
      </c>
      <c r="D4" s="360">
        <v>4</v>
      </c>
      <c r="E4" s="361" t="s">
        <v>2279</v>
      </c>
      <c r="F4" s="362" t="s">
        <v>306</v>
      </c>
      <c r="G4" s="371">
        <v>0.75</v>
      </c>
      <c r="H4" s="362">
        <v>3</v>
      </c>
      <c r="I4" s="363">
        <v>2</v>
      </c>
      <c r="J4" s="363">
        <v>3</v>
      </c>
      <c r="K4" s="363">
        <v>0</v>
      </c>
      <c r="L4" s="364">
        <v>1</v>
      </c>
      <c r="M4" s="364">
        <v>1700</v>
      </c>
      <c r="N4" s="406">
        <v>3710</v>
      </c>
    </row>
    <row r="5" spans="1:14" ht="21" x14ac:dyDescent="0.25">
      <c r="A5" s="360">
        <v>4</v>
      </c>
      <c r="B5" s="360" t="s">
        <v>2175</v>
      </c>
      <c r="C5" s="360" t="s">
        <v>331</v>
      </c>
      <c r="D5" s="360">
        <v>4</v>
      </c>
      <c r="E5" s="361" t="s">
        <v>2267</v>
      </c>
      <c r="F5" s="362" t="s">
        <v>288</v>
      </c>
      <c r="G5" s="371">
        <v>0.5</v>
      </c>
      <c r="H5" s="362">
        <v>4</v>
      </c>
      <c r="I5" s="363">
        <v>0</v>
      </c>
      <c r="J5" s="363">
        <v>2</v>
      </c>
      <c r="K5" s="363">
        <v>0</v>
      </c>
      <c r="L5" s="364">
        <v>0</v>
      </c>
      <c r="M5" s="364">
        <v>50</v>
      </c>
      <c r="N5" s="406">
        <v>45</v>
      </c>
    </row>
    <row r="6" spans="1:14" ht="21" x14ac:dyDescent="0.25">
      <c r="A6" s="360">
        <v>5</v>
      </c>
      <c r="B6" s="360" t="s">
        <v>2176</v>
      </c>
      <c r="C6" s="360" t="s">
        <v>320</v>
      </c>
      <c r="D6" s="360">
        <v>1</v>
      </c>
      <c r="E6" s="361" t="s">
        <v>674</v>
      </c>
      <c r="F6" s="362" t="s">
        <v>288</v>
      </c>
      <c r="G6" s="371">
        <v>1</v>
      </c>
      <c r="H6" s="362">
        <v>1</v>
      </c>
      <c r="I6" s="363">
        <v>0</v>
      </c>
      <c r="J6" s="363">
        <v>1</v>
      </c>
      <c r="K6" s="363">
        <v>0</v>
      </c>
      <c r="L6" s="364">
        <v>0</v>
      </c>
      <c r="M6" s="364">
        <v>4126</v>
      </c>
      <c r="N6" s="406">
        <v>2043.8</v>
      </c>
    </row>
    <row r="7" spans="1:14" x14ac:dyDescent="0.25">
      <c r="A7" s="360">
        <v>6</v>
      </c>
      <c r="B7" s="360" t="s">
        <v>2177</v>
      </c>
      <c r="C7" s="360" t="s">
        <v>309</v>
      </c>
      <c r="D7" s="360">
        <v>2</v>
      </c>
      <c r="E7" s="361" t="s">
        <v>2283</v>
      </c>
      <c r="F7" s="362" t="s">
        <v>449</v>
      </c>
      <c r="G7" s="371">
        <v>0.5</v>
      </c>
      <c r="H7" s="362">
        <v>1</v>
      </c>
      <c r="I7" s="363">
        <v>0</v>
      </c>
      <c r="J7" s="363">
        <v>2</v>
      </c>
      <c r="K7" s="363">
        <v>0</v>
      </c>
      <c r="L7" s="364">
        <v>0</v>
      </c>
      <c r="M7" s="364">
        <v>30</v>
      </c>
      <c r="N7" s="406" t="s">
        <v>69</v>
      </c>
    </row>
    <row r="8" spans="1:14" x14ac:dyDescent="0.25">
      <c r="A8" s="360">
        <v>7</v>
      </c>
      <c r="B8" s="360" t="s">
        <v>2159</v>
      </c>
      <c r="C8" s="360" t="s">
        <v>286</v>
      </c>
      <c r="D8" s="360">
        <v>1</v>
      </c>
      <c r="E8" s="361" t="s">
        <v>720</v>
      </c>
      <c r="F8" s="362" t="s">
        <v>1991</v>
      </c>
      <c r="G8" s="371">
        <v>1</v>
      </c>
      <c r="H8" s="362">
        <v>0</v>
      </c>
      <c r="I8" s="363">
        <v>0</v>
      </c>
      <c r="J8" s="363">
        <v>1</v>
      </c>
      <c r="K8" s="363">
        <v>0</v>
      </c>
      <c r="L8" s="364">
        <v>0</v>
      </c>
      <c r="M8" s="364">
        <v>3750</v>
      </c>
      <c r="N8" s="406">
        <v>15118.8</v>
      </c>
    </row>
    <row r="9" spans="1:14" x14ac:dyDescent="0.25">
      <c r="A9" s="360">
        <v>8</v>
      </c>
      <c r="B9" s="360" t="s">
        <v>2178</v>
      </c>
      <c r="C9" s="360" t="s">
        <v>286</v>
      </c>
      <c r="D9" s="360">
        <v>2</v>
      </c>
      <c r="E9" s="361" t="s">
        <v>2281</v>
      </c>
      <c r="F9" s="362" t="s">
        <v>516</v>
      </c>
      <c r="G9" s="371">
        <v>0.5</v>
      </c>
      <c r="H9" s="362">
        <v>2</v>
      </c>
      <c r="I9" s="363">
        <v>0</v>
      </c>
      <c r="J9" s="363">
        <v>2</v>
      </c>
      <c r="K9" s="363">
        <v>0</v>
      </c>
      <c r="L9" s="364">
        <v>0</v>
      </c>
      <c r="M9" s="364">
        <v>3750</v>
      </c>
      <c r="N9" s="406">
        <v>15118.8</v>
      </c>
    </row>
    <row r="10" spans="1:14" x14ac:dyDescent="0.25">
      <c r="A10" s="360">
        <v>9</v>
      </c>
      <c r="B10" s="360" t="s">
        <v>2179</v>
      </c>
      <c r="C10" s="360" t="s">
        <v>286</v>
      </c>
      <c r="D10" s="360">
        <v>1</v>
      </c>
      <c r="E10" s="361" t="s">
        <v>2063</v>
      </c>
      <c r="F10" s="362" t="s">
        <v>490</v>
      </c>
      <c r="G10" s="371">
        <v>0.5</v>
      </c>
      <c r="H10" s="362">
        <v>0</v>
      </c>
      <c r="I10" s="363">
        <v>1</v>
      </c>
      <c r="J10" s="363">
        <v>0</v>
      </c>
      <c r="K10" s="363">
        <v>1</v>
      </c>
      <c r="L10" s="364">
        <v>0</v>
      </c>
      <c r="M10" s="364">
        <v>3750</v>
      </c>
      <c r="N10" s="406">
        <v>15118.8</v>
      </c>
    </row>
    <row r="11" spans="1:14" x14ac:dyDescent="0.25">
      <c r="A11" s="360">
        <v>10</v>
      </c>
      <c r="B11" s="360" t="s">
        <v>2160</v>
      </c>
      <c r="C11" s="360" t="s">
        <v>309</v>
      </c>
      <c r="D11" s="360">
        <v>1</v>
      </c>
      <c r="E11" s="361" t="s">
        <v>277</v>
      </c>
      <c r="F11" s="362" t="s">
        <v>277</v>
      </c>
      <c r="G11" s="371" t="s">
        <v>277</v>
      </c>
      <c r="H11" s="362">
        <v>0</v>
      </c>
      <c r="I11" s="363">
        <v>0</v>
      </c>
      <c r="J11" s="363">
        <v>1</v>
      </c>
      <c r="K11" s="363">
        <v>0</v>
      </c>
      <c r="L11" s="364">
        <v>0</v>
      </c>
      <c r="M11" s="364">
        <v>250</v>
      </c>
      <c r="N11" s="406">
        <v>82.5</v>
      </c>
    </row>
    <row r="12" spans="1:14" ht="21" x14ac:dyDescent="0.25">
      <c r="A12" s="360">
        <v>11</v>
      </c>
      <c r="B12" s="360" t="s">
        <v>2180</v>
      </c>
      <c r="C12" s="360" t="s">
        <v>309</v>
      </c>
      <c r="D12" s="360">
        <v>6</v>
      </c>
      <c r="E12" s="361" t="s">
        <v>2343</v>
      </c>
      <c r="F12" s="362" t="s">
        <v>481</v>
      </c>
      <c r="G12" s="371">
        <v>0.2857142857142857</v>
      </c>
      <c r="H12" s="362">
        <v>0</v>
      </c>
      <c r="I12" s="363">
        <v>3</v>
      </c>
      <c r="J12" s="363">
        <v>6</v>
      </c>
      <c r="K12" s="363">
        <v>0</v>
      </c>
      <c r="L12" s="364">
        <v>0</v>
      </c>
      <c r="M12" s="364">
        <v>250</v>
      </c>
      <c r="N12" s="406">
        <v>82.5</v>
      </c>
    </row>
    <row r="13" spans="1:14" ht="31.5" x14ac:dyDescent="0.25">
      <c r="A13" s="360">
        <v>12</v>
      </c>
      <c r="B13" s="360" t="s">
        <v>2181</v>
      </c>
      <c r="C13" s="360" t="s">
        <v>309</v>
      </c>
      <c r="D13" s="360">
        <v>14</v>
      </c>
      <c r="E13" s="361" t="s">
        <v>2344</v>
      </c>
      <c r="F13" s="362" t="s">
        <v>606</v>
      </c>
      <c r="G13" s="371">
        <v>0.25</v>
      </c>
      <c r="H13" s="362">
        <v>10</v>
      </c>
      <c r="I13" s="363">
        <v>3</v>
      </c>
      <c r="J13" s="363">
        <v>7</v>
      </c>
      <c r="K13" s="363">
        <v>0</v>
      </c>
      <c r="L13" s="364">
        <v>0</v>
      </c>
      <c r="M13" s="364">
        <v>375</v>
      </c>
      <c r="N13" s="406">
        <v>652.29999999999995</v>
      </c>
    </row>
    <row r="14" spans="1:14" x14ac:dyDescent="0.25">
      <c r="A14" s="360">
        <v>13</v>
      </c>
      <c r="B14" s="360" t="s">
        <v>2182</v>
      </c>
      <c r="C14" s="360" t="s">
        <v>286</v>
      </c>
      <c r="D14" s="360">
        <v>7</v>
      </c>
      <c r="E14" s="361" t="s">
        <v>2269</v>
      </c>
      <c r="F14" s="362" t="s">
        <v>306</v>
      </c>
      <c r="G14" s="371">
        <v>0.2857142857142857</v>
      </c>
      <c r="H14" s="362">
        <v>3</v>
      </c>
      <c r="I14" s="363">
        <v>5</v>
      </c>
      <c r="J14" s="363">
        <v>3</v>
      </c>
      <c r="K14" s="363">
        <v>2</v>
      </c>
      <c r="L14" s="364">
        <v>0</v>
      </c>
      <c r="M14" s="364">
        <v>120</v>
      </c>
      <c r="N14" s="406">
        <v>122.9</v>
      </c>
    </row>
    <row r="15" spans="1:14" ht="21" x14ac:dyDescent="0.25">
      <c r="A15" s="360">
        <v>14</v>
      </c>
      <c r="B15" s="360" t="s">
        <v>2183</v>
      </c>
      <c r="C15" s="360" t="s">
        <v>320</v>
      </c>
      <c r="D15" s="360">
        <v>2</v>
      </c>
      <c r="E15" s="361" t="s">
        <v>2345</v>
      </c>
      <c r="F15" s="362" t="s">
        <v>398</v>
      </c>
      <c r="G15" s="371">
        <v>0.66666666666666663</v>
      </c>
      <c r="H15" s="362">
        <v>1</v>
      </c>
      <c r="I15" s="363">
        <v>1</v>
      </c>
      <c r="J15" s="363">
        <v>2</v>
      </c>
      <c r="K15" s="363">
        <v>0</v>
      </c>
      <c r="L15" s="364">
        <v>0</v>
      </c>
      <c r="M15" s="364">
        <v>180</v>
      </c>
      <c r="N15" s="406" t="s">
        <v>69</v>
      </c>
    </row>
    <row r="16" spans="1:14" x14ac:dyDescent="0.25">
      <c r="A16" s="360">
        <v>15</v>
      </c>
      <c r="B16" s="360" t="s">
        <v>2184</v>
      </c>
      <c r="C16" s="360" t="s">
        <v>309</v>
      </c>
      <c r="D16" s="360">
        <v>3</v>
      </c>
      <c r="E16" s="361" t="s">
        <v>2266</v>
      </c>
      <c r="F16" s="362" t="s">
        <v>449</v>
      </c>
      <c r="G16" s="371">
        <v>0.33333333333333331</v>
      </c>
      <c r="H16" s="362">
        <v>2</v>
      </c>
      <c r="I16" s="363">
        <v>0</v>
      </c>
      <c r="J16" s="363">
        <v>2</v>
      </c>
      <c r="K16" s="363">
        <v>1</v>
      </c>
      <c r="L16" s="364">
        <v>0</v>
      </c>
      <c r="M16" s="364">
        <v>175</v>
      </c>
      <c r="N16" s="406">
        <v>30.1</v>
      </c>
    </row>
    <row r="17" spans="1:14" x14ac:dyDescent="0.25">
      <c r="A17" s="360">
        <v>16</v>
      </c>
      <c r="B17" s="360" t="s">
        <v>2185</v>
      </c>
      <c r="C17" s="360" t="s">
        <v>286</v>
      </c>
      <c r="D17" s="360">
        <v>2</v>
      </c>
      <c r="E17" s="361" t="s">
        <v>2273</v>
      </c>
      <c r="F17" s="362" t="s">
        <v>306</v>
      </c>
      <c r="G17" s="371">
        <v>1</v>
      </c>
      <c r="H17" s="362">
        <v>1</v>
      </c>
      <c r="I17" s="363">
        <v>1</v>
      </c>
      <c r="J17" s="363">
        <v>2</v>
      </c>
      <c r="K17" s="363">
        <v>0</v>
      </c>
      <c r="L17" s="364">
        <v>0</v>
      </c>
      <c r="M17" s="364">
        <v>250</v>
      </c>
      <c r="N17" s="406">
        <v>319.89999999999998</v>
      </c>
    </row>
    <row r="18" spans="1:14" ht="21" x14ac:dyDescent="0.25">
      <c r="A18" s="360">
        <v>17</v>
      </c>
      <c r="B18" s="360" t="s">
        <v>2186</v>
      </c>
      <c r="C18" s="360" t="s">
        <v>286</v>
      </c>
      <c r="D18" s="360">
        <v>5</v>
      </c>
      <c r="E18" s="361" t="s">
        <v>2346</v>
      </c>
      <c r="F18" s="362" t="s">
        <v>319</v>
      </c>
      <c r="G18" s="371">
        <v>0.4</v>
      </c>
      <c r="H18" s="362">
        <v>3</v>
      </c>
      <c r="I18" s="363">
        <v>2</v>
      </c>
      <c r="J18" s="363">
        <v>4</v>
      </c>
      <c r="K18" s="363">
        <v>1</v>
      </c>
      <c r="L18" s="364">
        <v>0</v>
      </c>
      <c r="M18" s="364">
        <v>250</v>
      </c>
      <c r="N18" s="406">
        <v>302.60000000000002</v>
      </c>
    </row>
    <row r="19" spans="1:14" ht="21" x14ac:dyDescent="0.25">
      <c r="A19" s="360">
        <v>18</v>
      </c>
      <c r="B19" s="360" t="s">
        <v>2308</v>
      </c>
      <c r="C19" s="360" t="s">
        <v>286</v>
      </c>
      <c r="D19" s="360">
        <v>1</v>
      </c>
      <c r="E19" s="361" t="s">
        <v>724</v>
      </c>
      <c r="F19" s="362" t="s">
        <v>398</v>
      </c>
      <c r="G19" s="371">
        <v>1</v>
      </c>
      <c r="H19" s="362">
        <v>1</v>
      </c>
      <c r="I19" s="363">
        <v>0</v>
      </c>
      <c r="J19" s="363">
        <v>0</v>
      </c>
      <c r="K19" s="363">
        <v>0</v>
      </c>
      <c r="L19" s="364">
        <v>0</v>
      </c>
      <c r="M19" s="364">
        <v>250</v>
      </c>
      <c r="N19" s="406">
        <v>302.60000000000002</v>
      </c>
    </row>
    <row r="20" spans="1:14" ht="42" x14ac:dyDescent="0.25">
      <c r="A20" s="360">
        <v>19</v>
      </c>
      <c r="B20" s="360" t="s">
        <v>2187</v>
      </c>
      <c r="C20" s="360" t="s">
        <v>286</v>
      </c>
      <c r="D20" s="360">
        <v>16</v>
      </c>
      <c r="E20" s="361" t="s">
        <v>2357</v>
      </c>
      <c r="F20" s="362" t="s">
        <v>784</v>
      </c>
      <c r="G20" s="371">
        <v>0.35294117647058826</v>
      </c>
      <c r="H20" s="362">
        <v>1</v>
      </c>
      <c r="I20" s="363">
        <v>9</v>
      </c>
      <c r="J20" s="363">
        <v>15</v>
      </c>
      <c r="K20" s="363">
        <v>0</v>
      </c>
      <c r="L20" s="364">
        <v>0</v>
      </c>
      <c r="M20" s="364">
        <v>30</v>
      </c>
      <c r="N20" s="406">
        <v>12.6</v>
      </c>
    </row>
    <row r="21" spans="1:14" ht="21" x14ac:dyDescent="0.25">
      <c r="A21" s="360">
        <v>20</v>
      </c>
      <c r="B21" s="360" t="s">
        <v>2188</v>
      </c>
      <c r="C21" s="360" t="s">
        <v>286</v>
      </c>
      <c r="D21" s="360">
        <v>1</v>
      </c>
      <c r="E21" s="361" t="s">
        <v>519</v>
      </c>
      <c r="F21" s="362" t="s">
        <v>520</v>
      </c>
      <c r="G21" s="371">
        <v>1</v>
      </c>
      <c r="H21" s="362">
        <v>1</v>
      </c>
      <c r="I21" s="363">
        <v>0</v>
      </c>
      <c r="J21" s="363">
        <v>1</v>
      </c>
      <c r="K21" s="363">
        <v>0</v>
      </c>
      <c r="L21" s="364">
        <v>1</v>
      </c>
      <c r="M21" s="364">
        <v>3000</v>
      </c>
      <c r="N21" s="406">
        <v>2132</v>
      </c>
    </row>
    <row r="22" spans="1:14" ht="21" x14ac:dyDescent="0.25">
      <c r="A22" s="360">
        <v>21</v>
      </c>
      <c r="B22" s="360" t="s">
        <v>2189</v>
      </c>
      <c r="C22" s="360" t="s">
        <v>286</v>
      </c>
      <c r="D22" s="360">
        <v>2</v>
      </c>
      <c r="E22" s="361" t="s">
        <v>2278</v>
      </c>
      <c r="F22" s="362" t="s">
        <v>784</v>
      </c>
      <c r="G22" s="371">
        <v>0.5</v>
      </c>
      <c r="H22" s="362">
        <v>1</v>
      </c>
      <c r="I22" s="363">
        <v>1</v>
      </c>
      <c r="J22" s="363">
        <v>1</v>
      </c>
      <c r="K22" s="363">
        <v>0</v>
      </c>
      <c r="L22" s="364">
        <v>1</v>
      </c>
      <c r="M22" s="364">
        <v>3000</v>
      </c>
      <c r="N22" s="406">
        <v>2132</v>
      </c>
    </row>
    <row r="23" spans="1:14" x14ac:dyDescent="0.25">
      <c r="A23" s="360">
        <v>22</v>
      </c>
      <c r="B23" s="360" t="s">
        <v>2161</v>
      </c>
      <c r="C23" s="360" t="s">
        <v>286</v>
      </c>
      <c r="D23" s="360">
        <v>8</v>
      </c>
      <c r="E23" s="361" t="s">
        <v>2305</v>
      </c>
      <c r="F23" s="362" t="s">
        <v>490</v>
      </c>
      <c r="G23" s="371">
        <v>0.625</v>
      </c>
      <c r="H23" s="362">
        <v>0</v>
      </c>
      <c r="I23" s="363">
        <v>8</v>
      </c>
      <c r="J23" s="363">
        <v>3</v>
      </c>
      <c r="K23" s="363">
        <v>1</v>
      </c>
      <c r="L23" s="364">
        <v>1</v>
      </c>
      <c r="M23" s="364">
        <v>3000</v>
      </c>
      <c r="N23" s="406">
        <v>2132</v>
      </c>
    </row>
    <row r="24" spans="1:14" x14ac:dyDescent="0.25">
      <c r="A24" s="360">
        <v>23</v>
      </c>
      <c r="B24" s="360" t="s">
        <v>2190</v>
      </c>
      <c r="C24" s="360" t="s">
        <v>286</v>
      </c>
      <c r="D24" s="360">
        <v>1</v>
      </c>
      <c r="E24" s="361" t="s">
        <v>1963</v>
      </c>
      <c r="F24" s="362" t="s">
        <v>330</v>
      </c>
      <c r="G24" s="371">
        <v>1</v>
      </c>
      <c r="H24" s="362">
        <v>1</v>
      </c>
      <c r="I24" s="363">
        <v>0</v>
      </c>
      <c r="J24" s="363">
        <v>0</v>
      </c>
      <c r="K24" s="363">
        <v>0</v>
      </c>
      <c r="L24" s="364">
        <v>1</v>
      </c>
      <c r="M24" s="364">
        <v>3000</v>
      </c>
      <c r="N24" s="406">
        <v>2132</v>
      </c>
    </row>
    <row r="25" spans="1:14" ht="21" x14ac:dyDescent="0.25">
      <c r="A25" s="360">
        <v>24</v>
      </c>
      <c r="B25" s="360" t="s">
        <v>2191</v>
      </c>
      <c r="C25" s="360" t="s">
        <v>331</v>
      </c>
      <c r="D25" s="360">
        <v>2</v>
      </c>
      <c r="E25" s="361" t="s">
        <v>2347</v>
      </c>
      <c r="F25" s="362" t="s">
        <v>784</v>
      </c>
      <c r="G25" s="371">
        <v>0.5</v>
      </c>
      <c r="H25" s="362">
        <v>1</v>
      </c>
      <c r="I25" s="363">
        <v>0</v>
      </c>
      <c r="J25" s="363">
        <v>1</v>
      </c>
      <c r="K25" s="363">
        <v>0</v>
      </c>
      <c r="L25" s="364">
        <v>0</v>
      </c>
      <c r="M25" s="364">
        <v>250</v>
      </c>
      <c r="N25" s="406" t="s">
        <v>69</v>
      </c>
    </row>
    <row r="26" spans="1:14" ht="21" x14ac:dyDescent="0.25">
      <c r="A26" s="360">
        <v>25</v>
      </c>
      <c r="B26" s="360" t="s">
        <v>2193</v>
      </c>
      <c r="C26" s="360" t="s">
        <v>286</v>
      </c>
      <c r="D26" s="360">
        <v>3</v>
      </c>
      <c r="E26" s="361" t="s">
        <v>2284</v>
      </c>
      <c r="F26" s="362" t="s">
        <v>398</v>
      </c>
      <c r="G26" s="371">
        <v>0.33333333333333331</v>
      </c>
      <c r="H26" s="362">
        <v>0</v>
      </c>
      <c r="I26" s="363">
        <v>2</v>
      </c>
      <c r="J26" s="363">
        <v>3</v>
      </c>
      <c r="K26" s="363">
        <v>0</v>
      </c>
      <c r="L26" s="364">
        <v>0</v>
      </c>
      <c r="M26" s="364">
        <v>750</v>
      </c>
      <c r="N26" s="406" t="s">
        <v>69</v>
      </c>
    </row>
    <row r="27" spans="1:14" ht="21" x14ac:dyDescent="0.25">
      <c r="A27" s="360">
        <v>26</v>
      </c>
      <c r="B27" s="360" t="s">
        <v>2192</v>
      </c>
      <c r="C27" s="360" t="s">
        <v>286</v>
      </c>
      <c r="D27" s="360">
        <v>1</v>
      </c>
      <c r="E27" s="361" t="s">
        <v>318</v>
      </c>
      <c r="F27" s="362" t="s">
        <v>319</v>
      </c>
      <c r="G27" s="371">
        <v>1</v>
      </c>
      <c r="H27" s="362">
        <v>1</v>
      </c>
      <c r="I27" s="363">
        <v>0</v>
      </c>
      <c r="J27" s="363">
        <v>1</v>
      </c>
      <c r="K27" s="363">
        <v>0</v>
      </c>
      <c r="L27" s="364">
        <v>0</v>
      </c>
      <c r="M27" s="364">
        <v>750</v>
      </c>
      <c r="N27" s="406" t="s">
        <v>69</v>
      </c>
    </row>
    <row r="28" spans="1:14" x14ac:dyDescent="0.25">
      <c r="A28" s="360">
        <v>27</v>
      </c>
      <c r="B28" s="360" t="s">
        <v>2194</v>
      </c>
      <c r="C28" s="360" t="s">
        <v>309</v>
      </c>
      <c r="D28" s="360">
        <v>5</v>
      </c>
      <c r="E28" s="361" t="s">
        <v>2348</v>
      </c>
      <c r="F28" s="362" t="s">
        <v>330</v>
      </c>
      <c r="G28" s="371">
        <v>0.33333333333333331</v>
      </c>
      <c r="H28" s="362">
        <v>1</v>
      </c>
      <c r="I28" s="363">
        <v>4</v>
      </c>
      <c r="J28" s="363">
        <v>4</v>
      </c>
      <c r="K28" s="363">
        <v>0</v>
      </c>
      <c r="L28" s="364">
        <v>1</v>
      </c>
      <c r="M28" s="364">
        <v>375</v>
      </c>
      <c r="N28" s="406">
        <v>108.4</v>
      </c>
    </row>
    <row r="29" spans="1:14" x14ac:dyDescent="0.25">
      <c r="A29" s="360">
        <v>28</v>
      </c>
      <c r="B29" s="360" t="s">
        <v>2195</v>
      </c>
      <c r="C29" s="360" t="s">
        <v>309</v>
      </c>
      <c r="D29" s="360">
        <v>1</v>
      </c>
      <c r="E29" s="361" t="s">
        <v>580</v>
      </c>
      <c r="F29" s="362" t="s">
        <v>449</v>
      </c>
      <c r="G29" s="371">
        <v>1</v>
      </c>
      <c r="H29" s="362">
        <v>1</v>
      </c>
      <c r="I29" s="363">
        <v>0</v>
      </c>
      <c r="J29" s="363">
        <v>0</v>
      </c>
      <c r="K29" s="363">
        <v>0</v>
      </c>
      <c r="L29" s="364">
        <v>0</v>
      </c>
      <c r="M29" s="364">
        <v>1133</v>
      </c>
      <c r="N29" s="406">
        <v>2132.1</v>
      </c>
    </row>
    <row r="30" spans="1:14" ht="21" x14ac:dyDescent="0.25">
      <c r="A30" s="360">
        <v>29</v>
      </c>
      <c r="B30" s="360" t="s">
        <v>2196</v>
      </c>
      <c r="C30" s="360" t="s">
        <v>286</v>
      </c>
      <c r="D30" s="360">
        <v>3</v>
      </c>
      <c r="E30" s="361" t="s">
        <v>2270</v>
      </c>
      <c r="F30" s="362" t="s">
        <v>288</v>
      </c>
      <c r="G30" s="371">
        <v>0.33333333333333331</v>
      </c>
      <c r="H30" s="362">
        <v>1</v>
      </c>
      <c r="I30" s="363">
        <v>3</v>
      </c>
      <c r="J30" s="363">
        <v>0</v>
      </c>
      <c r="K30" s="363">
        <v>0</v>
      </c>
      <c r="L30" s="364">
        <v>0</v>
      </c>
      <c r="M30" s="364">
        <v>300</v>
      </c>
      <c r="N30" s="406">
        <v>228.8</v>
      </c>
    </row>
    <row r="31" spans="1:14" x14ac:dyDescent="0.25">
      <c r="A31" s="360">
        <v>30</v>
      </c>
      <c r="B31" s="360" t="s">
        <v>2197</v>
      </c>
      <c r="C31" s="360" t="s">
        <v>286</v>
      </c>
      <c r="D31" s="360">
        <v>2</v>
      </c>
      <c r="E31" s="361" t="s">
        <v>2271</v>
      </c>
      <c r="F31" s="362" t="s">
        <v>516</v>
      </c>
      <c r="G31" s="371">
        <v>0.5</v>
      </c>
      <c r="H31" s="362">
        <v>1</v>
      </c>
      <c r="I31" s="363">
        <v>1</v>
      </c>
      <c r="J31" s="363">
        <v>1</v>
      </c>
      <c r="K31" s="363">
        <v>1</v>
      </c>
      <c r="L31" s="364">
        <v>0</v>
      </c>
      <c r="M31" s="364">
        <v>300</v>
      </c>
      <c r="N31" s="406">
        <v>228.8</v>
      </c>
    </row>
    <row r="32" spans="1:14" x14ac:dyDescent="0.25">
      <c r="A32" s="360">
        <v>31</v>
      </c>
      <c r="B32" s="360" t="s">
        <v>2162</v>
      </c>
      <c r="C32" s="360" t="s">
        <v>286</v>
      </c>
      <c r="D32" s="360">
        <v>1</v>
      </c>
      <c r="E32" s="361" t="s">
        <v>866</v>
      </c>
      <c r="F32" s="362" t="s">
        <v>368</v>
      </c>
      <c r="G32" s="371">
        <v>1</v>
      </c>
      <c r="H32" s="362">
        <v>0</v>
      </c>
      <c r="I32" s="363">
        <v>1</v>
      </c>
      <c r="J32" s="363">
        <v>1</v>
      </c>
      <c r="K32" s="363">
        <v>0</v>
      </c>
      <c r="L32" s="364">
        <v>0</v>
      </c>
      <c r="M32" s="364">
        <v>300</v>
      </c>
      <c r="N32" s="406">
        <v>228.8</v>
      </c>
    </row>
    <row r="33" spans="1:14" ht="21" x14ac:dyDescent="0.25">
      <c r="A33" s="360">
        <v>32</v>
      </c>
      <c r="B33" s="360" t="s">
        <v>2198</v>
      </c>
      <c r="C33" s="360" t="s">
        <v>286</v>
      </c>
      <c r="D33" s="360">
        <v>7</v>
      </c>
      <c r="E33" s="361" t="s">
        <v>2274</v>
      </c>
      <c r="F33" s="362" t="s">
        <v>481</v>
      </c>
      <c r="G33" s="371">
        <v>0.42857142857142855</v>
      </c>
      <c r="H33" s="362">
        <v>0</v>
      </c>
      <c r="I33" s="363">
        <v>5</v>
      </c>
      <c r="J33" s="363">
        <v>6</v>
      </c>
      <c r="K33" s="363">
        <v>0</v>
      </c>
      <c r="L33" s="364">
        <v>0</v>
      </c>
      <c r="M33" s="364">
        <v>250</v>
      </c>
      <c r="N33" s="406">
        <v>520</v>
      </c>
    </row>
    <row r="34" spans="1:14" x14ac:dyDescent="0.25">
      <c r="A34" s="360">
        <v>33</v>
      </c>
      <c r="B34" s="360" t="s">
        <v>2199</v>
      </c>
      <c r="C34" s="360" t="s">
        <v>286</v>
      </c>
      <c r="D34" s="360">
        <v>6</v>
      </c>
      <c r="E34" s="361" t="s">
        <v>2277</v>
      </c>
      <c r="F34" s="362" t="s">
        <v>490</v>
      </c>
      <c r="G34" s="371">
        <v>0.33333333333333331</v>
      </c>
      <c r="H34" s="362">
        <v>0</v>
      </c>
      <c r="I34" s="363">
        <v>8</v>
      </c>
      <c r="J34" s="363">
        <v>3</v>
      </c>
      <c r="K34" s="363">
        <v>2</v>
      </c>
      <c r="L34" s="364">
        <v>0</v>
      </c>
      <c r="M34" s="364">
        <v>750</v>
      </c>
      <c r="N34" s="406">
        <v>1332</v>
      </c>
    </row>
    <row r="35" spans="1:14" ht="21" x14ac:dyDescent="0.25">
      <c r="A35" s="360">
        <v>34</v>
      </c>
      <c r="B35" s="360" t="s">
        <v>2200</v>
      </c>
      <c r="C35" s="360" t="s">
        <v>286</v>
      </c>
      <c r="D35" s="360">
        <v>1</v>
      </c>
      <c r="E35" s="361" t="s">
        <v>1975</v>
      </c>
      <c r="F35" s="362" t="s">
        <v>784</v>
      </c>
      <c r="G35" s="371">
        <v>1</v>
      </c>
      <c r="H35" s="362">
        <v>0</v>
      </c>
      <c r="I35" s="363">
        <v>1</v>
      </c>
      <c r="J35" s="363">
        <v>0</v>
      </c>
      <c r="K35" s="363">
        <v>1</v>
      </c>
      <c r="L35" s="364">
        <v>0</v>
      </c>
      <c r="M35" s="364">
        <v>750</v>
      </c>
      <c r="N35" s="406">
        <v>1332</v>
      </c>
    </row>
    <row r="36" spans="1:14" x14ac:dyDescent="0.25">
      <c r="A36" s="360">
        <v>35</v>
      </c>
      <c r="B36" s="360" t="s">
        <v>2201</v>
      </c>
      <c r="C36" s="360" t="s">
        <v>309</v>
      </c>
      <c r="D36" s="360">
        <v>4</v>
      </c>
      <c r="E36" s="361" t="s">
        <v>2349</v>
      </c>
      <c r="F36" s="362" t="s">
        <v>606</v>
      </c>
      <c r="G36" s="371">
        <v>0.4</v>
      </c>
      <c r="H36" s="362">
        <v>3</v>
      </c>
      <c r="I36" s="363">
        <v>0</v>
      </c>
      <c r="J36" s="363">
        <v>4</v>
      </c>
      <c r="K36" s="363">
        <v>0</v>
      </c>
      <c r="L36" s="364">
        <v>0</v>
      </c>
      <c r="M36" s="364">
        <v>75</v>
      </c>
      <c r="N36" s="406">
        <v>53</v>
      </c>
    </row>
    <row r="37" spans="1:14" ht="21" x14ac:dyDescent="0.25">
      <c r="A37" s="360">
        <v>36</v>
      </c>
      <c r="B37" s="360" t="s">
        <v>2202</v>
      </c>
      <c r="C37" s="360" t="s">
        <v>286</v>
      </c>
      <c r="D37" s="360">
        <v>3</v>
      </c>
      <c r="E37" s="361" t="s">
        <v>2350</v>
      </c>
      <c r="F37" s="362" t="s">
        <v>784</v>
      </c>
      <c r="G37" s="371">
        <v>0.5</v>
      </c>
      <c r="H37" s="362">
        <v>0</v>
      </c>
      <c r="I37" s="363">
        <v>3</v>
      </c>
      <c r="J37" s="363">
        <v>1</v>
      </c>
      <c r="K37" s="363">
        <v>1</v>
      </c>
      <c r="L37" s="364">
        <v>0</v>
      </c>
      <c r="M37" s="364">
        <v>175</v>
      </c>
      <c r="N37" s="406" t="s">
        <v>69</v>
      </c>
    </row>
    <row r="38" spans="1:14" ht="21" x14ac:dyDescent="0.25">
      <c r="A38" s="360">
        <v>37</v>
      </c>
      <c r="B38" s="360" t="s">
        <v>2203</v>
      </c>
      <c r="C38" s="360" t="s">
        <v>331</v>
      </c>
      <c r="D38" s="360">
        <v>4</v>
      </c>
      <c r="E38" s="361" t="s">
        <v>2351</v>
      </c>
      <c r="F38" s="362" t="s">
        <v>288</v>
      </c>
      <c r="G38" s="371">
        <v>0.4</v>
      </c>
      <c r="H38" s="362">
        <v>2</v>
      </c>
      <c r="I38" s="363">
        <v>1</v>
      </c>
      <c r="J38" s="363">
        <v>3</v>
      </c>
      <c r="K38" s="363">
        <v>0</v>
      </c>
      <c r="L38" s="364">
        <v>0</v>
      </c>
      <c r="M38" s="364">
        <v>74928</v>
      </c>
      <c r="N38" s="406" t="s">
        <v>69</v>
      </c>
    </row>
    <row r="39" spans="1:14" ht="21" x14ac:dyDescent="0.25">
      <c r="A39" s="360">
        <v>38</v>
      </c>
      <c r="B39" s="360" t="s">
        <v>2204</v>
      </c>
      <c r="C39" s="360" t="s">
        <v>286</v>
      </c>
      <c r="D39" s="360">
        <v>9</v>
      </c>
      <c r="E39" s="361" t="s">
        <v>2275</v>
      </c>
      <c r="F39" s="362" t="s">
        <v>306</v>
      </c>
      <c r="G39" s="371">
        <v>0.44444444444444442</v>
      </c>
      <c r="H39" s="362">
        <v>4</v>
      </c>
      <c r="I39" s="363">
        <v>6</v>
      </c>
      <c r="J39" s="363">
        <v>7</v>
      </c>
      <c r="K39" s="363">
        <v>2</v>
      </c>
      <c r="L39" s="364">
        <v>1</v>
      </c>
      <c r="M39" s="364">
        <v>700</v>
      </c>
      <c r="N39" s="406">
        <v>648.1</v>
      </c>
    </row>
    <row r="40" spans="1:14" x14ac:dyDescent="0.25">
      <c r="A40" s="360">
        <v>39</v>
      </c>
      <c r="B40" s="360" t="s">
        <v>2205</v>
      </c>
      <c r="C40" s="360" t="s">
        <v>320</v>
      </c>
      <c r="D40" s="360">
        <v>1</v>
      </c>
      <c r="E40" s="361" t="s">
        <v>774</v>
      </c>
      <c r="F40" s="362" t="s">
        <v>490</v>
      </c>
      <c r="G40" s="371">
        <v>1</v>
      </c>
      <c r="H40" s="362">
        <v>0</v>
      </c>
      <c r="I40" s="363">
        <v>1</v>
      </c>
      <c r="J40" s="363">
        <v>1</v>
      </c>
      <c r="K40" s="363">
        <v>0</v>
      </c>
      <c r="L40" s="364">
        <v>1</v>
      </c>
      <c r="M40" s="364">
        <v>3000</v>
      </c>
      <c r="N40" s="406">
        <v>25212.5</v>
      </c>
    </row>
    <row r="41" spans="1:14" ht="21" x14ac:dyDescent="0.25">
      <c r="A41" s="360">
        <v>40</v>
      </c>
      <c r="B41" s="360" t="s">
        <v>2206</v>
      </c>
      <c r="C41" s="360" t="s">
        <v>320</v>
      </c>
      <c r="D41" s="360">
        <v>3</v>
      </c>
      <c r="E41" s="361" t="s">
        <v>2276</v>
      </c>
      <c r="F41" s="362" t="s">
        <v>288</v>
      </c>
      <c r="G41" s="371">
        <v>1</v>
      </c>
      <c r="H41" s="362">
        <v>3</v>
      </c>
      <c r="I41" s="363">
        <v>0</v>
      </c>
      <c r="J41" s="363">
        <v>1</v>
      </c>
      <c r="K41" s="363">
        <v>0</v>
      </c>
      <c r="L41" s="364">
        <v>0</v>
      </c>
      <c r="M41" s="364">
        <v>3000</v>
      </c>
      <c r="N41" s="406">
        <v>1050</v>
      </c>
    </row>
    <row r="42" spans="1:14" x14ac:dyDescent="0.25">
      <c r="A42" s="360">
        <v>41</v>
      </c>
      <c r="B42" s="360" t="s">
        <v>2207</v>
      </c>
      <c r="C42" s="360" t="s">
        <v>309</v>
      </c>
      <c r="D42" s="360">
        <v>4</v>
      </c>
      <c r="E42" s="361" t="s">
        <v>2285</v>
      </c>
      <c r="F42" s="362" t="s">
        <v>516</v>
      </c>
      <c r="G42" s="371">
        <v>0.5</v>
      </c>
      <c r="H42" s="362">
        <v>3</v>
      </c>
      <c r="I42" s="363">
        <v>1</v>
      </c>
      <c r="J42" s="363">
        <v>3</v>
      </c>
      <c r="K42" s="363">
        <v>0</v>
      </c>
      <c r="L42" s="364">
        <v>0</v>
      </c>
      <c r="M42" s="364">
        <v>30</v>
      </c>
      <c r="N42" s="406" t="s">
        <v>69</v>
      </c>
    </row>
    <row r="43" spans="1:14" ht="21" x14ac:dyDescent="0.25">
      <c r="A43" s="360">
        <v>42</v>
      </c>
      <c r="B43" s="360" t="s">
        <v>2208</v>
      </c>
      <c r="C43" s="360" t="s">
        <v>286</v>
      </c>
      <c r="D43" s="360">
        <v>2</v>
      </c>
      <c r="E43" s="361" t="s">
        <v>2268</v>
      </c>
      <c r="F43" s="362" t="s">
        <v>319</v>
      </c>
      <c r="G43" s="371">
        <v>0.5</v>
      </c>
      <c r="H43" s="362">
        <v>1</v>
      </c>
      <c r="I43" s="363">
        <v>0</v>
      </c>
      <c r="J43" s="363">
        <v>1</v>
      </c>
      <c r="K43" s="363">
        <v>0</v>
      </c>
      <c r="L43" s="364">
        <v>0</v>
      </c>
      <c r="M43" s="364">
        <v>110</v>
      </c>
      <c r="N43" s="406">
        <v>73</v>
      </c>
    </row>
    <row r="44" spans="1:14" ht="21" x14ac:dyDescent="0.25">
      <c r="A44" s="360">
        <v>43</v>
      </c>
      <c r="B44" s="360" t="s">
        <v>2209</v>
      </c>
      <c r="C44" s="360" t="s">
        <v>286</v>
      </c>
      <c r="D44" s="360">
        <v>6</v>
      </c>
      <c r="E44" s="361" t="s">
        <v>2280</v>
      </c>
      <c r="F44" s="362" t="s">
        <v>490</v>
      </c>
      <c r="G44" s="371">
        <v>0.33333333333333331</v>
      </c>
      <c r="H44" s="362">
        <v>2</v>
      </c>
      <c r="I44" s="363">
        <v>2</v>
      </c>
      <c r="J44" s="363">
        <v>3</v>
      </c>
      <c r="K44" s="363">
        <v>0</v>
      </c>
      <c r="L44" s="364">
        <v>0</v>
      </c>
      <c r="M44" s="364">
        <v>3000</v>
      </c>
      <c r="N44" s="406">
        <v>5500</v>
      </c>
    </row>
    <row r="45" spans="1:14" x14ac:dyDescent="0.25">
      <c r="A45" s="360">
        <v>44</v>
      </c>
      <c r="B45" s="360" t="s">
        <v>2163</v>
      </c>
      <c r="C45" s="360" t="s">
        <v>286</v>
      </c>
      <c r="D45" s="360">
        <v>3</v>
      </c>
      <c r="E45" s="361" t="s">
        <v>2306</v>
      </c>
      <c r="F45" s="362" t="s">
        <v>660</v>
      </c>
      <c r="G45" s="371">
        <v>0.66666666666666663</v>
      </c>
      <c r="H45" s="362">
        <v>0</v>
      </c>
      <c r="I45" s="363">
        <v>0</v>
      </c>
      <c r="J45" s="363">
        <v>3</v>
      </c>
      <c r="K45" s="363">
        <v>0</v>
      </c>
      <c r="L45" s="364">
        <v>0</v>
      </c>
      <c r="M45" s="364">
        <v>3000</v>
      </c>
      <c r="N45" s="406">
        <v>5500</v>
      </c>
    </row>
    <row r="46" spans="1:14" x14ac:dyDescent="0.25">
      <c r="A46" s="360">
        <v>45</v>
      </c>
      <c r="B46" s="360" t="s">
        <v>2210</v>
      </c>
      <c r="C46" s="360" t="s">
        <v>286</v>
      </c>
      <c r="D46" s="360">
        <v>2</v>
      </c>
      <c r="E46" s="361" t="s">
        <v>2272</v>
      </c>
      <c r="F46" s="362" t="s">
        <v>516</v>
      </c>
      <c r="G46" s="371">
        <v>1</v>
      </c>
      <c r="H46" s="362">
        <v>2</v>
      </c>
      <c r="I46" s="363">
        <v>0</v>
      </c>
      <c r="J46" s="363">
        <v>1</v>
      </c>
      <c r="K46" s="363">
        <v>0</v>
      </c>
      <c r="L46" s="364">
        <v>0</v>
      </c>
      <c r="M46" s="364">
        <v>175</v>
      </c>
      <c r="N46" s="406">
        <v>257.2</v>
      </c>
    </row>
    <row r="47" spans="1:14" x14ac:dyDescent="0.25">
      <c r="A47" s="360">
        <v>46</v>
      </c>
      <c r="B47" s="360" t="s">
        <v>2164</v>
      </c>
      <c r="C47" s="360" t="s">
        <v>309</v>
      </c>
      <c r="D47" s="360">
        <v>1</v>
      </c>
      <c r="E47" s="361" t="s">
        <v>758</v>
      </c>
      <c r="F47" s="362" t="s">
        <v>490</v>
      </c>
      <c r="G47" s="371">
        <v>1</v>
      </c>
      <c r="H47" s="362">
        <v>0</v>
      </c>
      <c r="I47" s="363">
        <v>1</v>
      </c>
      <c r="J47" s="363">
        <v>1</v>
      </c>
      <c r="K47" s="363">
        <v>0</v>
      </c>
      <c r="L47" s="364">
        <v>0</v>
      </c>
      <c r="M47" s="364">
        <v>3000</v>
      </c>
      <c r="N47" s="406" t="s">
        <v>69</v>
      </c>
    </row>
    <row r="48" spans="1:14" ht="21" x14ac:dyDescent="0.25">
      <c r="A48" s="360">
        <v>47</v>
      </c>
      <c r="B48" s="360" t="s">
        <v>2211</v>
      </c>
      <c r="C48" s="360" t="s">
        <v>309</v>
      </c>
      <c r="D48" s="360">
        <v>4</v>
      </c>
      <c r="E48" s="361" t="s">
        <v>2352</v>
      </c>
      <c r="F48" s="362" t="s">
        <v>398</v>
      </c>
      <c r="G48" s="371">
        <v>0.42857142857142855</v>
      </c>
      <c r="H48" s="362">
        <v>2</v>
      </c>
      <c r="I48" s="363">
        <v>1</v>
      </c>
      <c r="J48" s="363">
        <v>2</v>
      </c>
      <c r="K48" s="363">
        <v>0</v>
      </c>
      <c r="L48" s="364">
        <v>0</v>
      </c>
      <c r="M48" s="364">
        <v>3000</v>
      </c>
      <c r="N48" s="406" t="s">
        <v>69</v>
      </c>
    </row>
    <row r="49" spans="1:14" ht="21" x14ac:dyDescent="0.25">
      <c r="A49" s="360">
        <v>48</v>
      </c>
      <c r="B49" s="360" t="s">
        <v>2212</v>
      </c>
      <c r="C49" s="360" t="s">
        <v>309</v>
      </c>
      <c r="D49" s="360">
        <v>1</v>
      </c>
      <c r="E49" s="361" t="s">
        <v>340</v>
      </c>
      <c r="F49" s="362" t="s">
        <v>319</v>
      </c>
      <c r="G49" s="371">
        <v>1</v>
      </c>
      <c r="H49" s="362">
        <v>1</v>
      </c>
      <c r="I49" s="363">
        <v>0</v>
      </c>
      <c r="J49" s="363">
        <v>1</v>
      </c>
      <c r="K49" s="363">
        <v>0</v>
      </c>
      <c r="L49" s="364">
        <v>0</v>
      </c>
      <c r="M49" s="364">
        <v>375</v>
      </c>
      <c r="N49" s="406">
        <v>197.7</v>
      </c>
    </row>
    <row r="50" spans="1:14" ht="21" x14ac:dyDescent="0.25">
      <c r="A50" s="360">
        <v>49</v>
      </c>
      <c r="B50" s="360" t="s">
        <v>2309</v>
      </c>
      <c r="C50" s="360" t="s">
        <v>331</v>
      </c>
      <c r="D50" s="360">
        <v>1</v>
      </c>
      <c r="E50" s="361" t="s">
        <v>386</v>
      </c>
      <c r="F50" s="362" t="s">
        <v>288</v>
      </c>
      <c r="G50" s="371">
        <v>1</v>
      </c>
      <c r="H50" s="362">
        <v>1</v>
      </c>
      <c r="I50" s="363">
        <v>0</v>
      </c>
      <c r="J50" s="363">
        <v>0</v>
      </c>
      <c r="K50" s="363">
        <v>0</v>
      </c>
      <c r="L50" s="364">
        <v>0</v>
      </c>
      <c r="M50" s="364">
        <v>3000</v>
      </c>
      <c r="N50" s="406">
        <v>887.1</v>
      </c>
    </row>
    <row r="51" spans="1:14" ht="21" x14ac:dyDescent="0.25">
      <c r="A51" s="360">
        <v>50</v>
      </c>
      <c r="B51" s="360" t="s">
        <v>2213</v>
      </c>
      <c r="C51" s="360" t="s">
        <v>309</v>
      </c>
      <c r="D51" s="360">
        <v>1</v>
      </c>
      <c r="E51" s="361" t="s">
        <v>1933</v>
      </c>
      <c r="F51" s="362" t="s">
        <v>288</v>
      </c>
      <c r="G51" s="371">
        <v>1</v>
      </c>
      <c r="H51" s="362">
        <v>0</v>
      </c>
      <c r="I51" s="363">
        <v>1</v>
      </c>
      <c r="J51" s="363">
        <v>1</v>
      </c>
      <c r="K51" s="363">
        <v>0</v>
      </c>
      <c r="L51" s="364">
        <v>0</v>
      </c>
      <c r="M51" s="364">
        <v>75</v>
      </c>
      <c r="N51" s="406" t="s">
        <v>69</v>
      </c>
    </row>
    <row r="52" spans="1:14" ht="21" x14ac:dyDescent="0.25">
      <c r="A52" s="360">
        <v>51</v>
      </c>
      <c r="B52" s="360" t="s">
        <v>2214</v>
      </c>
      <c r="C52" s="360" t="s">
        <v>320</v>
      </c>
      <c r="D52" s="360">
        <v>2</v>
      </c>
      <c r="E52" s="361" t="s">
        <v>2286</v>
      </c>
      <c r="F52" s="362" t="s">
        <v>288</v>
      </c>
      <c r="G52" s="371">
        <v>1</v>
      </c>
      <c r="H52" s="362">
        <v>2</v>
      </c>
      <c r="I52" s="363">
        <v>0</v>
      </c>
      <c r="J52" s="363">
        <v>1</v>
      </c>
      <c r="K52" s="363">
        <v>0</v>
      </c>
      <c r="L52" s="364">
        <v>0</v>
      </c>
      <c r="M52" s="364">
        <v>175</v>
      </c>
      <c r="N52" s="406" t="s">
        <v>69</v>
      </c>
    </row>
    <row r="53" spans="1:14" ht="21" x14ac:dyDescent="0.25">
      <c r="A53" s="360">
        <v>52</v>
      </c>
      <c r="B53" s="360" t="s">
        <v>2215</v>
      </c>
      <c r="C53" s="360" t="s">
        <v>286</v>
      </c>
      <c r="D53" s="360">
        <v>1</v>
      </c>
      <c r="E53" s="361" t="s">
        <v>397</v>
      </c>
      <c r="F53" s="362" t="s">
        <v>398</v>
      </c>
      <c r="G53" s="371">
        <v>1</v>
      </c>
      <c r="H53" s="362">
        <v>1</v>
      </c>
      <c r="I53" s="363">
        <v>0</v>
      </c>
      <c r="J53" s="363">
        <v>1</v>
      </c>
      <c r="K53" s="363">
        <v>0</v>
      </c>
      <c r="L53" s="364">
        <v>0</v>
      </c>
      <c r="M53" s="364">
        <v>175</v>
      </c>
      <c r="N53" s="406" t="s">
        <v>69</v>
      </c>
    </row>
    <row r="54" spans="1:14" ht="21" x14ac:dyDescent="0.25">
      <c r="A54" s="360">
        <v>53</v>
      </c>
      <c r="B54" s="360" t="s">
        <v>2216</v>
      </c>
      <c r="C54" s="360" t="s">
        <v>309</v>
      </c>
      <c r="D54" s="360">
        <v>1</v>
      </c>
      <c r="E54" s="361" t="s">
        <v>420</v>
      </c>
      <c r="F54" s="362" t="s">
        <v>288</v>
      </c>
      <c r="G54" s="371">
        <v>1</v>
      </c>
      <c r="H54" s="362">
        <v>0</v>
      </c>
      <c r="I54" s="363">
        <v>2</v>
      </c>
      <c r="J54" s="363">
        <v>1</v>
      </c>
      <c r="K54" s="363">
        <v>0</v>
      </c>
      <c r="L54" s="364">
        <v>0</v>
      </c>
      <c r="M54" s="364">
        <v>3000</v>
      </c>
      <c r="N54" s="406" t="s">
        <v>69</v>
      </c>
    </row>
    <row r="55" spans="1:14" ht="21" x14ac:dyDescent="0.25">
      <c r="A55" s="360">
        <v>54</v>
      </c>
      <c r="B55" s="360" t="s">
        <v>2217</v>
      </c>
      <c r="C55" s="360" t="s">
        <v>286</v>
      </c>
      <c r="D55" s="360">
        <v>1</v>
      </c>
      <c r="E55" s="361" t="s">
        <v>424</v>
      </c>
      <c r="F55" s="362" t="s">
        <v>319</v>
      </c>
      <c r="G55" s="371">
        <v>1</v>
      </c>
      <c r="H55" s="362">
        <v>1</v>
      </c>
      <c r="I55" s="363">
        <v>0</v>
      </c>
      <c r="J55" s="363">
        <v>0</v>
      </c>
      <c r="K55" s="363">
        <v>0</v>
      </c>
      <c r="L55" s="364">
        <v>0</v>
      </c>
      <c r="M55" s="364">
        <v>3000</v>
      </c>
      <c r="N55" s="406">
        <v>5500</v>
      </c>
    </row>
    <row r="56" spans="1:14" ht="21" x14ac:dyDescent="0.25">
      <c r="A56" s="360">
        <v>55</v>
      </c>
      <c r="B56" s="360" t="s">
        <v>2218</v>
      </c>
      <c r="C56" s="360" t="s">
        <v>320</v>
      </c>
      <c r="D56" s="360">
        <v>1</v>
      </c>
      <c r="E56" s="361" t="s">
        <v>367</v>
      </c>
      <c r="F56" s="362" t="s">
        <v>288</v>
      </c>
      <c r="G56" s="371">
        <v>1</v>
      </c>
      <c r="H56" s="362">
        <v>1</v>
      </c>
      <c r="I56" s="363">
        <v>0</v>
      </c>
      <c r="J56" s="363">
        <v>1</v>
      </c>
      <c r="K56" s="363">
        <v>0</v>
      </c>
      <c r="L56" s="364">
        <v>1</v>
      </c>
      <c r="M56" s="364">
        <v>4419</v>
      </c>
      <c r="N56" s="406">
        <v>4913.6000000000004</v>
      </c>
    </row>
    <row r="57" spans="1:14" x14ac:dyDescent="0.25">
      <c r="A57" s="364">
        <v>56</v>
      </c>
      <c r="B57" s="364" t="s">
        <v>2219</v>
      </c>
      <c r="C57" s="364" t="s">
        <v>286</v>
      </c>
      <c r="D57" s="364">
        <v>1</v>
      </c>
      <c r="E57" s="370" t="s">
        <v>472</v>
      </c>
      <c r="F57" s="368" t="s">
        <v>473</v>
      </c>
      <c r="G57" s="364">
        <v>1</v>
      </c>
      <c r="H57" s="368">
        <v>0</v>
      </c>
      <c r="I57" s="364">
        <v>0</v>
      </c>
      <c r="J57" s="364">
        <v>0</v>
      </c>
      <c r="K57" s="364">
        <v>0</v>
      </c>
      <c r="L57" s="364">
        <v>0</v>
      </c>
      <c r="M57" s="364">
        <v>3000</v>
      </c>
      <c r="N57" s="406">
        <v>5500</v>
      </c>
    </row>
    <row r="58" spans="1:14" x14ac:dyDescent="0.25">
      <c r="B58" s="365"/>
      <c r="C58" s="365"/>
      <c r="D58" s="365"/>
      <c r="E58" s="366"/>
      <c r="F58" s="367"/>
      <c r="G58" s="365"/>
      <c r="H58" s="367"/>
      <c r="I58" s="365"/>
    </row>
    <row r="59" spans="1:14" x14ac:dyDescent="0.25">
      <c r="B59" s="365"/>
      <c r="C59" s="365"/>
      <c r="D59" s="365"/>
      <c r="E59" s="366"/>
      <c r="F59" s="367"/>
      <c r="G59" s="365"/>
      <c r="H59" s="367"/>
      <c r="I59" s="365"/>
    </row>
    <row r="60" spans="1:14" x14ac:dyDescent="0.25">
      <c r="B60" s="365"/>
      <c r="C60" s="365"/>
      <c r="D60" s="365"/>
      <c r="E60" s="366"/>
      <c r="F60" s="367"/>
      <c r="G60" s="365"/>
      <c r="H60" s="367"/>
      <c r="I60" s="365"/>
    </row>
    <row r="61" spans="1:14" x14ac:dyDescent="0.25">
      <c r="B61" s="365"/>
      <c r="C61" s="365"/>
      <c r="D61" s="365"/>
      <c r="E61" s="366"/>
      <c r="F61" s="367"/>
      <c r="G61" s="365"/>
      <c r="H61" s="367"/>
      <c r="I61" s="365"/>
    </row>
    <row r="62" spans="1:14" x14ac:dyDescent="0.25">
      <c r="B62" s="365"/>
      <c r="C62" s="365"/>
      <c r="D62" s="365"/>
      <c r="E62" s="366"/>
      <c r="F62" s="367"/>
      <c r="G62" s="365"/>
      <c r="H62" s="367"/>
      <c r="I62" s="365"/>
    </row>
    <row r="63" spans="1:14" x14ac:dyDescent="0.25">
      <c r="B63" s="365"/>
      <c r="C63" s="365"/>
      <c r="D63" s="365"/>
      <c r="E63" s="366"/>
      <c r="F63" s="367"/>
      <c r="G63" s="365"/>
      <c r="H63" s="367"/>
      <c r="I63" s="365"/>
    </row>
    <row r="64" spans="1:14" x14ac:dyDescent="0.25">
      <c r="B64" s="365"/>
      <c r="C64" s="365"/>
      <c r="D64" s="365"/>
      <c r="E64" s="366"/>
      <c r="F64" s="367"/>
      <c r="G64" s="365"/>
      <c r="H64" s="367"/>
      <c r="I64" s="365"/>
    </row>
    <row r="65" spans="2:9" x14ac:dyDescent="0.25">
      <c r="B65" s="365"/>
      <c r="C65" s="365"/>
      <c r="D65" s="365"/>
      <c r="E65" s="366"/>
      <c r="F65" s="367"/>
      <c r="G65" s="365"/>
      <c r="H65" s="367"/>
      <c r="I65" s="365"/>
    </row>
    <row r="66" spans="2:9" x14ac:dyDescent="0.25">
      <c r="B66" s="365"/>
      <c r="C66" s="365"/>
      <c r="D66" s="365"/>
      <c r="E66" s="366"/>
      <c r="F66" s="367"/>
      <c r="G66" s="365"/>
      <c r="H66" s="367"/>
      <c r="I66" s="365"/>
    </row>
    <row r="67" spans="2:9" x14ac:dyDescent="0.25">
      <c r="B67" s="365"/>
      <c r="C67" s="365"/>
      <c r="D67" s="365"/>
      <c r="E67" s="366"/>
      <c r="F67" s="367"/>
      <c r="G67" s="365"/>
      <c r="H67" s="367"/>
      <c r="I67" s="365"/>
    </row>
    <row r="68" spans="2:9" x14ac:dyDescent="0.25">
      <c r="B68" s="365"/>
      <c r="C68" s="365"/>
      <c r="D68" s="365"/>
      <c r="E68" s="366"/>
      <c r="F68" s="367"/>
      <c r="G68" s="365"/>
      <c r="H68" s="367"/>
      <c r="I68" s="365"/>
    </row>
    <row r="69" spans="2:9" x14ac:dyDescent="0.25">
      <c r="B69" s="365"/>
      <c r="C69" s="365"/>
      <c r="D69" s="365"/>
      <c r="E69" s="366"/>
      <c r="F69" s="367"/>
      <c r="G69" s="365"/>
      <c r="H69" s="367"/>
      <c r="I69" s="365"/>
    </row>
    <row r="70" spans="2:9" x14ac:dyDescent="0.25">
      <c r="B70" s="365"/>
      <c r="C70" s="365"/>
      <c r="D70" s="365"/>
      <c r="E70" s="366"/>
      <c r="F70" s="367"/>
      <c r="G70" s="365"/>
      <c r="H70" s="367"/>
      <c r="I70" s="365"/>
    </row>
    <row r="71" spans="2:9" x14ac:dyDescent="0.25">
      <c r="B71" s="365"/>
      <c r="C71" s="365"/>
      <c r="D71" s="365"/>
      <c r="E71" s="366"/>
      <c r="F71" s="367"/>
      <c r="G71" s="365"/>
      <c r="H71" s="367"/>
      <c r="I71" s="365"/>
    </row>
    <row r="72" spans="2:9" x14ac:dyDescent="0.25">
      <c r="B72" s="365"/>
      <c r="C72" s="365"/>
      <c r="D72" s="365"/>
      <c r="E72" s="366"/>
      <c r="F72" s="367"/>
      <c r="G72" s="365"/>
      <c r="H72" s="367"/>
      <c r="I72" s="365"/>
    </row>
    <row r="73" spans="2:9" x14ac:dyDescent="0.25">
      <c r="B73" s="365"/>
      <c r="C73" s="365"/>
      <c r="D73" s="365"/>
      <c r="E73" s="366"/>
      <c r="F73" s="367"/>
      <c r="G73" s="365"/>
      <c r="H73" s="367"/>
      <c r="I73" s="365"/>
    </row>
    <row r="74" spans="2:9" x14ac:dyDescent="0.25">
      <c r="B74" s="365"/>
      <c r="C74" s="365"/>
      <c r="D74" s="365"/>
      <c r="E74" s="366"/>
      <c r="F74" s="367"/>
      <c r="G74" s="365"/>
      <c r="H74" s="367"/>
      <c r="I74" s="365"/>
    </row>
    <row r="75" spans="2:9" x14ac:dyDescent="0.25">
      <c r="B75" s="365"/>
      <c r="C75" s="365"/>
      <c r="D75" s="365"/>
      <c r="E75" s="366"/>
      <c r="F75" s="367"/>
      <c r="G75" s="365"/>
      <c r="H75" s="367"/>
      <c r="I75" s="365"/>
    </row>
    <row r="76" spans="2:9" x14ac:dyDescent="0.25">
      <c r="B76" s="365"/>
      <c r="C76" s="365"/>
      <c r="D76" s="365"/>
      <c r="E76" s="366"/>
      <c r="F76" s="367"/>
      <c r="G76" s="365"/>
      <c r="H76" s="367"/>
      <c r="I76" s="365"/>
    </row>
    <row r="77" spans="2:9" x14ac:dyDescent="0.25">
      <c r="B77" s="365"/>
      <c r="C77" s="365"/>
      <c r="D77" s="365"/>
      <c r="E77" s="366"/>
      <c r="F77" s="367"/>
      <c r="G77" s="365"/>
      <c r="H77" s="367"/>
      <c r="I77" s="365"/>
    </row>
    <row r="78" spans="2:9" x14ac:dyDescent="0.25">
      <c r="B78" s="365"/>
      <c r="C78" s="365"/>
      <c r="D78" s="365"/>
      <c r="E78" s="366"/>
      <c r="F78" s="367"/>
      <c r="G78" s="365"/>
      <c r="H78" s="367"/>
      <c r="I78" s="365"/>
    </row>
    <row r="79" spans="2:9" x14ac:dyDescent="0.25">
      <c r="B79" s="365"/>
      <c r="C79" s="365"/>
      <c r="D79" s="365"/>
      <c r="E79" s="366"/>
      <c r="F79" s="367"/>
      <c r="G79" s="365"/>
      <c r="H79" s="367"/>
      <c r="I79" s="365"/>
    </row>
    <row r="80" spans="2:9" x14ac:dyDescent="0.25">
      <c r="B80" s="365"/>
      <c r="C80" s="365"/>
      <c r="D80" s="365"/>
      <c r="E80" s="366"/>
      <c r="F80" s="367"/>
      <c r="G80" s="365"/>
      <c r="H80" s="367"/>
      <c r="I80" s="365"/>
    </row>
    <row r="81" spans="2:9" x14ac:dyDescent="0.25">
      <c r="B81" s="365"/>
      <c r="C81" s="365"/>
      <c r="D81" s="365"/>
      <c r="E81" s="366"/>
      <c r="F81" s="367"/>
      <c r="G81" s="365"/>
      <c r="H81" s="367"/>
      <c r="I81" s="365"/>
    </row>
    <row r="82" spans="2:9" x14ac:dyDescent="0.25">
      <c r="B82" s="365"/>
      <c r="C82" s="365"/>
      <c r="D82" s="365"/>
      <c r="E82" s="366"/>
      <c r="F82" s="367"/>
      <c r="G82" s="365"/>
      <c r="H82" s="367"/>
      <c r="I82" s="365"/>
    </row>
    <row r="83" spans="2:9" x14ac:dyDescent="0.25">
      <c r="B83" s="365"/>
      <c r="C83" s="365"/>
      <c r="D83" s="365"/>
      <c r="E83" s="366"/>
      <c r="F83" s="367"/>
      <c r="G83" s="365"/>
      <c r="H83" s="367"/>
      <c r="I83" s="365"/>
    </row>
    <row r="84" spans="2:9" x14ac:dyDescent="0.25">
      <c r="B84" s="365"/>
      <c r="C84" s="365"/>
      <c r="D84" s="365"/>
      <c r="E84" s="366"/>
      <c r="F84" s="367"/>
      <c r="G84" s="365"/>
      <c r="H84" s="367"/>
      <c r="I84" s="365"/>
    </row>
    <row r="85" spans="2:9" x14ac:dyDescent="0.25">
      <c r="B85" s="365"/>
      <c r="C85" s="365"/>
      <c r="D85" s="365"/>
      <c r="E85" s="366"/>
      <c r="F85" s="367"/>
      <c r="G85" s="365"/>
      <c r="H85" s="367"/>
      <c r="I85" s="365"/>
    </row>
    <row r="86" spans="2:9" x14ac:dyDescent="0.25">
      <c r="B86" s="365"/>
      <c r="C86" s="365"/>
      <c r="D86" s="365"/>
      <c r="E86" s="366"/>
      <c r="F86" s="367"/>
      <c r="G86" s="365"/>
      <c r="H86" s="367"/>
      <c r="I86" s="365"/>
    </row>
    <row r="87" spans="2:9" x14ac:dyDescent="0.25">
      <c r="B87" s="365"/>
      <c r="C87" s="365"/>
      <c r="D87" s="365"/>
      <c r="E87" s="366"/>
      <c r="F87" s="367"/>
      <c r="G87" s="365"/>
      <c r="H87" s="367"/>
      <c r="I87" s="365"/>
    </row>
    <row r="88" spans="2:9" x14ac:dyDescent="0.25">
      <c r="B88" s="365"/>
      <c r="C88" s="365"/>
      <c r="D88" s="365"/>
      <c r="E88" s="366"/>
      <c r="F88" s="367"/>
      <c r="G88" s="365"/>
      <c r="H88" s="367"/>
      <c r="I88" s="365"/>
    </row>
    <row r="89" spans="2:9" x14ac:dyDescent="0.25">
      <c r="B89" s="365"/>
      <c r="C89" s="365"/>
      <c r="D89" s="365"/>
      <c r="E89" s="366"/>
      <c r="F89" s="367"/>
      <c r="G89" s="365"/>
      <c r="H89" s="367"/>
      <c r="I89" s="365"/>
    </row>
    <row r="90" spans="2:9" x14ac:dyDescent="0.25">
      <c r="B90" s="365"/>
      <c r="C90" s="365"/>
      <c r="D90" s="365"/>
      <c r="E90" s="366"/>
      <c r="F90" s="367"/>
      <c r="G90" s="365"/>
      <c r="H90" s="367"/>
      <c r="I90" s="365"/>
    </row>
    <row r="91" spans="2:9" x14ac:dyDescent="0.25">
      <c r="B91" s="365"/>
      <c r="C91" s="365"/>
      <c r="D91" s="365"/>
      <c r="E91" s="366"/>
      <c r="F91" s="367"/>
      <c r="G91" s="365"/>
      <c r="H91" s="367"/>
      <c r="I91" s="365"/>
    </row>
    <row r="92" spans="2:9" x14ac:dyDescent="0.25">
      <c r="B92" s="365"/>
      <c r="C92" s="365"/>
      <c r="D92" s="365"/>
      <c r="E92" s="366"/>
      <c r="F92" s="367"/>
      <c r="G92" s="365"/>
      <c r="H92" s="367"/>
      <c r="I92" s="365"/>
    </row>
    <row r="93" spans="2:9" x14ac:dyDescent="0.25">
      <c r="B93" s="365"/>
      <c r="C93" s="365"/>
      <c r="D93" s="365"/>
      <c r="E93" s="366"/>
      <c r="F93" s="367"/>
      <c r="G93" s="365"/>
      <c r="H93" s="367"/>
      <c r="I93" s="365"/>
    </row>
    <row r="94" spans="2:9" x14ac:dyDescent="0.25">
      <c r="B94" s="365"/>
      <c r="C94" s="365"/>
      <c r="D94" s="365"/>
      <c r="E94" s="366"/>
      <c r="F94" s="367"/>
      <c r="G94" s="365"/>
      <c r="H94" s="367"/>
      <c r="I94" s="365"/>
    </row>
    <row r="95" spans="2:9" x14ac:dyDescent="0.25">
      <c r="B95" s="365"/>
      <c r="C95" s="365"/>
      <c r="D95" s="365"/>
      <c r="E95" s="366"/>
      <c r="F95" s="367"/>
      <c r="G95" s="365"/>
      <c r="H95" s="367"/>
      <c r="I95" s="365"/>
    </row>
    <row r="96" spans="2:9" x14ac:dyDescent="0.25">
      <c r="B96" s="365"/>
      <c r="C96" s="365"/>
      <c r="D96" s="365"/>
      <c r="E96" s="366"/>
      <c r="F96" s="367"/>
      <c r="G96" s="365"/>
      <c r="H96" s="367"/>
      <c r="I96" s="365"/>
    </row>
    <row r="97" spans="2:9" x14ac:dyDescent="0.25">
      <c r="B97" s="365"/>
      <c r="C97" s="365"/>
      <c r="D97" s="365"/>
      <c r="E97" s="366"/>
      <c r="F97" s="367"/>
      <c r="G97" s="365"/>
      <c r="H97" s="367"/>
      <c r="I97" s="365"/>
    </row>
    <row r="98" spans="2:9" x14ac:dyDescent="0.25">
      <c r="B98" s="365"/>
      <c r="C98" s="365"/>
      <c r="D98" s="365"/>
      <c r="E98" s="366"/>
      <c r="F98" s="367"/>
      <c r="G98" s="365"/>
      <c r="H98" s="367"/>
      <c r="I98" s="365"/>
    </row>
    <row r="99" spans="2:9" x14ac:dyDescent="0.25">
      <c r="B99" s="365"/>
      <c r="C99" s="365"/>
      <c r="D99" s="365"/>
      <c r="E99" s="366"/>
      <c r="F99" s="367"/>
      <c r="G99" s="365"/>
      <c r="H99" s="367"/>
      <c r="I99" s="365"/>
    </row>
    <row r="100" spans="2:9" x14ac:dyDescent="0.25">
      <c r="B100" s="365"/>
      <c r="C100" s="365"/>
      <c r="D100" s="365"/>
      <c r="E100" s="366"/>
      <c r="F100" s="367"/>
      <c r="G100" s="365"/>
      <c r="H100" s="367"/>
      <c r="I100" s="365"/>
    </row>
    <row r="101" spans="2:9" x14ac:dyDescent="0.25">
      <c r="B101" s="365"/>
      <c r="C101" s="365"/>
      <c r="D101" s="365"/>
      <c r="E101" s="366"/>
      <c r="F101" s="367"/>
      <c r="G101" s="365"/>
      <c r="H101" s="367"/>
      <c r="I101" s="365"/>
    </row>
    <row r="102" spans="2:9" x14ac:dyDescent="0.25">
      <c r="B102" s="365"/>
      <c r="C102" s="365"/>
      <c r="D102" s="365"/>
      <c r="E102" s="366"/>
      <c r="F102" s="367"/>
      <c r="G102" s="365"/>
      <c r="H102" s="367"/>
      <c r="I102" s="365"/>
    </row>
    <row r="103" spans="2:9" x14ac:dyDescent="0.25">
      <c r="B103" s="365"/>
      <c r="C103" s="365"/>
      <c r="D103" s="365"/>
      <c r="E103" s="366"/>
      <c r="F103" s="367"/>
      <c r="G103" s="365"/>
      <c r="H103" s="367"/>
      <c r="I103" s="365"/>
    </row>
    <row r="104" spans="2:9" x14ac:dyDescent="0.25">
      <c r="B104" s="365"/>
      <c r="C104" s="365"/>
      <c r="D104" s="365"/>
      <c r="E104" s="366"/>
      <c r="F104" s="367"/>
      <c r="G104" s="365"/>
      <c r="H104" s="367"/>
      <c r="I104" s="365"/>
    </row>
    <row r="105" spans="2:9" x14ac:dyDescent="0.25">
      <c r="B105" s="365"/>
      <c r="C105" s="365"/>
      <c r="D105" s="365"/>
      <c r="E105" s="366"/>
      <c r="F105" s="367"/>
      <c r="G105" s="365"/>
      <c r="H105" s="367"/>
      <c r="I105" s="365"/>
    </row>
    <row r="106" spans="2:9" x14ac:dyDescent="0.25">
      <c r="B106" s="365"/>
      <c r="C106" s="365"/>
      <c r="D106" s="365"/>
      <c r="E106" s="366"/>
      <c r="F106" s="367"/>
      <c r="G106" s="365"/>
      <c r="H106" s="367"/>
      <c r="I106" s="365"/>
    </row>
    <row r="107" spans="2:9" x14ac:dyDescent="0.25">
      <c r="B107" s="365"/>
      <c r="C107" s="365"/>
      <c r="D107" s="365"/>
      <c r="E107" s="366"/>
      <c r="F107" s="367"/>
      <c r="G107" s="365"/>
      <c r="H107" s="367"/>
      <c r="I107" s="365"/>
    </row>
    <row r="108" spans="2:9" x14ac:dyDescent="0.25">
      <c r="B108" s="365"/>
      <c r="C108" s="365"/>
      <c r="D108" s="365"/>
      <c r="E108" s="366"/>
      <c r="F108" s="367"/>
      <c r="G108" s="365"/>
      <c r="H108" s="367"/>
      <c r="I108" s="365"/>
    </row>
    <row r="109" spans="2:9" x14ac:dyDescent="0.25">
      <c r="B109" s="365"/>
      <c r="C109" s="365"/>
      <c r="D109" s="365"/>
      <c r="E109" s="366"/>
      <c r="F109" s="367"/>
      <c r="G109" s="365"/>
      <c r="H109" s="367"/>
      <c r="I109" s="365"/>
    </row>
    <row r="110" spans="2:9" x14ac:dyDescent="0.25">
      <c r="B110" s="365"/>
      <c r="C110" s="365"/>
      <c r="D110" s="365"/>
      <c r="E110" s="366"/>
      <c r="F110" s="367"/>
      <c r="G110" s="365"/>
      <c r="H110" s="367"/>
      <c r="I110" s="365"/>
    </row>
    <row r="111" spans="2:9" x14ac:dyDescent="0.25">
      <c r="B111" s="365"/>
      <c r="C111" s="365"/>
      <c r="D111" s="365"/>
      <c r="E111" s="366"/>
      <c r="F111" s="367"/>
      <c r="G111" s="365"/>
      <c r="H111" s="367"/>
      <c r="I111" s="365"/>
    </row>
    <row r="112" spans="2:9" x14ac:dyDescent="0.25">
      <c r="B112" s="365"/>
      <c r="C112" s="365"/>
      <c r="D112" s="365"/>
      <c r="E112" s="366"/>
      <c r="F112" s="367"/>
      <c r="G112" s="365"/>
      <c r="H112" s="367"/>
      <c r="I112" s="365"/>
    </row>
    <row r="113" spans="2:9" x14ac:dyDescent="0.25">
      <c r="B113" s="365"/>
      <c r="C113" s="365"/>
      <c r="D113" s="365"/>
      <c r="E113" s="366"/>
      <c r="F113" s="367"/>
      <c r="G113" s="365"/>
      <c r="H113" s="367"/>
      <c r="I113" s="365"/>
    </row>
    <row r="114" spans="2:9" x14ac:dyDescent="0.25">
      <c r="B114" s="365"/>
      <c r="C114" s="365"/>
      <c r="D114" s="365"/>
      <c r="E114" s="366"/>
      <c r="F114" s="367"/>
      <c r="G114" s="365"/>
      <c r="H114" s="367"/>
      <c r="I114" s="365"/>
    </row>
    <row r="115" spans="2:9" x14ac:dyDescent="0.25">
      <c r="B115" s="365"/>
      <c r="C115" s="365"/>
      <c r="D115" s="365"/>
      <c r="E115" s="366"/>
      <c r="F115" s="367"/>
      <c r="G115" s="365"/>
      <c r="H115" s="367"/>
      <c r="I115" s="365"/>
    </row>
    <row r="116" spans="2:9" x14ac:dyDescent="0.25">
      <c r="B116" s="365"/>
      <c r="C116" s="365"/>
      <c r="D116" s="365"/>
      <c r="E116" s="366"/>
      <c r="F116" s="367"/>
      <c r="G116" s="365"/>
      <c r="H116" s="367"/>
      <c r="I116" s="365"/>
    </row>
    <row r="117" spans="2:9" x14ac:dyDescent="0.25">
      <c r="B117" s="365"/>
      <c r="C117" s="365"/>
      <c r="D117" s="365"/>
      <c r="E117" s="366"/>
      <c r="F117" s="367"/>
      <c r="G117" s="365"/>
      <c r="H117" s="367"/>
      <c r="I117" s="365"/>
    </row>
    <row r="118" spans="2:9" x14ac:dyDescent="0.25">
      <c r="B118" s="365"/>
      <c r="C118" s="365"/>
      <c r="D118" s="365"/>
      <c r="E118" s="366"/>
      <c r="F118" s="367"/>
      <c r="G118" s="365"/>
      <c r="H118" s="367"/>
      <c r="I118" s="365"/>
    </row>
    <row r="119" spans="2:9" x14ac:dyDescent="0.25">
      <c r="B119" s="365"/>
      <c r="C119" s="365"/>
      <c r="D119" s="365"/>
      <c r="E119" s="366"/>
      <c r="F119" s="367"/>
      <c r="G119" s="365"/>
      <c r="H119" s="367"/>
      <c r="I119" s="365"/>
    </row>
    <row r="120" spans="2:9" x14ac:dyDescent="0.25">
      <c r="B120" s="365"/>
      <c r="C120" s="365"/>
      <c r="D120" s="365"/>
      <c r="E120" s="366"/>
      <c r="F120" s="367"/>
      <c r="G120" s="365"/>
      <c r="H120" s="367"/>
      <c r="I120" s="365"/>
    </row>
    <row r="121" spans="2:9" x14ac:dyDescent="0.25">
      <c r="B121" s="365"/>
      <c r="C121" s="365"/>
      <c r="D121" s="365"/>
      <c r="E121" s="366"/>
      <c r="F121" s="367"/>
      <c r="G121" s="365"/>
      <c r="H121" s="367"/>
      <c r="I121" s="365"/>
    </row>
    <row r="122" spans="2:9" x14ac:dyDescent="0.25">
      <c r="B122" s="365"/>
      <c r="C122" s="365"/>
      <c r="D122" s="365"/>
      <c r="E122" s="366"/>
      <c r="F122" s="367"/>
      <c r="G122" s="365"/>
      <c r="H122" s="367"/>
      <c r="I122" s="365"/>
    </row>
    <row r="123" spans="2:9" x14ac:dyDescent="0.25">
      <c r="B123" s="365"/>
      <c r="C123" s="365"/>
      <c r="D123" s="365"/>
      <c r="E123" s="366"/>
      <c r="F123" s="367"/>
      <c r="G123" s="365"/>
      <c r="H123" s="367"/>
      <c r="I123" s="365"/>
    </row>
    <row r="124" spans="2:9" x14ac:dyDescent="0.25">
      <c r="B124" s="365"/>
      <c r="C124" s="365"/>
      <c r="D124" s="365"/>
      <c r="E124" s="366"/>
      <c r="F124" s="367"/>
      <c r="G124" s="365"/>
      <c r="H124" s="367"/>
      <c r="I124" s="365"/>
    </row>
    <row r="125" spans="2:9" x14ac:dyDescent="0.25">
      <c r="B125" s="365"/>
      <c r="C125" s="365"/>
      <c r="D125" s="365"/>
      <c r="E125" s="366"/>
      <c r="F125" s="367"/>
      <c r="G125" s="365"/>
      <c r="H125" s="367"/>
      <c r="I125" s="365"/>
    </row>
    <row r="126" spans="2:9" x14ac:dyDescent="0.25">
      <c r="B126" s="365"/>
      <c r="C126" s="365"/>
      <c r="D126" s="365"/>
      <c r="E126" s="366"/>
      <c r="F126" s="367"/>
      <c r="G126" s="365"/>
      <c r="H126" s="367"/>
      <c r="I126" s="365"/>
    </row>
    <row r="127" spans="2:9" x14ac:dyDescent="0.25">
      <c r="B127" s="365"/>
      <c r="C127" s="365"/>
      <c r="D127" s="365"/>
      <c r="E127" s="366"/>
      <c r="F127" s="367"/>
      <c r="G127" s="365"/>
      <c r="H127" s="367"/>
      <c r="I127" s="365"/>
    </row>
    <row r="128" spans="2:9" x14ac:dyDescent="0.25">
      <c r="B128" s="365"/>
      <c r="C128" s="365"/>
      <c r="D128" s="365"/>
      <c r="E128" s="366"/>
      <c r="F128" s="367"/>
      <c r="G128" s="365"/>
      <c r="H128" s="367"/>
      <c r="I128" s="365"/>
    </row>
    <row r="129" spans="2:9" x14ac:dyDescent="0.25">
      <c r="B129" s="365"/>
      <c r="C129" s="365"/>
      <c r="D129" s="365"/>
      <c r="E129" s="366"/>
      <c r="F129" s="367"/>
      <c r="G129" s="365"/>
      <c r="H129" s="367"/>
      <c r="I129" s="365"/>
    </row>
    <row r="130" spans="2:9" x14ac:dyDescent="0.25">
      <c r="B130" s="365"/>
      <c r="C130" s="365"/>
      <c r="D130" s="365"/>
      <c r="E130" s="366"/>
      <c r="F130" s="367"/>
      <c r="G130" s="365"/>
      <c r="H130" s="367"/>
      <c r="I130" s="365"/>
    </row>
    <row r="131" spans="2:9" x14ac:dyDescent="0.25">
      <c r="B131" s="365"/>
      <c r="C131" s="365"/>
      <c r="D131" s="365"/>
      <c r="E131" s="366"/>
      <c r="F131" s="367"/>
      <c r="G131" s="365"/>
      <c r="H131" s="367"/>
      <c r="I131" s="365"/>
    </row>
    <row r="132" spans="2:9" x14ac:dyDescent="0.25">
      <c r="B132" s="365"/>
      <c r="C132" s="365"/>
      <c r="D132" s="365"/>
      <c r="E132" s="366"/>
      <c r="F132" s="367"/>
      <c r="G132" s="365"/>
      <c r="H132" s="367"/>
      <c r="I132" s="365"/>
    </row>
    <row r="133" spans="2:9" x14ac:dyDescent="0.25">
      <c r="B133" s="365"/>
      <c r="C133" s="365"/>
      <c r="D133" s="365"/>
      <c r="E133" s="366"/>
      <c r="F133" s="367"/>
      <c r="G133" s="365"/>
      <c r="H133" s="367"/>
      <c r="I133" s="365"/>
    </row>
    <row r="134" spans="2:9" x14ac:dyDescent="0.25">
      <c r="B134" s="365"/>
      <c r="C134" s="365"/>
      <c r="D134" s="365"/>
      <c r="E134" s="366"/>
      <c r="F134" s="367"/>
      <c r="G134" s="365"/>
      <c r="H134" s="367"/>
      <c r="I134" s="365"/>
    </row>
    <row r="135" spans="2:9" x14ac:dyDescent="0.25">
      <c r="B135" s="365"/>
      <c r="C135" s="365"/>
      <c r="D135" s="365"/>
      <c r="E135" s="366"/>
      <c r="F135" s="367"/>
      <c r="G135" s="365"/>
      <c r="H135" s="367"/>
      <c r="I135" s="365"/>
    </row>
    <row r="136" spans="2:9" x14ac:dyDescent="0.25">
      <c r="B136" s="365"/>
      <c r="C136" s="365"/>
      <c r="D136" s="365"/>
      <c r="E136" s="366"/>
      <c r="F136" s="367"/>
      <c r="G136" s="365"/>
      <c r="H136" s="367"/>
      <c r="I136" s="365"/>
    </row>
    <row r="137" spans="2:9" x14ac:dyDescent="0.25">
      <c r="B137" s="365"/>
      <c r="C137" s="365"/>
      <c r="D137" s="365"/>
      <c r="E137" s="366"/>
      <c r="F137" s="367"/>
      <c r="G137" s="365"/>
      <c r="H137" s="367"/>
      <c r="I137" s="365"/>
    </row>
    <row r="138" spans="2:9" x14ac:dyDescent="0.25">
      <c r="B138" s="365"/>
      <c r="C138" s="365"/>
      <c r="D138" s="365"/>
      <c r="E138" s="366"/>
      <c r="F138" s="367"/>
      <c r="G138" s="365"/>
      <c r="H138" s="367"/>
      <c r="I138" s="365"/>
    </row>
    <row r="139" spans="2:9" x14ac:dyDescent="0.25">
      <c r="B139" s="365"/>
      <c r="C139" s="365"/>
      <c r="D139" s="365"/>
      <c r="E139" s="366"/>
      <c r="F139" s="367"/>
      <c r="G139" s="365"/>
      <c r="H139" s="367"/>
      <c r="I139" s="365"/>
    </row>
    <row r="140" spans="2:9" x14ac:dyDescent="0.25">
      <c r="B140" s="365"/>
      <c r="C140" s="365"/>
      <c r="D140" s="365"/>
      <c r="E140" s="366"/>
      <c r="F140" s="367"/>
      <c r="G140" s="365"/>
      <c r="H140" s="367"/>
      <c r="I140" s="365"/>
    </row>
    <row r="141" spans="2:9" x14ac:dyDescent="0.25">
      <c r="B141" s="365"/>
      <c r="C141" s="365"/>
      <c r="D141" s="365"/>
      <c r="E141" s="366"/>
      <c r="F141" s="367"/>
      <c r="G141" s="365"/>
      <c r="H141" s="367"/>
      <c r="I141" s="365"/>
    </row>
    <row r="142" spans="2:9" x14ac:dyDescent="0.25">
      <c r="B142" s="365"/>
      <c r="C142" s="365"/>
      <c r="D142" s="365"/>
      <c r="E142" s="366"/>
      <c r="F142" s="367"/>
      <c r="G142" s="365"/>
      <c r="H142" s="367"/>
      <c r="I142" s="365"/>
    </row>
    <row r="143" spans="2:9" x14ac:dyDescent="0.25">
      <c r="B143" s="365"/>
      <c r="C143" s="365"/>
      <c r="D143" s="365"/>
      <c r="E143" s="366"/>
      <c r="F143" s="367"/>
      <c r="G143" s="365"/>
      <c r="H143" s="367"/>
      <c r="I143" s="365"/>
    </row>
    <row r="144" spans="2:9" x14ac:dyDescent="0.25">
      <c r="B144" s="365"/>
      <c r="C144" s="365"/>
      <c r="D144" s="365"/>
      <c r="E144" s="366"/>
      <c r="F144" s="367"/>
      <c r="G144" s="365"/>
      <c r="H144" s="367"/>
      <c r="I144" s="365"/>
    </row>
    <row r="145" spans="2:9" x14ac:dyDescent="0.25">
      <c r="B145" s="365"/>
      <c r="C145" s="365"/>
      <c r="D145" s="365"/>
      <c r="E145" s="366"/>
      <c r="F145" s="367"/>
      <c r="G145" s="365"/>
      <c r="H145" s="367"/>
      <c r="I145" s="365"/>
    </row>
    <row r="146" spans="2:9" x14ac:dyDescent="0.25">
      <c r="B146" s="365"/>
      <c r="C146" s="365"/>
      <c r="D146" s="365"/>
      <c r="E146" s="366"/>
      <c r="F146" s="367"/>
      <c r="G146" s="365"/>
      <c r="H146" s="367"/>
      <c r="I146" s="365"/>
    </row>
    <row r="147" spans="2:9" x14ac:dyDescent="0.25">
      <c r="B147" s="365"/>
      <c r="C147" s="365"/>
      <c r="D147" s="365"/>
      <c r="E147" s="366"/>
      <c r="F147" s="367"/>
      <c r="G147" s="365"/>
      <c r="H147" s="367"/>
      <c r="I147" s="365"/>
    </row>
    <row r="148" spans="2:9" x14ac:dyDescent="0.25">
      <c r="B148" s="365"/>
      <c r="C148" s="365"/>
      <c r="D148" s="365"/>
      <c r="E148" s="366"/>
      <c r="F148" s="367"/>
      <c r="G148" s="365"/>
      <c r="H148" s="367"/>
      <c r="I148" s="365"/>
    </row>
    <row r="149" spans="2:9" x14ac:dyDescent="0.25">
      <c r="B149" s="365"/>
      <c r="C149" s="365"/>
      <c r="D149" s="365"/>
      <c r="E149" s="366"/>
      <c r="F149" s="367"/>
    </row>
    <row r="150" spans="2:9" x14ac:dyDescent="0.25">
      <c r="B150" s="365"/>
      <c r="C150" s="365"/>
      <c r="D150" s="365"/>
      <c r="E150" s="366"/>
      <c r="F150" s="367"/>
    </row>
    <row r="151" spans="2:9" x14ac:dyDescent="0.25">
      <c r="B151" s="365"/>
      <c r="C151" s="365"/>
      <c r="D151" s="365"/>
      <c r="E151" s="366"/>
      <c r="F151" s="367"/>
    </row>
    <row r="152" spans="2:9" x14ac:dyDescent="0.25">
      <c r="B152" s="365"/>
      <c r="C152" s="365"/>
      <c r="D152" s="365"/>
      <c r="E152" s="366"/>
      <c r="F152" s="367"/>
    </row>
    <row r="153" spans="2:9" x14ac:dyDescent="0.25">
      <c r="B153" s="365"/>
      <c r="C153" s="365"/>
      <c r="D153" s="365"/>
      <c r="E153" s="366"/>
      <c r="F153" s="367"/>
    </row>
    <row r="154" spans="2:9" x14ac:dyDescent="0.25">
      <c r="B154" s="365"/>
      <c r="C154" s="365"/>
      <c r="D154" s="365"/>
      <c r="E154" s="366"/>
      <c r="F154" s="367"/>
    </row>
    <row r="155" spans="2:9" x14ac:dyDescent="0.25">
      <c r="B155" s="365"/>
      <c r="C155" s="365"/>
      <c r="D155" s="365"/>
      <c r="E155" s="366"/>
      <c r="F155" s="367"/>
    </row>
    <row r="156" spans="2:9" x14ac:dyDescent="0.25">
      <c r="B156" s="365"/>
      <c r="C156" s="365"/>
      <c r="D156" s="365"/>
      <c r="E156" s="366"/>
      <c r="F156" s="367"/>
    </row>
    <row r="157" spans="2:9" x14ac:dyDescent="0.25">
      <c r="B157" s="365"/>
      <c r="C157" s="365"/>
      <c r="D157" s="365"/>
      <c r="E157" s="366"/>
      <c r="F157" s="367"/>
    </row>
    <row r="158" spans="2:9" x14ac:dyDescent="0.25">
      <c r="B158" s="365"/>
      <c r="C158" s="365"/>
      <c r="D158" s="365"/>
      <c r="E158" s="366"/>
      <c r="F158" s="367"/>
    </row>
    <row r="159" spans="2:9" x14ac:dyDescent="0.25">
      <c r="B159" s="365"/>
      <c r="C159" s="365"/>
      <c r="D159" s="365"/>
      <c r="E159" s="366"/>
      <c r="F159" s="367"/>
    </row>
    <row r="160" spans="2:9" x14ac:dyDescent="0.25">
      <c r="B160" s="365"/>
      <c r="C160" s="365"/>
      <c r="D160" s="365"/>
      <c r="E160" s="366"/>
      <c r="F160" s="367"/>
    </row>
    <row r="173" spans="1:15" s="369" customFormat="1" x14ac:dyDescent="0.25">
      <c r="A173" s="364"/>
      <c r="B173" s="364"/>
      <c r="C173" s="364"/>
      <c r="D173" s="364"/>
      <c r="E173" s="370"/>
      <c r="F173" s="368"/>
      <c r="G173" s="364"/>
      <c r="H173" s="368"/>
      <c r="I173" s="364"/>
      <c r="J173" s="364"/>
      <c r="K173" s="364"/>
      <c r="N173" s="407"/>
      <c r="O173" s="364"/>
    </row>
    <row r="174" spans="1:15" s="369" customFormat="1" x14ac:dyDescent="0.25">
      <c r="A174" s="364"/>
      <c r="B174" s="364"/>
      <c r="C174" s="364"/>
      <c r="D174" s="364"/>
      <c r="E174" s="370"/>
      <c r="F174" s="368"/>
      <c r="G174" s="364"/>
      <c r="H174" s="368"/>
      <c r="I174" s="364"/>
      <c r="J174" s="364"/>
      <c r="K174" s="364"/>
      <c r="N174" s="407"/>
      <c r="O174" s="364"/>
    </row>
    <row r="175" spans="1:15" s="369" customFormat="1" x14ac:dyDescent="0.25">
      <c r="A175" s="364"/>
      <c r="B175" s="364"/>
      <c r="C175" s="364"/>
      <c r="D175" s="364"/>
      <c r="E175" s="370"/>
      <c r="F175" s="368"/>
      <c r="G175" s="364"/>
      <c r="H175" s="368"/>
      <c r="I175" s="364"/>
      <c r="J175" s="364"/>
      <c r="K175" s="364"/>
      <c r="N175" s="407"/>
      <c r="O175" s="364"/>
    </row>
    <row r="176" spans="1:15" s="369" customFormat="1" x14ac:dyDescent="0.25">
      <c r="A176" s="364"/>
      <c r="B176" s="364"/>
      <c r="C176" s="364"/>
      <c r="D176" s="364"/>
      <c r="E176" s="370"/>
      <c r="F176" s="368"/>
      <c r="G176" s="364"/>
      <c r="H176" s="368"/>
      <c r="I176" s="364"/>
      <c r="J176" s="364"/>
      <c r="K176" s="364"/>
      <c r="N176" s="407"/>
      <c r="O176" s="364"/>
    </row>
    <row r="177" spans="1:15" s="369" customFormat="1" x14ac:dyDescent="0.25">
      <c r="A177" s="364"/>
      <c r="B177" s="364"/>
      <c r="C177" s="364"/>
      <c r="D177" s="364"/>
      <c r="E177" s="370"/>
      <c r="F177" s="368"/>
      <c r="G177" s="364"/>
      <c r="H177" s="368"/>
      <c r="I177" s="364"/>
      <c r="J177" s="364"/>
      <c r="K177" s="364"/>
      <c r="N177" s="407"/>
      <c r="O177" s="364"/>
    </row>
  </sheetData>
  <autoFilter ref="A1:K36" xr:uid="{729C0C20-88A3-4992-B356-C52BE4B1B08F}"/>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7C74A-67DD-4D4A-939F-AE62E5DB2A72}">
  <dimension ref="A1:K197"/>
  <sheetViews>
    <sheetView workbookViewId="0"/>
  </sheetViews>
  <sheetFormatPr defaultRowHeight="14.5" x14ac:dyDescent="0.35"/>
  <cols>
    <col min="1" max="1" width="4.81640625" customWidth="1"/>
    <col min="2" max="2" width="9.453125" customWidth="1"/>
    <col min="3" max="3" width="10.54296875" style="66" customWidth="1"/>
    <col min="4" max="4" width="9.36328125" customWidth="1"/>
    <col min="5" max="5" width="27.6328125" customWidth="1"/>
    <col min="6" max="6" width="19.90625" customWidth="1"/>
    <col min="7" max="7" width="23" customWidth="1"/>
    <col min="8" max="9" width="9.6328125" customWidth="1"/>
    <col min="10" max="10" width="52.36328125" bestFit="1" customWidth="1"/>
  </cols>
  <sheetData>
    <row r="1" spans="1:11" s="59" customFormat="1" x14ac:dyDescent="0.35">
      <c r="A1" s="135" t="s">
        <v>2094</v>
      </c>
      <c r="B1" s="135" t="str" cm="1">
        <f t="array" ref="B1:K1">TRANSPOSE(CHOOSE({1;2;3;4;5;6;7;8;9;10},ANNOUNCEMENTS!A1:A1,ANNOUNCEMENTS!C1:C1,ANNOUNCEMENTS!D1:D1,ANNOUNCEMENTS!E1:E1,ANNOUNCEMENTS!J1:J1,ANNOUNCEMENTS!K1:K1,ANNOUNCEMENTS!W1:W1,ANNOUNCEMENTS!Z1:Z1,ANNOUNCEMENTS!AB1:AB1,ANNOUNCEMENTS!AD1:AD1))</f>
        <v>URL</v>
      </c>
      <c r="C1" s="286" t="str">
        <v>Date</v>
      </c>
      <c r="D1" s="135" t="str">
        <v>Title</v>
      </c>
      <c r="E1" s="135" t="str">
        <v>Company</v>
      </c>
      <c r="F1" s="135" t="str">
        <v>Usecase Announcement</v>
      </c>
      <c r="G1" s="135" t="str">
        <v>ALL PARTNERS</v>
      </c>
      <c r="H1" s="135" t="str">
        <v>Contract number</v>
      </c>
      <c r="I1" s="135" t="str">
        <v>Purpose 1</v>
      </c>
      <c r="J1" s="59" t="str">
        <v xml:space="preserve">Purpose 2 </v>
      </c>
      <c r="K1" s="59" t="str">
        <v>Purpose 3</v>
      </c>
    </row>
    <row r="2" spans="1:11" x14ac:dyDescent="0.35">
      <c r="A2" s="134">
        <v>1</v>
      </c>
      <c r="B2" s="135" t="str" cm="1">
        <f t="array" ref="B2:K2">TRANSPOSE(CHOOSE({1;2;3;4;5;6;7;8;9;10},ANNOUNCEMENTS!A2:A2,ANNOUNCEMENTS!C2:C2,ANNOUNCEMENTS!D2:D2,ANNOUNCEMENTS!E2:E2,ANNOUNCEMENTS!J2:J2,ANNOUNCEMENTS!K2:K2,ANNOUNCEMENTS!W2:W2,ANNOUNCEMENTS!Z2:Z2,ANNOUNCEMENTS!AB2:AB2,ANNOUNCEMENTS!AD2:AD2))</f>
        <v>https://www.2getthere.eu/news/strategic-cooperation-agreement-with-sltn-extended/</v>
      </c>
      <c r="C2" s="286">
        <v>42249</v>
      </c>
      <c r="D2" s="135" t="str">
        <v>Strategic Cooperation Agreement with SLTN extended</v>
      </c>
      <c r="E2" s="135" t="str">
        <v>2getthere</v>
      </c>
      <c r="F2" s="135" t="str">
        <v>Ridepooling</v>
      </c>
      <c r="G2" s="135" t="str">
        <v>SLTN</v>
      </c>
      <c r="H2" s="135" t="str">
        <v xml:space="preserve">2.2. Renewed Alliance </v>
      </c>
      <c r="I2" s="135" t="str">
        <v>Joint D&amp;D</v>
      </c>
      <c r="J2" s="59">
        <v>0</v>
      </c>
      <c r="K2" s="59">
        <v>0</v>
      </c>
    </row>
    <row r="3" spans="1:11" x14ac:dyDescent="0.35">
      <c r="A3" s="134">
        <f>A2+1</f>
        <v>2</v>
      </c>
      <c r="B3" s="135" t="str" cm="1">
        <f t="array" ref="B3:K3">TRANSPOSE(CHOOSE({1;2;3;4;5;6;7;8;9;10},ANNOUNCEMENTS!A3:A3,ANNOUNCEMENTS!C3:C3,ANNOUNCEMENTS!D3:D3,ANNOUNCEMENTS!E3:E3,ANNOUNCEMENTS!J3:J3,ANNOUNCEMENTS!K3:K3,ANNOUNCEMENTS!W3:W3,ANNOUNCEMENTS!Z3:Z3,ANNOUNCEMENTS!AB3:AB3,ANNOUNCEMENTS!AD3:AD3))</f>
        <v>https://www.2getthere.eu/news/partnering-with-benteler/</v>
      </c>
      <c r="C3" s="286">
        <v>42213</v>
      </c>
      <c r="D3" s="135" t="str">
        <v>2getthere partners with Benteler for the engineering of the 3rd generation GRT</v>
      </c>
      <c r="E3" s="135" t="str">
        <v>2getthere</v>
      </c>
      <c r="F3" s="135" t="str">
        <v>Ridepooling</v>
      </c>
      <c r="G3" s="135" t="str">
        <v>Benteler</v>
      </c>
      <c r="H3" s="135" t="str">
        <v xml:space="preserve">2.2. Renewed Alliance </v>
      </c>
      <c r="I3" s="135" t="str">
        <v>Joint Production</v>
      </c>
      <c r="J3" s="59">
        <v>0</v>
      </c>
      <c r="K3" s="59">
        <v>0</v>
      </c>
    </row>
    <row r="4" spans="1:11" x14ac:dyDescent="0.35">
      <c r="A4" s="134">
        <f t="shared" ref="A4:A67" si="0">A3+1</f>
        <v>3</v>
      </c>
      <c r="B4" s="135" t="str" cm="1">
        <f t="array" ref="B4:K4">TRANSPOSE(CHOOSE({1;2;3;4;5;6;7;8;9;10},ANNOUNCEMENTS!A4:A4,ANNOUNCEMENTS!C4:C4,ANNOUNCEMENTS!D4:D4,ANNOUNCEMENTS!E4:E4,ANNOUNCEMENTS!J4:J4,ANNOUNCEMENTS!K4:K4,ANNOUNCEMENTS!W4:W4,ANNOUNCEMENTS!Z4:Z4,ANNOUNCEMENTS!AB4:AB4,ANNOUNCEMENTS!AD4:AD4))</f>
        <v>https://www.2getthere.eu/news/singapore-partnership/</v>
      </c>
      <c r="C4" s="286">
        <v>41793</v>
      </c>
      <c r="D4" s="135" t="str">
        <v>SMRT and 2getthere enter into a partnership for Singapore</v>
      </c>
      <c r="E4" s="135" t="str">
        <v>2getthere</v>
      </c>
      <c r="F4" s="135" t="str">
        <v>Ridepooling</v>
      </c>
      <c r="G4" s="135" t="str">
        <v>SMRT</v>
      </c>
      <c r="H4" s="135" t="str">
        <v>2.4. Exclusive Alliance</v>
      </c>
      <c r="I4" s="135" t="str">
        <v>Joint Service Agreement</v>
      </c>
      <c r="J4" s="59">
        <v>0</v>
      </c>
      <c r="K4" s="59">
        <v>0</v>
      </c>
    </row>
    <row r="5" spans="1:11" x14ac:dyDescent="0.35">
      <c r="A5" s="134">
        <f t="shared" si="0"/>
        <v>4</v>
      </c>
      <c r="B5" s="135" t="str" cm="1">
        <f t="array" ref="B5:K5">TRANSPOSE(CHOOSE({1;2;3;4;5;6;7;8;9;10},ANNOUNCEMENTS!A5:A5,ANNOUNCEMENTS!C5:C5,ANNOUNCEMENTS!D5:D5,ANNOUNCEMENTS!E5:E5,ANNOUNCEMENTS!J5:J5,ANNOUNCEMENTS!K5:K5,ANNOUNCEMENTS!W5:W5,ANNOUNCEMENTS!Z5:Z5,ANNOUNCEMENTS!AB5:AB5,ANNOUNCEMENTS!AD5:AD5))</f>
        <v>https://www.2getthere.eu/news/uae-partner-united-technical-services-takes-a-stake-in-2getthere/</v>
      </c>
      <c r="C5" s="286">
        <v>42394</v>
      </c>
      <c r="D5" s="135" t="str">
        <v>UAE partner United Technical Services takes a stake in 2getthere</v>
      </c>
      <c r="E5" s="135" t="str">
        <v>2getthere</v>
      </c>
      <c r="F5" s="135" t="str">
        <v>Ridepooling</v>
      </c>
      <c r="G5" s="135" t="str">
        <v>United Technical Services</v>
      </c>
      <c r="H5" s="135" t="str">
        <v>3. Strategic Partnership</v>
      </c>
      <c r="I5" s="135" t="str">
        <v>Other</v>
      </c>
      <c r="J5" s="59">
        <v>0</v>
      </c>
      <c r="K5" s="59">
        <v>0</v>
      </c>
    </row>
    <row r="6" spans="1:11" x14ac:dyDescent="0.35">
      <c r="A6" s="134">
        <f t="shared" si="0"/>
        <v>5</v>
      </c>
      <c r="B6" s="135" t="str" cm="1">
        <f t="array" ref="B6:K6">TRANSPOSE(CHOOSE({1;2;3;4;5;6;7;8;9;10},ANNOUNCEMENTS!A6:A6,ANNOUNCEMENTS!C6:C6,ANNOUNCEMENTS!D6:D6,ANNOUNCEMENTS!E6:E6,ANNOUNCEMENTS!J6:J6,ANNOUNCEMENTS!K6:K6,ANNOUNCEMENTS!W6:W6,ANNOUNCEMENTS!Z6:Z6,ANNOUNCEMENTS!AB6:AB6,ANNOUNCEMENTS!AD6:AD6))</f>
        <v>https://www.2getthere.eu/news/2getthere-asia-joint-venture/</v>
      </c>
      <c r="C6" s="286">
        <v>42480</v>
      </c>
      <c r="D6" s="135" t="str">
        <v>2getthere Asia Joint Venture established in Singapore</v>
      </c>
      <c r="E6" s="135" t="str">
        <v>2getthere</v>
      </c>
      <c r="F6" s="135" t="str">
        <v>Ridepooling</v>
      </c>
      <c r="G6" s="135" t="str">
        <v>SMRT</v>
      </c>
      <c r="H6" s="135" t="str">
        <v>4. Joint Venture</v>
      </c>
      <c r="I6" s="135" t="str">
        <v>Joint Service Agreement</v>
      </c>
      <c r="J6" s="59">
        <v>0</v>
      </c>
      <c r="K6" s="59">
        <v>0</v>
      </c>
    </row>
    <row r="7" spans="1:11" x14ac:dyDescent="0.35">
      <c r="A7" s="134">
        <f t="shared" si="0"/>
        <v>6</v>
      </c>
      <c r="B7" s="135" t="str" cm="1">
        <f t="array" ref="B7:K7">TRANSPOSE(CHOOSE({1;2;3;4;5;6;7;8;9;10},ANNOUNCEMENTS!A7:A7,ANNOUNCEMENTS!C7:C7,ANNOUNCEMENTS!D7:D7,ANNOUNCEMENTS!E7:E7,ANNOUNCEMENTS!J7:J7,ANNOUNCEMENTS!K7:K7,ANNOUNCEMENTS!W7:W7,ANNOUNCEMENTS!Z7:Z7,ANNOUNCEMENTS!AB7:AB7,ANNOUNCEMENTS!AD7:AD7))</f>
        <v>https://www.adastec.com/news-coverage/adastec-and-vicinity-motor-corp-collaborate-to-deploy-automated-bus-at-michigan-state-university</v>
      </c>
      <c r="C7" s="286">
        <v>44935</v>
      </c>
      <c r="D7" s="135" t="str">
        <v>ADASTEC and Vicinity Motor Corp. Collaborate to Deploy Automated Bus at Michigan State University</v>
      </c>
      <c r="E7" s="135" t="str">
        <v>ADASTEC</v>
      </c>
      <c r="F7" s="135" t="str">
        <v>Ridepooling</v>
      </c>
      <c r="G7" s="135" t="str">
        <v>Vicinity Motor Corp.</v>
      </c>
      <c r="H7" s="135" t="str">
        <v>2.1. Short term Alliance (no exclusivity / previous experience)</v>
      </c>
      <c r="I7" s="135" t="str">
        <v>Joint D&amp;D</v>
      </c>
      <c r="J7" s="59">
        <v>0</v>
      </c>
      <c r="K7" s="59">
        <v>0</v>
      </c>
    </row>
    <row r="8" spans="1:11" x14ac:dyDescent="0.35">
      <c r="A8" s="134">
        <f t="shared" si="0"/>
        <v>7</v>
      </c>
      <c r="B8" s="135" t="str" cm="1">
        <f t="array" ref="B8:K8">TRANSPOSE(CHOOSE({1;2;3;4;5;6;7;8;9;10},ANNOUNCEMENTS!A8:A8,ANNOUNCEMENTS!C8:C8,ANNOUNCEMENTS!D8:D8,ANNOUNCEMENTS!E8:E8,ANNOUNCEMENTS!J8:J8,ANNOUNCEMENTS!K8:K8,ANNOUNCEMENTS!W8:W8,ANNOUNCEMENTS!Z8:Z8,ANNOUNCEMENTS!AB8:AB8,ANNOUNCEMENTS!AD8:AD8))</f>
        <v>https://www.adastec.com/news-coverage/adastec-and-vicinity-motor-corp-partner-to-deploy-automated-bus-at-the-university-at-buffalo</v>
      </c>
      <c r="C8" s="286">
        <v>44931</v>
      </c>
      <c r="D8" s="135" t="str">
        <v>ADASTEC and Vicinity Motor Corp. Partner to Deploy Automated Bus at the University at Buffalo</v>
      </c>
      <c r="E8" s="135" t="str">
        <v>ADASTEC</v>
      </c>
      <c r="F8" s="135" t="str">
        <v>Ridepooling</v>
      </c>
      <c r="G8" s="135" t="str">
        <v>Vicinity Motor Corp.</v>
      </c>
      <c r="H8" s="135" t="str">
        <v>2.1. Short term Alliance (no exclusivity / previous experience)</v>
      </c>
      <c r="I8" s="135" t="str">
        <v>Joint D&amp;D</v>
      </c>
      <c r="J8" s="59">
        <v>0</v>
      </c>
      <c r="K8" s="59">
        <v>0</v>
      </c>
    </row>
    <row r="9" spans="1:11" x14ac:dyDescent="0.35">
      <c r="A9" s="134">
        <f t="shared" si="0"/>
        <v>8</v>
      </c>
      <c r="B9" s="135" t="str" cm="1">
        <f t="array" ref="B9:K9">TRANSPOSE(CHOOSE({1;2;3;4;5;6;7;8;9;10},ANNOUNCEMENTS!A9:A9,ANNOUNCEMENTS!C9:C9,ANNOUNCEMENTS!D9:D9,ANNOUNCEMENTS!E9:E9,ANNOUNCEMENTS!J9:J9,ANNOUNCEMENTS!K9:K9,ANNOUNCEMENTS!W9:W9,ANNOUNCEMENTS!Z9:Z9,ANNOUNCEMENTS!AB9:AB9,ANNOUNCEMENTS!AD9:AD9))</f>
        <v>https://ir.aurora.tech/news-events/press-releases/detail/68/continental-and-aurora-partner-to-realize-commercially</v>
      </c>
      <c r="C9" s="286">
        <v>45043</v>
      </c>
      <c r="D9" s="135" t="str">
        <v>Continental and Aurora Partner to Realize Commercially Scalable Autonomous Trucking Systems</v>
      </c>
      <c r="E9" s="135" t="str">
        <v>Aurora</v>
      </c>
      <c r="F9" s="135" t="str">
        <v>Trucking</v>
      </c>
      <c r="G9" s="135" t="str">
        <v>Continental</v>
      </c>
      <c r="H9" s="135" t="str">
        <v>2.3. Long term Alliance</v>
      </c>
      <c r="I9" s="135" t="str">
        <v>Joint D&amp;D</v>
      </c>
      <c r="J9" s="59" t="str">
        <v>Joint Production</v>
      </c>
      <c r="K9" s="59">
        <v>0</v>
      </c>
    </row>
    <row r="10" spans="1:11" x14ac:dyDescent="0.35">
      <c r="A10" s="134">
        <f t="shared" si="0"/>
        <v>9</v>
      </c>
      <c r="B10" s="135" t="str" cm="1">
        <f t="array" ref="B10:K10">TRANSPOSE(CHOOSE({1;2;3;4;5;6;7;8;9;10},ANNOUNCEMENTS!A10:A10,ANNOUNCEMENTS!C10:C10,ANNOUNCEMENTS!D10:D10,ANNOUNCEMENTS!E10:E10,ANNOUNCEMENTS!J10:J10,ANNOUNCEMENTS!K10:K10,ANNOUNCEMENTS!W10:W10,ANNOUNCEMENTS!Z10:Z10,ANNOUNCEMENTS!AB10:AB10,ANNOUNCEMENTS!AD10:AD10))</f>
        <v>https://ir.aurora.tech/news-events/press-releases/detail/69/aurora-expands-commercial-operations-through-partnership</v>
      </c>
      <c r="C10" s="286">
        <v>45048</v>
      </c>
      <c r="D10" s="135" t="str">
        <v>Aurora Expands Commercial Operations Through Partnership with Hirschbach, Refrigerated Trucking Leader</v>
      </c>
      <c r="E10" s="135" t="str">
        <v>Aurora</v>
      </c>
      <c r="F10" s="135" t="str">
        <v>Trucking</v>
      </c>
      <c r="G10" s="135" t="str">
        <v>Hirschbach</v>
      </c>
      <c r="H10" s="135" t="str">
        <v>2.1. Short term Alliance (no exclusivity / previous experience)</v>
      </c>
      <c r="I10" s="135" t="str">
        <v>Supply Partnership (extended)</v>
      </c>
      <c r="J10" s="59">
        <v>0</v>
      </c>
      <c r="K10" s="59">
        <v>0</v>
      </c>
    </row>
    <row r="11" spans="1:11" x14ac:dyDescent="0.35">
      <c r="A11" s="134">
        <f t="shared" si="0"/>
        <v>10</v>
      </c>
      <c r="B11" s="135" t="str" cm="1">
        <f t="array" ref="B11:K11">TRANSPOSE(CHOOSE({1;2;3;4;5;6;7;8;9;10},ANNOUNCEMENTS!A11:A11,ANNOUNCEMENTS!C11:C11,ANNOUNCEMENTS!D11:D11,ANNOUNCEMENTS!E11:E11,ANNOUNCEMENTS!J11:J11,ANNOUNCEMENTS!K11:K11,ANNOUNCEMENTS!W11:W11,ANNOUNCEMENTS!Z11:Z11,ANNOUNCEMENTS!AB11:AB11,ANNOUNCEMENTS!AD11:AD11))</f>
        <v>https://ir.aurora.tech/news-events/press-releases/detail/42/covenant-and-aurora-announce-collaboration-to-transform</v>
      </c>
      <c r="C11" s="286">
        <v>44692</v>
      </c>
      <c r="D11" s="135" t="str">
        <v>Covenant and Aurora Announce Collaboration to Transform Long-Haul Trucking</v>
      </c>
      <c r="E11" s="135" t="str">
        <v>Aurora</v>
      </c>
      <c r="F11" s="135" t="str">
        <v>Trucking</v>
      </c>
      <c r="G11" s="135" t="str">
        <v>Covenant</v>
      </c>
      <c r="H11" s="135" t="str">
        <v>2.1. Short term Alliance (no exclusivity / previous experience)</v>
      </c>
      <c r="I11" s="135" t="str">
        <v>Supply Partnership (extended)</v>
      </c>
      <c r="J11" s="59">
        <v>0</v>
      </c>
      <c r="K11" s="59">
        <v>0</v>
      </c>
    </row>
    <row r="12" spans="1:11" x14ac:dyDescent="0.35">
      <c r="A12" s="134">
        <f t="shared" si="0"/>
        <v>11</v>
      </c>
      <c r="B12" s="135" t="str" cm="1">
        <f t="array" ref="B12:K12">TRANSPOSE(CHOOSE({1;2;3;4;5;6;7;8;9;10},ANNOUNCEMENTS!A12:A12,ANNOUNCEMENTS!C12:C12,ANNOUNCEMENTS!D12:D12,ANNOUNCEMENTS!E12:E12,ANNOUNCEMENTS!J12:J12,ANNOUNCEMENTS!K12:K12,ANNOUNCEMENTS!W12:W12,ANNOUNCEMENTS!Z12:Z12,ANNOUNCEMENTS!AB12:AB12,ANNOUNCEMENTS!AD12:AD12))</f>
        <v>https://ir.aurora.tech/news-events/press-releases/detail/31/u-s-xpress-and-aurora-announce-collaboration-for-the</v>
      </c>
      <c r="C12" s="286">
        <v>44606</v>
      </c>
      <c r="D12" s="135" t="str">
        <v>U.S. Xpress and Aurora Announce Collaboration for the Intelligent Deployment of Autonomous Trucks</v>
      </c>
      <c r="E12" s="135" t="str">
        <v>Aurora</v>
      </c>
      <c r="F12" s="135" t="str">
        <v>Trucking</v>
      </c>
      <c r="G12" s="135" t="str">
        <v>U.S. Xpress</v>
      </c>
      <c r="H12" s="135" t="str">
        <v>2.1. Short term Alliance (no exclusivity / previous experience)</v>
      </c>
      <c r="I12" s="135" t="str">
        <v>Supply Partnership (extended)</v>
      </c>
      <c r="J12" s="59">
        <v>0</v>
      </c>
      <c r="K12" s="59">
        <v>0</v>
      </c>
    </row>
    <row r="13" spans="1:11" x14ac:dyDescent="0.35">
      <c r="A13" s="134">
        <f t="shared" si="0"/>
        <v>12</v>
      </c>
      <c r="B13" s="135" t="str" cm="1">
        <f t="array" ref="B13:K13">TRANSPOSE(CHOOSE({1;2;3;4;5;6;7;8;9;10},ANNOUNCEMENTS!A13:A13,ANNOUNCEMENTS!C13:C13,ANNOUNCEMENTS!D13:D13,ANNOUNCEMENTS!E13:E13,ANNOUNCEMENTS!J13:J13,ANNOUNCEMENTS!K13:K13,ANNOUNCEMENTS!W13:W13,ANNOUNCEMENTS!Z13:Z13,ANNOUNCEMENTS!AB13:AB13,ANNOUNCEMENTS!AD13:AD13))</f>
        <v>https://www.ridebeep.com/press-releases/north-carolina-department-of-transportation-and-beep-partner-for-autonomous-vehicle-testing-projects</v>
      </c>
      <c r="C13" s="286">
        <v>44999</v>
      </c>
      <c r="D13" s="135" t="str">
        <v>North Carolina Department of Transportation and Beep Partner for Autonomous Vehicle Testing Projects</v>
      </c>
      <c r="E13" s="135" t="str">
        <v>Beep</v>
      </c>
      <c r="F13" s="135" t="str">
        <v>Ridepooling</v>
      </c>
      <c r="G13" s="135" t="str">
        <v>North Carolina Department of Transportation</v>
      </c>
      <c r="H13" s="135" t="str">
        <v>2.1. Short term Alliance (no exclusivity / previous experience)</v>
      </c>
      <c r="I13" s="135" t="str">
        <v>Joint Service Agreement</v>
      </c>
      <c r="J13" s="59">
        <v>0</v>
      </c>
      <c r="K13" s="59">
        <v>0</v>
      </c>
    </row>
    <row r="14" spans="1:11" x14ac:dyDescent="0.35">
      <c r="A14" s="134">
        <f t="shared" si="0"/>
        <v>13</v>
      </c>
      <c r="B14" s="135" t="str" cm="1">
        <f t="array" ref="B14:K14">TRANSPOSE(CHOOSE({1;2;3;4;5;6;7;8;9;10},ANNOUNCEMENTS!A14:A14,ANNOUNCEMENTS!C14:C14,ANNOUNCEMENTS!D14:D14,ANNOUNCEMENTS!E14:E14,ANNOUNCEMENTS!J14:J14,ANNOUNCEMENTS!K14:K14,ANNOUNCEMENTS!W14:W14,ANNOUNCEMENTS!Z14:Z14,ANNOUNCEMENTS!AB14:AB14,ANNOUNCEMENTS!AD14:AD14))</f>
        <v>https://www.ridebeep.com/press-releases/contra-costa-transportation-authority-and-beep-partner-to-deliver-autonomous-vehicle-projects-in-california</v>
      </c>
      <c r="C14" s="286">
        <v>45037</v>
      </c>
      <c r="D14" s="135" t="str">
        <v>Contra Costa Transportation Authority and Beep Partner to Deliver Autonomous Vehicle Projects in California</v>
      </c>
      <c r="E14" s="135" t="str">
        <v>Beep</v>
      </c>
      <c r="F14" s="135" t="str">
        <v>Ridepooling</v>
      </c>
      <c r="G14" s="135" t="str">
        <v>Contra Costa Transportation Authority</v>
      </c>
      <c r="H14" s="135" t="str">
        <v>2.1. Short term Alliance (no exclusivity / previous experience)</v>
      </c>
      <c r="I14" s="135" t="str">
        <v>Joint Service Agreement</v>
      </c>
      <c r="J14" s="59">
        <v>0</v>
      </c>
      <c r="K14" s="59">
        <v>0</v>
      </c>
    </row>
    <row r="15" spans="1:11" x14ac:dyDescent="0.35">
      <c r="A15" s="134">
        <f t="shared" si="0"/>
        <v>14</v>
      </c>
      <c r="B15" s="135" t="str" cm="1">
        <f t="array" ref="B15:K15">TRANSPOSE(CHOOSE({1;2;3;4;5;6;7;8;9;10},ANNOUNCEMENTS!A15:A15,ANNOUNCEMENTS!C15:C15,ANNOUNCEMENTS!D15:D15,ANNOUNCEMENTS!E15:E15,ANNOUNCEMENTS!J15:J15,ANNOUNCEMENTS!K15:K15,ANNOUNCEMENTS!W15:W15,ANNOUNCEMENTS!Z15:Z15,ANNOUNCEMENTS!AB15:AB15,ANNOUNCEMENTS!AD15:AD15))</f>
        <v>https://ridebeep.com/press-releases/zf-announces-partnership-with-beep-unveils-next-generation-autonomous-shuttle</v>
      </c>
      <c r="C15" s="286">
        <v>44930</v>
      </c>
      <c r="D15" s="135" t="str">
        <v>ZF announces partnership with Beep, unveils next-generation autonomous shuttle</v>
      </c>
      <c r="E15" s="135" t="str">
        <v>Beep</v>
      </c>
      <c r="F15" s="135" t="str">
        <v>Ridepooling</v>
      </c>
      <c r="G15" s="135" t="str">
        <v>ZF</v>
      </c>
      <c r="H15" s="135" t="str">
        <v>2.3. Long term Alliance</v>
      </c>
      <c r="I15" s="135" t="str">
        <v>Joint Service Agreement</v>
      </c>
      <c r="J15" s="59">
        <v>0</v>
      </c>
      <c r="K15" s="59">
        <v>0</v>
      </c>
    </row>
    <row r="16" spans="1:11" x14ac:dyDescent="0.35">
      <c r="A16" s="134">
        <f t="shared" si="0"/>
        <v>15</v>
      </c>
      <c r="B16" s="135" t="str" cm="1">
        <f t="array" ref="B16:K16">TRANSPOSE(CHOOSE({1;2;3;4;5;6;7;8;9;10},ANNOUNCEMENTS!A16:A16,ANNOUNCEMENTS!C16:C16,ANNOUNCEMENTS!D16:D16,ANNOUNCEMENTS!E16:E16,ANNOUNCEMENTS!J16:J16,ANNOUNCEMENTS!K16:K16,ANNOUNCEMENTS!W16:W16,ANNOUNCEMENTS!Z16:Z16,ANNOUNCEMENTS!AB16:AB16,ANNOUNCEMENTS!AD16:AD16))</f>
        <v>https://www.ridebeep.com/press-releases/beep-and-oxa-announce-partnership-to-deploy-autonomous-vehicles-driven-by-oxa-in-united-states</v>
      </c>
      <c r="C16" s="286">
        <v>45162</v>
      </c>
      <c r="D16" s="135" t="str">
        <v>Beep and Oxa Announce Partnership to Deploy Autonomous Vehicles Driven by Oxa in United States</v>
      </c>
      <c r="E16" s="135" t="str">
        <v>Beep</v>
      </c>
      <c r="F16" s="135" t="str">
        <v>Ridepooling</v>
      </c>
      <c r="G16" s="135" t="str">
        <v>Oxa</v>
      </c>
      <c r="H16" s="135" t="str">
        <v>2.3. Long term Alliance</v>
      </c>
      <c r="I16" s="135" t="str">
        <v>Joint Service Agreement</v>
      </c>
      <c r="J16" s="59">
        <v>0</v>
      </c>
      <c r="K16" s="59">
        <v>0</v>
      </c>
    </row>
    <row r="17" spans="1:11" x14ac:dyDescent="0.35">
      <c r="A17" s="134">
        <f t="shared" si="0"/>
        <v>16</v>
      </c>
      <c r="B17" s="135" t="str" cm="1">
        <f t="array" ref="B17:K17">TRANSPOSE(CHOOSE({1;2;3;4;5;6;7;8;9;10},ANNOUNCEMENTS!A17:A17,ANNOUNCEMENTS!C17:C17,ANNOUNCEMENTS!D17:D17,ANNOUNCEMENTS!E17:E17,ANNOUNCEMENTS!J17:J17,ANNOUNCEMENTS!K17:K17,ANNOUNCEMENTS!W17:W17,ANNOUNCEMENTS!Z17:Z17,ANNOUNCEMENTS!AB17:AB17,ANNOUNCEMENTS!AD17:AD17))</f>
        <v>https://bolt.eu/en/blog/bolt-starship-technologies-partnership/</v>
      </c>
      <c r="C17" s="286">
        <v>45098</v>
      </c>
      <c r="D17" s="135" t="str">
        <v>Bolt teams up with Starship Technologies for autonomous deliveries</v>
      </c>
      <c r="E17" s="135" t="str">
        <v>Bolt</v>
      </c>
      <c r="F17" s="135" t="str">
        <v>Last-Mile</v>
      </c>
      <c r="G17" s="135" t="str">
        <v>Starship Technologies</v>
      </c>
      <c r="H17" s="135" t="str">
        <v>2.1. Short term Alliance (no exclusivity / previous experience)</v>
      </c>
      <c r="I17" s="135" t="str">
        <v>Joint Service Agreement</v>
      </c>
      <c r="J17" s="59">
        <v>0</v>
      </c>
      <c r="K17" s="59">
        <v>0</v>
      </c>
    </row>
    <row r="18" spans="1:11" x14ac:dyDescent="0.35">
      <c r="A18" s="134">
        <f t="shared" si="0"/>
        <v>17</v>
      </c>
      <c r="B18" s="135" t="str" cm="1">
        <f t="array" ref="B18:K18">TRANSPOSE(CHOOSE({1;2;3;4;5;6;7;8;9;10},ANNOUNCEMENTS!A18:A18,ANNOUNCEMENTS!C18:C18,ANNOUNCEMENTS!D18:D18,ANNOUNCEMENTS!E18:E18,ANNOUNCEMENTS!J18:J18,ANNOUNCEMENTS!K18:K18,ANNOUNCEMENTS!W18:W18,ANNOUNCEMENTS!Z18:Z18,ANNOUNCEMENTS!AB18:AB18,ANNOUNCEMENTS!AD18:AD18))</f>
        <v>https://techcrunch.com/2022/01/20/mitsubishi-partners-with-cartken-to-break-into-the-robotic-delivery-world/</v>
      </c>
      <c r="C18" s="286">
        <v>44581</v>
      </c>
      <c r="D18" s="135" t="str">
        <v>Mitsubishi partners with Cartken to break into the robotic delivery world</v>
      </c>
      <c r="E18" s="135" t="str">
        <v>Cartken</v>
      </c>
      <c r="F18" s="135" t="str">
        <v>Last-Mile</v>
      </c>
      <c r="G18" s="135" t="str">
        <v>Mitsubishi</v>
      </c>
      <c r="H18" s="135" t="str">
        <v>2.1. Short term Alliance (no exclusivity / previous experience)</v>
      </c>
      <c r="I18" s="135" t="str">
        <v>Research &amp; Collaboration</v>
      </c>
      <c r="J18" s="59">
        <v>0</v>
      </c>
      <c r="K18" s="59">
        <v>0</v>
      </c>
    </row>
    <row r="19" spans="1:11" x14ac:dyDescent="0.35">
      <c r="A19" s="134">
        <f t="shared" si="0"/>
        <v>18</v>
      </c>
      <c r="B19" s="135" t="str" cm="1">
        <f t="array" ref="B19:K19">TRANSPOSE(CHOOSE({1;2;3;4;5;6;7;8;9;10},ANNOUNCEMENTS!A19:A19,ANNOUNCEMENTS!C19:C19,ANNOUNCEMENTS!D19:D19,ANNOUNCEMENTS!E19:E19,ANNOUNCEMENTS!J19:J19,ANNOUNCEMENTS!K19:K19,ANNOUNCEMENTS!W19:W19,ANNOUNCEMENTS!Z19:Z19,ANNOUNCEMENTS!AB19:AB19,ANNOUNCEMENTS!AD19:AD19))</f>
        <v>https://about.grubhub.com/news/grubhub-and-cartken-partner-to-bring-robot-delivery-to-college-campuses/</v>
      </c>
      <c r="C19" s="286">
        <v>44725</v>
      </c>
      <c r="D19" s="135" t="str">
        <v>Grubhub and Cartken Partner to Bring Robot Delivery to College Campuses</v>
      </c>
      <c r="E19" s="135" t="str">
        <v>Cartken</v>
      </c>
      <c r="F19" s="135" t="str">
        <v>Last-Mile</v>
      </c>
      <c r="G19" s="135" t="str">
        <v>Grubhub</v>
      </c>
      <c r="H19" s="135" t="str">
        <v xml:space="preserve">2.2. Renewed Alliance </v>
      </c>
      <c r="I19" s="135" t="str">
        <v>Joint Service Agreement</v>
      </c>
      <c r="J19" s="59">
        <v>0</v>
      </c>
      <c r="K19" s="59">
        <v>0</v>
      </c>
    </row>
    <row r="20" spans="1:11" x14ac:dyDescent="0.35">
      <c r="A20" s="134">
        <f t="shared" si="0"/>
        <v>19</v>
      </c>
      <c r="B20" s="135" t="str" cm="1">
        <f t="array" ref="B20:K20">TRANSPOSE(CHOOSE({1;2;3;4;5;6;7;8;9;10},ANNOUNCEMENTS!A20:A20,ANNOUNCEMENTS!C20:C20,ANNOUNCEMENTS!D20:D20,ANNOUNCEMENTS!E20:E20,ANNOUNCEMENTS!J20:J20,ANNOUNCEMENTS!K20:K20,ANNOUNCEMENTS!W20:W20,ANNOUNCEMENTS!Z20:Z20,ANNOUNCEMENTS!AB20:AB20,ANNOUNCEMENTS!AD20:AD20))</f>
        <v>https://getcruise.com/news/blog/2023/cruise-and-madd-partnering-to-combat-impaired-driving/</v>
      </c>
      <c r="C20" s="286">
        <v>45107</v>
      </c>
      <c r="D20" s="135" t="str">
        <v>Cruise &amp; Mothers-Against-Drunk-Driving: Partnering to combat impaired driving</v>
      </c>
      <c r="E20" s="135" t="str">
        <v>Cruise</v>
      </c>
      <c r="F20" s="135" t="str">
        <v>Other</v>
      </c>
      <c r="G20" s="135" t="str">
        <v>Mothers-Against-Drunk-Driving</v>
      </c>
      <c r="H20" s="135" t="str">
        <v>1. Informal Agreement</v>
      </c>
      <c r="I20" s="135" t="str">
        <v>Other</v>
      </c>
      <c r="J20" s="59">
        <v>0</v>
      </c>
      <c r="K20" s="59">
        <v>0</v>
      </c>
    </row>
    <row r="21" spans="1:11" x14ac:dyDescent="0.35">
      <c r="A21" s="134">
        <f t="shared" si="0"/>
        <v>20</v>
      </c>
      <c r="B21" s="135" t="str" cm="1">
        <f t="array" ref="B21:K21">TRANSPOSE(CHOOSE({1;2;3;4;5;6;7;8;9;10},ANNOUNCEMENTS!A21:A21,ANNOUNCEMENTS!C21:C21,ANNOUNCEMENTS!D21:D21,ANNOUNCEMENTS!E21:E21,ANNOUNCEMENTS!J21:J21,ANNOUNCEMENTS!K21:K21,ANNOUNCEMENTS!W21:W21,ANNOUNCEMENTS!Z21:Z21,ANNOUNCEMENTS!AB21:AB21,ANNOUNCEMENTS!AD21:AD21))</f>
        <v>https://corporate.walmart.com/news/2020/11/10/walmart-teams-up-with-cruise-to-pilot-all-electric-self-driving-delivery-powered-by-100-renewable-energy</v>
      </c>
      <c r="C21" s="286">
        <v>43840</v>
      </c>
      <c r="D21" s="135" t="str">
        <v>Walmart Teams Up with Cruise to Pilot All-Electric Self-Driving Delivery Powered by 100% Renewable Energy</v>
      </c>
      <c r="E21" s="135" t="str">
        <v>Cruise</v>
      </c>
      <c r="F21" s="135" t="str">
        <v>Last-Mile</v>
      </c>
      <c r="G21" s="135" t="str">
        <v>Walmart</v>
      </c>
      <c r="H21" s="135" t="str">
        <v>2.1. Short term Alliance (no exclusivity / previous experience)</v>
      </c>
      <c r="I21" s="135" t="str">
        <v>Joint Service Agreement</v>
      </c>
      <c r="J21" s="59">
        <v>0</v>
      </c>
      <c r="K21" s="59">
        <v>0</v>
      </c>
    </row>
    <row r="22" spans="1:11" x14ac:dyDescent="0.35">
      <c r="A22" s="134">
        <f t="shared" si="0"/>
        <v>21</v>
      </c>
      <c r="B22" s="135" t="str" cm="1">
        <f t="array" ref="B22:K22">TRANSPOSE(CHOOSE({1;2;3;4;5;6;7;8;9;10},ANNOUNCEMENTS!A22:A22,ANNOUNCEMENTS!C22:C22,ANNOUNCEMENTS!D22:D22,ANNOUNCEMENTS!E22:E22,ANNOUNCEMENTS!J22:J22,ANNOUNCEMENTS!K22:K22,ANNOUNCEMENTS!W22:W22,ANNOUNCEMENTS!Z22:Z22,ANNOUNCEMENTS!AB22:AB22,ANNOUNCEMENTS!AD22:AD22))</f>
        <v>https://getcruise.com/news/blog/2023/cruise-teams-up-with-replate-to-launch-food-rescue-partnership/</v>
      </c>
      <c r="C22" s="286">
        <v>45083</v>
      </c>
      <c r="D22" s="135" t="str">
        <v>Cruise teams up with Replate to launch national food rescue partnership</v>
      </c>
      <c r="E22" s="135" t="str">
        <v>Cruise</v>
      </c>
      <c r="F22" s="135" t="str">
        <v>Last-Mile</v>
      </c>
      <c r="G22" s="135" t="str">
        <v>Replate</v>
      </c>
      <c r="H22" s="135" t="str">
        <v>2.1. Short term Alliance (no exclusivity / previous experience)</v>
      </c>
      <c r="I22" s="135" t="str">
        <v>Joint Service Agreement</v>
      </c>
      <c r="J22" s="59">
        <v>0</v>
      </c>
      <c r="K22" s="59">
        <v>0</v>
      </c>
    </row>
    <row r="23" spans="1:11" x14ac:dyDescent="0.35">
      <c r="A23" s="134">
        <f t="shared" si="0"/>
        <v>22</v>
      </c>
      <c r="B23" s="135" t="str" cm="1">
        <f t="array" ref="B23:K23">TRANSPOSE(CHOOSE({1;2;3;4;5;6;7;8;9;10},ANNOUNCEMENTS!A23:A23,ANNOUNCEMENTS!C23:C23,ANNOUNCEMENTS!D23:D23,ANNOUNCEMENTS!E23:E23,ANNOUNCEMENTS!J23:J23,ANNOUNCEMENTS!K23:K23,ANNOUNCEMENTS!W23:W23,ANNOUNCEMENTS!Z23:Z23,ANNOUNCEMENTS!AB23:AB23,ANNOUNCEMENTS!AD23:AD23))</f>
        <v>https://getcruise.com/news/pressrelease/2021/cruise-and-gm-team-up-with-microsoft-to-commercialize-self-driving-vehicles/</v>
      </c>
      <c r="C23" s="286">
        <v>44215</v>
      </c>
      <c r="D23" s="135" t="str">
        <v>Cruise and GM team up with Microsoft to commercialize self-driving vehicles</v>
      </c>
      <c r="E23" s="135" t="str">
        <v>Cruise</v>
      </c>
      <c r="F23" s="135" t="str">
        <v>Ridehailing</v>
      </c>
      <c r="G23" s="135" t="str">
        <v>GM;Microsoft</v>
      </c>
      <c r="H23" s="135" t="str">
        <v>3. Strategic Partnership</v>
      </c>
      <c r="I23" s="135" t="str">
        <v>Joint D&amp;D</v>
      </c>
      <c r="J23" s="59">
        <v>0</v>
      </c>
      <c r="K23" s="59">
        <v>0</v>
      </c>
    </row>
    <row r="24" spans="1:11" x14ac:dyDescent="0.35">
      <c r="A24" s="134">
        <f t="shared" si="0"/>
        <v>23</v>
      </c>
      <c r="B24" s="135" t="str" cm="1">
        <f t="array" ref="B24:K24">TRANSPOSE(CHOOSE({1;2;3;4;5;6;7;8;9;10},ANNOUNCEMENTS!A24:A24,ANNOUNCEMENTS!C24:C24,ANNOUNCEMENTS!D24:D24,ANNOUNCEMENTS!E24:E24,ANNOUNCEMENTS!J24:J24,ANNOUNCEMENTS!K24:K24,ANNOUNCEMENTS!W24:W24,ANNOUNCEMENTS!Z24:Z24,ANNOUNCEMENTS!AB24:AB24,ANNOUNCEMENTS!AD24:AD24))</f>
        <v>https://easymile.com/news/easymile-strengthens-its-partnership-engineering-schools</v>
      </c>
      <c r="C24" s="286">
        <v>44950</v>
      </c>
      <c r="D24" s="135" t="str">
        <v>EasyMile strengthens its partnership with engineering schools</v>
      </c>
      <c r="E24" s="135" t="str">
        <v>EasyMile</v>
      </c>
      <c r="F24" s="135" t="str">
        <v>Other</v>
      </c>
      <c r="G24" s="135" t="str">
        <v/>
      </c>
      <c r="H24" s="135" t="str">
        <v>1. Informal Agreement</v>
      </c>
      <c r="I24" s="135" t="str">
        <v>Research &amp; Collaboration</v>
      </c>
      <c r="J24" s="59">
        <v>0</v>
      </c>
      <c r="K24" s="59">
        <v>0</v>
      </c>
    </row>
    <row r="25" spans="1:11" x14ac:dyDescent="0.35">
      <c r="A25" s="134">
        <f t="shared" si="0"/>
        <v>24</v>
      </c>
      <c r="B25" s="135" t="str" cm="1">
        <f t="array" ref="B25:K25">TRANSPOSE(CHOOSE({1;2;3;4;5;6;7;8;9;10},ANNOUNCEMENTS!A25:A25,ANNOUNCEMENTS!C25:C25,ANNOUNCEMENTS!D25:D25,ANNOUNCEMENTS!E25:E25,ANNOUNCEMENTS!J25:J25,ANNOUNCEMENTS!K25:K25,ANNOUNCEMENTS!W25:W25,ANNOUNCEMENTS!Z25:Z25,ANNOUNCEMENTS!AB25:AB25,ANNOUNCEMENTS!AD25:AD25))</f>
        <v>https://easymile.com/news/ces2023-trust-soft-and-easymile-collaborate-complement-product-development-strategies</v>
      </c>
      <c r="C25" s="286">
        <v>44931</v>
      </c>
      <c r="D25" s="135" t="str">
        <v>#CES2023 - Trust in Soft and EasyMile collaborate to complement product development strategies</v>
      </c>
      <c r="E25" s="135" t="str">
        <v>EasyMile</v>
      </c>
      <c r="F25" s="135" t="str">
        <v>Ridepooling</v>
      </c>
      <c r="G25" s="135" t="str">
        <v>TrustInSoft</v>
      </c>
      <c r="H25" s="135" t="str">
        <v>1. Informal Agreement</v>
      </c>
      <c r="I25" s="135" t="str">
        <v>Licensing</v>
      </c>
      <c r="J25" s="59">
        <v>0</v>
      </c>
      <c r="K25" s="59">
        <v>0</v>
      </c>
    </row>
    <row r="26" spans="1:11" x14ac:dyDescent="0.35">
      <c r="A26" s="134">
        <f t="shared" si="0"/>
        <v>25</v>
      </c>
      <c r="B26" s="135" t="str" cm="1">
        <f t="array" ref="B26:K26">TRANSPOSE(CHOOSE({1;2;3;4;5;6;7;8;9;10},ANNOUNCEMENTS!A26:A26,ANNOUNCEMENTS!C26:C26,ANNOUNCEMENTS!D26:D26,ANNOUNCEMENTS!E26:E26,ANNOUNCEMENTS!J26:J26,ANNOUNCEMENTS!K26:K26,ANNOUNCEMENTS!W26:W26,ANNOUNCEMENTS!Z26:Z26,ANNOUNCEMENTS!AB26:AB26,ANNOUNCEMENTS!AD26:AD26))</f>
        <v>https://easymile.com/news/iaa-frankfurt-continental-and-easymile-partner-demonstrate-ez10</v>
      </c>
      <c r="C26" s="286">
        <v>43720</v>
      </c>
      <c r="D26" s="135" t="str">
        <v>IAA Frankfurt: Continental and EasyMile Partner to Demonstrate an EZ10</v>
      </c>
      <c r="E26" s="135" t="str">
        <v>EasyMile</v>
      </c>
      <c r="F26" s="135" t="str">
        <v>Ridepooling</v>
      </c>
      <c r="G26" s="135" t="str">
        <v>Continental</v>
      </c>
      <c r="H26" s="135" t="str">
        <v>1. Informal Agreement</v>
      </c>
      <c r="I26" s="135" t="str">
        <v>Marketing Agreement</v>
      </c>
      <c r="J26" s="59">
        <v>0</v>
      </c>
      <c r="K26" s="59">
        <v>0</v>
      </c>
    </row>
    <row r="27" spans="1:11" x14ac:dyDescent="0.35">
      <c r="A27" s="134">
        <f t="shared" si="0"/>
        <v>26</v>
      </c>
      <c r="B27" s="135" t="str" cm="1">
        <f t="array" ref="B27:K27">TRANSPOSE(CHOOSE({1;2;3;4;5;6;7;8;9;10},ANNOUNCEMENTS!A27:A27,ANNOUNCEMENTS!C27:C27,ANNOUNCEMENTS!D27:D27,ANNOUNCEMENTS!E27:E27,ANNOUNCEMENTS!J27:J27,ANNOUNCEMENTS!K27:K27,ANNOUNCEMENTS!W27:W27,ANNOUNCEMENTS!Z27:Z27,ANNOUNCEMENTS!AB27:AB27,ANNOUNCEMENTS!AD27:AD27))</f>
        <v>https://easymile.com/news/easymile-and-sono-motors-reveal-collaboration-autonomous-solar-powered-passenger-shuttle</v>
      </c>
      <c r="C27" s="286">
        <v>44218</v>
      </c>
      <c r="D27" s="135" t="str">
        <v>EasyMile and Sono Motors Reveal Collaboration on Autonomous Solar-Powered Passenger Shuttle</v>
      </c>
      <c r="E27" s="135" t="str">
        <v>EasyMile</v>
      </c>
      <c r="F27" s="135" t="str">
        <v>Ridepooling</v>
      </c>
      <c r="G27" s="135" t="str">
        <v>Sono Motors</v>
      </c>
      <c r="H27" s="135" t="str">
        <v>2.1. Short term Alliance (no exclusivity / previous experience)</v>
      </c>
      <c r="I27" s="135" t="str">
        <v>Research &amp; Collaboration</v>
      </c>
      <c r="J27" s="59">
        <v>0</v>
      </c>
      <c r="K27" s="59">
        <v>0</v>
      </c>
    </row>
    <row r="28" spans="1:11" x14ac:dyDescent="0.35">
      <c r="A28" s="134">
        <f t="shared" si="0"/>
        <v>27</v>
      </c>
      <c r="B28" s="135" t="str" cm="1">
        <f t="array" ref="B28:K28">TRANSPOSE(CHOOSE({1;2;3;4;5;6;7;8;9;10},ANNOUNCEMENTS!A28:A28,ANNOUNCEMENTS!C28:C28,ANNOUNCEMENTS!D28:D28,ANNOUNCEMENTS!E28:E28,ANNOUNCEMENTS!J28:J28,ANNOUNCEMENTS!K28:K28,ANNOUNCEMENTS!W28:W28,ANNOUNCEMENTS!Z28:Z28,ANNOUNCEMENTS!AB28:AB28,ANNOUNCEMENTS!AD28:AD28))</f>
        <v>https://easymile.com/news/phoenix-motorcars-and-easymile-collaborate-deploy-delivery-trucks-well-autonomous-shuttle</v>
      </c>
      <c r="C28" s="286">
        <v>43851</v>
      </c>
      <c r="D28" s="135" t="str">
        <v>Phoenix Motorcars and EasyMile Collaborate to Deploy Delivery Trucks as well as Autonomous Shuttle Buses</v>
      </c>
      <c r="E28" s="135" t="str">
        <v>EasyMile</v>
      </c>
      <c r="F28" s="135" t="str">
        <v>Ridepooling</v>
      </c>
      <c r="G28" s="135" t="str">
        <v>Phoenix Motorcars</v>
      </c>
      <c r="H28" s="135" t="str">
        <v>2.1. Short term Alliance (no exclusivity / previous experience)</v>
      </c>
      <c r="I28" s="135" t="str">
        <v>Joint D&amp;D</v>
      </c>
      <c r="J28" s="59">
        <v>0</v>
      </c>
      <c r="K28" s="59">
        <v>0</v>
      </c>
    </row>
    <row r="29" spans="1:11" x14ac:dyDescent="0.35">
      <c r="A29" s="134">
        <f t="shared" si="0"/>
        <v>28</v>
      </c>
      <c r="B29" s="135" t="str" cm="1">
        <f t="array" ref="B29:K29">TRANSPOSE(CHOOSE({1;2;3;4;5;6;7;8;9;10},ANNOUNCEMENTS!A29:A29,ANNOUNCEMENTS!C29:C29,ANNOUNCEMENTS!D29:D29,ANNOUNCEMENTS!E29:E29,ANNOUNCEMENTS!J29:J29,ANNOUNCEMENTS!K29:K29,ANNOUNCEMENTS!W29:W29,ANNOUNCEMENTS!Z29:Z29,ANNOUNCEMENTS!AB29:AB29,ANNOUNCEMENTS!AD29:AD29))</f>
        <v>https://easymile.com/news/easymile-and-continental-collaborate-shanghai-jiading-industrial-zone-develop-driverless</v>
      </c>
      <c r="C29" s="286">
        <v>43484</v>
      </c>
      <c r="D29" s="135" t="str">
        <v>EasyMile and Continental Collaborate with Shanghai Jiading Industrial Zone to Develop Driverless Technology in China</v>
      </c>
      <c r="E29" s="135" t="str">
        <v>EasyMile</v>
      </c>
      <c r="F29" s="135" t="str">
        <v>Ridepooling</v>
      </c>
      <c r="G29" s="135" t="str">
        <v>Continental;Shanghai Jiading Industrial Zone</v>
      </c>
      <c r="H29" s="135" t="str">
        <v xml:space="preserve">2.2. Renewed Alliance </v>
      </c>
      <c r="I29" s="135" t="str">
        <v>Joint D&amp;D</v>
      </c>
      <c r="J29" s="59">
        <v>0</v>
      </c>
      <c r="K29" s="59">
        <v>0</v>
      </c>
    </row>
    <row r="30" spans="1:11" x14ac:dyDescent="0.35">
      <c r="A30" s="134">
        <f t="shared" si="0"/>
        <v>29</v>
      </c>
      <c r="B30" s="135" t="str" cm="1">
        <f t="array" ref="B30:K30">TRANSPOSE(CHOOSE({1;2;3;4;5;6;7;8;9;10},ANNOUNCEMENTS!A30:A30,ANNOUNCEMENTS!C30:C30,ANNOUNCEMENTS!D30:D30,ANNOUNCEMENTS!E30:E30,ANNOUNCEMENTS!J30:J30,ANNOUNCEMENTS!K30:K30,ANNOUNCEMENTS!W30:W30,ANNOUNCEMENTS!Z30:Z30,ANNOUNCEMENTS!AB30:AB30,ANNOUNCEMENTS!AD30:AD30))</f>
        <v>https://easymile.com/news/easymile-and-kalray-strengthen-development-platform-collaboration</v>
      </c>
      <c r="C30" s="286">
        <v>44202</v>
      </c>
      <c r="D30" s="135" t="str">
        <v>EasyMile and Kalray Strengthen Development Platform Collaboration</v>
      </c>
      <c r="E30" s="135" t="str">
        <v>EasyMile</v>
      </c>
      <c r="F30" s="135" t="str">
        <v>Ridepooling</v>
      </c>
      <c r="G30" s="135" t="str">
        <v>Kalray</v>
      </c>
      <c r="H30" s="135" t="str">
        <v xml:space="preserve">2.2. Renewed Alliance </v>
      </c>
      <c r="I30" s="135" t="str">
        <v>Supply Partnership (traditional)</v>
      </c>
      <c r="J30" s="59">
        <v>0</v>
      </c>
      <c r="K30" s="59">
        <v>0</v>
      </c>
    </row>
    <row r="31" spans="1:11" x14ac:dyDescent="0.35">
      <c r="A31" s="134">
        <f t="shared" si="0"/>
        <v>30</v>
      </c>
      <c r="B31" s="135" t="str" cm="1">
        <f t="array" ref="B31:K31">TRANSPOSE(CHOOSE({1;2;3;4;5;6;7;8;9;10},ANNOUNCEMENTS!A31:A31,ANNOUNCEMENTS!C31:C31,ANNOUNCEMENTS!D31:D31,ANNOUNCEMENTS!E31:E31,ANNOUNCEMENTS!J31:J31,ANNOUNCEMENTS!K31:K31,ANNOUNCEMENTS!W31:W31,ANNOUNCEMENTS!Z31:Z31,ANNOUNCEMENTS!AB31:AB31,ANNOUNCEMENTS!AD31:AD31))</f>
        <v>https://einride.tech/press/einride-partners-with-bridgestone-to-create-cleaner-safer-low-carbon-freight</v>
      </c>
      <c r="C31" s="286">
        <v>44420</v>
      </c>
      <c r="D31" s="135" t="str">
        <v>Einride Partners with Bridgestone to Create Cleaner, Safer, Low-Carbon Freight Mobility</v>
      </c>
      <c r="E31" s="135" t="str">
        <v>Einride</v>
      </c>
      <c r="F31" s="135" t="str">
        <v>Trucking</v>
      </c>
      <c r="G31" s="135" t="str">
        <v>Bridgestone</v>
      </c>
      <c r="H31" s="135" t="str">
        <v>2.3. Long term Alliance</v>
      </c>
      <c r="I31" s="135" t="str">
        <v>Joint D&amp;D</v>
      </c>
      <c r="J31" s="59" t="str">
        <v>Supply Partnership (traditional)</v>
      </c>
      <c r="K31" s="59">
        <v>0</v>
      </c>
    </row>
    <row r="32" spans="1:11" x14ac:dyDescent="0.35">
      <c r="A32" s="134">
        <f t="shared" si="0"/>
        <v>31</v>
      </c>
      <c r="B32" s="135" t="str" cm="1">
        <f t="array" ref="B32:K32">TRANSPOSE(CHOOSE({1;2;3;4;5;6;7;8;9;10},ANNOUNCEMENTS!A32:A32,ANNOUNCEMENTS!C32:C32,ANNOUNCEMENTS!D32:D32,ANNOUNCEMENTS!E32:E32,ANNOUNCEMENTS!J32:J32,ANNOUNCEMENTS!K32:K32,ANNOUNCEMENTS!W32:W32,ANNOUNCEMENTS!Z32:Z32,ANNOUNCEMENTS!AB32:AB32,ANNOUNCEMENTS!AD32:AD32))</f>
        <v>https://einride.tech/press/einride-is-teaming-up-with-ericsson-to-demonstrate-the-future-of-transport-at-the-worlds-largest-mobile-event</v>
      </c>
      <c r="C32" s="286">
        <v>43510</v>
      </c>
      <c r="D32" s="135" t="str">
        <v>Einride is teaming up with Ericsson to demonstrate the future of transport at the world's largest mobile event</v>
      </c>
      <c r="E32" s="135" t="str">
        <v>Einride</v>
      </c>
      <c r="F32" s="135" t="str">
        <v>Trucking</v>
      </c>
      <c r="G32" s="135" t="str">
        <v>Ericsson;Bridgestone</v>
      </c>
      <c r="H32" s="135" t="str">
        <v>1. Informal Agreement</v>
      </c>
      <c r="I32" s="135" t="str">
        <v>Marketing Agreement</v>
      </c>
      <c r="J32" s="59">
        <v>0</v>
      </c>
      <c r="K32" s="59">
        <v>0</v>
      </c>
    </row>
    <row r="33" spans="1:11" x14ac:dyDescent="0.35">
      <c r="A33" s="134">
        <f t="shared" si="0"/>
        <v>32</v>
      </c>
      <c r="B33" s="135" t="str" cm="1">
        <f t="array" ref="B33:K33">TRANSPOSE(CHOOSE({1;2;3;4;5;6;7;8;9;10},ANNOUNCEMENTS!A33:A33,ANNOUNCEMENTS!C33:C33,ANNOUNCEMENTS!D33:D33,ANNOUNCEMENTS!E33:E33,ANNOUNCEMENTS!J33:J33,ANNOUNCEMENTS!K33:K33,ANNOUNCEMENTS!W33:W33,ANNOUNCEMENTS!Z33:Z33,ANNOUNCEMENTS!AB33:AB33,ANNOUNCEMENTS!AD33:AD33))</f>
        <v>https://einride.tech/press/skf-and-einride-enter-into-partnership-for-testing-autonomous-and-electric</v>
      </c>
      <c r="C33" s="286">
        <v>44271</v>
      </c>
      <c r="D33" s="135" t="str">
        <v>SKF and Einride enter into partnership for testing autonomous and electric transport</v>
      </c>
      <c r="E33" s="135" t="str">
        <v>Einride</v>
      </c>
      <c r="F33" s="135" t="str">
        <v>Trucking</v>
      </c>
      <c r="G33" s="135" t="str">
        <v>SKF</v>
      </c>
      <c r="H33" s="135" t="str">
        <v>2.1. Short term Alliance (no exclusivity / previous experience)</v>
      </c>
      <c r="I33" s="135" t="str">
        <v>Supply Partnership (extended)</v>
      </c>
      <c r="J33" s="59">
        <v>0</v>
      </c>
      <c r="K33" s="59">
        <v>0</v>
      </c>
    </row>
    <row r="34" spans="1:11" x14ac:dyDescent="0.35">
      <c r="A34" s="134">
        <f t="shared" si="0"/>
        <v>33</v>
      </c>
      <c r="B34" s="135" t="str" cm="1">
        <f t="array" ref="B34:K34">TRANSPOSE(CHOOSE({1;2;3;4;5;6;7;8;9;10},ANNOUNCEMENTS!A34:A34,ANNOUNCEMENTS!C34:C34,ANNOUNCEMENTS!D34:D34,ANNOUNCEMENTS!E34:E34,ANNOUNCEMENTS!J34:J34,ANNOUNCEMENTS!K34:K34,ANNOUNCEMENTS!W34:W34,ANNOUNCEMENTS!Z34:Z34,ANNOUNCEMENTS!AB34:AB34,ANNOUNCEMENTS!AD34:AD34))</f>
        <v>https://einride.tech/press/einride-and-innovative-swedish-logistics-company-collaborates-around-sustainable-transport</v>
      </c>
      <c r="C34" s="286">
        <v>43593</v>
      </c>
      <c r="D34" s="135" t="str">
        <v>Einride and innovative Swedish logistics company collaborates around sustainable transport</v>
      </c>
      <c r="E34" s="135" t="str">
        <v>Einride</v>
      </c>
      <c r="F34" s="135" t="str">
        <v>Trucking</v>
      </c>
      <c r="G34" s="135" t="str">
        <v>Svenska Retursystem</v>
      </c>
      <c r="H34" s="135" t="str">
        <v>2.1. Short term Alliance (no exclusivity / previous experience)</v>
      </c>
      <c r="I34" s="135" t="str">
        <v>Supply Partnership (extended)</v>
      </c>
      <c r="J34" s="59">
        <v>0</v>
      </c>
      <c r="K34" s="59">
        <v>0</v>
      </c>
    </row>
    <row r="35" spans="1:11" x14ac:dyDescent="0.35">
      <c r="A35" s="134">
        <f t="shared" si="0"/>
        <v>34</v>
      </c>
      <c r="B35" s="135" t="str" cm="1">
        <f t="array" ref="B35:K35">TRANSPOSE(CHOOSE({1;2;3;4;5;6;7;8;9;10},ANNOUNCEMENTS!A35:A35,ANNOUNCEMENTS!C35:C35,ANNOUNCEMENTS!D35:D35,ANNOUNCEMENTS!E35:E35,ANNOUNCEMENTS!J35:J35,ANNOUNCEMENTS!K35:K35,ANNOUNCEMENTS!W35:W35,ANNOUNCEMENTS!Z35:Z35,ANNOUNCEMENTS!AB35:AB35,ANNOUNCEMENTS!AD35:AD35))</f>
        <v>https://einride.tech/press/polarrenen-sustainable-transport-einride-financing-partner</v>
      </c>
      <c r="C35" s="286">
        <v>43850</v>
      </c>
      <c r="D35" s="135" t="str">
        <v>Polarrenen drives transition to sustainable transport by becoming Einride financing partner</v>
      </c>
      <c r="E35" s="135" t="str">
        <v>Einride</v>
      </c>
      <c r="F35" s="135" t="str">
        <v>Trucking</v>
      </c>
      <c r="G35" s="135" t="str">
        <v>Polarrenen</v>
      </c>
      <c r="H35" s="135" t="str">
        <v>2.1. Short term Alliance (no exclusivity / previous experience)</v>
      </c>
      <c r="I35" s="135" t="str">
        <v>Other</v>
      </c>
      <c r="J35" s="59">
        <v>0</v>
      </c>
      <c r="K35" s="59">
        <v>0</v>
      </c>
    </row>
    <row r="36" spans="1:11" x14ac:dyDescent="0.35">
      <c r="A36" s="134">
        <f t="shared" si="0"/>
        <v>35</v>
      </c>
      <c r="B36" s="135" t="str" cm="1">
        <f t="array" ref="B36:K36">TRANSPOSE(CHOOSE({1;2;3;4;5;6;7;8;9;10},ANNOUNCEMENTS!A36:A36,ANNOUNCEMENTS!C36:C36,ANNOUNCEMENTS!D36:D36,ANNOUNCEMENTS!E36:E36,ANNOUNCEMENTS!J36:J36,ANNOUNCEMENTS!K36:K36,ANNOUNCEMENTS!W36:W36,ANNOUNCEMENTS!Z36:Z36,ANNOUNCEMENTS!AB36:AB36,ANNOUNCEMENTS!AD36:AD36))</f>
        <v>https://einride.tech/press/einride-ericsson-and-telia-partners-on-5g-to-bring-autonomous-all-electric-vehicles-to-the-market</v>
      </c>
      <c r="C36" s="286">
        <v>43107</v>
      </c>
      <c r="D36" s="135" t="str">
        <v>Einride, Ericsson and Telia partners on 5G to bring autonomous, all-electric vehicles to the market</v>
      </c>
      <c r="E36" s="135" t="str">
        <v>Einride</v>
      </c>
      <c r="F36" s="135" t="str">
        <v>Trucking</v>
      </c>
      <c r="G36" s="135" t="str">
        <v>Ericsson;Telia</v>
      </c>
      <c r="H36" s="135" t="str">
        <v>2.1. Short term Alliance (no exclusivity / previous experience)</v>
      </c>
      <c r="I36" s="135" t="str">
        <v>Joint D&amp;D</v>
      </c>
      <c r="J36" s="59">
        <v>0</v>
      </c>
      <c r="K36" s="59">
        <v>0</v>
      </c>
    </row>
    <row r="37" spans="1:11" x14ac:dyDescent="0.35">
      <c r="A37" s="134">
        <f t="shared" si="0"/>
        <v>36</v>
      </c>
      <c r="B37" s="135" t="str" cm="1">
        <f t="array" ref="B37:K37">TRANSPOSE(CHOOSE({1;2;3;4;5;6;7;8;9;10},ANNOUNCEMENTS!A37:A37,ANNOUNCEMENTS!C37:C37,ANNOUNCEMENTS!D37:D37,ANNOUNCEMENTS!E37:E37,ANNOUNCEMENTS!J37:J37,ANNOUNCEMENTS!K37:K37,ANNOUNCEMENTS!W37:W37,ANNOUNCEMENTS!Z37:Z37,ANNOUNCEMENTS!AB37:AB37,ANNOUNCEMENTS!AD37:AD37))</f>
        <v>https://einride.tech/press/einride-partners-with-oatly-to-electrify-transport-in-sweden</v>
      </c>
      <c r="C37" s="286">
        <v>43965</v>
      </c>
      <c r="D37" s="135" t="str">
        <v>Einride partners with Oatly to electrify transport in Sweden</v>
      </c>
      <c r="E37" s="135" t="str">
        <v>Einride</v>
      </c>
      <c r="F37" s="135" t="str">
        <v>Trucking</v>
      </c>
      <c r="G37" s="135" t="str">
        <v>Oatly</v>
      </c>
      <c r="H37" s="135" t="str">
        <v>2.1. Short term Alliance (no exclusivity / previous experience)</v>
      </c>
      <c r="I37" s="135" t="str">
        <v>Supply Partnership (extended)</v>
      </c>
      <c r="J37" s="59">
        <v>0</v>
      </c>
      <c r="K37" s="59">
        <v>0</v>
      </c>
    </row>
    <row r="38" spans="1:11" x14ac:dyDescent="0.35">
      <c r="A38" s="134">
        <f t="shared" si="0"/>
        <v>37</v>
      </c>
      <c r="B38" s="135" t="str" cm="1">
        <f t="array" ref="B38:K38">TRANSPOSE(CHOOSE({1;2;3;4;5;6;7;8;9;10},ANNOUNCEMENTS!A38:A38,ANNOUNCEMENTS!C38:C38,ANNOUNCEMENTS!D38:D38,ANNOUNCEMENTS!E38:E38,ANNOUNCEMENTS!J38:J38,ANNOUNCEMENTS!K38:K38,ANNOUNCEMENTS!W38:W38,ANNOUNCEMENTS!Z38:Z38,ANNOUNCEMENTS!AB38:AB38,ANNOUNCEMENTS!AD38:AD38))</f>
        <v>https://einride.tech/press/einride-and-electrolux-enter-innovation-partnership-to-electrify-transports</v>
      </c>
      <c r="C38" s="286">
        <v>44249</v>
      </c>
      <c r="D38" s="135" t="str">
        <v>Einride and Electrolux enter innovation partnership to electrify transports</v>
      </c>
      <c r="E38" s="135" t="str">
        <v>Einride</v>
      </c>
      <c r="F38" s="135" t="str">
        <v>Trucking</v>
      </c>
      <c r="G38" s="135" t="str">
        <v>Electrolux</v>
      </c>
      <c r="H38" s="135" t="str">
        <v>2.3. Long term Alliance</v>
      </c>
      <c r="I38" s="135" t="str">
        <v>Supply Partnership (extended)</v>
      </c>
      <c r="J38" s="59">
        <v>0</v>
      </c>
      <c r="K38" s="59">
        <v>0</v>
      </c>
    </row>
    <row r="39" spans="1:11" x14ac:dyDescent="0.35">
      <c r="A39" s="134">
        <f t="shared" si="0"/>
        <v>38</v>
      </c>
      <c r="B39" s="135" t="str" cm="1">
        <f t="array" ref="B39:K39">TRANSPOSE(CHOOSE({1;2;3;4;5;6;7;8;9;10},ANNOUNCEMENTS!A39:A39,ANNOUNCEMENTS!C39:C39,ANNOUNCEMENTS!D39:D39,ANNOUNCEMENTS!E39:E39,ANNOUNCEMENTS!J39:J39,ANNOUNCEMENTS!K39:K39,ANNOUNCEMENTS!W39:W39,ANNOUNCEMENTS!Z39:Z39,ANNOUNCEMENTS!AB39:AB39,ANNOUNCEMENTS!AD39:AD39))</f>
        <v>https://einride.tech/press/einride-and-beyond-meat-work-together</v>
      </c>
      <c r="C39" s="286">
        <v>44770</v>
      </c>
      <c r="D39" s="135" t="str">
        <v>Einride and Beyond Meat Work Together to Introduce Electric Vehicles to Beyond Meat's U.S. Shipping Network</v>
      </c>
      <c r="E39" s="135" t="str">
        <v>Einride</v>
      </c>
      <c r="F39" s="135" t="str">
        <v>Trucking</v>
      </c>
      <c r="G39" s="135" t="str">
        <v>Beyond Meat</v>
      </c>
      <c r="H39" s="135" t="str">
        <v>2.3. Long term Alliance</v>
      </c>
      <c r="I39" s="135" t="str">
        <v>Supply Partnership (extended)</v>
      </c>
      <c r="J39" s="59">
        <v>0</v>
      </c>
      <c r="K39" s="59">
        <v>0</v>
      </c>
    </row>
    <row r="40" spans="1:11" x14ac:dyDescent="0.35">
      <c r="A40" s="134">
        <f t="shared" si="0"/>
        <v>39</v>
      </c>
      <c r="B40" s="135" t="str" cm="1">
        <f t="array" ref="B40:K40">TRANSPOSE(CHOOSE({1;2;3;4;5;6;7;8;9;10},ANNOUNCEMENTS!A40:A40,ANNOUNCEMENTS!C40:C40,ANNOUNCEMENTS!D40:D40,ANNOUNCEMENTS!E40:E40,ANNOUNCEMENTS!J40:J40,ANNOUNCEMENTS!K40:K40,ANNOUNCEMENTS!W40:W40,ANNOUNCEMENTS!Z40:Z40,ANNOUNCEMENTS!AB40:AB40,ANNOUNCEMENTS!AD40:AD40))</f>
        <v>https://einride.tech/press/coca-cola-european-partners-teams-up-with-einride-for-sustainable-transport</v>
      </c>
      <c r="C40" s="286">
        <v>43628</v>
      </c>
      <c r="D40" s="135" t="str">
        <v>Coca-Cola European Partners teams up with Einride for sustainable transport</v>
      </c>
      <c r="E40" s="135" t="str">
        <v>Einride</v>
      </c>
      <c r="F40" s="135" t="str">
        <v>Trucking</v>
      </c>
      <c r="G40" s="135" t="str">
        <v>Coca - Cola</v>
      </c>
      <c r="H40" s="135" t="str">
        <v>2.3. Long term Alliance</v>
      </c>
      <c r="I40" s="135" t="str">
        <v>Supply Partnership (extended)</v>
      </c>
      <c r="J40" s="59">
        <v>0</v>
      </c>
      <c r="K40" s="59">
        <v>0</v>
      </c>
    </row>
    <row r="41" spans="1:11" x14ac:dyDescent="0.35">
      <c r="A41" s="134">
        <f t="shared" si="0"/>
        <v>40</v>
      </c>
      <c r="B41" s="135" t="str" cm="1">
        <f t="array" ref="B41:K41">TRANSPOSE(CHOOSE({1;2;3;4;5;6;7;8;9;10},ANNOUNCEMENTS!A41:A41,ANNOUNCEMENTS!C41:C41,ANNOUNCEMENTS!D41:D41,ANNOUNCEMENTS!E41:E41,ANNOUNCEMENTS!J41:J41,ANNOUNCEMENTS!K41:K41,ANNOUNCEMENTS!W41:W41,ANNOUNCEMENTS!Z41:Z41,ANNOUNCEMENTS!AB41:AB41,ANNOUNCEMENTS!AD41:AD41))</f>
        <v>https://einride.tech/press/uae-grid-announcement</v>
      </c>
      <c r="C41" s="286">
        <v>45077</v>
      </c>
      <c r="D41" s="135" t="str">
        <v>Einride and UAE Ministry of Energy and Infrastructure Partner to Deploy Region's Largest Autonomous and Electric Fleet</v>
      </c>
      <c r="E41" s="135" t="str">
        <v>Einride</v>
      </c>
      <c r="F41" s="135" t="str">
        <v>Trucking</v>
      </c>
      <c r="G41" s="135" t="str">
        <v>UAE Ministry of Energy and Infrastructure</v>
      </c>
      <c r="H41" s="135" t="str">
        <v>2.3. Long term Alliance</v>
      </c>
      <c r="I41" s="135" t="str">
        <v>Supply Partnership (extended)</v>
      </c>
      <c r="J41" s="59">
        <v>0</v>
      </c>
      <c r="K41" s="59">
        <v>0</v>
      </c>
    </row>
    <row r="42" spans="1:11" x14ac:dyDescent="0.35">
      <c r="A42" s="134">
        <f t="shared" si="0"/>
        <v>41</v>
      </c>
      <c r="B42" s="135" t="str" cm="1">
        <f t="array" ref="B42:K42">TRANSPOSE(CHOOSE({1;2;3;4;5;6;7;8;9;10},ANNOUNCEMENTS!A42:A42,ANNOUNCEMENTS!C42:C42,ANNOUNCEMENTS!D42:D42,ANNOUNCEMENTS!E42:E42,ANNOUNCEMENTS!J42:J42,ANNOUNCEMENTS!K42:K42,ANNOUNCEMENTS!W42:W42,ANNOUNCEMENTS!Z42:Z42,ANNOUNCEMENTS!AB42:AB42,ANNOUNCEMENTS!AD42:AD42))</f>
        <v>https://einride.tech/press/einride-and-oatly-expand-partnership-to-north-america</v>
      </c>
      <c r="C42" s="286">
        <v>44721</v>
      </c>
      <c r="D42" s="135" t="str">
        <v>Einride and Oatly Expand Partnership to Electrify Oatly's North American Fleet</v>
      </c>
      <c r="E42" s="135" t="str">
        <v>Einride</v>
      </c>
      <c r="F42" s="135" t="str">
        <v>Trucking</v>
      </c>
      <c r="G42" s="135" t="str">
        <v>Oatly</v>
      </c>
      <c r="H42" s="135" t="str">
        <v>2.3. Long term Alliance</v>
      </c>
      <c r="I42" s="135" t="str">
        <v>Supply Partnership (extended)</v>
      </c>
      <c r="J42" s="59">
        <v>0</v>
      </c>
      <c r="K42" s="59">
        <v>0</v>
      </c>
    </row>
    <row r="43" spans="1:11" x14ac:dyDescent="0.35">
      <c r="A43" s="134">
        <f t="shared" si="0"/>
        <v>42</v>
      </c>
      <c r="B43" s="135" t="str" cm="1">
        <f t="array" ref="B43:K43">TRANSPOSE(CHOOSE({1;2;3;4;5;6;7;8;9;10},ANNOUNCEMENTS!A43:A43,ANNOUNCEMENTS!C43:C43,ANNOUNCEMENTS!D43:D43,ANNOUNCEMENTS!E43:E43,ANNOUNCEMENTS!J43:J43,ANNOUNCEMENTS!K43:K43,ANNOUNCEMENTS!W43:W43,ANNOUNCEMENTS!Z43:Z43,ANNOUNCEMENTS!AB43:AB43,ANNOUNCEMENTS!AD43:AD43))</f>
        <v>https://einride.tech/press/first-fulltime-autonomous-operations</v>
      </c>
      <c r="C43" s="286">
        <v>44939</v>
      </c>
      <c r="D43" s="135" t="str">
        <v>Einride Deploys First Full Time, Daily Autonomous Operations In Partnership With GE Appliances</v>
      </c>
      <c r="E43" s="135" t="str">
        <v>Einride</v>
      </c>
      <c r="F43" s="135" t="str">
        <v>Trucking</v>
      </c>
      <c r="G43" s="135" t="str">
        <v>GE Appliances</v>
      </c>
      <c r="H43" s="135" t="str">
        <v>2.3. Long term Alliance</v>
      </c>
      <c r="I43" s="135" t="str">
        <v>Supply Partnership (extended)</v>
      </c>
      <c r="J43" s="59">
        <v>0</v>
      </c>
      <c r="K43" s="59">
        <v>0</v>
      </c>
    </row>
    <row r="44" spans="1:11" x14ac:dyDescent="0.35">
      <c r="A44" s="134">
        <f t="shared" si="0"/>
        <v>43</v>
      </c>
      <c r="B44" s="135" t="str" cm="1">
        <f t="array" ref="B44:K44">TRANSPOSE(CHOOSE({1;2;3;4;5;6;7;8;9;10},ANNOUNCEMENTS!A44:A44,ANNOUNCEMENTS!C44:C44,ANNOUNCEMENTS!D44:D44,ANNOUNCEMENTS!E44:E44,ANNOUNCEMENTS!J44:J44,ANNOUNCEMENTS!K44:K44,ANNOUNCEMENTS!W44:W44,ANNOUNCEMENTS!Z44:Z44,ANNOUNCEMENTS!AB44:AB44,ANNOUNCEMENTS!AD44:AD44))</f>
        <v>https://einride.tech/press/einride-partners-with-lidl-to-reduce-emissions</v>
      </c>
      <c r="C44" s="286">
        <v>42760</v>
      </c>
      <c r="D44" s="135" t="str">
        <v>Einride, a Swedish self-driving transportation startup, partners with Lidl to reduce emissions by up to 93 percent</v>
      </c>
      <c r="E44" s="135" t="str">
        <v>Einride</v>
      </c>
      <c r="F44" s="135" t="str">
        <v>Trucking</v>
      </c>
      <c r="G44" s="135" t="str">
        <v>Lidl</v>
      </c>
      <c r="H44" s="135" t="str">
        <v xml:space="preserve">2.2. Renewed Alliance </v>
      </c>
      <c r="I44" s="135" t="str">
        <v>Supply Partnership (extended)</v>
      </c>
      <c r="J44" s="59">
        <v>0</v>
      </c>
      <c r="K44" s="59">
        <v>0</v>
      </c>
    </row>
    <row r="45" spans="1:11" x14ac:dyDescent="0.35">
      <c r="A45" s="134">
        <f t="shared" si="0"/>
        <v>44</v>
      </c>
      <c r="B45" s="135" t="str" cm="1">
        <f t="array" ref="B45:K45">TRANSPOSE(CHOOSE({1;2;3;4;5;6;7;8;9;10},ANNOUNCEMENTS!A45:A45,ANNOUNCEMENTS!C45:C45,ANNOUNCEMENTS!D45:D45,ANNOUNCEMENTS!E45:E45,ANNOUNCEMENTS!J45:J45,ANNOUNCEMENTS!K45:K45,ANNOUNCEMENTS!W45:W45,ANNOUNCEMENTS!Z45:Z45,ANNOUNCEMENTS!AB45:AB45,ANNOUNCEMENTS!AD45:AD45))</f>
        <v>https://gatik.ai/wp-content/uploads/Goodyear-Invests-in-Autonomous-Trucking-Company-Gatik-and-Collaborates-to-Enhance-Safety-and-Efficiency_28.9.2021.pdf</v>
      </c>
      <c r="C45" s="286">
        <v>44467</v>
      </c>
      <c r="D45" s="135" t="str">
        <v>Goodyear Invests in Autonomous Trucking Company Gatik and Collaborates to Enhance Safety and Efficiency for Autonomous Middle Mile Logistics</v>
      </c>
      <c r="E45" s="135" t="str">
        <v>Gatik</v>
      </c>
      <c r="F45" s="135" t="str">
        <v>Trucking</v>
      </c>
      <c r="G45" s="135" t="str">
        <v>Goodyear</v>
      </c>
      <c r="H45" s="135" t="str">
        <v>3. Strategic Partnership</v>
      </c>
      <c r="I45" s="135" t="str">
        <v>Other</v>
      </c>
      <c r="J45" s="59" t="str">
        <v>Supply Partnership (traditional)</v>
      </c>
      <c r="K45" s="59" t="str">
        <v>Joint D&amp;D</v>
      </c>
    </row>
    <row r="46" spans="1:11" x14ac:dyDescent="0.35">
      <c r="A46" s="134">
        <f t="shared" si="0"/>
        <v>45</v>
      </c>
      <c r="B46" s="135" t="str" cm="1">
        <f t="array" ref="B46:K46">TRANSPOSE(CHOOSE({1;2;3;4;5;6;7;8;9;10},ANNOUNCEMENTS!A46:A46,ANNOUNCEMENTS!C46:C46,ANNOUNCEMENTS!D46:D46,ANNOUNCEMENTS!E46:E46,ANNOUNCEMENTS!J46:J46,ANNOUNCEMENTS!K46:K46,ANNOUNCEMENTS!W46:W46,ANNOUNCEMENTS!Z46:Z46,ANNOUNCEMENTS!AB46:AB46,ANNOUNCEMENTS!AD46:AD46))</f>
        <v>https://gatik.ai/wp-content/uploads/Ryder-Invests-in-Gatik-and-Partners-to-Establish-North-American-Autonomous-Delivery-Network-for-B2B-Short-Haul-Logistics_19.10.2021.pdf</v>
      </c>
      <c r="C46" s="286">
        <v>44215</v>
      </c>
      <c r="D46" s="135" t="str">
        <v>Ryder Invests in Gatik and Partners to Establish North American Autonomous Delivery Network for B2B Short-Haul Logistics</v>
      </c>
      <c r="E46" s="135" t="str">
        <v>Gatik</v>
      </c>
      <c r="F46" s="135" t="str">
        <v>Trucking</v>
      </c>
      <c r="G46" s="135" t="str">
        <v>Ryder</v>
      </c>
      <c r="H46" s="135" t="str">
        <v>3. Strategic Partnership</v>
      </c>
      <c r="I46" s="135" t="str">
        <v>Supply Partnership (traditional)</v>
      </c>
      <c r="J46" s="59" t="str">
        <v>Joint Service Agreement</v>
      </c>
      <c r="K46" s="59">
        <v>0</v>
      </c>
    </row>
    <row r="47" spans="1:11" x14ac:dyDescent="0.35">
      <c r="A47" s="134">
        <f t="shared" si="0"/>
        <v>46</v>
      </c>
      <c r="B47" s="135" t="str" cm="1">
        <f t="array" ref="B47:K47">TRANSPOSE(CHOOSE({1;2;3;4;5;6;7;8;9;10},ANNOUNCEMENTS!A47:A47,ANNOUNCEMENTS!C47:C47,ANNOUNCEMENTS!D47:D47,ANNOUNCEMENTS!E47:E47,ANNOUNCEMENTS!J47:J47,ANNOUNCEMENTS!K47:K47,ANNOUNCEMENTS!W47:W47,ANNOUNCEMENTS!Z47:Z47,ANNOUNCEMENTS!AB47:AB47,ANNOUNCEMENTS!AD47:AD47))</f>
        <v>https://gatik.ai/wp-content/uploads/Gatik-and-Walmart-Partner-to-Enable-AV-Legislation-in-Kansas_18.05.2022.pdf</v>
      </c>
      <c r="C47" s="286">
        <v>44699</v>
      </c>
      <c r="D47" s="135" t="str">
        <v>Gatik and Walmart Partner to Enable AV Legislation in Kansas</v>
      </c>
      <c r="E47" s="135" t="str">
        <v>Gatik</v>
      </c>
      <c r="F47" s="135" t="str">
        <v>Trucking</v>
      </c>
      <c r="G47" s="135" t="str">
        <v>Walmart</v>
      </c>
      <c r="H47" s="135" t="str">
        <v>1. Informal Agreement</v>
      </c>
      <c r="I47" s="135" t="str">
        <v>Other</v>
      </c>
      <c r="J47" s="59">
        <v>0</v>
      </c>
      <c r="K47" s="59">
        <v>0</v>
      </c>
    </row>
    <row r="48" spans="1:11" x14ac:dyDescent="0.35">
      <c r="A48" s="134">
        <f t="shared" si="0"/>
        <v>47</v>
      </c>
      <c r="B48" s="135" t="str" cm="1">
        <f t="array" ref="B48:K48">TRANSPOSE(CHOOSE({1;2;3;4;5;6;7;8;9;10},ANNOUNCEMENTS!A48:A48,ANNOUNCEMENTS!C48:C48,ANNOUNCEMENTS!D48:D48,ANNOUNCEMENTS!E48:E48,ANNOUNCEMENTS!J48:J48,ANNOUNCEMENTS!K48:K48,ANNOUNCEMENTS!W48:W48,ANNOUNCEMENTS!Z48:Z48,ANNOUNCEMENTS!AB48:AB48,ANNOUNCEMENTS!AD48:AD48))</f>
        <v>https://gatik.ai/wp-content/uploads/Gatik-Partners-with-ChargePoint-to-Develop-Electric-Ecosystem_28.3.2022.pdf</v>
      </c>
      <c r="C48" s="286">
        <v>44648</v>
      </c>
      <c r="D48" s="135" t="str">
        <v>ChargePoint and Gatik partner to develop an electric ecosystem for autonomous electric medium-duty trucks</v>
      </c>
      <c r="E48" s="135" t="str">
        <v>Gatik</v>
      </c>
      <c r="F48" s="135" t="str">
        <v>Trucking</v>
      </c>
      <c r="G48" s="135" t="str">
        <v>ChargePoint</v>
      </c>
      <c r="H48" s="135" t="str">
        <v>2.1. Short term Alliance (no exclusivity / previous experience)</v>
      </c>
      <c r="I48" s="135" t="str">
        <v>Joint D&amp;D</v>
      </c>
      <c r="J48" s="59">
        <v>0</v>
      </c>
      <c r="K48" s="59">
        <v>0</v>
      </c>
    </row>
    <row r="49" spans="1:11" x14ac:dyDescent="0.35">
      <c r="A49" s="134">
        <f t="shared" si="0"/>
        <v>48</v>
      </c>
      <c r="B49" s="135" t="str" cm="1">
        <f t="array" ref="B49:K49">TRANSPOSE(CHOOSE({1;2;3;4;5;6;7;8;9;10},ANNOUNCEMENTS!A49:A49,ANNOUNCEMENTS!C49:C49,ANNOUNCEMENTS!D49:D49,ANNOUNCEMENTS!E49:E49,ANNOUNCEMENTS!J49:J49,ANNOUNCEMENTS!K49:K49,ANNOUNCEMENTS!W49:W49,ANNOUNCEMENTS!Z49:Z49,ANNOUNCEMENTS!AB49:AB49,ANNOUNCEMENTS!AD49:AD49))</f>
        <v>https://gatik.ai/wp-content/uploads/Isuzu-and-Gatik-Form-Strategic-Collaboration_22.03.2021.pdf</v>
      </c>
      <c r="C49" s="286">
        <v>44277</v>
      </c>
      <c r="D49" s="135" t="str">
        <v>Isuzu Commercial Truck of America and Gatik Form Strategic Collaboration to Develop and Evaluate Fully Autonomous Medium Duty Truck</v>
      </c>
      <c r="E49" s="135" t="str">
        <v>Gatik</v>
      </c>
      <c r="F49" s="135" t="str">
        <v>Trucking</v>
      </c>
      <c r="G49" s="135" t="str">
        <v>Isuzu North America</v>
      </c>
      <c r="H49" s="135" t="str">
        <v>2.1. Short term Alliance (no exclusivity / previous experience)</v>
      </c>
      <c r="I49" s="135" t="str">
        <v>Joint D&amp;D</v>
      </c>
      <c r="J49" s="59">
        <v>0</v>
      </c>
      <c r="K49" s="59">
        <v>0</v>
      </c>
    </row>
    <row r="50" spans="1:11" x14ac:dyDescent="0.35">
      <c r="A50" s="134">
        <f t="shared" si="0"/>
        <v>49</v>
      </c>
      <c r="B50" s="135" t="str" cm="1">
        <f t="array" ref="B50:K50">TRANSPOSE(CHOOSE({1;2;3;4;5;6;7;8;9;10},ANNOUNCEMENTS!A50:A50,ANNOUNCEMENTS!C50:C50,ANNOUNCEMENTS!D50:D50,ANNOUNCEMENTS!E50:E50,ANNOUNCEMENTS!J50:J50,ANNOUNCEMENTS!K50:K50,ANNOUNCEMENTS!W50:W50,ANNOUNCEMENTS!Z50:Z50,ANNOUNCEMENTS!AB50:AB50,ANNOUNCEMENTS!AD50:AD50))</f>
        <v>https://gatik.ai/wp-content/uploads/Gatik-and-Pitney-Bowes-Partner-to-Deploy-Autonomous-Trucks-for-Ecommerce-Shipments-in-Dallas-Market-.pdf</v>
      </c>
      <c r="C50" s="286">
        <v>44804</v>
      </c>
      <c r="D50" s="135" t="str">
        <v>Gatik and Pitney Bowes Partner to Deploy Autonomous Trucks for Ecommerce Shipments in Dallas Market</v>
      </c>
      <c r="E50" s="135" t="str">
        <v>Gatik</v>
      </c>
      <c r="F50" s="135" t="str">
        <v>Trucking</v>
      </c>
      <c r="G50" s="135" t="str">
        <v>Pitney Bowes</v>
      </c>
      <c r="H50" s="135" t="str">
        <v>2.3. Long term Alliance</v>
      </c>
      <c r="I50" s="135" t="str">
        <v>Supply Partnership (extended)</v>
      </c>
      <c r="J50" s="59">
        <v>0</v>
      </c>
      <c r="K50" s="59">
        <v>0</v>
      </c>
    </row>
    <row r="51" spans="1:11" x14ac:dyDescent="0.35">
      <c r="A51" s="134">
        <f t="shared" si="0"/>
        <v>50</v>
      </c>
      <c r="B51" s="135" t="str" cm="1">
        <f t="array" ref="B51:K51">TRANSPOSE(CHOOSE({1;2;3;4;5;6;7;8;9;10},ANNOUNCEMENTS!A51:A51,ANNOUNCEMENTS!C51:C51,ANNOUNCEMENTS!D51:D51,ANNOUNCEMENTS!E51:E51,ANNOUNCEMENTS!J51:J51,ANNOUNCEMENTS!K51:K51,ANNOUNCEMENTS!W51:W51,ANNOUNCEMENTS!Z51:Z51,ANNOUNCEMENTS!AB51:AB51,ANNOUNCEMENTS!AD51:AD51))</f>
        <v>https://gatik.ai/wp-content/uploads/Gatik-Announces-Collaboration-with-Americas-Grocer-to-Future-Proof-Supply-Chain-with-Autonomous-Box-Trucks.pdf</v>
      </c>
      <c r="C51" s="286">
        <v>45000</v>
      </c>
      <c r="D51" s="135" t="str">
        <v>Gatik Announces Collaboration with America's Grocer to Future-Proof Supply Partnership with Autonomous Box Trucks</v>
      </c>
      <c r="E51" s="135" t="str">
        <v>Gatik</v>
      </c>
      <c r="F51" s="135" t="str">
        <v>Trucking</v>
      </c>
      <c r="G51" s="135" t="str">
        <v>Kroger</v>
      </c>
      <c r="H51" s="135" t="str">
        <v>2.3. Long term Alliance</v>
      </c>
      <c r="I51" s="135" t="str">
        <v>Joint Service Agreement</v>
      </c>
      <c r="J51" s="59">
        <v>0</v>
      </c>
      <c r="K51" s="59">
        <v>0</v>
      </c>
    </row>
    <row r="52" spans="1:11" x14ac:dyDescent="0.35">
      <c r="A52" s="134">
        <f t="shared" si="0"/>
        <v>51</v>
      </c>
      <c r="B52" s="135" t="str" cm="1">
        <f t="array" ref="B52:K52">TRANSPOSE(CHOOSE({1;2;3;4;5;6;7;8;9;10},ANNOUNCEMENTS!A52:A52,ANNOUNCEMENTS!C52:C52,ANNOUNCEMENTS!D52:D52,ANNOUNCEMENTS!E52:E52,ANNOUNCEMENTS!J52:J52,ANNOUNCEMENTS!K52:K52,ANNOUNCEMENTS!W52:W52,ANNOUNCEMENTS!Z52:Z52,ANNOUNCEMENTS!AB52:AB52,ANNOUNCEMENTS!AD52:AD52))</f>
        <v>https://ioki.com/en/deutsche-bahn-and-berlins-municipal-public-transportation-operator-berliner-verkehrsbetriebe-are-cooperation-partners-in-the-area-of-autonomous-driving/</v>
      </c>
      <c r="C52" s="286">
        <v>43199</v>
      </c>
      <c r="D52" s="135" t="str">
        <v>Deutsche Bahn and Berlin's municipal public transportation operator Berliner Verkehrsbetriebe are cooperation partners in the area of autonomous driving</v>
      </c>
      <c r="E52" s="135" t="str">
        <v>Ioki</v>
      </c>
      <c r="F52" s="135" t="str">
        <v>Ridepooling</v>
      </c>
      <c r="G52" s="135" t="str">
        <v>Deutsche Bahn;Berliner Verkehrsbetriebe</v>
      </c>
      <c r="H52" s="135" t="str">
        <v>2.1. Short term Alliance (no exclusivity / previous experience)</v>
      </c>
      <c r="I52" s="135" t="str">
        <v>Joint D&amp;D</v>
      </c>
      <c r="J52" s="59">
        <v>0</v>
      </c>
      <c r="K52" s="59">
        <v>0</v>
      </c>
    </row>
    <row r="53" spans="1:11" x14ac:dyDescent="0.35">
      <c r="A53" s="134">
        <f t="shared" si="0"/>
        <v>52</v>
      </c>
      <c r="B53" s="135" t="str" cm="1">
        <f t="array" ref="B53:K53">TRANSPOSE(CHOOSE({1;2;3;4;5;6;7;8;9;10},ANNOUNCEMENTS!A53:A53,ANNOUNCEMENTS!C53:C53,ANNOUNCEMENTS!D53:D53,ANNOUNCEMENTS!E53:E53,ANNOUNCEMENTS!J53:J53,ANNOUNCEMENTS!K53:K53,ANNOUNCEMENTS!W53:W53,ANNOUNCEMENTS!Z53:Z53,ANNOUNCEMENTS!AB53:AB53,ANNOUNCEMENTS!AD53:AD53))</f>
        <v>https://ioki.com/en/automated-public-transport-ioki-to-be-technology-partner-of-the-research-project-minga-in-munich/</v>
      </c>
      <c r="C53" s="286">
        <v>45070</v>
      </c>
      <c r="D53" s="135" t="str">
        <v>Automated public transport: ioki to be technology partner of the research project MINGA in Munich</v>
      </c>
      <c r="E53" s="135" t="str">
        <v>Ioki</v>
      </c>
      <c r="F53" s="135" t="str">
        <v>Ridepooling</v>
      </c>
      <c r="G53" s="135" t="str">
        <v>MINGA</v>
      </c>
      <c r="H53" s="135" t="str">
        <v>2.1. Short term Alliance (no exclusivity / previous experience)</v>
      </c>
      <c r="I53" s="135" t="str">
        <v>Joint Service Agreement</v>
      </c>
      <c r="J53" s="59">
        <v>0</v>
      </c>
      <c r="K53" s="59">
        <v>0</v>
      </c>
    </row>
    <row r="54" spans="1:11" x14ac:dyDescent="0.35">
      <c r="A54" s="134">
        <f t="shared" si="0"/>
        <v>53</v>
      </c>
      <c r="B54" s="135" t="str" cm="1">
        <f t="array" ref="B54:K54">TRANSPOSE(CHOOSE({1;2;3;4;5;6;7;8;9;10},ANNOUNCEMENTS!A54:A54,ANNOUNCEMENTS!C54:C54,ANNOUNCEMENTS!D54:D54,ANNOUNCEMENTS!E54:E54,ANNOUNCEMENTS!J54:J54,ANNOUNCEMENTS!K54:K54,ANNOUNCEMENTS!W54:W54,ANNOUNCEMENTS!Z54:Z54,ANNOUNCEMENTS!AB54:AB54,ANNOUNCEMENTS!AD54:AD54))</f>
        <v>https://www.kiwibot.com/blog-posts/kiwibot-partners-aramex</v>
      </c>
      <c r="C54" s="286">
        <v>44972</v>
      </c>
      <c r="D54" s="135" t="str">
        <v>Kiwibot partners with Aramex to Test Drone and Robotic Delivery Service</v>
      </c>
      <c r="E54" s="135" t="str">
        <v>Kiwibot</v>
      </c>
      <c r="F54" s="135" t="str">
        <v>Last-Mile</v>
      </c>
      <c r="G54" s="135" t="str">
        <v>Aramex</v>
      </c>
      <c r="H54" s="135" t="str">
        <v>2.1. Short term Alliance (no exclusivity / previous experience)</v>
      </c>
      <c r="I54" s="135" t="str">
        <v>Joint Service Agreement</v>
      </c>
      <c r="J54" s="59">
        <v>0</v>
      </c>
      <c r="K54" s="59">
        <v>0</v>
      </c>
    </row>
    <row r="55" spans="1:11" x14ac:dyDescent="0.35">
      <c r="A55" s="134">
        <f t="shared" si="0"/>
        <v>54</v>
      </c>
      <c r="B55" s="135" t="str" cm="1">
        <f t="array" ref="B55:K55">TRANSPOSE(CHOOSE({1;2;3;4;5;6;7;8;9;10},ANNOUNCEMENTS!A55:A55,ANNOUNCEMENTS!C55:C55,ANNOUNCEMENTS!D55:D55,ANNOUNCEMENTS!E55:E55,ANNOUNCEMENTS!J55:J55,ANNOUNCEMENTS!K55:K55,ANNOUNCEMENTS!W55:W55,ANNOUNCEMENTS!Z55:Z55,ANNOUNCEMENTS!AB55:AB55,ANNOUNCEMENTS!AD55:AD55))</f>
        <v>https://www.kiwibot.com/blog-posts/grubhub-and-kiwibot-partner-for-robot-delivery-on-college-campuses</v>
      </c>
      <c r="C55" s="286">
        <v>44570</v>
      </c>
      <c r="D55" s="135" t="str">
        <v>Grubhub and Kiwibot Partner for Robot Delivery on College Campuses</v>
      </c>
      <c r="E55" s="135" t="str">
        <v>Kiwibot</v>
      </c>
      <c r="F55" s="135" t="str">
        <v>Last-Mile</v>
      </c>
      <c r="G55" s="135" t="str">
        <v>Grubhub</v>
      </c>
      <c r="H55" s="135" t="str">
        <v>2.1. Short term Alliance (no exclusivity / previous experience)</v>
      </c>
      <c r="I55" s="135" t="str">
        <v>Joint Service Agreement</v>
      </c>
      <c r="J55" s="59">
        <v>0</v>
      </c>
      <c r="K55" s="59">
        <v>0</v>
      </c>
    </row>
    <row r="56" spans="1:11" x14ac:dyDescent="0.35">
      <c r="A56" s="134">
        <f t="shared" si="0"/>
        <v>55</v>
      </c>
      <c r="B56" s="135" t="str" cm="1">
        <f t="array" ref="B56:K56">TRANSPOSE(CHOOSE({1;2;3;4;5;6;7;8;9;10},ANNOUNCEMENTS!A56:A56,ANNOUNCEMENTS!C56:C56,ANNOUNCEMENTS!D56:D56,ANNOUNCEMENTS!E56:E56,ANNOUNCEMENTS!J56:J56,ANNOUNCEMENTS!K56:K56,ANNOUNCEMENTS!W56:W56,ANNOUNCEMENTS!Z56:Z56,ANNOUNCEMENTS!AB56:AB56,ANNOUNCEMENTS!AD56:AD56))</f>
        <v>https://www.kiwibot.com/blog-posts/kiwibot-secures-10m-in-tailor-made-partnership-with-kineo-finance-to-scale-their-robotic-fleet</v>
      </c>
      <c r="C56" s="286">
        <v>44979</v>
      </c>
      <c r="D56" s="135" t="str">
        <v>Kiwibot Secures $10M in a Tailor-Made Partnership with kineo finance To Scale Their Robotic Fleet</v>
      </c>
      <c r="E56" s="135" t="str">
        <v>Kiwibot</v>
      </c>
      <c r="F56" s="135" t="str">
        <v>Last-Mile</v>
      </c>
      <c r="G56" s="135" t="str">
        <v>kineo</v>
      </c>
      <c r="H56" s="135" t="str">
        <v>3. Strategic Partnership</v>
      </c>
      <c r="I56" s="135" t="str">
        <v>Other</v>
      </c>
      <c r="J56" s="59">
        <v>0</v>
      </c>
      <c r="K56" s="59">
        <v>0</v>
      </c>
    </row>
    <row r="57" spans="1:11" x14ac:dyDescent="0.35">
      <c r="A57" s="134">
        <f t="shared" si="0"/>
        <v>56</v>
      </c>
      <c r="B57" s="135" t="str" cm="1">
        <f t="array" ref="B57:K57">TRANSPOSE(CHOOSE({1;2;3;4;5;6;7;8;9;10},ANNOUNCEMENTS!A57:A57,ANNOUNCEMENTS!C57:C57,ANNOUNCEMENTS!D57:D57,ANNOUNCEMENTS!E57:E57,ANNOUNCEMENTS!J57:J57,ANNOUNCEMENTS!K57:K57,ANNOUNCEMENTS!W57:W57,ANNOUNCEMENTS!Z57:Z57,ANNOUNCEMENTS!AB57:AB57,ANNOUNCEMENTS!AD57:AD57))</f>
        <v>https://kodiak.ai/news/kodiak-partners-with-10-roads-express</v>
      </c>
      <c r="C57" s="286">
        <v>44768</v>
      </c>
      <c r="D57" s="135" t="str">
        <v>Kodiak Partners with 10 Roads Express</v>
      </c>
      <c r="E57" s="135" t="str">
        <v>Kodiak</v>
      </c>
      <c r="F57" s="135" t="str">
        <v>Trucking</v>
      </c>
      <c r="G57" s="135" t="str">
        <v>Ten Roads Express</v>
      </c>
      <c r="H57" s="135" t="str">
        <v>2.1. Short term Alliance (no exclusivity / previous experience)</v>
      </c>
      <c r="I57" s="135" t="str">
        <v>Supply Partnership (extended)</v>
      </c>
      <c r="J57" s="59">
        <v>0</v>
      </c>
      <c r="K57" s="59">
        <v>0</v>
      </c>
    </row>
    <row r="58" spans="1:11" x14ac:dyDescent="0.35">
      <c r="A58" s="134">
        <f t="shared" si="0"/>
        <v>57</v>
      </c>
      <c r="B58" s="135" t="str" cm="1">
        <f t="array" ref="B58:K58">TRANSPOSE(CHOOSE({1;2;3;4;5;6;7;8;9;10},ANNOUNCEMENTS!A58:A58,ANNOUNCEMENTS!C58:C58,ANNOUNCEMENTS!D58:D58,ANNOUNCEMENTS!E58:E58,ANNOUNCEMENTS!J58:J58,ANNOUNCEMENTS!K58:K58,ANNOUNCEMENTS!W58:W58,ANNOUNCEMENTS!Z58:Z58,ANNOUNCEMENTS!AB58:AB58,ANNOUNCEMENTS!AD58:AD58))</f>
        <v>https://kodiak.ai/news/kodiak-and-werner-collaborate</v>
      </c>
      <c r="C58" s="286">
        <v>44833</v>
      </c>
      <c r="D58" s="135" t="str">
        <v>Kodiak and Werner Collaborate</v>
      </c>
      <c r="E58" s="135" t="str">
        <v>Kodiak</v>
      </c>
      <c r="F58" s="135" t="str">
        <v>Trucking</v>
      </c>
      <c r="G58" s="135" t="str">
        <v>Werner</v>
      </c>
      <c r="H58" s="135" t="str">
        <v>2.1. Short term Alliance (no exclusivity / previous experience)</v>
      </c>
      <c r="I58" s="135" t="str">
        <v>Joint D&amp;D</v>
      </c>
      <c r="J58" s="59">
        <v>0</v>
      </c>
      <c r="K58" s="59">
        <v>0</v>
      </c>
    </row>
    <row r="59" spans="1:11" x14ac:dyDescent="0.35">
      <c r="A59" s="134">
        <f t="shared" si="0"/>
        <v>58</v>
      </c>
      <c r="B59" s="135" t="str" cm="1">
        <f t="array" ref="B59:K59">TRANSPOSE(CHOOSE({1;2;3;4;5;6;7;8;9;10},ANNOUNCEMENTS!A59:A59,ANNOUNCEMENTS!C59:C59,ANNOUNCEMENTS!D59:D59,ANNOUNCEMENTS!E59:E59,ANNOUNCEMENTS!J59:J59,ANNOUNCEMENTS!K59:K59,ANNOUNCEMENTS!W59:W59,ANNOUNCEMENTS!Z59:Z59,ANNOUNCEMENTS!AB59:AB59,ANNOUNCEMENTS!AD59:AD59))</f>
        <v>https://maymobility.com/posts/bridgestone-invests-in-autonomous-driving-technology-provider-may-mobility-kicks-off-broader-partnership/</v>
      </c>
      <c r="C59" s="286">
        <v>44641</v>
      </c>
      <c r="D59" s="135" t="str">
        <v>Bridgestone invests in autonomous driving technology provider May Mobility, kicks off broader partnership</v>
      </c>
      <c r="E59" s="135" t="str">
        <v>May Mobility</v>
      </c>
      <c r="F59" s="135" t="str">
        <v>Ridehailing</v>
      </c>
      <c r="G59" s="135" t="str">
        <v>Bridgestone</v>
      </c>
      <c r="H59" s="135" t="str">
        <v>3. Strategic Partnership</v>
      </c>
      <c r="I59" s="135" t="str">
        <v>Joint D&amp;D</v>
      </c>
      <c r="J59" s="59" t="str">
        <v>Research &amp; Collaboration</v>
      </c>
      <c r="K59" s="59">
        <v>0</v>
      </c>
    </row>
    <row r="60" spans="1:11" x14ac:dyDescent="0.35">
      <c r="A60" s="134">
        <f t="shared" si="0"/>
        <v>59</v>
      </c>
      <c r="B60" s="135" t="str" cm="1">
        <f t="array" ref="B60:K60">TRANSPOSE(CHOOSE({1;2;3;4;5;6;7;8;9;10},ANNOUNCEMENTS!A60:A60,ANNOUNCEMENTS!C60:C60,ANNOUNCEMENTS!D60:D60,ANNOUNCEMENTS!E60:E60,ANNOUNCEMENTS!J60:J60,ANNOUNCEMENTS!K60:K60,ANNOUNCEMENTS!W60:W60,ANNOUNCEMENTS!Z60:Z60,ANNOUNCEMENTS!AB60:AB60,ANNOUNCEMENTS!AD60:AD60))</f>
        <v>https://maymobility.com/posts/may-mobility-and-stantec-partner-to-deliver-turnkey-av-microtransit-solutions/</v>
      </c>
      <c r="C60" s="286">
        <v>45013</v>
      </c>
      <c r="D60" s="135" t="str">
        <v>May Mobility and Stantec partner to deliver turnkey AV microtransit solutions</v>
      </c>
      <c r="E60" s="135" t="str">
        <v>May Mobility</v>
      </c>
      <c r="F60" s="135" t="str">
        <v>Ridehailing</v>
      </c>
      <c r="G60" s="135" t="str">
        <v>Stantec</v>
      </c>
      <c r="H60" s="135" t="str">
        <v>2.1. Short term Alliance (no exclusivity / previous experience)</v>
      </c>
      <c r="I60" s="135" t="str">
        <v>Joint D&amp;D</v>
      </c>
      <c r="J60" s="59">
        <v>0</v>
      </c>
      <c r="K60" s="59">
        <v>0</v>
      </c>
    </row>
    <row r="61" spans="1:11" x14ac:dyDescent="0.35">
      <c r="A61" s="134">
        <f t="shared" si="0"/>
        <v>60</v>
      </c>
      <c r="B61" s="135" t="str" cm="1">
        <f t="array" ref="B61:K61">TRANSPOSE(CHOOSE({1;2;3;4;5;6;7;8;9;10},ANNOUNCEMENTS!A61:A61,ANNOUNCEMENTS!C61:C61,ANNOUNCEMENTS!D61:D61,ANNOUNCEMENTS!E61:E61,ANNOUNCEMENTS!J61:J61,ANNOUNCEMENTS!K61:K61,ANNOUNCEMENTS!W61:W61,ANNOUNCEMENTS!Z61:Z61,ANNOUNCEMENTS!AB61:AB61,ANNOUNCEMENTS!AD61:AD61))</f>
        <v>https://maymobility.com/posts/spare-and-may-mobility-partner-to-deliver-a-powerful-on-demand-transit-solution-with-autonomous-vehicles/</v>
      </c>
      <c r="C61" s="286">
        <v>45126</v>
      </c>
      <c r="D61" s="135" t="str">
        <v>Spare and May Mobility Partner to Deliver a Powerful On-Demand Transit Solution with Autonomous Vehicles</v>
      </c>
      <c r="E61" s="135" t="str">
        <v>May Mobility</v>
      </c>
      <c r="F61" s="135" t="str">
        <v>Ridehailing</v>
      </c>
      <c r="G61" s="135" t="str">
        <v>Spare</v>
      </c>
      <c r="H61" s="135" t="str">
        <v>2.1. Short term Alliance (no exclusivity / previous experience)</v>
      </c>
      <c r="I61" s="135" t="str">
        <v>Joint Service Agreement</v>
      </c>
      <c r="J61" s="59">
        <v>0</v>
      </c>
      <c r="K61" s="59">
        <v>0</v>
      </c>
    </row>
    <row r="62" spans="1:11" x14ac:dyDescent="0.35">
      <c r="A62" s="134">
        <f t="shared" si="0"/>
        <v>61</v>
      </c>
      <c r="B62" s="135" t="str" cm="1">
        <f t="array" ref="B62:K62">TRANSPOSE(CHOOSE({1;2;3;4;5;6;7;8;9;10},ANNOUNCEMENTS!A62:A62,ANNOUNCEMENTS!C62:C62,ANNOUNCEMENTS!D62:D62,ANNOUNCEMENTS!E62:E62,ANNOUNCEMENTS!J62:J62,ANNOUNCEMENTS!K62:K62,ANNOUNCEMENTS!W62:W62,ANNOUNCEMENTS!Z62:Z62,ANNOUNCEMENTS!AB62:AB62,ANNOUNCEMENTS!AD62:AD62))</f>
        <v>https://maymobility.com/posts/may-mobility-moovit-partner-to-deploy-complete-autonomous-mobility-package/</v>
      </c>
      <c r="C62" s="286">
        <v>45029</v>
      </c>
      <c r="D62" s="135" t="str">
        <v>May Mobility and Moovit partner to deploy complete autonomous mobility package</v>
      </c>
      <c r="E62" s="135" t="str">
        <v>May Mobility</v>
      </c>
      <c r="F62" s="135" t="str">
        <v>Ridehailing</v>
      </c>
      <c r="G62" s="135" t="str">
        <v>Moovit</v>
      </c>
      <c r="H62" s="135" t="str">
        <v>2.1. Short term Alliance (no exclusivity / previous experience)</v>
      </c>
      <c r="I62" s="135" t="str">
        <v>Joint Service Agreement</v>
      </c>
      <c r="J62" s="59">
        <v>0</v>
      </c>
      <c r="K62" s="59">
        <v>0</v>
      </c>
    </row>
    <row r="63" spans="1:11" x14ac:dyDescent="0.35">
      <c r="A63" s="134">
        <f t="shared" si="0"/>
        <v>62</v>
      </c>
      <c r="B63" s="135" t="str" cm="1">
        <f t="array" ref="B63:K63">TRANSPOSE(CHOOSE({1;2;3;4;5;6;7;8;9;10},ANNOUNCEMENTS!A63:A63,ANNOUNCEMENTS!C63:C63,ANNOUNCEMENTS!D63:D63,ANNOUNCEMENTS!E63:E63,ANNOUNCEMENTS!J63:J63,ANNOUNCEMENTS!K63:K63,ANNOUNCEMENTS!W63:W63,ANNOUNCEMENTS!Z63:Z63,ANNOUNCEMENTS!AB63:AB63,ANNOUNCEMENTS!AD63:AD63))</f>
        <v>https://maymobility.com/posts/liftango-and-may-mobility-partner/</v>
      </c>
      <c r="C63" s="286">
        <v>44951</v>
      </c>
      <c r="D63" s="135" t="str">
        <v>Liftango and May Mobility partner to deliver dynamic on-demand shared transport solutions with autonomous vehicles</v>
      </c>
      <c r="E63" s="135" t="str">
        <v>May Mobility</v>
      </c>
      <c r="F63" s="135" t="str">
        <v>Ridehailing</v>
      </c>
      <c r="G63" s="135" t="str">
        <v>Liftango</v>
      </c>
      <c r="H63" s="135" t="str">
        <v>2.1. Short term Alliance (no exclusivity / previous experience)</v>
      </c>
      <c r="I63" s="135" t="str">
        <v>Joint Service Agreement</v>
      </c>
      <c r="J63" s="59">
        <v>0</v>
      </c>
      <c r="K63" s="59">
        <v>0</v>
      </c>
    </row>
    <row r="64" spans="1:11" x14ac:dyDescent="0.35">
      <c r="A64" s="134">
        <f t="shared" si="0"/>
        <v>63</v>
      </c>
      <c r="B64" s="135" t="str" cm="1">
        <f t="array" ref="B64:K64">TRANSPOSE(CHOOSE({1;2;3;4;5;6;7;8;9;10},ANNOUNCEMENTS!A64:A64,ANNOUNCEMENTS!C64:C64,ANNOUNCEMENTS!D64:D64,ANNOUNCEMENTS!E64:E64,ANNOUNCEMENTS!J64:J64,ANNOUNCEMENTS!K64:K64,ANNOUNCEMENTS!W64:W64,ANNOUNCEMENTS!Z64:Z64,ANNOUNCEMENTS!AB64:AB64,ANNOUNCEMENTS!AD64:AD64))</f>
        <v>https://maymobility.com/posts/may-mobility-and-via-announce-partnership-that-will-integrate-on-demand-avs-into-public-transit/</v>
      </c>
      <c r="C64" s="286">
        <v>43848</v>
      </c>
      <c r="D64" s="135" t="str">
        <v>May Mobility and Via announce partnership that will integrate on-demand AVs into public transit</v>
      </c>
      <c r="E64" s="135" t="str">
        <v>May Mobility</v>
      </c>
      <c r="F64" s="135" t="str">
        <v>Ridepooling</v>
      </c>
      <c r="G64" s="135" t="str">
        <v>Via</v>
      </c>
      <c r="H64" s="135" t="str">
        <v>2.3. Long term Alliance</v>
      </c>
      <c r="I64" s="135" t="str">
        <v>Joint Service Agreement</v>
      </c>
      <c r="J64" s="59">
        <v>0</v>
      </c>
      <c r="K64" s="59">
        <v>0</v>
      </c>
    </row>
    <row r="65" spans="1:11" x14ac:dyDescent="0.35">
      <c r="A65" s="134">
        <f t="shared" si="0"/>
        <v>64</v>
      </c>
      <c r="B65" s="135" t="str" cm="1">
        <f t="array" ref="B65:K65">TRANSPOSE(CHOOSE({1;2;3;4;5;6;7;8;9;10},ANNOUNCEMENTS!A65:A65,ANNOUNCEMENTS!C65:C65,ANNOUNCEMENTS!D65:D65,ANNOUNCEMENTS!E65:E65,ANNOUNCEMENTS!J65:J65,ANNOUNCEMENTS!K65:K65,ANNOUNCEMENTS!W65:W65,ANNOUNCEMENTS!Z65:Z65,ANNOUNCEMENTS!AB65:AB65,ANNOUNCEMENTS!AD65:AD65))</f>
        <v>https://www.globenewswire.com/en/news-release/2015/03/23/717890/34491/en/Mission-Secure-Inc-Perrone-Robotics-and-University-of-Virginia-Demonstrate-Cyber-Attacks-and-Protections-for-Automobile-Braking-and-Acceleration.html</v>
      </c>
      <c r="C65" s="286">
        <v>42088</v>
      </c>
      <c r="D65" s="135" t="str">
        <v>Mission Secure Announces Partnership with UVA &amp; Perrone</v>
      </c>
      <c r="E65" s="135" t="str">
        <v>Perrone Robotics</v>
      </c>
      <c r="F65" s="135" t="str">
        <v>Ridepooling</v>
      </c>
      <c r="G65" s="135" t="str">
        <v>Mission Secure</v>
      </c>
      <c r="H65" s="135" t="str">
        <v>2.1. Short term Alliance (no exclusivity / previous experience)</v>
      </c>
      <c r="I65" s="135" t="str">
        <v>Research &amp; Collaboration</v>
      </c>
      <c r="J65" s="59">
        <v>0</v>
      </c>
      <c r="K65" s="59">
        <v>0</v>
      </c>
    </row>
    <row r="66" spans="1:11" x14ac:dyDescent="0.35">
      <c r="A66" s="134">
        <f t="shared" si="0"/>
        <v>65</v>
      </c>
      <c r="B66" s="135" t="str" cm="1">
        <f t="array" ref="B66:K66">TRANSPOSE(CHOOSE({1;2;3;4;5;6;7;8;9;10},ANNOUNCEMENTS!A66:A66,ANNOUNCEMENTS!C66:C66,ANNOUNCEMENTS!D66:D66,ANNOUNCEMENTS!E66:E66,ANNOUNCEMENTS!J66:J66,ANNOUNCEMENTS!K66:K66,ANNOUNCEMENTS!W66:W66,ANNOUNCEMENTS!Z66:Z66,ANNOUNCEMENTS!AB66:AB66,ANNOUNCEMENTS!AD66:AD66))</f>
        <v>https://www.mobileye.com/news/goggo-network-and-mobileye-plan-to-collaborate-to-introduce-level-autonomous-vehicles-for-logistics-in-europe/</v>
      </c>
      <c r="C66" s="286">
        <v>44589</v>
      </c>
      <c r="D66" s="135" t="str">
        <v>Goggo Network &amp; Mobileye collaborate on autonomous logistics vehicles</v>
      </c>
      <c r="E66" s="135" t="str">
        <v>Mobileye</v>
      </c>
      <c r="F66" s="135" t="str">
        <v>Last-Mile</v>
      </c>
      <c r="G66" s="135" t="str">
        <v>Goggo Network</v>
      </c>
      <c r="H66" s="135" t="str">
        <v>2.1. Short term Alliance (no exclusivity / previous experience)</v>
      </c>
      <c r="I66" s="135" t="str">
        <v>Supply Partnership (extended)</v>
      </c>
      <c r="J66" s="59">
        <v>0</v>
      </c>
      <c r="K66" s="59">
        <v>0</v>
      </c>
    </row>
    <row r="67" spans="1:11" x14ac:dyDescent="0.35">
      <c r="A67" s="134">
        <f t="shared" si="0"/>
        <v>66</v>
      </c>
      <c r="B67" s="135" t="str" cm="1">
        <f t="array" ref="B67:K67">TRANSPOSE(CHOOSE({1;2;3;4;5;6;7;8;9;10},ANNOUNCEMENTS!A67:A67,ANNOUNCEMENTS!C67:C67,ANNOUNCEMENTS!D67:D67,ANNOUNCEMENTS!E67:E67,ANNOUNCEMENTS!J67:J67,ANNOUNCEMENTS!K67:K67,ANNOUNCEMENTS!W67:W67,ANNOUNCEMENTS!Z67:Z67,ANNOUNCEMENTS!AB67:AB67,ANNOUNCEMENTS!AD67:AD67))</f>
        <v>https://www.mobileye.com/news/mobileye-and-man-truck-bus-launch-collaboration-for-av-city-buses/</v>
      </c>
      <c r="C67" s="286">
        <v>45063</v>
      </c>
      <c r="D67" s="135" t="str">
        <v>Mobileye and MAN Truck &amp; Bus launch collaboration for AV city buses</v>
      </c>
      <c r="E67" s="135" t="str">
        <v>Mobileye</v>
      </c>
      <c r="F67" s="135" t="str">
        <v>Ridepooling</v>
      </c>
      <c r="G67" s="135" t="str">
        <v>MAN Truck &amp; Bus</v>
      </c>
      <c r="H67" s="135" t="str">
        <v>2.1. Short term Alliance (no exclusivity / previous experience)</v>
      </c>
      <c r="I67" s="135" t="str">
        <v>Joint D&amp;D</v>
      </c>
      <c r="J67" s="59">
        <v>0</v>
      </c>
      <c r="K67" s="59">
        <v>0</v>
      </c>
    </row>
    <row r="68" spans="1:11" x14ac:dyDescent="0.35">
      <c r="A68" s="134">
        <f t="shared" ref="A68:A131" si="1">A67+1</f>
        <v>67</v>
      </c>
      <c r="B68" s="135" t="str" cm="1">
        <f t="array" ref="B68:K68">TRANSPOSE(CHOOSE({1;2;3;4;5;6;7;8;9;10},ANNOUNCEMENTS!A68:A68,ANNOUNCEMENTS!C68:C68,ANNOUNCEMENTS!D68:D68,ANNOUNCEMENTS!E68:E68,ANNOUNCEMENTS!J68:J68,ANNOUNCEMENTS!K68:K68,ANNOUNCEMENTS!W68:W68,ANNOUNCEMENTS!Z68:Z68,ANNOUNCEMENTS!AB68:AB68,ANNOUNCEMENTS!AD68:AD68))</f>
        <v>https://www.mobileye.com/news/porsche-mobileye-supervision-collaboration/</v>
      </c>
      <c r="C68" s="286">
        <v>45055</v>
      </c>
      <c r="D68" s="135" t="str">
        <v>Porsche and Mobileye launch SuperVision collaboration</v>
      </c>
      <c r="E68" s="135" t="str">
        <v>Mobileye</v>
      </c>
      <c r="F68" s="135" t="str">
        <v>Other</v>
      </c>
      <c r="G68" s="135" t="str">
        <v>Porsche</v>
      </c>
      <c r="H68" s="135" t="str">
        <v>2.1. Short term Alliance (no exclusivity / previous experience)</v>
      </c>
      <c r="I68" s="135" t="str">
        <v>Joint D&amp;D</v>
      </c>
      <c r="J68" s="59">
        <v>0</v>
      </c>
      <c r="K68" s="59">
        <v>0</v>
      </c>
    </row>
    <row r="69" spans="1:11" x14ac:dyDescent="0.35">
      <c r="A69" s="134">
        <f t="shared" si="1"/>
        <v>68</v>
      </c>
      <c r="B69" s="135" t="str" cm="1">
        <f t="array" ref="B69:K69">TRANSPOSE(CHOOSE({1;2;3;4;5;6;7;8;9;10},ANNOUNCEMENTS!A69:A69,ANNOUNCEMENTS!C69:C69,ANNOUNCEMENTS!D69:D69,ANNOUNCEMENTS!E69:E69,ANNOUNCEMENTS!J69:J69,ANNOUNCEMENTS!K69:K69,ANNOUNCEMENTS!W69:W69,ANNOUNCEMENTS!Z69:Z69,ANNOUNCEMENTS!AB69:AB69,ANNOUNCEMENTS!AD69:AD69))</f>
        <v>https://www.mobileye.com/news/ecarx-announces-mobileye-collaboration-for-polestar-future-products/</v>
      </c>
      <c r="C69" s="286">
        <v>45163</v>
      </c>
      <c r="D69" s="135" t="str">
        <v>ECARX announces Mobileye collaboration for Polestar, future products</v>
      </c>
      <c r="E69" s="135" t="str">
        <v>Mobileye</v>
      </c>
      <c r="F69" s="135" t="str">
        <v>Other</v>
      </c>
      <c r="G69" s="135" t="str">
        <v>Ecarx</v>
      </c>
      <c r="H69" s="135" t="str">
        <v>2.1. Short term Alliance (no exclusivity / previous experience)</v>
      </c>
      <c r="I69" s="135" t="str">
        <v>Supply Partnership (traditional)</v>
      </c>
      <c r="J69" s="59">
        <v>0</v>
      </c>
      <c r="K69" s="59">
        <v>0</v>
      </c>
    </row>
    <row r="70" spans="1:11" x14ac:dyDescent="0.35">
      <c r="A70" s="134">
        <f t="shared" si="1"/>
        <v>69</v>
      </c>
      <c r="B70" s="135" t="str" cm="1">
        <f t="array" ref="B70:K70">TRANSPOSE(CHOOSE({1;2;3;4;5;6;7;8;9;10},ANNOUNCEMENTS!A70:A70,ANNOUNCEMENTS!C70:C70,ANNOUNCEMENTS!D70:D70,ANNOUNCEMENTS!E70:E70,ANNOUNCEMENTS!J70:J70,ANNOUNCEMENTS!K70:K70,ANNOUNCEMENTS!W70:W70,ANNOUNCEMENTS!Z70:Z70,ANNOUNCEMENTS!AB70:AB70,ANNOUNCEMENTS!AD70:AD70))</f>
        <v>https://www.mobileye.com/news/faw-group-and-mobileye-forge-strategic-alliance-in-autonomous-driving/</v>
      </c>
      <c r="C70" s="286">
        <v>45183</v>
      </c>
      <c r="D70" s="135" t="str">
        <v>FAW Group and Mobileye Forge Strategic Alliance in Autonomous Driving</v>
      </c>
      <c r="E70" s="135" t="str">
        <v>Mobileye</v>
      </c>
      <c r="F70" s="135" t="str">
        <v>Other</v>
      </c>
      <c r="G70" s="135" t="str">
        <v>FAW Group</v>
      </c>
      <c r="H70" s="135" t="str">
        <v>2.3. Long term Alliance</v>
      </c>
      <c r="I70" s="135" t="str">
        <v>Joint D&amp;D</v>
      </c>
      <c r="J70" s="59">
        <v>0</v>
      </c>
      <c r="K70" s="59">
        <v>0</v>
      </c>
    </row>
    <row r="71" spans="1:11" x14ac:dyDescent="0.35">
      <c r="A71" s="134">
        <f t="shared" si="1"/>
        <v>70</v>
      </c>
      <c r="B71" s="135" t="str" cm="1">
        <f t="array" ref="B71:K71">TRANSPOSE(CHOOSE({1;2;3;4;5;6;7;8;9;10},ANNOUNCEMENTS!A71:A71,ANNOUNCEMENTS!C71:C71,ANNOUNCEMENTS!D71:D71,ANNOUNCEMENTS!E71:E71,ANNOUNCEMENTS!J71:J71,ANNOUNCEMENTS!K71:K71,ANNOUNCEMENTS!W71:W71,ANNOUNCEMENTS!Z71:Z71,ANNOUNCEMENTS!AB71:AB71,ANNOUNCEMENTS!AD71:AD71))</f>
        <v>https://www.mobileye.com/news/mobileye-willer-self-driving-mobility-solutions/</v>
      </c>
      <c r="C71" s="286">
        <v>44019</v>
      </c>
      <c r="D71" s="135" t="str">
        <v>Mobileye and WILLER Partner on Self-Driving Mobility Solutions for Japan, Southeast Asia</v>
      </c>
      <c r="E71" s="135" t="str">
        <v>Mobileye</v>
      </c>
      <c r="F71" s="135" t="str">
        <v>Ridehailing</v>
      </c>
      <c r="G71" s="135" t="str">
        <v>WILLER</v>
      </c>
      <c r="H71" s="135" t="str">
        <v>2.3. Long term Alliance</v>
      </c>
      <c r="I71" s="135" t="str">
        <v>Supply Partnership (extended)</v>
      </c>
      <c r="J71" s="59">
        <v>0</v>
      </c>
      <c r="K71" s="59">
        <v>0</v>
      </c>
    </row>
    <row r="72" spans="1:11" x14ac:dyDescent="0.35">
      <c r="A72" s="134">
        <f t="shared" si="1"/>
        <v>71</v>
      </c>
      <c r="B72" s="135" t="str" cm="1">
        <f t="array" ref="B72:K72">TRANSPOSE(CHOOSE({1;2;3;4;5;6;7;8;9;10},ANNOUNCEMENTS!A72:A72,ANNOUNCEMENTS!C72:C72,ANNOUNCEMENTS!D72:D72,ANNOUNCEMENTS!E72:E72,ANNOUNCEMENTS!J72:J72,ANNOUNCEMENTS!K72:K72,ANNOUNCEMENTS!W72:W72,ANNOUNCEMENTS!Z72:Z72,ANNOUNCEMENTS!AB72:AB72,ANNOUNCEMENTS!AD72:AD72))</f>
        <v>https://www.mobileye.com/news/mobileye-and-wnc-collaborate-on-imaging-radar-production/</v>
      </c>
      <c r="C72" s="286">
        <v>44930</v>
      </c>
      <c r="D72" s="135" t="str">
        <v>Mobileye &amp; Wistron NeWeb Corp  collaborate on imaging radar</v>
      </c>
      <c r="E72" s="135" t="str">
        <v>Mobileye</v>
      </c>
      <c r="F72" s="135" t="str">
        <v>Other</v>
      </c>
      <c r="G72" s="135" t="str">
        <v xml:space="preserve">Wistron NeWeb Corp </v>
      </c>
      <c r="H72" s="135" t="str">
        <v>2.3. Long term Alliance</v>
      </c>
      <c r="I72" s="135" t="str">
        <v>Supply Partnership (traditional)</v>
      </c>
      <c r="J72" s="59">
        <v>0</v>
      </c>
      <c r="K72" s="59">
        <v>0</v>
      </c>
    </row>
    <row r="73" spans="1:11" x14ac:dyDescent="0.35">
      <c r="A73" s="134">
        <f t="shared" si="1"/>
        <v>72</v>
      </c>
      <c r="B73" s="135" t="str" cm="1">
        <f t="array" ref="B73:K73">TRANSPOSE(CHOOSE({1;2;3;4;5;6;7;8;9;10},ANNOUNCEMENTS!A73:A73,ANNOUNCEMENTS!C73:C73,ANNOUNCEMENTS!D73:D73,ANNOUNCEMENTS!E73:E73,ANNOUNCEMENTS!J73:J73,ANNOUNCEMENTS!K73:K73,ANNOUNCEMENTS!W73:W73,ANNOUNCEMENTS!Z73:Z73,ANNOUNCEMENTS!AB73:AB73,ANNOUNCEMENTS!AD73:AD73))</f>
        <v>https://www.mobileye.com/news/geely-holding-group-expands-mobileye-collaboration/</v>
      </c>
      <c r="C73" s="286">
        <v>45195</v>
      </c>
      <c r="D73" s="135" t="str">
        <v>Geely Holding Group Expands Mobileye Collaboration</v>
      </c>
      <c r="E73" s="135" t="str">
        <v>Mobileye</v>
      </c>
      <c r="F73" s="135" t="str">
        <v>Other</v>
      </c>
      <c r="G73" s="135" t="str">
        <v>Geely</v>
      </c>
      <c r="H73" s="135" t="str">
        <v>2.3. Long term Alliance</v>
      </c>
      <c r="I73" s="135" t="str">
        <v>Supply Partnership (traditional)</v>
      </c>
      <c r="J73" s="59">
        <v>0</v>
      </c>
      <c r="K73" s="59">
        <v>0</v>
      </c>
    </row>
    <row r="74" spans="1:11" x14ac:dyDescent="0.35">
      <c r="A74" s="134">
        <f t="shared" si="1"/>
        <v>73</v>
      </c>
      <c r="B74" s="135" t="str" cm="1">
        <f t="array" ref="B74:K74">TRANSPOSE(CHOOSE({1;2;3;4;5;6;7;8;9;10},ANNOUNCEMENTS!A74:A74,ANNOUNCEMENTS!C74:C74,ANNOUNCEMENTS!D74:D74,ANNOUNCEMENTS!E74:E74,ANNOUNCEMENTS!J74:J74,ANNOUNCEMENTS!K74:K74,ANNOUNCEMENTS!W74:W74,ANNOUNCEMENTS!Z74:Z74,ANNOUNCEMENTS!AB74:AB74,ANNOUNCEMENTS!AD74:AD74))</f>
        <v>https://www.mobileye.com/news/zeekr-mobileye-working-together/</v>
      </c>
      <c r="C74" s="286">
        <v>44565</v>
      </c>
      <c r="D74" s="135" t="str">
        <v>CES: Mobileye, Zeekr Collaborate on Consumer AV</v>
      </c>
      <c r="E74" s="135" t="str">
        <v>Mobileye</v>
      </c>
      <c r="F74" s="135" t="str">
        <v>Other</v>
      </c>
      <c r="G74" s="135" t="str">
        <v>Zeekr</v>
      </c>
      <c r="H74" s="135" t="str">
        <v>2.3. Long term Alliance</v>
      </c>
      <c r="I74" s="135" t="str">
        <v>Joint D&amp;D</v>
      </c>
      <c r="J74" s="59">
        <v>0</v>
      </c>
      <c r="K74" s="59">
        <v>0</v>
      </c>
    </row>
    <row r="75" spans="1:11" x14ac:dyDescent="0.35">
      <c r="A75" s="134">
        <f t="shared" si="1"/>
        <v>74</v>
      </c>
      <c r="B75" s="135" t="str" cm="1">
        <f t="array" ref="B75:K75">TRANSPOSE(CHOOSE({1;2;3;4;5;6;7;8;9;10},ANNOUNCEMENTS!A75:A75,ANNOUNCEMENTS!C75:C75,ANNOUNCEMENTS!D75:D75,ANNOUNCEMENTS!E75:E75,ANNOUNCEMENTS!J75:J75,ANNOUNCEMENTS!K75:K75,ANNOUNCEMENTS!W75:W75,ANNOUNCEMENTS!Z75:Z75,ANNOUNCEMENTS!AB75:AB75,ANNOUNCEMENTS!AD75:AD75))</f>
        <v>https://www.mobileye.com/news/mobileye-and-valeo-launch-partnership-for-world-class-imaging-radars/</v>
      </c>
      <c r="C75" s="286">
        <v>45173</v>
      </c>
      <c r="D75" s="135" t="str">
        <v>Mobileye and Valeo Launch Partnership for World-Class Imaging Radars</v>
      </c>
      <c r="E75" s="135" t="str">
        <v>Mobileye</v>
      </c>
      <c r="F75" s="135" t="str">
        <v>Other</v>
      </c>
      <c r="G75" s="135" t="str">
        <v>Valeo</v>
      </c>
      <c r="H75" s="135" t="str">
        <v xml:space="preserve">2.2. Renewed Alliance </v>
      </c>
      <c r="I75" s="135" t="str">
        <v>Supply Partnership (traditional)</v>
      </c>
      <c r="J75" s="59">
        <v>0</v>
      </c>
      <c r="K75" s="59">
        <v>0</v>
      </c>
    </row>
    <row r="76" spans="1:11" x14ac:dyDescent="0.35">
      <c r="A76" s="134">
        <f t="shared" si="1"/>
        <v>75</v>
      </c>
      <c r="B76" s="135" t="str" cm="1">
        <f t="array" ref="B76:K76">TRANSPOSE(CHOOSE({1;2;3;4;5;6;7;8;9;10},ANNOUNCEMENTS!A76:A76,ANNOUNCEMENTS!C76:C76,ANNOUNCEMENTS!D76:D76,ANNOUNCEMENTS!E76:E76,ANNOUNCEMENTS!J76:J76,ANNOUNCEMENTS!K76:K76,ANNOUNCEMENTS!W76:W76,ANNOUNCEMENTS!Z76:Z76,ANNOUNCEMENTS!AB76:AB76,ANNOUNCEMENTS!AD76:AD76))</f>
        <v>https://www.mobileye.com/news/mobileye-zeekr-expand-future-cars-partnership/</v>
      </c>
      <c r="C76" s="286">
        <v>44435</v>
      </c>
      <c r="D76" s="135" t="str">
        <v>Mobileye and ZEEKR Expand Partnership to Enable Future of Cars</v>
      </c>
      <c r="E76" s="135" t="str">
        <v>Mobileye</v>
      </c>
      <c r="F76" s="135" t="str">
        <v>Other</v>
      </c>
      <c r="G76" s="135" t="str">
        <v>Zeekr</v>
      </c>
      <c r="H76" s="135" t="str">
        <v>3. Strategic Partnership</v>
      </c>
      <c r="I76" s="135" t="str">
        <v>Joint D&amp;D</v>
      </c>
      <c r="J76" s="59">
        <v>0</v>
      </c>
      <c r="K76" s="59">
        <v>0</v>
      </c>
    </row>
    <row r="77" spans="1:11" x14ac:dyDescent="0.35">
      <c r="A77" s="134">
        <f t="shared" si="1"/>
        <v>76</v>
      </c>
      <c r="B77" s="135" t="str" cm="1">
        <f t="array" ref="B77:K77">TRANSPOSE(CHOOSE({1;2;3;4;5;6;7;8;9;10},ANNOUNCEMENTS!A77:A77,ANNOUNCEMENTS!C77:C77,ANNOUNCEMENTS!D77:D77,ANNOUNCEMENTS!E77:E77,ANNOUNCEMENTS!J77:J77,ANNOUNCEMENTS!K77:K77,ANNOUNCEMENTS!W77:W77,ANNOUNCEMENTS!Z77:Z77,ANNOUNCEMENTS!AB77:AB77,ANNOUNCEMENTS!AD77:AD77))</f>
        <v>https://www.moia.io/en/news-center/hochbahn-volkswagen-commercial-vehicles-and-moia-cooperate-for-the-traffic-turnaround</v>
      </c>
      <c r="C77" s="286">
        <v>44574</v>
      </c>
      <c r="D77" s="135" t="str">
        <v>Partnership: HOCHBAHN, Volkswagen Commercial Vehicles and MOIA cooperate for the traffic turnaround</v>
      </c>
      <c r="E77" s="135" t="str">
        <v>MOIA</v>
      </c>
      <c r="F77" s="135" t="str">
        <v>Ridepooling</v>
      </c>
      <c r="G77" s="135" t="str">
        <v>HOCHBAHN;Volkswagen Commercial Vehicles</v>
      </c>
      <c r="H77" s="135" t="str">
        <v>2.3. Long term Alliance</v>
      </c>
      <c r="I77" s="135" t="str">
        <v>Joint Service Agreement</v>
      </c>
      <c r="J77" s="59" t="str">
        <v>Research &amp; Collaboration</v>
      </c>
      <c r="K77" s="59">
        <v>0</v>
      </c>
    </row>
    <row r="78" spans="1:11" x14ac:dyDescent="0.35">
      <c r="A78" s="134">
        <f t="shared" si="1"/>
        <v>77</v>
      </c>
      <c r="B78" s="135" t="str" cm="1">
        <f t="array" ref="B78:K78">TRANSPOSE(CHOOSE({1;2;3;4;5;6;7;8;9;10},ANNOUNCEMENTS!A78:A78,ANNOUNCEMENTS!C78:C78,ANNOUNCEMENTS!D78:D78,ANNOUNCEMENTS!E78:E78,ANNOUNCEMENTS!J78:J78,ANNOUNCEMENTS!K78:K78,ANNOUNCEMENTS!W78:W78,ANNOUNCEMENTS!Z78:Z78,ANNOUNCEMENTS!AB78:AB78,ANNOUNCEMENTS!AD78:AD78))</f>
        <v>https://www.moia.io/en/news-center/new-licensing-model-moia-opens-ridepooling-ecosystem-to-cities-and-local-transport-operators</v>
      </c>
      <c r="C78" s="286">
        <v>45188</v>
      </c>
      <c r="D78" s="135" t="str">
        <v>New licensing model: MOIA opens ridepooling ecosystem to cities and local transport operators</v>
      </c>
      <c r="E78" s="135" t="str">
        <v>MOIA</v>
      </c>
      <c r="F78" s="135" t="str">
        <v>Ridepooling</v>
      </c>
      <c r="G78" s="135" t="str">
        <v/>
      </c>
      <c r="H78" s="135" t="str">
        <v>2.1. Short term Alliance (no exclusivity / previous experience)</v>
      </c>
      <c r="I78" s="135" t="str">
        <v>Licensing</v>
      </c>
      <c r="J78" s="59">
        <v>0</v>
      </c>
      <c r="K78" s="59">
        <v>0</v>
      </c>
    </row>
    <row r="79" spans="1:11" x14ac:dyDescent="0.35">
      <c r="A79" s="134">
        <f t="shared" si="1"/>
        <v>78</v>
      </c>
      <c r="B79" s="135" t="str" cm="1">
        <f t="array" ref="B79:K79">TRANSPOSE(CHOOSE({1;2;3;4;5;6;7;8;9;10},ANNOUNCEMENTS!A79:A79,ANNOUNCEMENTS!C79:C79,ANNOUNCEMENTS!D79:D79,ANNOUNCEMENTS!E79:E79,ANNOUNCEMENTS!J79:J79,ANNOUNCEMENTS!K79:K79,ANNOUNCEMENTS!W79:W79,ANNOUNCEMENTS!Z79:Z79,ANNOUNCEMENTS!AB79:AB79,ANNOUNCEMENTS!AD79:AD79))</f>
        <v>https://motional.com/news/motional-derq-partner-give-driverless-vehicles-birds-eye-view</v>
      </c>
      <c r="C79" s="286">
        <v>44306</v>
      </c>
      <c r="D79" s="135" t="str">
        <v>Motional + Derq Partner to Give Driverless Vehicles a Bird's-Eye View</v>
      </c>
      <c r="E79" s="135" t="str">
        <v>Motional</v>
      </c>
      <c r="F79" s="135" t="str">
        <v>Ridehailing</v>
      </c>
      <c r="G79" s="135" t="str">
        <v>Derq</v>
      </c>
      <c r="H79" s="135" t="str">
        <v>2.1. Short term Alliance (no exclusivity / previous experience)</v>
      </c>
      <c r="I79" s="135" t="str">
        <v>Joint D&amp;D</v>
      </c>
      <c r="J79" s="59" t="str">
        <v>Research &amp; Collaboration</v>
      </c>
      <c r="K79" s="59">
        <v>0</v>
      </c>
    </row>
    <row r="80" spans="1:11" x14ac:dyDescent="0.35">
      <c r="A80" s="134">
        <f t="shared" si="1"/>
        <v>79</v>
      </c>
      <c r="B80" s="135" t="str" cm="1">
        <f t="array" ref="B80:K80">TRANSPOSE(CHOOSE({1;2;3;4;5;6;7;8;9;10},ANNOUNCEMENTS!A80:A80,ANNOUNCEMENTS!C80:C80,ANNOUNCEMENTS!D80:D80,ANNOUNCEMENTS!E80:E80,ANNOUNCEMENTS!J80:J80,ANNOUNCEMENTS!K80:K80,ANNOUNCEMENTS!W80:W80,ANNOUNCEMENTS!Z80:Z80,ANNOUNCEMENTS!AB80:AB80,ANNOUNCEMENTS!AD80:AD80))</f>
        <v>https://motional.com/news/motional-boston-university-partner-navigational-assistance-research-blind</v>
      </c>
      <c r="C80" s="286">
        <v>44763</v>
      </c>
      <c r="D80" s="135" t="str">
        <v>Motional, Boston University Partner on Navigational Assistance Research for the Blind</v>
      </c>
      <c r="E80" s="135" t="str">
        <v>Motional</v>
      </c>
      <c r="F80" s="135" t="str">
        <v>Ridehailing</v>
      </c>
      <c r="G80" s="135" t="str">
        <v>Boston University</v>
      </c>
      <c r="H80" s="135" t="str">
        <v>2.1. Short term Alliance (no exclusivity / previous experience)</v>
      </c>
      <c r="I80" s="135" t="str">
        <v>Research &amp; Collaboration</v>
      </c>
      <c r="J80" s="59" t="str">
        <v>Joint D&amp;D</v>
      </c>
      <c r="K80" s="59">
        <v>0</v>
      </c>
    </row>
    <row r="81" spans="1:11" x14ac:dyDescent="0.35">
      <c r="A81" s="134">
        <f t="shared" si="1"/>
        <v>80</v>
      </c>
      <c r="B81" s="135" t="str" cm="1">
        <f t="array" ref="B81:K81">TRANSPOSE(CHOOSE({1;2;3;4;5;6;7;8;9;10},ANNOUNCEMENTS!A81:A81,ANNOUNCEMENTS!C81:C81,ANNOUNCEMENTS!D81:D81,ANNOUNCEMENTS!E81:E81,ANNOUNCEMENTS!J81:J81,ANNOUNCEMENTS!K81:K81,ANNOUNCEMENTS!W81:W81,ANNOUNCEMENTS!Z81:Z81,ANNOUNCEMENTS!AB81:AB81,ANNOUNCEMENTS!AD81:AD81))</f>
        <v>https://motional.com/news/tfnsw-and-motional-partner-lay-foundations-nsws-driverless-future</v>
      </c>
      <c r="C81" s="286">
        <v>44215</v>
      </c>
      <c r="D81" s="135" t="str">
        <v>TfNSW and Motional Partner to Lay Foundations for NSW's Driverless Future</v>
      </c>
      <c r="E81" s="135" t="str">
        <v>Motional</v>
      </c>
      <c r="F81" s="135" t="str">
        <v>Ridehailing</v>
      </c>
      <c r="G81" s="135" t="str">
        <v>tfnsw</v>
      </c>
      <c r="H81" s="135" t="str">
        <v>2.1. Short term Alliance (no exclusivity / previous experience)</v>
      </c>
      <c r="I81" s="135" t="str">
        <v>Research &amp; Collaboration</v>
      </c>
      <c r="J81" s="59">
        <v>0</v>
      </c>
      <c r="K81" s="59">
        <v>0</v>
      </c>
    </row>
    <row r="82" spans="1:11" x14ac:dyDescent="0.35">
      <c r="A82" s="134">
        <f t="shared" si="1"/>
        <v>81</v>
      </c>
      <c r="B82" s="135" t="str" cm="1">
        <f t="array" ref="B82:K82">TRANSPOSE(CHOOSE({1;2;3;4;5;6;7;8;9;10},ANNOUNCEMENTS!A82:A82,ANNOUNCEMENTS!C82:C82,ANNOUNCEMENTS!D82:D82,ANNOUNCEMENTS!E82:E82,ANNOUNCEMENTS!J82:J82,ANNOUNCEMENTS!K82:K82,ANNOUNCEMENTS!W82:W82,ANNOUNCEMENTS!Z82:Z82,ANNOUNCEMENTS!AB82:AB82,ANNOUNCEMENTS!AD82:AD82))</f>
        <v>https://motional.com/news/motional-and-uber-announce-partnership-autonomous-deliveries</v>
      </c>
      <c r="C82" s="286">
        <v>44212</v>
      </c>
      <c r="D82" s="135" t="str">
        <v>Motional and Uber Announce Partnership For Autonomous Deliveries</v>
      </c>
      <c r="E82" s="135" t="str">
        <v>Motional</v>
      </c>
      <c r="F82" s="135" t="str">
        <v>Last-Mile</v>
      </c>
      <c r="G82" s="135" t="str">
        <v>Uber</v>
      </c>
      <c r="H82" s="135" t="str">
        <v>2.1. Short term Alliance (no exclusivity / previous experience)</v>
      </c>
      <c r="I82" s="135" t="str">
        <v>Joint Service Agreement</v>
      </c>
      <c r="J82" s="59">
        <v>0</v>
      </c>
      <c r="K82" s="59">
        <v>0</v>
      </c>
    </row>
    <row r="83" spans="1:11" x14ac:dyDescent="0.35">
      <c r="A83" s="134">
        <f t="shared" si="1"/>
        <v>82</v>
      </c>
      <c r="B83" s="135" t="str" cm="1">
        <f t="array" ref="B83:K83">TRANSPOSE(CHOOSE({1;2;3;4;5;6;7;8;9;10},ANNOUNCEMENTS!A83:A83,ANNOUNCEMENTS!C83:C83,ANNOUNCEMENTS!D83:D83,ANNOUNCEMENTS!E83:E83,ANNOUNCEMENTS!J83:J83,ANNOUNCEMENTS!K83:K83,ANNOUNCEMENTS!W83:W83,ANNOUNCEMENTS!Z83:Z83,ANNOUNCEMENTS!AB83:AB83,ANNOUNCEMENTS!AD83:AD83))</f>
        <v>https://www.navya.tech/en/valeo-navya-technological-collaboration/</v>
      </c>
      <c r="C83" s="286">
        <v>44364</v>
      </c>
      <c r="D83" s="135" t="str">
        <v>Valeo and Navya strengthen their technological and industrial collaboration</v>
      </c>
      <c r="E83" s="135" t="str">
        <v>Navya</v>
      </c>
      <c r="F83" s="135" t="str">
        <v>Ridepooling</v>
      </c>
      <c r="G83" s="135" t="str">
        <v>Valeo</v>
      </c>
      <c r="H83" s="135" t="str">
        <v>2.3. Long term Alliance</v>
      </c>
      <c r="I83" s="135" t="str">
        <v>Joint Production</v>
      </c>
      <c r="J83" s="59" t="str">
        <v>Research &amp; Collaboration</v>
      </c>
      <c r="K83" s="59" t="str">
        <v>Supply Partnership (traditional)</v>
      </c>
    </row>
    <row r="84" spans="1:11" x14ac:dyDescent="0.35">
      <c r="A84" s="134">
        <f t="shared" si="1"/>
        <v>83</v>
      </c>
      <c r="B84" s="135" t="str" cm="1">
        <f t="array" ref="B84:K84">TRANSPOSE(CHOOSE({1;2;3;4;5;6;7;8;9;10},ANNOUNCEMENTS!A84:A84,ANNOUNCEMENTS!C84:C84,ANNOUNCEMENTS!D84:D84,ANNOUNCEMENTS!E84:E84,ANNOUNCEMENTS!J84:J84,ANNOUNCEMENTS!K84:K84,ANNOUNCEMENTS!W84:W84,ANNOUNCEMENTS!Z84:Z84,ANNOUNCEMENTS!AB84:AB84,ANNOUNCEMENTS!AD84:AD84))</f>
        <v>https://www.navya.tech/en/ion-and-navya-form-partnership-to-deliver-sustainable-and-autonomous-transportation-offerings-in-gcc-region/</v>
      </c>
      <c r="C84" s="286">
        <v>44006</v>
      </c>
      <c r="D84" s="135" t="str">
        <v>ION And NAVYA Form Partnership To Deliver Sustainable And Autonomous Transportation Offerings In GCC Region</v>
      </c>
      <c r="E84" s="135" t="str">
        <v>Navya</v>
      </c>
      <c r="F84" s="135" t="str">
        <v>Ridepooling</v>
      </c>
      <c r="G84" s="135" t="str">
        <v>Ion</v>
      </c>
      <c r="H84" s="135" t="str">
        <v xml:space="preserve">2.2. Renewed Alliance </v>
      </c>
      <c r="I84" s="135" t="str">
        <v>Joint Service Agreement</v>
      </c>
      <c r="J84" s="59" t="str">
        <v>Marketing Agreement</v>
      </c>
      <c r="K84" s="59">
        <v>0</v>
      </c>
    </row>
    <row r="85" spans="1:11" x14ac:dyDescent="0.35">
      <c r="A85" s="134">
        <f t="shared" si="1"/>
        <v>84</v>
      </c>
      <c r="B85" s="135" t="str" cm="1">
        <f t="array" ref="B85:K85">TRANSPOSE(CHOOSE({1;2;3;4;5;6;7;8;9;10},ANNOUNCEMENTS!A85:A85,ANNOUNCEMENTS!C85:C85,ANNOUNCEMENTS!D85:D85,ANNOUNCEMENTS!E85:E85,ANNOUNCEMENTS!J85:J85,ANNOUNCEMENTS!K85:K85,ANNOUNCEMENTS!W85:W85,ANNOUNCEMENTS!Z85:Z85,ANNOUNCEMENTS!AB85:AB85,ANNOUNCEMENTS!AD85:AD85))</f>
        <v>https://www.navya.tech/en/navya-and-valeo-partner-to-develop-a-unique-safety-system-for-the-commercialization-of-level-4-autonomous-vehicles/</v>
      </c>
      <c r="C85" s="286">
        <v>44588</v>
      </c>
      <c r="D85" s="135" t="str">
        <v>NAVYA and VALEO partner to develop a unique safety system for the commercialization of level 4 autonomous vehicles</v>
      </c>
      <c r="E85" s="135" t="str">
        <v>Navya</v>
      </c>
      <c r="F85" s="135" t="str">
        <v>Ridepooling</v>
      </c>
      <c r="G85" s="135" t="str">
        <v>Valeo</v>
      </c>
      <c r="H85" s="135" t="str">
        <v xml:space="preserve">2.2. Renewed Alliance </v>
      </c>
      <c r="I85" s="135" t="str">
        <v>Joint D&amp;D</v>
      </c>
      <c r="J85" s="59" t="str">
        <v>Research &amp; Collaboration</v>
      </c>
      <c r="K85" s="59">
        <v>0</v>
      </c>
    </row>
    <row r="86" spans="1:11" x14ac:dyDescent="0.35">
      <c r="A86" s="134">
        <f t="shared" si="1"/>
        <v>85</v>
      </c>
      <c r="B86" s="135" t="str" cm="1">
        <f t="array" ref="B86:K86">TRANSPOSE(CHOOSE({1;2;3;4;5;6;7;8;9;10},ANNOUNCEMENTS!A86:A86,ANNOUNCEMENTS!C86:C86,ANNOUNCEMENTS!D86:D86,ANNOUNCEMENTS!E86:E86,ANNOUNCEMENTS!J86:J86,ANNOUNCEMENTS!K86:K86,ANNOUNCEMENTS!W86:W86,ANNOUNCEMENTS!Z86:Z86,ANNOUNCEMENTS!AB86:AB86,ANNOUNCEMENTS!AD86:AD86))</f>
        <v>https://www.navya.tech/en/navya-and-lohr-form-a-strategic-alliance-to-speed-up-their-technological-industrial-and-commercial-development-in-the-field-of-autonomous-mobility/</v>
      </c>
      <c r="C86" s="286">
        <v>44826</v>
      </c>
      <c r="D86" s="135" t="str">
        <v>Navya and Lohr form a strategic alliance to speed up their technological, industrial and commercial development in the field of autonomous mobility</v>
      </c>
      <c r="E86" s="135" t="str">
        <v>Navya</v>
      </c>
      <c r="F86" s="135" t="str">
        <v>Ridepooling</v>
      </c>
      <c r="G86" s="135" t="str">
        <v>Lohr</v>
      </c>
      <c r="H86" s="135" t="str">
        <v>2.1. Short term Alliance (no exclusivity / previous experience)</v>
      </c>
      <c r="I86" s="135" t="str">
        <v>Joint Production</v>
      </c>
      <c r="J86" s="59">
        <v>0</v>
      </c>
      <c r="K86" s="59">
        <v>0</v>
      </c>
    </row>
    <row r="87" spans="1:11" x14ac:dyDescent="0.35">
      <c r="A87" s="134">
        <f t="shared" si="1"/>
        <v>86</v>
      </c>
      <c r="B87" s="135" t="str" cm="1">
        <f t="array" ref="B87:K87">TRANSPOSE(CHOOSE({1;2;3;4;5;6;7;8;9;10},ANNOUNCEMENTS!A87:A87,ANNOUNCEMENTS!C87:C87,ANNOUNCEMENTS!D87:D87,ANNOUNCEMENTS!E87:E87,ANNOUNCEMENTS!J87:J87,ANNOUNCEMENTS!K87:K87,ANNOUNCEMENTS!W87:W87,ANNOUNCEMENTS!Z87:Z87,ANNOUNCEMENTS!AB87:AB87,ANNOUNCEMENTS!AD87:AD87))</f>
        <v>https://www.navya.tech/en/michelin-navya-and-beti-enter-into-a-technological-partnership-and-launch-their-first-autonomous-mobility-experimentation-within-the-framework-of-the-movinon-think-do-tank/</v>
      </c>
      <c r="C87" s="286">
        <v>44729</v>
      </c>
      <c r="D87" s="135" t="str">
        <v>Michelin, Navya and beti enter into a technological partnership and launch their first autonomous mobility experimentation within the framework of the Movin On Think &amp; Do Tank</v>
      </c>
      <c r="E87" s="135" t="str">
        <v>Navya</v>
      </c>
      <c r="F87" s="135" t="str">
        <v>Ridepooling</v>
      </c>
      <c r="G87" s="135" t="str">
        <v>Michelin;Beti</v>
      </c>
      <c r="H87" s="135" t="str">
        <v xml:space="preserve">2.2. Renewed Alliance </v>
      </c>
      <c r="I87" s="135" t="str">
        <v>Research &amp; Collaboration</v>
      </c>
      <c r="J87" s="59">
        <v>0</v>
      </c>
      <c r="K87" s="59">
        <v>0</v>
      </c>
    </row>
    <row r="88" spans="1:11" x14ac:dyDescent="0.35">
      <c r="A88" s="134">
        <f t="shared" si="1"/>
        <v>87</v>
      </c>
      <c r="B88" s="135" t="str" cm="1">
        <f t="array" ref="B88:K88">TRANSPOSE(CHOOSE({1;2;3;4;5;6;7;8;9;10},ANNOUNCEMENTS!A88:A88,ANNOUNCEMENTS!C88:C88,ANNOUNCEMENTS!D88:D88,ANNOUNCEMENTS!E88:E88,ANNOUNCEMENTS!J88:J88,ANNOUNCEMENTS!K88:K88,ANNOUNCEMENTS!W88:W88,ANNOUNCEMENTS!Z88:Z88,ANNOUNCEMENTS!AB88:AB88,ANNOUNCEMENTS!AD88:AD88))</f>
        <v>https://www.prnewswire.com/news-releases/uber-and-nuro-announce-10-year-partnership-for-autonomous-food-deliveries-starting-in-california-and-texas-301618947.html</v>
      </c>
      <c r="C88" s="286">
        <v>44812</v>
      </c>
      <c r="D88" s="135" t="str">
        <v>Uber and Nuro Announce 10-Year Partnership for Autonomous Food Deliveries Starting in California and Texas</v>
      </c>
      <c r="E88" s="135" t="str">
        <v>Nuro</v>
      </c>
      <c r="F88" s="135" t="str">
        <v>Last-Mile</v>
      </c>
      <c r="G88" s="135" t="str">
        <v>Uber Eats</v>
      </c>
      <c r="H88" s="135" t="str">
        <v>2.3. Long term Alliance</v>
      </c>
      <c r="I88" s="135" t="str">
        <v>Joint Service Agreement</v>
      </c>
      <c r="J88" s="59">
        <v>0</v>
      </c>
      <c r="K88" s="59">
        <v>0</v>
      </c>
    </row>
    <row r="89" spans="1:11" x14ac:dyDescent="0.35">
      <c r="A89" s="134">
        <f t="shared" si="1"/>
        <v>88</v>
      </c>
      <c r="B89" s="135" t="str" cm="1">
        <f t="array" ref="B89:K89">TRANSPOSE(CHOOSE({1;2;3;4;5;6;7;8;9;10},ANNOUNCEMENTS!A89:A89,ANNOUNCEMENTS!C89:C89,ANNOUNCEMENTS!D89:D89,ANNOUNCEMENTS!E89:E89,ANNOUNCEMENTS!J89:J89,ANNOUNCEMENTS!K89:K89,ANNOUNCEMENTS!W89:W89,ANNOUNCEMENTS!Z89:Z89,ANNOUNCEMENTS!AB89:AB89,ANNOUNCEMENTS!AD89:AD89))</f>
        <v>https://oxa.tech/news-and-insights/oxa-and-eversum-announce-partnership-to-develop-and-deploy-autonomous-passenger-shuttles/</v>
      </c>
      <c r="C89" s="286">
        <v>44934</v>
      </c>
      <c r="D89" s="135" t="str">
        <v>Oxa and eVersum Announce Partnership To Develop and Deploy Autonomous Passenger Shuttles</v>
      </c>
      <c r="E89" s="135" t="str">
        <v>Oxa</v>
      </c>
      <c r="F89" s="135" t="str">
        <v>Ridepooling</v>
      </c>
      <c r="G89" s="135" t="str">
        <v>eVersum</v>
      </c>
      <c r="H89" s="135" t="str">
        <v>2.3. Long term Alliance</v>
      </c>
      <c r="I89" s="135" t="str">
        <v>Joint D&amp;D</v>
      </c>
      <c r="J89" s="59" t="str">
        <v>Joint Production</v>
      </c>
      <c r="K89" s="59">
        <v>0</v>
      </c>
    </row>
    <row r="90" spans="1:11" x14ac:dyDescent="0.35">
      <c r="A90" s="134">
        <f t="shared" si="1"/>
        <v>89</v>
      </c>
      <c r="B90" s="135" t="str" cm="1">
        <f t="array" ref="B90:K90">TRANSPOSE(CHOOSE({1;2;3;4;5;6;7;8;9;10},ANNOUNCEMENTS!A90:A90,ANNOUNCEMENTS!C90:C90,ANNOUNCEMENTS!D90:D90,ANNOUNCEMENTS!E90:E90,ANNOUNCEMENTS!J90:J90,ANNOUNCEMENTS!K90:K90,ANNOUNCEMENTS!W90:W90,ANNOUNCEMENTS!Z90:Z90,ANNOUNCEMENTS!AB90:AB90,ANNOUNCEMENTS!AD90:AD90))</f>
        <v>https://oxa.tech/news-and-insights/goggo-network-and-oxbotica-partner-to-bring-autonomous-deliveries-to-europe/</v>
      </c>
      <c r="C90" s="286">
        <v>45007</v>
      </c>
      <c r="D90" s="135" t="str">
        <v>Goggo Network and Oxbotica partner to bring autonomous deliveries to Europe</v>
      </c>
      <c r="E90" s="135" t="str">
        <v>Oxa</v>
      </c>
      <c r="F90" s="135" t="str">
        <v>Last-Mile</v>
      </c>
      <c r="G90" s="135" t="str">
        <v>Goggo Network</v>
      </c>
      <c r="H90" s="135" t="str">
        <v>2.1. Short term Alliance (no exclusivity / previous experience)</v>
      </c>
      <c r="I90" s="135" t="str">
        <v>Joint Service Agreement</v>
      </c>
      <c r="J90" s="59">
        <v>0</v>
      </c>
      <c r="K90" s="59">
        <v>0</v>
      </c>
    </row>
    <row r="91" spans="1:11" x14ac:dyDescent="0.35">
      <c r="A91" s="134">
        <f t="shared" si="1"/>
        <v>90</v>
      </c>
      <c r="B91" s="135" t="str" cm="1">
        <f t="array" ref="B91:K91">TRANSPOSE(CHOOSE({1;2;3;4;5;6;7;8;9;10},ANNOUNCEMENTS!A91:A91,ANNOUNCEMENTS!C91:C91,ANNOUNCEMENTS!D91:D91,ANNOUNCEMENTS!E91:E91,ANNOUNCEMENTS!J91:J91,ANNOUNCEMENTS!K91:K91,ANNOUNCEMENTS!W91:W91,ANNOUNCEMENTS!Z91:Z91,ANNOUNCEMENTS!AB91:AB91,ANNOUNCEMENTS!AD91:AD91))</f>
        <v>https://oxa.tech/news-and-insights/oxbotica-partners-with-Navtech/</v>
      </c>
      <c r="C91" s="286">
        <v>43653</v>
      </c>
      <c r="D91" s="135" t="str">
        <v>Oxbotica partners with Navtech Radar</v>
      </c>
      <c r="E91" s="135" t="str">
        <v>Oxa</v>
      </c>
      <c r="F91" s="135" t="str">
        <v>Other</v>
      </c>
      <c r="G91" s="135" t="str">
        <v>Navtech Radar</v>
      </c>
      <c r="H91" s="135" t="str">
        <v>2.1. Short term Alliance (no exclusivity / previous experience)</v>
      </c>
      <c r="I91" s="135" t="str">
        <v>Joint D&amp;D</v>
      </c>
      <c r="J91" s="59">
        <v>0</v>
      </c>
      <c r="K91" s="59">
        <v>0</v>
      </c>
    </row>
    <row r="92" spans="1:11" x14ac:dyDescent="0.35">
      <c r="A92" s="134">
        <f t="shared" si="1"/>
        <v>91</v>
      </c>
      <c r="B92" s="135" t="str" cm="1">
        <f t="array" ref="B92:K92">TRANSPOSE(CHOOSE({1;2;3;4;5;6;7;8;9;10},ANNOUNCEMENTS!A92:A92,ANNOUNCEMENTS!C92:C92,ANNOUNCEMENTS!D92:D92,ANNOUNCEMENTS!E92:E92,ANNOUNCEMENTS!J92:J92,ANNOUNCEMENTS!K92:K92,ANNOUNCEMENTS!W92:W92,ANNOUNCEMENTS!Z92:Z92,ANNOUNCEMENTS!AB92:AB92,ANNOUNCEMENTS!AD92:AD92))</f>
        <v>https://oxa.tech/news-and-insights/oxbotica-partners-with-nevs-to-reshape-the-future-of-urban-mobility-with-fleet-of-shared-self-driving-all-electric-vehicles/</v>
      </c>
      <c r="C92" s="286">
        <v>44692</v>
      </c>
      <c r="D92" s="135" t="str">
        <v>Oxbotica partners with NEVS to reshape the future of urban mobility with fleet of shared, self-driving, all-electric vehicles</v>
      </c>
      <c r="E92" s="135" t="str">
        <v>Oxa</v>
      </c>
      <c r="F92" s="135" t="str">
        <v>Ridepooling</v>
      </c>
      <c r="G92" s="135" t="str">
        <v>NEVS</v>
      </c>
      <c r="H92" s="135" t="str">
        <v>2.3. Long term Alliance</v>
      </c>
      <c r="I92" s="135" t="str">
        <v>Joint D&amp;D</v>
      </c>
      <c r="J92" s="59">
        <v>0</v>
      </c>
      <c r="K92" s="59">
        <v>0</v>
      </c>
    </row>
    <row r="93" spans="1:11" x14ac:dyDescent="0.35">
      <c r="A93" s="134">
        <f t="shared" si="1"/>
        <v>92</v>
      </c>
      <c r="B93" s="135" t="str" cm="1">
        <f t="array" ref="B93:K93">TRANSPOSE(CHOOSE({1;2;3;4;5;6;7;8;9;10},ANNOUNCEMENTS!A93:A93,ANNOUNCEMENTS!C93:C93,ANNOUNCEMENTS!D93:D93,ANNOUNCEMENTS!E93:E93,ANNOUNCEMENTS!J93:J93,ANNOUNCEMENTS!K93:K93,ANNOUNCEMENTS!W93:W93,ANNOUNCEMENTS!Z93:Z93,ANNOUNCEMENTS!AB93:AB93,ANNOUNCEMENTS!AD93:AD93))</f>
        <v>https://oxa.tech/news-and-insights/ocado-group-and-oxbotica-announce-investment-and-joint-collaboration-to-develop-autonomous-integrated-mobility-solution/</v>
      </c>
      <c r="C93" s="286">
        <v>44301</v>
      </c>
      <c r="D93" s="135" t="str">
        <v>Ocado Group announce investment in and joint collaboration with Oxbotica to develop autonomous integrated mobility solution</v>
      </c>
      <c r="E93" s="135" t="str">
        <v>Oxa</v>
      </c>
      <c r="F93" s="135" t="str">
        <v>Last-Mile</v>
      </c>
      <c r="G93" s="135" t="str">
        <v>Ocado Group</v>
      </c>
      <c r="H93" s="135" t="str">
        <v>3. Strategic Partnership</v>
      </c>
      <c r="I93" s="135" t="str">
        <v>Joint D&amp;D</v>
      </c>
      <c r="J93" s="59">
        <v>0</v>
      </c>
      <c r="K93" s="59">
        <v>0</v>
      </c>
    </row>
    <row r="94" spans="1:11" x14ac:dyDescent="0.35">
      <c r="A94" s="134">
        <f t="shared" si="1"/>
        <v>93</v>
      </c>
      <c r="B94" s="135" t="str" cm="1">
        <f t="array" ref="B94:K94">TRANSPOSE(CHOOSE({1;2;3;4;5;6;7;8;9;10},ANNOUNCEMENTS!A94:A94,ANNOUNCEMENTS!C94:C94,ANNOUNCEMENTS!D94:D94,ANNOUNCEMENTS!E94:E94,ANNOUNCEMENTS!J94:J94,ANNOUNCEMENTS!K94:K94,ANNOUNCEMENTS!W94:W94,ANNOUNCEMENTS!Z94:Z94,ANNOUNCEMENTS!AB94:AB94,ANNOUNCEMENTS!AD94:AD94))</f>
        <v>https://www.perronerobotics.com/news/perrone-robotics-and-global-finance-group-partner-to-bring-turnkey-autonomous-vehicle-program-to-university-and-college-campuses</v>
      </c>
      <c r="C94" s="286">
        <v>45056</v>
      </c>
      <c r="D94" s="135" t="str">
        <v>Perrone Robotics and Global Finance Group Partner to Bring Turnkey Autonomous Vehicle Program to University and College Campuses</v>
      </c>
      <c r="E94" s="135" t="str">
        <v>Perrone Robotics</v>
      </c>
      <c r="F94" s="135" t="str">
        <v>Ridepooling</v>
      </c>
      <c r="G94" s="135" t="str">
        <v>Global Finance Group</v>
      </c>
      <c r="H94" s="135" t="str">
        <v>2.1. Short term Alliance (no exclusivity / previous experience)</v>
      </c>
      <c r="I94" s="135" t="str">
        <v>Other</v>
      </c>
      <c r="J94" s="59">
        <v>0</v>
      </c>
      <c r="K94" s="59">
        <v>0</v>
      </c>
    </row>
    <row r="95" spans="1:11" x14ac:dyDescent="0.35">
      <c r="A95" s="134">
        <f t="shared" si="1"/>
        <v>94</v>
      </c>
      <c r="B95" s="135" t="str" cm="1">
        <f t="array" ref="B95:K95">TRANSPOSE(CHOOSE({1;2;3;4;5;6;7;8;9;10},ANNOUNCEMENTS!A95:A95,ANNOUNCEMENTS!C95:C95,ANNOUNCEMENTS!D95:D95,ANNOUNCEMENTS!E95:E95,ANNOUNCEMENTS!J95:J95,ANNOUNCEMENTS!K95:K95,ANNOUNCEMENTS!W95:W95,ANNOUNCEMENTS!Z95:Z95,ANNOUNCEMENTS!AB95:AB95,ANNOUNCEMENTS!AD95:AD95))</f>
        <v>https://www.perronerobotics.com/news/western-reserve-transit-authority-selects-first-transit-in-partnership-with-perrone-robotics-and-greenpower-motor-company-for-autonomous-vehicle-pilot</v>
      </c>
      <c r="C95" s="286">
        <v>44566</v>
      </c>
      <c r="D95" s="135" t="str">
        <v>Western Reserve Transit Authority Selects First Transit, in Partnership with Perrone Robotics and GreenPower for Autonomous Vehicle Pilot</v>
      </c>
      <c r="E95" s="135" t="str">
        <v>Perrone Robotics</v>
      </c>
      <c r="F95" s="135" t="str">
        <v>Ridepooling</v>
      </c>
      <c r="G95" s="135" t="str">
        <v>Western Reserve Transit Authority;GreenPower</v>
      </c>
      <c r="H95" s="135" t="str">
        <v>2.1. Short term Alliance (no exclusivity / previous experience)</v>
      </c>
      <c r="I95" s="135" t="str">
        <v>Joint Service Agreement</v>
      </c>
      <c r="J95" s="59">
        <v>0</v>
      </c>
      <c r="K95" s="59">
        <v>0</v>
      </c>
    </row>
    <row r="96" spans="1:11" x14ac:dyDescent="0.35">
      <c r="A96" s="134">
        <f t="shared" si="1"/>
        <v>95</v>
      </c>
      <c r="B96" s="135" t="str" cm="1">
        <f t="array" ref="B96:K96">TRANSPOSE(CHOOSE({1;2;3;4;5;6;7;8;9;10},ANNOUNCEMENTS!A96:A96,ANNOUNCEMENTS!C96:C96,ANNOUNCEMENTS!D96:D96,ANNOUNCEMENTS!E96:E96,ANNOUNCEMENTS!J96:J96,ANNOUNCEMENTS!K96:K96,ANNOUNCEMENTS!W96:W96,ANNOUNCEMENTS!Z96:Z96,ANNOUNCEMENTS!AB96:AB96,ANNOUNCEMENTS!AD96:AD96))</f>
        <v>https://www.perronerobotics.com/news/pri-partners-sae-tampa</v>
      </c>
      <c r="C96" s="286">
        <v>43221</v>
      </c>
      <c r="D96" s="135" t="str">
        <v>PRI Partners with SAE in Tampa</v>
      </c>
      <c r="E96" s="135" t="str">
        <v>Perrone Robotics</v>
      </c>
      <c r="F96" s="135" t="str">
        <v>Ridepooling</v>
      </c>
      <c r="G96" s="135" t="str">
        <v>SAE</v>
      </c>
      <c r="H96" s="135" t="str">
        <v>2.1. Short term Alliance (no exclusivity / previous experience)</v>
      </c>
      <c r="I96" s="135" t="str">
        <v>Research &amp; Collaboration</v>
      </c>
      <c r="J96" s="59">
        <v>0</v>
      </c>
      <c r="K96" s="59">
        <v>0</v>
      </c>
    </row>
    <row r="97" spans="1:11" x14ac:dyDescent="0.35">
      <c r="A97" s="134">
        <f t="shared" si="1"/>
        <v>96</v>
      </c>
      <c r="B97" s="135" t="str" cm="1">
        <f t="array" ref="B97:K97">TRANSPOSE(CHOOSE({1;2;3;4;5;6;7;8;9;10},ANNOUNCEMENTS!A97:A97,ANNOUNCEMENTS!C97:C97,ANNOUNCEMENTS!D97:D97,ANNOUNCEMENTS!E97:E97,ANNOUNCEMENTS!J97:J97,ANNOUNCEMENTS!K97:K97,ANNOUNCEMENTS!W97:W97,ANNOUNCEMENTS!Z97:Z97,ANNOUNCEMENTS!AB97:AB97,ANNOUNCEMENTS!AD97:AD97))</f>
        <v>https://www.perronerobotics.com/news/perrone-robotics-and-tropos-team-up-to-develop-autonomous-electric-compact-utility-vehicles</v>
      </c>
      <c r="C97" s="286">
        <v>44426</v>
      </c>
      <c r="D97" s="135" t="str">
        <v>Perrone Robotics and Tropos Team up to Develop Autonomous Electric Compact Utility Vehicles</v>
      </c>
      <c r="E97" s="135" t="str">
        <v>Perrone Robotics</v>
      </c>
      <c r="F97" s="135" t="str">
        <v>Ridepooling</v>
      </c>
      <c r="G97" s="135" t="str">
        <v>Tropos Technologies</v>
      </c>
      <c r="H97" s="135" t="str">
        <v>2.1. Short term Alliance (no exclusivity / previous experience)</v>
      </c>
      <c r="I97" s="135" t="str">
        <v>Joint D&amp;D</v>
      </c>
      <c r="J97" s="59">
        <v>0</v>
      </c>
      <c r="K97" s="59">
        <v>0</v>
      </c>
    </row>
    <row r="98" spans="1:11" x14ac:dyDescent="0.35">
      <c r="A98" s="134">
        <f t="shared" si="1"/>
        <v>97</v>
      </c>
      <c r="B98" s="135" t="str" cm="1">
        <f t="array" ref="B98:K98">TRANSPOSE(CHOOSE({1;2;3;4;5;6;7;8;9;10},ANNOUNCEMENTS!A98:A98,ANNOUNCEMENTS!C98:C98,ANNOUNCEMENTS!D98:D98,ANNOUNCEMENTS!E98:E98,ANNOUNCEMENTS!J98:J98,ANNOUNCEMENTS!K98:K98,ANNOUNCEMENTS!W98:W98,ANNOUNCEMENTS!Z98:Z98,ANNOUNCEMENTS!AB98:AB98,ANNOUNCEMENTS!AD98:AD98))</f>
        <v>https://www.perronerobotics.com/news/perrone-robotics-partners-with-tropos-on-self-driving-trucks</v>
      </c>
      <c r="C98" s="286">
        <v>44426</v>
      </c>
      <c r="D98" s="135" t="str">
        <v>Perrone Robotics Partners With Tropos on Self-Driving Trucks</v>
      </c>
      <c r="E98" s="135" t="str">
        <v>Perrone Robotics</v>
      </c>
      <c r="F98" s="135" t="str">
        <v>Ridepooling</v>
      </c>
      <c r="G98" s="135" t="str">
        <v>Tropos Technologies</v>
      </c>
      <c r="H98" s="135" t="str">
        <v>2.1. Short term Alliance (no exclusivity / previous experience)</v>
      </c>
      <c r="I98" s="135" t="str">
        <v>Joint D&amp;D</v>
      </c>
      <c r="J98" s="59">
        <v>0</v>
      </c>
      <c r="K98" s="59">
        <v>0</v>
      </c>
    </row>
    <row r="99" spans="1:11" x14ac:dyDescent="0.35">
      <c r="A99" s="134">
        <f t="shared" si="1"/>
        <v>98</v>
      </c>
      <c r="B99" s="135" t="str" cm="1">
        <f t="array" ref="B99:K99">TRANSPOSE(CHOOSE({1;2;3;4;5;6;7;8;9;10},ANNOUNCEMENTS!A99:A99,ANNOUNCEMENTS!C99:C99,ANNOUNCEMENTS!D99:D99,ANNOUNCEMENTS!E99:E99,ANNOUNCEMENTS!J99:J99,ANNOUNCEMENTS!K99:K99,ANNOUNCEMENTS!W99:W99,ANNOUNCEMENTS!Z99:Z99,ANNOUNCEMENTS!AB99:AB99,ANNOUNCEMENTS!AD99:AD99))</f>
        <v>https://www.perronerobotics.com/news/autonomous-ev-bus-collaboration-announced</v>
      </c>
      <c r="C99" s="286">
        <v>43892</v>
      </c>
      <c r="D99" s="135" t="str">
        <v>Autonomous EV Bus Collaboration Announced</v>
      </c>
      <c r="E99" s="135" t="str">
        <v>Perrone Robotics</v>
      </c>
      <c r="F99" s="135" t="str">
        <v>Ridepooling</v>
      </c>
      <c r="G99" s="135" t="str">
        <v>Greenpower</v>
      </c>
      <c r="H99" s="135" t="str">
        <v>2.1. Short term Alliance (no exclusivity / previous experience)</v>
      </c>
      <c r="I99" s="135" t="str">
        <v>Joint D&amp;D</v>
      </c>
      <c r="J99" s="59">
        <v>0</v>
      </c>
      <c r="K99" s="59">
        <v>0</v>
      </c>
    </row>
    <row r="100" spans="1:11" x14ac:dyDescent="0.35">
      <c r="A100" s="134">
        <f t="shared" si="1"/>
        <v>99</v>
      </c>
      <c r="B100" s="135" t="str" cm="1">
        <f t="array" ref="B100:K100">TRANSPOSE(CHOOSE({1;2;3;4;5;6;7;8;9;10},ANNOUNCEMENTS!A100:A100,ANNOUNCEMENTS!C100:C100,ANNOUNCEMENTS!D100:D100,ANNOUNCEMENTS!E100:E100,ANNOUNCEMENTS!J100:J100,ANNOUNCEMENTS!K100:K100,ANNOUNCEMENTS!W100:W100,ANNOUNCEMENTS!Z100:Z100,ANNOUNCEMENTS!AB100:AB100,ANNOUNCEMENTS!AD100:AD100))</f>
        <v>https://www.perronerobotics.com/news/perrone-robotics-inc-and-guident-corp-sign-strategic-alliance</v>
      </c>
      <c r="C100" s="286">
        <v>44670</v>
      </c>
      <c r="D100" s="135" t="str">
        <v>Perrone Robotics,  and Guident Corp. Sign Strategic Alliance</v>
      </c>
      <c r="E100" s="135" t="str">
        <v>Perrone Robotics</v>
      </c>
      <c r="F100" s="135" t="str">
        <v>Ridepooling</v>
      </c>
      <c r="G100" s="135" t="str">
        <v>Guident</v>
      </c>
      <c r="H100" s="135" t="str">
        <v>2.1. Short term Alliance (no exclusivity / previous experience)</v>
      </c>
      <c r="I100" s="135" t="str">
        <v>Joint D&amp;D</v>
      </c>
      <c r="J100" s="59">
        <v>0</v>
      </c>
      <c r="K100" s="59">
        <v>0</v>
      </c>
    </row>
    <row r="101" spans="1:11" x14ac:dyDescent="0.35">
      <c r="A101" s="134">
        <f t="shared" si="1"/>
        <v>100</v>
      </c>
      <c r="B101" s="135" t="str" cm="1">
        <f t="array" ref="B101:K101">TRANSPOSE(CHOOSE({1;2;3;4;5;6;7;8;9;10},ANNOUNCEMENTS!A101:A101,ANNOUNCEMENTS!C101:C101,ANNOUNCEMENTS!D101:D101,ANNOUNCEMENTS!E101:E101,ANNOUNCEMENTS!J101:J101,ANNOUNCEMENTS!K101:K101,ANNOUNCEMENTS!W101:W101,ANNOUNCEMENTS!Z101:Z101,ANNOUNCEMENTS!AB101:AB101,ANNOUNCEMENTS!AD101:AD101))</f>
        <v>https://www.perronerobotics.com/news/lightning-emotors-partners-with-perrone-robotics-to-offer-fully-autonomous-vehicle-option-to-zero-emission-fleet-customers</v>
      </c>
      <c r="C101" s="286">
        <v>44690</v>
      </c>
      <c r="D101" s="135" t="str">
        <v>Lightning eMotors Partners with Perrone Robotics to Offer Fully Autonomous Vehicle Option to Zero-Emission Fleet Customers</v>
      </c>
      <c r="E101" s="135" t="str">
        <v>Perrone Robotics</v>
      </c>
      <c r="F101" s="135" t="str">
        <v>Ridepooling</v>
      </c>
      <c r="G101" s="135" t="str">
        <v>Lightning eMotors</v>
      </c>
      <c r="H101" s="135" t="str">
        <v>2.1. Short term Alliance (no exclusivity / previous experience)</v>
      </c>
      <c r="I101" s="135" t="str">
        <v>Joint D&amp;D</v>
      </c>
      <c r="J101" s="59">
        <v>0</v>
      </c>
      <c r="K101" s="59">
        <v>0</v>
      </c>
    </row>
    <row r="102" spans="1:11" x14ac:dyDescent="0.35">
      <c r="A102" s="134">
        <f t="shared" si="1"/>
        <v>101</v>
      </c>
      <c r="B102" s="135" t="str" cm="1">
        <f t="array" ref="B102:K102">TRANSPOSE(CHOOSE({1;2;3;4;5;6;7;8;9;10},ANNOUNCEMENTS!A102:A102,ANNOUNCEMENTS!C102:C102,ANNOUNCEMENTS!D102:D102,ANNOUNCEMENTS!E102:E102,ANNOUNCEMENTS!J102:J102,ANNOUNCEMENTS!K102:K102,ANNOUNCEMENTS!W102:W102,ANNOUNCEMENTS!Z102:Z102,ANNOUNCEMENTS!AB102:AB102,ANNOUNCEMENTS!AD102:AD102))</f>
        <v>https://www.perronerobotics.com/news/perrone-robotics-collaborates-machine-learning-pioneer</v>
      </c>
      <c r="C102" s="286">
        <v>44235</v>
      </c>
      <c r="D102" s="135" t="str">
        <v>Perrone Robotics Collaborates with Machine Learning Pioneer</v>
      </c>
      <c r="E102" s="135" t="str">
        <v>Perrone Robotics</v>
      </c>
      <c r="F102" s="135" t="str">
        <v>Ridepooling</v>
      </c>
      <c r="G102" s="135" t="str">
        <v>University of California</v>
      </c>
      <c r="H102" s="135" t="str">
        <v>2.1. Short term Alliance (no exclusivity / previous experience)</v>
      </c>
      <c r="I102" s="135" t="str">
        <v>Research &amp; Collaboration</v>
      </c>
      <c r="J102" s="59">
        <v>0</v>
      </c>
      <c r="K102" s="59">
        <v>0</v>
      </c>
    </row>
    <row r="103" spans="1:11" x14ac:dyDescent="0.35">
      <c r="A103" s="134">
        <f t="shared" si="1"/>
        <v>102</v>
      </c>
      <c r="B103" s="135" t="str" cm="1">
        <f t="array" ref="B103:K103">TRANSPOSE(CHOOSE({1;2;3;4;5;6;7;8;9;10},ANNOUNCEMENTS!A103:A103,ANNOUNCEMENTS!C103:C103,ANNOUNCEMENTS!D103:D103,ANNOUNCEMENTS!E103:E103,ANNOUNCEMENTS!J103:J103,ANNOUNCEMENTS!K103:K103,ANNOUNCEMENTS!W103:W103,ANNOUNCEMENTS!Z103:Z103,ANNOUNCEMENTS!AB103:AB103,ANNOUNCEMENTS!AD103:AD103))</f>
        <v>https://www.perronerobotics.com/news/perrone-robotics-enters-into-agreement-with-sustainability-partners-bringing-autonomous-vehicles-to-the-state-of-hawaii</v>
      </c>
      <c r="C103" s="286">
        <v>44974</v>
      </c>
      <c r="D103" s="135" t="str">
        <v>Perrone Robotics Enters into Agreement with Sustainability Partners Bringing Autonomous Vehicles to the State of Hawaii</v>
      </c>
      <c r="E103" s="135" t="str">
        <v>Perrone Robotics</v>
      </c>
      <c r="F103" s="135" t="str">
        <v>Ridepooling</v>
      </c>
      <c r="G103" s="135" t="str">
        <v>Sustainability Partners</v>
      </c>
      <c r="H103" s="135" t="str">
        <v>2.1. Short term Alliance (no exclusivity / previous experience)</v>
      </c>
      <c r="I103" s="135" t="str">
        <v>Other</v>
      </c>
      <c r="J103" s="59">
        <v>0</v>
      </c>
      <c r="K103" s="59">
        <v>0</v>
      </c>
    </row>
    <row r="104" spans="1:11" x14ac:dyDescent="0.35">
      <c r="A104" s="134">
        <f t="shared" si="1"/>
        <v>103</v>
      </c>
      <c r="B104" s="135" t="str" cm="1">
        <f t="array" ref="B104:K104">TRANSPOSE(CHOOSE({1;2;3;4;5;6;7;8;9;10},ANNOUNCEMENTS!A104:A104,ANNOUNCEMENTS!C104:C104,ANNOUNCEMENTS!D104:D104,ANNOUNCEMENTS!E104:E104,ANNOUNCEMENTS!J104:J104,ANNOUNCEMENTS!K104:K104,ANNOUNCEMENTS!W104:W104,ANNOUNCEMENTS!Z104:Z104,ANNOUNCEMENTS!AB104:AB104,ANNOUNCEMENTS!AD104:AD104))</f>
        <v>https://www.perronerobotics.com/news/perrone-robotics-and-rampini-announce-partnership-to-provide-automated-6-meter-electric-buses</v>
      </c>
      <c r="C104" s="286">
        <v>44571</v>
      </c>
      <c r="D104" s="135" t="str">
        <v>Perrone Robotics and Rampini announce Partnership to Provide Automated 6-meter Electric Buses</v>
      </c>
      <c r="E104" s="135" t="str">
        <v>Perrone Robotics</v>
      </c>
      <c r="F104" s="135" t="str">
        <v>Ridepooling</v>
      </c>
      <c r="G104" s="135" t="str">
        <v>Rampini</v>
      </c>
      <c r="H104" s="135" t="str">
        <v>2.1. Short term Alliance (no exclusivity / previous experience)</v>
      </c>
      <c r="I104" s="135" t="str">
        <v>Joint D&amp;D</v>
      </c>
      <c r="J104" s="59">
        <v>0</v>
      </c>
      <c r="K104" s="59">
        <v>0</v>
      </c>
    </row>
    <row r="105" spans="1:11" x14ac:dyDescent="0.35">
      <c r="A105" s="134">
        <f t="shared" si="1"/>
        <v>104</v>
      </c>
      <c r="B105" s="135" t="str" cm="1">
        <f t="array" ref="B105:K105">TRANSPOSE(CHOOSE({1;2;3;4;5;6;7;8;9;10},ANNOUNCEMENTS!A105:A105,ANNOUNCEMENTS!C105:C105,ANNOUNCEMENTS!D105:D105,ANNOUNCEMENTS!E105:E105,ANNOUNCEMENTS!J105:J105,ANNOUNCEMENTS!K105:K105,ANNOUNCEMENTS!W105:W105,ANNOUNCEMENTS!Z105:Z105,ANNOUNCEMENTS!AB105:AB105,ANNOUNCEMENTS!AD105:AD105))</f>
        <v>https://www.perronerobotics.com/news/perrone-robotics-and-tropos-technologies-announce-partnership-to-develop-fully-autonomous-electric-compact-utility-vehicles</v>
      </c>
      <c r="C105" s="286">
        <v>44425</v>
      </c>
      <c r="D105" s="135" t="str">
        <v>Perrone Robotics and Tropos Technologies Announce Partnership to Develop Fully Autonomous Electric Compact Utility Vehicles</v>
      </c>
      <c r="E105" s="135" t="str">
        <v>Perrone Robotics</v>
      </c>
      <c r="F105" s="135" t="str">
        <v>Ridepooling</v>
      </c>
      <c r="G105" s="135" t="str">
        <v>Tropos Technologies</v>
      </c>
      <c r="H105" s="135" t="str">
        <v>2.1. Short term Alliance (no exclusivity / previous experience)</v>
      </c>
      <c r="I105" s="135" t="str">
        <v>Joint D&amp;D</v>
      </c>
      <c r="J105" s="59" t="str">
        <v>Licensing</v>
      </c>
      <c r="K105" s="59">
        <v>0</v>
      </c>
    </row>
    <row r="106" spans="1:11" x14ac:dyDescent="0.35">
      <c r="A106" s="134">
        <f t="shared" si="1"/>
        <v>105</v>
      </c>
      <c r="B106" s="135" t="str" cm="1">
        <f t="array" ref="B106:K106">TRANSPOSE(CHOOSE({1;2;3;4;5;6;7;8;9;10},ANNOUNCEMENTS!A106:A106,ANNOUNCEMENTS!C106:C106,ANNOUNCEMENTS!D106:D106,ANNOUNCEMENTS!E106:E106,ANNOUNCEMENTS!J106:J106,ANNOUNCEMENTS!K106:K106,ANNOUNCEMENTS!W106:W106,ANNOUNCEMENTS!Z106:Z106,ANNOUNCEMENTS!AB106:AB106,ANNOUNCEMENTS!AD106:AD106))</f>
        <v>https://www.perronerobotics.com/news/greenpower-partners-with-perrone-robotics-jta-to-win-innovative-solutions-award-for-autonomous-vehicles</v>
      </c>
      <c r="C106" s="286">
        <v>44205</v>
      </c>
      <c r="D106" s="135" t="str">
        <v>GreenPower Partners with Perrone Robotics, JTA to Win Innovative Solutions Award for Autonomous Vehicles</v>
      </c>
      <c r="E106" s="135" t="str">
        <v>Perrone Robotics</v>
      </c>
      <c r="F106" s="135" t="str">
        <v>Ridepooling</v>
      </c>
      <c r="G106" s="135" t="str">
        <v>GreenPower;JTA</v>
      </c>
      <c r="H106" s="135" t="str">
        <v>2.1. Short term Alliance (no exclusivity / previous experience)</v>
      </c>
      <c r="I106" s="135" t="str">
        <v>Joint D&amp;D</v>
      </c>
      <c r="J106" s="59">
        <v>0</v>
      </c>
      <c r="K106" s="59">
        <v>0</v>
      </c>
    </row>
    <row r="107" spans="1:11" x14ac:dyDescent="0.35">
      <c r="A107" s="134">
        <f t="shared" si="1"/>
        <v>106</v>
      </c>
      <c r="B107" s="135" t="str" cm="1">
        <f t="array" ref="B107:K107">TRANSPOSE(CHOOSE({1;2;3;4;5;6;7;8;9;10},ANNOUNCEMENTS!A107:A107,ANNOUNCEMENTS!C107:C107,ANNOUNCEMENTS!D107:D107,ANNOUNCEMENTS!E107:E107,ANNOUNCEMENTS!J107:J107,ANNOUNCEMENTS!K107:K107,ANNOUNCEMENTS!W107:W107,ANNOUNCEMENTS!Z107:Z107,ANNOUNCEMENTS!AB107:AB107,ANNOUNCEMENTS!AD107:AD107))</f>
        <v>https://www.perronerobotics.com/news/perrone-robotics-collaborates-with-uva-foundation-to-bring-autonomous-shuttle-service-to-north-fork</v>
      </c>
      <c r="C107" s="286">
        <v>44569</v>
      </c>
      <c r="D107" s="135" t="str">
        <v>Perrone Robotics Collaborates with UVA Foundation to Bring Autonomous Shuttle Service to North Fork</v>
      </c>
      <c r="E107" s="135" t="str">
        <v>Perrone Robotics</v>
      </c>
      <c r="F107" s="135" t="str">
        <v>Ridepooling</v>
      </c>
      <c r="G107" s="135" t="str">
        <v>UVA Foundation</v>
      </c>
      <c r="H107" s="135" t="str">
        <v>2.3. Long term Alliance</v>
      </c>
      <c r="I107" s="135" t="str">
        <v>Other</v>
      </c>
      <c r="J107" s="59">
        <v>0</v>
      </c>
      <c r="K107" s="59">
        <v>0</v>
      </c>
    </row>
    <row r="108" spans="1:11" x14ac:dyDescent="0.35">
      <c r="A108" s="134">
        <f t="shared" si="1"/>
        <v>107</v>
      </c>
      <c r="B108" s="135" t="str" cm="1">
        <f t="array" ref="B108:K108">TRANSPOSE(CHOOSE({1;2;3;4;5;6;7;8;9;10},ANNOUNCEMENTS!A108:A108,ANNOUNCEMENTS!C108:C108,ANNOUNCEMENTS!D108:D108,ANNOUNCEMENTS!E108:E108,ANNOUNCEMENTS!J108:J108,ANNOUNCEMENTS!K108:K108,ANNOUNCEMENTS!W108:W108,ANNOUNCEMENTS!Z108:Z108,ANNOUNCEMENTS!AB108:AB108,ANNOUNCEMENTS!AD108:AD108))</f>
        <v>https://www.perronerobotics.com/news/revolutionizing-transportation-perrone-robotics-unveils-historic-collaboration-with-e-charger-systems-revealed-at-sema-2023</v>
      </c>
      <c r="C108" s="286">
        <v>44927</v>
      </c>
      <c r="D108" s="135" t="str">
        <v>Revolutionizing Transportation: Perrone Robotics Unveils Historic Collaboration with E Charger Systems - Revealed at SEMA 2023</v>
      </c>
      <c r="E108" s="135" t="str">
        <v>Perrone Robotics</v>
      </c>
      <c r="F108" s="135" t="str">
        <v>Ridepooling</v>
      </c>
      <c r="G108" s="135" t="str">
        <v>E Charger Systems</v>
      </c>
      <c r="H108" s="135" t="str">
        <v xml:space="preserve">2.2. Renewed Alliance </v>
      </c>
      <c r="I108" s="135" t="str">
        <v>Joint D&amp;D</v>
      </c>
      <c r="J108" s="59">
        <v>0</v>
      </c>
      <c r="K108" s="59">
        <v>0</v>
      </c>
    </row>
    <row r="109" spans="1:11" x14ac:dyDescent="0.35">
      <c r="A109" s="134">
        <f t="shared" si="1"/>
        <v>108</v>
      </c>
      <c r="B109" s="135" t="str" cm="1">
        <f t="array" ref="B109:K109">TRANSPOSE(CHOOSE({1;2;3;4;5;6;7;8;9;10},ANNOUNCEMENTS!A109:A109,ANNOUNCEMENTS!C109:C109,ANNOUNCEMENTS!D109:D109,ANNOUNCEMENTS!E109:E109,ANNOUNCEMENTS!J109:J109,ANNOUNCEMENTS!K109:K109,ANNOUNCEMENTS!W109:W109,ANNOUNCEMENTS!Z109:Z109,ANNOUNCEMENTS!AB109:AB109,ANNOUNCEMENTS!AD109:AD109))</f>
        <v>https://plus.ai/news-and-insights/bosch-and-plus-collaborate-on-assisted-driving-solution-for-commercial-vehicles</v>
      </c>
      <c r="C109" s="286">
        <v>45047</v>
      </c>
      <c r="D109" s="135" t="str">
        <v>Bosch and Plus Collaborate on Assisted Driving Solution for Commercial Vehicles</v>
      </c>
      <c r="E109" s="135" t="str">
        <v>Plus.ai</v>
      </c>
      <c r="F109" s="135" t="str">
        <v>Trucking</v>
      </c>
      <c r="G109" s="135" t="str">
        <v>Bosch</v>
      </c>
      <c r="H109" s="135" t="str">
        <v>2.1. Short term Alliance (no exclusivity / previous experience)</v>
      </c>
      <c r="I109" s="135" t="str">
        <v>Joint D&amp;D</v>
      </c>
      <c r="J109" s="59">
        <v>0</v>
      </c>
      <c r="K109" s="59">
        <v>0</v>
      </c>
    </row>
    <row r="110" spans="1:11" x14ac:dyDescent="0.35">
      <c r="A110" s="134">
        <f t="shared" si="1"/>
        <v>109</v>
      </c>
      <c r="B110" s="135" t="str" cm="1">
        <f t="array" ref="B110:K110">TRANSPOSE(CHOOSE({1;2;3;4;5;6;7;8;9;10},ANNOUNCEMENTS!A110:A110,ANNOUNCEMENTS!C110:C110,ANNOUNCEMENTS!D110:D110,ANNOUNCEMENTS!E110:E110,ANNOUNCEMENTS!J110:J110,ANNOUNCEMENTS!K110:K110,ANNOUNCEMENTS!W110:W110,ANNOUNCEMENTS!Z110:Z110,ANNOUNCEMENTS!AB110:AB110,ANNOUNCEMENTS!AD110:AD110))</f>
        <v>https://plus.ai/news-and-insights/plus-ai-partners-with-minnesota-department-of-transportation-to-accelerate-adoption-of-self-driving-trucks-and-prepare-them-for-extreme-winter-road-conditions</v>
      </c>
      <c r="C110" s="286">
        <v>43473</v>
      </c>
      <c r="D110" s="135" t="str">
        <v>Plus Partners with Minnesota Department of Transportation to Accelerate Adoption of Self-Driving Trucks and Prepare Them for Extreme Winter Road Conditions</v>
      </c>
      <c r="E110" s="135" t="str">
        <v>Plus.ai</v>
      </c>
      <c r="F110" s="135" t="str">
        <v>Trucking</v>
      </c>
      <c r="G110" s="135" t="str">
        <v>Minnesota Department of Transportation</v>
      </c>
      <c r="H110" s="135" t="str">
        <v>2.1. Short term Alliance (no exclusivity / previous experience)</v>
      </c>
      <c r="I110" s="135" t="str">
        <v>Research &amp; Collaboration</v>
      </c>
      <c r="J110" s="59">
        <v>0</v>
      </c>
      <c r="K110" s="59">
        <v>0</v>
      </c>
    </row>
    <row r="111" spans="1:11" x14ac:dyDescent="0.35">
      <c r="A111" s="134">
        <f t="shared" si="1"/>
        <v>110</v>
      </c>
      <c r="B111" s="135" t="str" cm="1">
        <f t="array" ref="B111:K111">TRANSPOSE(CHOOSE({1;2;3;4;5;6;7;8;9;10},ANNOUNCEMENTS!A111:A111,ANNOUNCEMENTS!C111:C111,ANNOUNCEMENTS!D111:D111,ANNOUNCEMENTS!E111:E111,ANNOUNCEMENTS!J111:J111,ANNOUNCEMENTS!K111:K111,ANNOUNCEMENTS!W111:W111,ANNOUNCEMENTS!Z111:Z111,ANNOUNCEMENTS!AB111:AB111,ANNOUNCEMENTS!AD111:AD111))</f>
        <v>https://plus.ai/news-and-insights/transurban-and-plus-collaborate-to-advance-level-4-autonomous-trucks-in-australia</v>
      </c>
      <c r="C111" s="286">
        <v>45160</v>
      </c>
      <c r="D111" s="135" t="str">
        <v>Transurban and Plus Collaborate to Advance Level 4 Autonomous Trucks in Australia</v>
      </c>
      <c r="E111" s="135" t="str">
        <v>Plus.ai</v>
      </c>
      <c r="F111" s="135" t="str">
        <v>Trucking</v>
      </c>
      <c r="G111" s="135" t="str">
        <v>Transurban</v>
      </c>
      <c r="H111" s="135" t="str">
        <v>2.1. Short term Alliance (no exclusivity / previous experience)</v>
      </c>
      <c r="I111" s="135" t="str">
        <v>Research &amp; Collaboration</v>
      </c>
      <c r="J111" s="59">
        <v>0</v>
      </c>
      <c r="K111" s="59">
        <v>0</v>
      </c>
    </row>
    <row r="112" spans="1:11" x14ac:dyDescent="0.35">
      <c r="A112" s="134">
        <f t="shared" si="1"/>
        <v>111</v>
      </c>
      <c r="B112" s="135" t="str" cm="1">
        <f t="array" ref="B112:K112">TRANSPOSE(CHOOSE({1;2;3;4;5;6;7;8;9;10},ANNOUNCEMENTS!A112:A112,ANNOUNCEMENTS!C112:C112,ANNOUNCEMENTS!D112:D112,ANNOUNCEMENTS!E112:E112,ANNOUNCEMENTS!J112:J112,ANNOUNCEMENTS!K112:K112,ANNOUNCEMENTS!W112:W112,ANNOUNCEMENTS!Z112:Z112,ANNOUNCEMENTS!AB112:AB112,ANNOUNCEMENTS!AD112:AD112))</f>
        <v>https://plus.ai/news-and-insights/goodyear-and-plus-collaborate-on-autonomous-trucks</v>
      </c>
      <c r="C112" s="286">
        <v>44431</v>
      </c>
      <c r="D112" s="135" t="str">
        <v>Goodyear and Plus Collaborate on Autonomous Trucks</v>
      </c>
      <c r="E112" s="135" t="str">
        <v>Plus.ai</v>
      </c>
      <c r="F112" s="135" t="str">
        <v>Trucking</v>
      </c>
      <c r="G112" s="135" t="str">
        <v>Goodyear</v>
      </c>
      <c r="H112" s="135" t="str">
        <v>2.1. Short term Alliance (no exclusivity / previous experience)</v>
      </c>
      <c r="I112" s="135" t="str">
        <v>Research &amp; Collaboration</v>
      </c>
      <c r="J112" s="59" t="str">
        <v>Supply Partnership (traditional)</v>
      </c>
      <c r="K112" s="59">
        <v>0</v>
      </c>
    </row>
    <row r="113" spans="1:11" x14ac:dyDescent="0.35">
      <c r="A113" s="134">
        <f t="shared" si="1"/>
        <v>112</v>
      </c>
      <c r="B113" s="135" t="str" cm="1">
        <f t="array" ref="B113:K113">TRANSPOSE(CHOOSE({1;2;3;4;5;6;7;8;9;10},ANNOUNCEMENTS!A113:A113,ANNOUNCEMENTS!C113:C113,ANNOUNCEMENTS!D113:D113,ANNOUNCEMENTS!E113:E113,ANNOUNCEMENTS!J113:J113,ANNOUNCEMENTS!K113:K113,ANNOUNCEMENTS!W113:W113,ANNOUNCEMENTS!Z113:Z113,ANNOUNCEMENTS!AB113:AB113,ANNOUNCEMENTS!AD113:AD113))</f>
        <v>https://plus.ai/news-and-insights/plus-partners-with-iveco-to-develop-autonomous-trucks-for-global-deployment</v>
      </c>
      <c r="C113" s="286">
        <v>44298</v>
      </c>
      <c r="D113" s="135" t="str">
        <v>Plus Partners with IVECO to Develop Autonomous Trucks for Global Deployment</v>
      </c>
      <c r="E113" s="135" t="str">
        <v>Plus.ai</v>
      </c>
      <c r="F113" s="135" t="str">
        <v>Trucking</v>
      </c>
      <c r="G113" s="135" t="str">
        <v>IVECO</v>
      </c>
      <c r="H113" s="135" t="str">
        <v>2.1. Short term Alliance (no exclusivity / previous experience)</v>
      </c>
      <c r="I113" s="135" t="str">
        <v>Joint D&amp;D</v>
      </c>
      <c r="J113" s="59">
        <v>0</v>
      </c>
      <c r="K113" s="59">
        <v>0</v>
      </c>
    </row>
    <row r="114" spans="1:11" x14ac:dyDescent="0.35">
      <c r="A114" s="134">
        <f t="shared" si="1"/>
        <v>113</v>
      </c>
      <c r="B114" s="135" t="str" cm="1">
        <f t="array" ref="B114:K114">TRANSPOSE(CHOOSE({1;2;3;4;5;6;7;8;9;10},ANNOUNCEMENTS!A114:A114,ANNOUNCEMENTS!C114:C114,ANNOUNCEMENTS!D114:D114,ANNOUNCEMENTS!E114:E114,ANNOUNCEMENTS!J114:J114,ANNOUNCEMENTS!K114:K114,ANNOUNCEMENTS!W114:W114,ANNOUNCEMENTS!Z114:Z114,ANNOUNCEMENTS!AB114:AB114,ANNOUNCEMENTS!AD114:AD114))</f>
        <v>https://plus.ai/news-and-insights/plus-and-cummins-collaborate-to-develop-the-industry-s-first-supervised-autonomous-trucks-using-a-natural-gas-powertrain</v>
      </c>
      <c r="C114" s="286">
        <v>44313</v>
      </c>
      <c r="D114" s="135" t="str">
        <v>Plus and Cummins Collaborate to Develop the Industry's First Supervised Autonomous Trucks Using a Natural Gas Powertrain</v>
      </c>
      <c r="E114" s="135" t="str">
        <v>Plus.ai</v>
      </c>
      <c r="F114" s="135" t="str">
        <v>Trucking</v>
      </c>
      <c r="G114" s="135" t="str">
        <v>Cummins</v>
      </c>
      <c r="H114" s="135" t="str">
        <v>2.1. Short term Alliance (no exclusivity / previous experience)</v>
      </c>
      <c r="I114" s="135" t="str">
        <v>Joint D&amp;D</v>
      </c>
      <c r="J114" s="59">
        <v>0</v>
      </c>
      <c r="K114" s="59">
        <v>0</v>
      </c>
    </row>
    <row r="115" spans="1:11" x14ac:dyDescent="0.35">
      <c r="A115" s="134">
        <f t="shared" si="1"/>
        <v>114</v>
      </c>
      <c r="B115" s="135" t="str" cm="1">
        <f t="array" ref="B115:K115">TRANSPOSE(CHOOSE({1;2;3;4;5;6;7;8;9;10},ANNOUNCEMENTS!A115:A115,ANNOUNCEMENTS!C115:C115,ANNOUNCEMENTS!D115:D115,ANNOUNCEMENTS!E115:E115,ANNOUNCEMENTS!J115:J115,ANNOUNCEMENTS!K115:K115,ANNOUNCEMENTS!W115:W115,ANNOUNCEMENTS!Z115:Z115,ANNOUNCEMENTS!AB115:AB115,ANNOUNCEMENTS!AD115:AD115))</f>
        <v>https://plus.ai/news-and-insights/luminar-and-plus-partner-for-lidar-and-ai-based-assisted-driving-software-for-trucking</v>
      </c>
      <c r="C115" s="286">
        <v>45083</v>
      </c>
      <c r="D115" s="135" t="str">
        <v>Luminar and Plus Partner for LiDAR and AI-Based Assisted Driving Software for Trucking</v>
      </c>
      <c r="E115" s="135" t="str">
        <v>Plus.ai</v>
      </c>
      <c r="F115" s="135" t="str">
        <v>Trucking</v>
      </c>
      <c r="G115" s="135" t="str">
        <v>Luminar</v>
      </c>
      <c r="H115" s="135" t="str">
        <v>2.4. Exclusive Alliance</v>
      </c>
      <c r="I115" s="135" t="str">
        <v>Supply Partnership (traditional)</v>
      </c>
      <c r="J115" s="59">
        <v>0</v>
      </c>
      <c r="K115" s="59">
        <v>0</v>
      </c>
    </row>
    <row r="116" spans="1:11" x14ac:dyDescent="0.35">
      <c r="A116" s="134">
        <f t="shared" si="1"/>
        <v>115</v>
      </c>
      <c r="B116" s="135" t="str" cm="1">
        <f t="array" ref="B116:K116">TRANSPOSE(CHOOSE({1;2;3;4;5;6;7;8;9;10},ANNOUNCEMENTS!A116:A116,ANNOUNCEMENTS!C116:C116,ANNOUNCEMENTS!D116:D116,ANNOUNCEMENTS!E116:E116,ANNOUNCEMENTS!J116:J116,ANNOUNCEMENTS!K116:K116,ANNOUNCEMENTS!W116:W116,ANNOUNCEMENTS!Z116:Z116,ANNOUNCEMENTS!AB116:AB116,ANNOUNCEMENTS!AD116:AD116))</f>
        <v>https://www.businesswire.com/news/home/20230804774136/en/Pony.ai-and-Toyota-to-Form-Joint-Venture-to-Advance-Mass-Production-of-L4-Autonomous-Vehicles</v>
      </c>
      <c r="C116" s="286">
        <v>45142</v>
      </c>
      <c r="D116" s="135" t="str">
        <v>Pony.ai and Toyota to Form Joint Venture to Advance Mass Production of L4 Autonomous Vehicles</v>
      </c>
      <c r="E116" s="135" t="str">
        <v>Pony.ai</v>
      </c>
      <c r="F116" s="135" t="str">
        <v>Ridehailing</v>
      </c>
      <c r="G116" s="135" t="str">
        <v>Toyota</v>
      </c>
      <c r="H116" s="135" t="str">
        <v>4. Joint Venture</v>
      </c>
      <c r="I116" s="135" t="str">
        <v>Joint D&amp;D</v>
      </c>
      <c r="J116" s="59" t="str">
        <v>Supply Partnership (traditional)</v>
      </c>
      <c r="K116" s="59">
        <v>0</v>
      </c>
    </row>
    <row r="117" spans="1:11" x14ac:dyDescent="0.35">
      <c r="A117" s="134">
        <f t="shared" si="1"/>
        <v>116</v>
      </c>
      <c r="B117" s="135" t="str" cm="1">
        <f t="array" ref="B117:K117">TRANSPOSE(CHOOSE({1;2;3;4;5;6;7;8;9;10},ANNOUNCEMENTS!A117:A117,ANNOUNCEMENTS!C117:C117,ANNOUNCEMENTS!D117:D117,ANNOUNCEMENTS!E117:E117,ANNOUNCEMENTS!J117:J117,ANNOUNCEMENTS!K117:K117,ANNOUNCEMENTS!W117:W117,ANNOUNCEMENTS!Z117:Z117,ANNOUNCEMENTS!AB117:AB117,ANNOUNCEMENTS!AD117:AD117))</f>
        <v>https://www.globenewswire.com/news-release/2020/01/06/1966657/0/en/ON-Semiconductor-and-Pony-ai-Collaboration-on-Next-Gen-Image-Sensing-and-Processing-Technologies-for-Autonomous-Vehicles.html</v>
      </c>
      <c r="C117" s="286">
        <v>43983</v>
      </c>
      <c r="D117" s="135" t="str">
        <v>Onsemi and Pony.ai Collaboration on Next-Gen Image Sensing and Processing Technologies for Autonomous Vehicles</v>
      </c>
      <c r="E117" s="135" t="str">
        <v>Pony.ai</v>
      </c>
      <c r="F117" s="135" t="str">
        <v>Ridehailing</v>
      </c>
      <c r="G117" s="135" t="str">
        <v>Onsemi</v>
      </c>
      <c r="H117" s="135" t="str">
        <v>2.1. Short term Alliance (no exclusivity / previous experience)</v>
      </c>
      <c r="I117" s="135" t="str">
        <v>Supply Partnership (traditional)</v>
      </c>
      <c r="J117" s="59" t="str">
        <v>Joint D&amp;D</v>
      </c>
      <c r="K117" s="59">
        <v>0</v>
      </c>
    </row>
    <row r="118" spans="1:11" x14ac:dyDescent="0.35">
      <c r="A118" s="134">
        <f t="shared" si="1"/>
        <v>117</v>
      </c>
      <c r="B118" s="135" t="str" cm="1">
        <f t="array" ref="B118:K118">TRANSPOSE(CHOOSE({1;2;3;4;5;6;7;8;9;10},ANNOUNCEMENTS!A118:A118,ANNOUNCEMENTS!C118:C118,ANNOUNCEMENTS!D118:D118,ANNOUNCEMENTS!E118:E118,ANNOUNCEMENTS!J118:J118,ANNOUNCEMENTS!K118:K118,ANNOUNCEMENTS!W118:W118,ANNOUNCEMENTS!Z118:Z118,ANNOUNCEMENTS!AB118:AB118,ANNOUNCEMENTS!AD118:AD118))</f>
        <v>https://www.businesswire.com/news/home/20230109005725/en/Pony.ai-and-Horizon-Robotics-Partner-to-Create-a-Comprehensive-Smart-Driving-Solution-for-OEMs</v>
      </c>
      <c r="C118" s="286">
        <v>44935</v>
      </c>
      <c r="D118" s="135" t="str">
        <v>Pony.ai and Horizon Robotics Partner to Create a Comprehensive Smart Driving Solution for OEMs</v>
      </c>
      <c r="E118" s="135" t="str">
        <v>Pony.ai</v>
      </c>
      <c r="F118" s="135" t="str">
        <v>Ridehailing</v>
      </c>
      <c r="G118" s="135" t="str">
        <v>Horizon Robotics</v>
      </c>
      <c r="H118" s="135" t="str">
        <v>2.1. Short term Alliance (no exclusivity / previous experience)</v>
      </c>
      <c r="I118" s="135" t="str">
        <v>Joint D&amp;D</v>
      </c>
      <c r="J118" s="59" t="str">
        <v>Supply Partnership (traditional)</v>
      </c>
      <c r="K118" s="59">
        <v>0</v>
      </c>
    </row>
    <row r="119" spans="1:11" x14ac:dyDescent="0.35">
      <c r="A119" s="134">
        <f t="shared" si="1"/>
        <v>118</v>
      </c>
      <c r="B119" s="135" t="str" cm="1">
        <f t="array" ref="B119:K119">TRANSPOSE(CHOOSE({1;2;3;4;5;6;7;8;9;10},ANNOUNCEMENTS!A119:A119,ANNOUNCEMENTS!C119:C119,ANNOUNCEMENTS!D119:D119,ANNOUNCEMENTS!E119:E119,ANNOUNCEMENTS!J119:J119,ANNOUNCEMENTS!K119:K119,ANNOUNCEMENTS!W119:W119,ANNOUNCEMENTS!Z119:Z119,ANNOUNCEMENTS!AB119:AB119,ANNOUNCEMENTS!AD119:AD119))</f>
        <v>https://www.globenewswire.com/news-release/2019/08/26/1906248/0/en/Pony-ai-collaborates-with-Toyota-for-future-of-autonomous-mobility.html</v>
      </c>
      <c r="C119" s="286">
        <v>43703</v>
      </c>
      <c r="D119" s="135" t="str">
        <v>Pony.ai collaborates with Toyota for future of autonomous mobility</v>
      </c>
      <c r="E119" s="135" t="str">
        <v>Pony.ai</v>
      </c>
      <c r="F119" s="135" t="str">
        <v>Ridehailing</v>
      </c>
      <c r="G119" s="135" t="str">
        <v>Toyota</v>
      </c>
      <c r="H119" s="135" t="str">
        <v>2.1. Short term Alliance (no exclusivity / previous experience)</v>
      </c>
      <c r="I119" s="135" t="str">
        <v>Research &amp; Collaboration</v>
      </c>
      <c r="J119" s="59">
        <v>0</v>
      </c>
      <c r="K119" s="59">
        <v>0</v>
      </c>
    </row>
    <row r="120" spans="1:11" x14ac:dyDescent="0.35">
      <c r="A120" s="134">
        <f t="shared" si="1"/>
        <v>119</v>
      </c>
      <c r="B120" s="135" t="str" cm="1">
        <f t="array" ref="B120:K120">TRANSPOSE(CHOOSE({1;2;3;4;5;6;7;8;9;10},ANNOUNCEMENTS!A120:A120,ANNOUNCEMENTS!C120:C120,ANNOUNCEMENTS!D120:D120,ANNOUNCEMENTS!E120:E120,ANNOUNCEMENTS!J120:J120,ANNOUNCEMENTS!K120:K120,ANNOUNCEMENTS!W120:W120,ANNOUNCEMENTS!Z120:Z120,ANNOUNCEMENTS!AB120:AB120,ANNOUNCEMENTS!AD120:AD120))</f>
        <v>https://www.reuters.com/article/us-autonomous-luminar-pony-ai/toyota-backed-self-driving-car-pony-ai-partners-with-luminar-idUSKBN2CR0ZY/</v>
      </c>
      <c r="C120" s="286">
        <v>44326</v>
      </c>
      <c r="D120" s="135" t="str">
        <v>Toyota-backed self-driving car Pony.ai partners with Luminar</v>
      </c>
      <c r="E120" s="135" t="str">
        <v>Pony.ai</v>
      </c>
      <c r="F120" s="135" t="str">
        <v>Ridehailing</v>
      </c>
      <c r="G120" s="135" t="str">
        <v>Luminar</v>
      </c>
      <c r="H120" s="135" t="str">
        <v>2.3. Long term Alliance</v>
      </c>
      <c r="I120" s="135" t="str">
        <v>Supply Partnership (traditional)</v>
      </c>
      <c r="J120" s="59">
        <v>0</v>
      </c>
      <c r="K120" s="59">
        <v>0</v>
      </c>
    </row>
    <row r="121" spans="1:11" x14ac:dyDescent="0.35">
      <c r="A121" s="134">
        <f t="shared" si="1"/>
        <v>120</v>
      </c>
      <c r="B121" s="135" t="str" cm="1">
        <f t="array" ref="B121:K121">TRANSPOSE(CHOOSE({1;2;3;4;5;6;7;8;9;10},ANNOUNCEMENTS!A121:A121,ANNOUNCEMENTS!C121:C121,ANNOUNCEMENTS!D121:D121,ANNOUNCEMENTS!E121:E121,ANNOUNCEMENTS!J121:J121,ANNOUNCEMENTS!K121:K121,ANNOUNCEMENTS!W121:W121,ANNOUNCEMENTS!Z121:Z121,ANNOUNCEMENTS!AB121:AB121,ANNOUNCEMENTS!AD121:AD121))</f>
        <v>https://www.businesswire.com/news/home/20220104005793/en/Autonomous-Trucking-Milestone-Pony.ai-Forms-Joint-Venture-with-Sinotrans-One-of-China%E2%80%99s-Leading-Logistics-Firms-to-Further-Deployment-of-Autonomous-Driving-Technologies</v>
      </c>
      <c r="C121" s="286">
        <v>44565</v>
      </c>
      <c r="D121" s="135" t="str">
        <v>Autonomous Trucking Milestone: Pony.ai Forms Joint Venture with Sinotrans, One of China's Leading Logistics Firms, to Further Deployment of Autonomous Driving Technologies</v>
      </c>
      <c r="E121" s="135" t="str">
        <v>Pony.ai</v>
      </c>
      <c r="F121" s="135" t="str">
        <v>Ridehailing</v>
      </c>
      <c r="G121" s="135" t="str">
        <v>Sinotrans</v>
      </c>
      <c r="H121" s="135" t="str">
        <v>4. Joint Venture</v>
      </c>
      <c r="I121" s="135" t="str">
        <v>Joint D&amp;D</v>
      </c>
      <c r="J121" s="59">
        <v>0</v>
      </c>
      <c r="K121" s="59">
        <v>0</v>
      </c>
    </row>
    <row r="122" spans="1:11" x14ac:dyDescent="0.35">
      <c r="A122" s="134">
        <f t="shared" si="1"/>
        <v>121</v>
      </c>
      <c r="B122" s="135" t="str" cm="1">
        <f t="array" ref="B122:K122">TRANSPOSE(CHOOSE({1;2;3;4;5;6;7;8;9;10},ANNOUNCEMENTS!A122:A122,ANNOUNCEMENTS!C122:C122,ANNOUNCEMENTS!D122:D122,ANNOUNCEMENTS!E122:E122,ANNOUNCEMENTS!J122:J122,ANNOUNCEMENTS!K122:K122,ANNOUNCEMENTS!W122:W122,ANNOUNCEMENTS!Z122:Z122,ANNOUNCEMENTS!AB122:AB122,ANNOUNCEMENTS!AD122:AD122))</f>
        <v>https://www.businesswire.com/news/home/20220727006184/en/Pony.ai-and-SANY-Establish-Joint-Venture-to-Develop-Next-Generation-of-Autonomous-Trucks-for-Mass-Production</v>
      </c>
      <c r="C122" s="286">
        <v>44769</v>
      </c>
      <c r="D122" s="135" t="str">
        <v>Pony.ai and SANY Establish Joint Venture to Develop Next Generation of Autonomous Trucks for Mass Production</v>
      </c>
      <c r="E122" s="135" t="str">
        <v>Pony.ai</v>
      </c>
      <c r="F122" s="135" t="str">
        <v>Trucking</v>
      </c>
      <c r="G122" s="135" t="str">
        <v>SANY Heavy Truck</v>
      </c>
      <c r="H122" s="135" t="str">
        <v>4. Joint Venture</v>
      </c>
      <c r="I122" s="135" t="str">
        <v>Joint D&amp;D</v>
      </c>
      <c r="J122" s="59">
        <v>0</v>
      </c>
      <c r="K122" s="59">
        <v>0</v>
      </c>
    </row>
    <row r="123" spans="1:11" x14ac:dyDescent="0.35">
      <c r="A123" s="134">
        <f t="shared" si="1"/>
        <v>122</v>
      </c>
      <c r="B123" s="135" t="str" cm="1">
        <f t="array" ref="B123:K123">TRANSPOSE(CHOOSE({1;2;3;4;5;6;7;8;9;10},ANNOUNCEMENTS!A123:A123,ANNOUNCEMENTS!C123:C123,ANNOUNCEMENTS!D123:D123,ANNOUNCEMENTS!E123:E123,ANNOUNCEMENTS!J123:J123,ANNOUNCEMENTS!K123:K123,ANNOUNCEMENTS!W123:W123,ANNOUNCEMENTS!Z123:Z123,ANNOUNCEMENTS!AB123:AB123,ANNOUNCEMENTS!AD123:AD123))</f>
        <v>https://www.businesswire.com/news/home/20221006005368/en/Nickelytics-Serve-Robotics-and-The-Ad-Council-Partner-on-Innovative-Smokey-Bear-Out-of-Home-Advertising-Campaign</v>
      </c>
      <c r="C123" s="286">
        <v>44567</v>
      </c>
      <c r="D123" s="135" t="str">
        <v>Nickelytics, Serve Robotics, and The Ad Council Partner on Innovative Smokey Bear Out-of-Home Advertising Campaign</v>
      </c>
      <c r="E123" s="135" t="str">
        <v>ServeRobotics</v>
      </c>
      <c r="F123" s="135" t="str">
        <v>Last-Mile</v>
      </c>
      <c r="G123" s="135" t="str">
        <v>Nickelytics;The Ad Council</v>
      </c>
      <c r="H123" s="135" t="str">
        <v>1. Informal Agreement</v>
      </c>
      <c r="I123" s="135" t="str">
        <v>Marketing Agreement</v>
      </c>
      <c r="J123" s="59">
        <v>0</v>
      </c>
      <c r="K123" s="59">
        <v>0</v>
      </c>
    </row>
    <row r="124" spans="1:11" x14ac:dyDescent="0.35">
      <c r="A124" s="134">
        <f t="shared" si="1"/>
        <v>123</v>
      </c>
      <c r="B124" s="135" t="str" cm="1">
        <f t="array" ref="B124:K124">TRANSPOSE(CHOOSE({1;2;3;4;5;6;7;8;9;10},ANNOUNCEMENTS!A124:A124,ANNOUNCEMENTS!C124:C124,ANNOUNCEMENTS!D124:D124,ANNOUNCEMENTS!E124:E124,ANNOUNCEMENTS!J124:J124,ANNOUNCEMENTS!K124:K124,ANNOUNCEMENTS!W124:W124,ANNOUNCEMENTS!Z124:Z124,ANNOUNCEMENTS!AB124:AB124,ANNOUNCEMENTS!AD124:AD124))</f>
        <v>https://www.serverobotics.com/pizzahut-partnership</v>
      </c>
      <c r="C124" s="286">
        <v>44830</v>
      </c>
      <c r="D124" s="135" t="str">
        <v>Pizza Hut Canada Partners with Serve Robotics on New Door-to-Door Robot Delivery Service</v>
      </c>
      <c r="E124" s="135" t="str">
        <v>ServeRobotics</v>
      </c>
      <c r="F124" s="135" t="str">
        <v>Last-Mile</v>
      </c>
      <c r="G124" s="135" t="str">
        <v>Pizza Hut</v>
      </c>
      <c r="H124" s="135" t="str">
        <v>2.1. Short term Alliance (no exclusivity / previous experience)</v>
      </c>
      <c r="I124" s="135" t="str">
        <v>Joint Service Agreement</v>
      </c>
      <c r="J124" s="59">
        <v>0</v>
      </c>
      <c r="K124" s="59">
        <v>0</v>
      </c>
    </row>
    <row r="125" spans="1:11" x14ac:dyDescent="0.35">
      <c r="A125" s="134">
        <f t="shared" si="1"/>
        <v>124</v>
      </c>
      <c r="B125" s="135" t="str" cm="1">
        <f t="array" ref="B125:K125">TRANSPOSE(CHOOSE({1;2;3;4;5;6;7;8;9;10},ANNOUNCEMENTS!A125:A125,ANNOUNCEMENTS!C125:C125,ANNOUNCEMENTS!D125:D125,ANNOUNCEMENTS!E125:E125,ANNOUNCEMENTS!J125:J125,ANNOUNCEMENTS!K125:K125,ANNOUNCEMENTS!W125:W125,ANNOUNCEMENTS!Z125:Z125,ANNOUNCEMENTS!AB125:AB125,ANNOUNCEMENTS!AD125:AD125))</f>
        <v>https://www.serverobotics.com/uber-eats-partnership</v>
      </c>
      <c r="C125" s="286">
        <v>44204</v>
      </c>
      <c r="D125" s="135" t="str">
        <v>Serve Robotics and Uber Expand Partnership to Bring Robotic Delivery to Uber Eats</v>
      </c>
      <c r="E125" s="135" t="str">
        <v>ServeRobotics</v>
      </c>
      <c r="F125" s="135" t="str">
        <v>Last-Mile</v>
      </c>
      <c r="G125" s="135" t="str">
        <v>Uber Eats</v>
      </c>
      <c r="H125" s="135" t="str">
        <v>2.1. Short term Alliance (no exclusivity / previous experience)</v>
      </c>
      <c r="I125" s="135" t="str">
        <v>Joint Service Agreement</v>
      </c>
      <c r="J125" s="59">
        <v>0</v>
      </c>
      <c r="K125" s="59">
        <v>0</v>
      </c>
    </row>
    <row r="126" spans="1:11" x14ac:dyDescent="0.35">
      <c r="A126" s="134">
        <f t="shared" si="1"/>
        <v>125</v>
      </c>
      <c r="B126" s="135" t="str" cm="1">
        <f t="array" ref="B126:K126">TRANSPOSE(CHOOSE({1;2;3;4;5;6;7;8;9;10},ANNOUNCEMENTS!A126:A126,ANNOUNCEMENTS!C126:C126,ANNOUNCEMENTS!D126:D126,ANNOUNCEMENTS!E126:E126,ANNOUNCEMENTS!J126:J126,ANNOUNCEMENTS!K126:K126,ANNOUNCEMENTS!W126:W126,ANNOUNCEMENTS!Z126:Z126,ANNOUNCEMENTS!AB126:AB126,ANNOUNCEMENTS!AD126:AD126))</f>
        <v>https://www.serverobotics.com/piestro-partnership</v>
      </c>
      <c r="C126" s="286">
        <v>44748</v>
      </c>
      <c r="D126" s="135" t="str">
        <v>Piestro Partners with Serve Robotics to Automate Delivery of its Artisanal Pizzas</v>
      </c>
      <c r="E126" s="135" t="str">
        <v>ServeRobotics</v>
      </c>
      <c r="F126" s="135" t="str">
        <v>Last-Mile</v>
      </c>
      <c r="G126" s="135" t="str">
        <v>Piestro</v>
      </c>
      <c r="H126" s="135" t="str">
        <v>2.1. Short term Alliance (no exclusivity / previous experience)</v>
      </c>
      <c r="I126" s="135" t="str">
        <v>Joint Service Agreement</v>
      </c>
      <c r="J126" s="59">
        <v>0</v>
      </c>
      <c r="K126" s="59">
        <v>0</v>
      </c>
    </row>
    <row r="127" spans="1:11" x14ac:dyDescent="0.35">
      <c r="A127" s="134">
        <f t="shared" si="1"/>
        <v>126</v>
      </c>
      <c r="B127" s="135" t="str" cm="1">
        <f t="array" ref="B127:K127">TRANSPOSE(CHOOSE({1;2;3;4;5;6;7;8;9;10},ANNOUNCEMENTS!A127:A127,ANNOUNCEMENTS!C127:C127,ANNOUNCEMENTS!D127:D127,ANNOUNCEMENTS!E127:E127,ANNOUNCEMENTS!J127:J127,ANNOUNCEMENTS!K127:K127,ANNOUNCEMENTS!W127:W127,ANNOUNCEMENTS!Z127:Z127,ANNOUNCEMENTS!AB127:AB127,ANNOUNCEMENTS!AD127:AD127))</f>
        <v>https://www.autonews.com/shift/torc-robotics-teams-daimler-trucks-design-build-million-mile-vehicles</v>
      </c>
      <c r="C127" s="286">
        <v>44201</v>
      </c>
      <c r="D127" s="135" t="str">
        <v>Torc Teams with Daimler Truck to Design, Build Million-Mile Vehicles</v>
      </c>
      <c r="E127" s="135" t="str">
        <v>Torc</v>
      </c>
      <c r="F127" s="135" t="str">
        <v>Trucking</v>
      </c>
      <c r="G127" s="135" t="str">
        <v>Daimler Truck</v>
      </c>
      <c r="H127" s="135" t="str">
        <v>2.1. Short term Alliance (no exclusivity / previous experience)</v>
      </c>
      <c r="I127" s="135" t="str">
        <v>Joint D&amp;D</v>
      </c>
      <c r="J127" s="59">
        <v>0</v>
      </c>
      <c r="K127" s="59">
        <v>0</v>
      </c>
    </row>
    <row r="128" spans="1:11" x14ac:dyDescent="0.35">
      <c r="A128" s="134">
        <f t="shared" si="1"/>
        <v>127</v>
      </c>
      <c r="B128" s="135" t="str" cm="1">
        <f t="array" ref="B128:K128">TRANSPOSE(CHOOSE({1;2;3;4;5;6;7;8;9;10},ANNOUNCEMENTS!A128:A128,ANNOUNCEMENTS!C128:C128,ANNOUNCEMENTS!D128:D128,ANNOUNCEMENTS!E128:E128,ANNOUNCEMENTS!J128:J128,ANNOUNCEMENTS!K128:K128,ANNOUNCEMENTS!W128:W128,ANNOUNCEMENTS!Z128:Z128,ANNOUNCEMENTS!AB128:AB128,ANNOUNCEMENTS!AD128:AD128))</f>
        <v>https://www.prnewswire.com/news-releases/torc-robotics-collaborates-with-applied-intuition-to-accelerate-development-and-validation-of-autonomous-trucks-301419986.html</v>
      </c>
      <c r="C128" s="286">
        <v>44205</v>
      </c>
      <c r="D128" s="135" t="str">
        <v>Torc Collaborates with Applied Intuition to Accelerate Development and Validation of Autonomous Trucks</v>
      </c>
      <c r="E128" s="135" t="str">
        <v>Torc</v>
      </c>
      <c r="F128" s="135" t="str">
        <v>Trucking</v>
      </c>
      <c r="G128" s="135" t="str">
        <v>Applied Intuition</v>
      </c>
      <c r="H128" s="135" t="str">
        <v>2.3. Long term Alliance</v>
      </c>
      <c r="I128" s="135" t="str">
        <v>Joint D&amp;D</v>
      </c>
      <c r="J128" s="59">
        <v>0</v>
      </c>
      <c r="K128" s="59">
        <v>0</v>
      </c>
    </row>
    <row r="129" spans="1:11" x14ac:dyDescent="0.35">
      <c r="A129" s="134">
        <f t="shared" si="1"/>
        <v>128</v>
      </c>
      <c r="B129" s="135" t="str" cm="1">
        <f t="array" ref="B129:K129">TRANSPOSE(CHOOSE({1;2;3;4;5;6;7;8;9;10},ANNOUNCEMENTS!A129:A129,ANNOUNCEMENTS!C129:C129,ANNOUNCEMENTS!D129:D129,ANNOUNCEMENTS!E129:E129,ANNOUNCEMENTS!J129:J129,ANNOUNCEMENTS!K129:K129,ANNOUNCEMENTS!W129:W129,ANNOUNCEMENTS!Z129:Z129,ANNOUNCEMENTS!AB129:AB129,ANNOUNCEMENTS!AD129:AD129))</f>
        <v>https://www.automotiveworld.com/news-releases/daimler-trucks-and-torc-partner-with-luminar-to-enable-automated-trucking-daimler-trucks-acquires-minority-stake-in-luminar/</v>
      </c>
      <c r="C129" s="286">
        <v>43860</v>
      </c>
      <c r="D129" s="135" t="str">
        <v>Daimler Trucks and Torc partner with Luminar to enable automated trucking</v>
      </c>
      <c r="E129" s="135" t="str">
        <v>Torc</v>
      </c>
      <c r="F129" s="135" t="str">
        <v>Trucking</v>
      </c>
      <c r="G129" s="135" t="str">
        <v>Daimler Truck;Luminar</v>
      </c>
      <c r="H129" s="135" t="str">
        <v>3. Strategic Partnership</v>
      </c>
      <c r="I129" s="135" t="str">
        <v>Joint D&amp;D</v>
      </c>
      <c r="J129" s="59">
        <v>0</v>
      </c>
      <c r="K129" s="59">
        <v>0</v>
      </c>
    </row>
    <row r="130" spans="1:11" x14ac:dyDescent="0.35">
      <c r="A130" s="134">
        <f t="shared" si="1"/>
        <v>129</v>
      </c>
      <c r="B130" s="135" t="str" cm="1">
        <f t="array" ref="B130:K130">TRANSPOSE(CHOOSE({1;2;3;4;5;6;7;8;9;10},ANNOUNCEMENTS!A130:A130,ANNOUNCEMENTS!C130:C130,ANNOUNCEMENTS!D130:D130,ANNOUNCEMENTS!E130:E130,ANNOUNCEMENTS!J130:J130,ANNOUNCEMENTS!K130:K130,ANNOUNCEMENTS!W130:W130,ANNOUNCEMENTS!Z130:Z130,ANNOUNCEMENTS!AB130:AB130,ANNOUNCEMENTS!AD130:AD130))</f>
        <v>https://www.transdev.com/en/press-release/partnership-torc-autonomous-shuttle/</v>
      </c>
      <c r="C130" s="286">
        <v>43472</v>
      </c>
      <c r="D130" s="135" t="str">
        <v>Torc and Transdev partner to develop technology for i-Cristal, a shared and fully autonomous shuttle</v>
      </c>
      <c r="E130" s="135" t="str">
        <v>Transdev</v>
      </c>
      <c r="F130" s="135" t="str">
        <v>Ridepooling</v>
      </c>
      <c r="G130" s="135" t="str">
        <v>Torc</v>
      </c>
      <c r="H130" s="135" t="str">
        <v xml:space="preserve">2.2. Renewed Alliance </v>
      </c>
      <c r="I130" s="135" t="str">
        <v>Joint Service Agreement</v>
      </c>
      <c r="J130" s="59" t="str">
        <v>Research &amp; Collaboration</v>
      </c>
      <c r="K130" s="59">
        <v>0</v>
      </c>
    </row>
    <row r="131" spans="1:11" x14ac:dyDescent="0.35">
      <c r="A131" s="134">
        <f t="shared" si="1"/>
        <v>130</v>
      </c>
      <c r="B131" s="135" t="str" cm="1">
        <f t="array" ref="B131:K131">TRANSPOSE(CHOOSE({1;2;3;4;5;6;7;8;9;10},ANNOUNCEMENTS!A131:A131,ANNOUNCEMENTS!C131:C131,ANNOUNCEMENTS!D131:D131,ANNOUNCEMENTS!E131:E131,ANNOUNCEMENTS!J131:J131,ANNOUNCEMENTS!K131:K131,ANNOUNCEMENTS!W131:W131,ANNOUNCEMENTS!Z131:Z131,ANNOUNCEMENTS!AB131:AB131,ANNOUNCEMENTS!AD131:AD131))</f>
        <v>https://www.transdev.com/en/sustainable-mobility/transdev-usa-partners-lavta-begin-testing-shared-autonomous-vehicle/</v>
      </c>
      <c r="C131" s="286">
        <v>44043</v>
      </c>
      <c r="D131" s="135" t="str">
        <v>Transdev USA partners with LAVTA to begin testing of its shared autonomous vehicle</v>
      </c>
      <c r="E131" s="135" t="str">
        <v>Transdev</v>
      </c>
      <c r="F131" s="135" t="str">
        <v>Ridepooling</v>
      </c>
      <c r="G131" s="135" t="str">
        <v>LAVTA</v>
      </c>
      <c r="H131" s="135" t="str">
        <v>2.1. Short term Alliance (no exclusivity / previous experience)</v>
      </c>
      <c r="I131" s="135" t="str">
        <v>Research &amp; Collaboration</v>
      </c>
      <c r="J131" s="59">
        <v>0</v>
      </c>
      <c r="K131" s="59">
        <v>0</v>
      </c>
    </row>
    <row r="132" spans="1:11" x14ac:dyDescent="0.35">
      <c r="A132" s="134">
        <f t="shared" ref="A132:A180" si="2">A131+1</f>
        <v>131</v>
      </c>
      <c r="B132" s="135" t="str" cm="1">
        <f t="array" ref="B132:K132">TRANSPOSE(CHOOSE({1;2;3;4;5;6;7;8;9;10},ANNOUNCEMENTS!A132:A132,ANNOUNCEMENTS!C132:C132,ANNOUNCEMENTS!D132:D132,ANNOUNCEMENTS!E132:E132,ANNOUNCEMENTS!J132:J132,ANNOUNCEMENTS!K132:K132,ANNOUNCEMENTS!W132:W132,ANNOUNCEMENTS!Z132:Z132,ANNOUNCEMENTS!AB132:AB132,ANNOUNCEMENTS!AD132:AD132))</f>
        <v>https://www.transdev.com/en/press-release/transdev-and-delphi-announce-commercial-partnership-for-autonomous-transportation/</v>
      </c>
      <c r="C132" s="286">
        <v>42893</v>
      </c>
      <c r="D132" s="135" t="str">
        <v>Transdev and Delphi Announce Commercial Partnership for Autonomous Transportation</v>
      </c>
      <c r="E132" s="135" t="str">
        <v>Transdev</v>
      </c>
      <c r="F132" s="135" t="str">
        <v>Ridepooling</v>
      </c>
      <c r="G132" s="135" t="str">
        <v>Delphi</v>
      </c>
      <c r="H132" s="135" t="str">
        <v>2.1. Short term Alliance (no exclusivity / previous experience)</v>
      </c>
      <c r="I132" s="135" t="str">
        <v>Joint Service Agreement</v>
      </c>
      <c r="J132" s="59">
        <v>0</v>
      </c>
      <c r="K132" s="59">
        <v>0</v>
      </c>
    </row>
    <row r="133" spans="1:11" x14ac:dyDescent="0.35">
      <c r="A133" s="134">
        <f t="shared" si="2"/>
        <v>132</v>
      </c>
      <c r="B133" s="135" t="str" cm="1">
        <f t="array" ref="B133:K133">TRANSPOSE(CHOOSE({1;2;3;4;5;6;7;8;9;10},ANNOUNCEMENTS!A133:A133,ANNOUNCEMENTS!C133:C133,ANNOUNCEMENTS!D133:D133,ANNOUNCEMENTS!E133:E133,ANNOUNCEMENTS!J133:J133,ANNOUNCEMENTS!K133:K133,ANNOUNCEMENTS!W133:W133,ANNOUNCEMENTS!Z133:Z133,ANNOUNCEMENTS!AB133:AB133,ANNOUNCEMENTS!AD133:AD133))</f>
        <v>https://www.transdev.com/en/press-release/zf-partnership/</v>
      </c>
      <c r="C133" s="286">
        <v>43473</v>
      </c>
      <c r="D133" s="135" t="str">
        <v>Transdev, ZF and e.GO announce partnership to develop shared autonomous mobility</v>
      </c>
      <c r="E133" s="135" t="str">
        <v>Transdev</v>
      </c>
      <c r="F133" s="135" t="str">
        <v>Ridepooling</v>
      </c>
      <c r="G133" s="135" t="str">
        <v>ZF;e.GO</v>
      </c>
      <c r="H133" s="135" t="str">
        <v>2.3. Long term Alliance</v>
      </c>
      <c r="I133" s="135" t="str">
        <v>Joint D&amp;D</v>
      </c>
      <c r="J133" s="59">
        <v>0</v>
      </c>
      <c r="K133" s="59">
        <v>0</v>
      </c>
    </row>
    <row r="134" spans="1:11" x14ac:dyDescent="0.35">
      <c r="A134" s="134">
        <f t="shared" si="2"/>
        <v>133</v>
      </c>
      <c r="B134" s="135" t="str" cm="1">
        <f t="array" ref="B134:K134">TRANSPOSE(CHOOSE({1;2;3;4;5;6;7;8;9;10},ANNOUNCEMENTS!A134:A134,ANNOUNCEMENTS!C134:C134,ANNOUNCEMENTS!D134:D134,ANNOUNCEMENTS!E134:E134,ANNOUNCEMENTS!J134:J134,ANNOUNCEMENTS!K134:K134,ANNOUNCEMENTS!W134:W134,ANNOUNCEMENTS!Z134:Z134,ANNOUNCEMENTS!AB134:AB134,ANNOUNCEMENTS!AD134:AD134))</f>
        <v>https://www.prnewswire.com/news-releases/tusimple-and-zf-partner-to-develop-technology-for-mass-produced-autonomous-trucks-301030033.html</v>
      </c>
      <c r="C134" s="286">
        <v>43916</v>
      </c>
      <c r="D134" s="135" t="str">
        <v>TuSimple and ZF Partner to Develop Technology for Mass Produced Autonomous Trucks</v>
      </c>
      <c r="E134" s="135" t="str">
        <v>TuSimple</v>
      </c>
      <c r="F134" s="135" t="str">
        <v>Trucking</v>
      </c>
      <c r="G134" s="135" t="str">
        <v>ZF</v>
      </c>
      <c r="H134" s="135" t="str">
        <v>2.1. Short term Alliance (no exclusivity / previous experience)</v>
      </c>
      <c r="I134" s="135" t="str">
        <v>Joint D&amp;D</v>
      </c>
      <c r="J134" s="59" t="str">
        <v>Supply Partnership (traditional)</v>
      </c>
      <c r="K134" s="59">
        <v>0</v>
      </c>
    </row>
    <row r="135" spans="1:11" x14ac:dyDescent="0.35">
      <c r="A135" s="134">
        <f t="shared" si="2"/>
        <v>134</v>
      </c>
      <c r="B135" s="135" t="str" cm="1">
        <f t="array" ref="B135:K135">TRANSPOSE(CHOOSE({1;2;3;4;5;6;7;8;9;10},ANNOUNCEMENTS!A135:A135,ANNOUNCEMENTS!C135:C135,ANNOUNCEMENTS!D135:D135,ANNOUNCEMENTS!E135:E135,ANNOUNCEMENTS!J135:J135,ANNOUNCEMENTS!K135:K135,ANNOUNCEMENTS!W135:W135,ANNOUNCEMENTS!Z135:Z135,ANNOUNCEMENTS!AB135:AB135,ANNOUNCEMENTS!AD135:AD135))</f>
        <v>https://www.prnewswire.com/news-releases/navistar-and-tusimple-partner-to-bring-autonomous-trucks-to-market-navistar-invests-in-autonomous-trucking-company-301093698.html</v>
      </c>
      <c r="C135" s="286">
        <v>44027</v>
      </c>
      <c r="D135" s="135" t="str">
        <v>Navistar and TuSimple Partner to Bring Autonomous Trucks to Market, Navistar Invests in Autonomous Trucking Company</v>
      </c>
      <c r="E135" s="135" t="str">
        <v>TuSimple</v>
      </c>
      <c r="F135" s="135" t="str">
        <v>Trucking</v>
      </c>
      <c r="G135" s="135" t="str">
        <v>Navistar</v>
      </c>
      <c r="H135" s="135" t="str">
        <v>3. Strategic Partnership</v>
      </c>
      <c r="I135" s="135" t="str">
        <v>Joint D&amp;D</v>
      </c>
      <c r="J135" s="59" t="str">
        <v>Joint Production</v>
      </c>
      <c r="K135" s="59">
        <v>0</v>
      </c>
    </row>
    <row r="136" spans="1:11" x14ac:dyDescent="0.35">
      <c r="A136" s="134">
        <f t="shared" si="2"/>
        <v>135</v>
      </c>
      <c r="B136" s="135" t="str" cm="1">
        <f t="array" ref="B136:K136">TRANSPOSE(CHOOSE({1;2;3;4;5;6;7;8;9;10},ANNOUNCEMENTS!A136:A136,ANNOUNCEMENTS!C136:C136,ANNOUNCEMENTS!D136:D136,ANNOUNCEMENTS!E136:E136,ANNOUNCEMENTS!J136:J136,ANNOUNCEMENTS!K136:K136,ANNOUNCEMENTS!W136:W136,ANNOUNCEMENTS!Z136:Z136,ANNOUNCEMENTS!AB136:AB136,ANNOUNCEMENTS!AD136:AD136))</f>
        <v>https://www.prnewswire.com/news-releases/the-traton-group-and-tusimple-agreed-on-global-partnership-for-autonomous-trucks-301136263.html</v>
      </c>
      <c r="C136" s="286">
        <v>44097</v>
      </c>
      <c r="D136" s="135" t="str">
        <v>The TRATON GROUP and TuSimple Agreed on Global Partnership for Autonomous Trucks</v>
      </c>
      <c r="E136" s="135" t="str">
        <v>TuSimple</v>
      </c>
      <c r="F136" s="135" t="str">
        <v>Trucking</v>
      </c>
      <c r="G136" s="135" t="str">
        <v>Traton</v>
      </c>
      <c r="H136" s="135" t="str">
        <v>3. Strategic Partnership</v>
      </c>
      <c r="I136" s="135" t="str">
        <v>Joint D&amp;D</v>
      </c>
      <c r="J136" s="59" t="str">
        <v>Research &amp; Collaboration</v>
      </c>
      <c r="K136" s="59">
        <v>0</v>
      </c>
    </row>
    <row r="137" spans="1:11" x14ac:dyDescent="0.35">
      <c r="A137" s="134">
        <f t="shared" si="2"/>
        <v>136</v>
      </c>
      <c r="B137" s="135" t="str" cm="1">
        <f t="array" ref="B137:K137">TRANSPOSE(CHOOSE({1;2;3;4;5;6;7;8;9;10},ANNOUNCEMENTS!A137:A137,ANNOUNCEMENTS!C137:C137,ANNOUNCEMENTS!D137:D137,ANNOUNCEMENTS!E137:E137,ANNOUNCEMENTS!J137:J137,ANNOUNCEMENTS!K137:K137,ANNOUNCEMENTS!W137:W137,ANNOUNCEMENTS!Z137:Z137,ANNOUNCEMENTS!AB137:AB137,ANNOUNCEMENTS!AD137:AD137))</f>
        <v>https://www.prnewswire.com/news-releases/goodyear-and-tusimple-collaborate-on-autonomous-vehicle-freight-operations-301175138.html</v>
      </c>
      <c r="C137" s="286">
        <v>43847</v>
      </c>
      <c r="D137" s="135" t="str">
        <v>Goodyear And TuSimple Collaborate On Autonomous Vehicle Freight Operations</v>
      </c>
      <c r="E137" s="135" t="str">
        <v>TuSimple</v>
      </c>
      <c r="F137" s="135" t="str">
        <v>Trucking</v>
      </c>
      <c r="G137" s="135" t="str">
        <v>Goodyear</v>
      </c>
      <c r="H137" s="135" t="str">
        <v>2.1. Short term Alliance (no exclusivity / previous experience)</v>
      </c>
      <c r="I137" s="135" t="str">
        <v>Research &amp; Collaboration</v>
      </c>
      <c r="J137" s="59" t="str">
        <v>Supply Partnership (traditional)</v>
      </c>
      <c r="K137" s="59">
        <v>0</v>
      </c>
    </row>
    <row r="138" spans="1:11" x14ac:dyDescent="0.35">
      <c r="A138" s="134">
        <f t="shared" si="2"/>
        <v>137</v>
      </c>
      <c r="B138" s="135" t="str" cm="1">
        <f t="array" ref="B138:K138">TRANSPOSE(CHOOSE({1;2;3;4;5;6;7;8;9;10},ANNOUNCEMENTS!A138:A138,ANNOUNCEMENTS!C138:C138,ANNOUNCEMENTS!D138:D138,ANNOUNCEMENTS!E138:E138,ANNOUNCEMENTS!J138:J138,ANNOUNCEMENTS!K138:K138,ANNOUNCEMENTS!W138:W138,ANNOUNCEMENTS!Z138:Z138,ANNOUNCEMENTS!AB138:AB138,ANNOUNCEMENTS!AD138:AD138))</f>
        <v>https://www.prnewswire.com/news-releases/tusimple-and-liberty-mutual-insurance-partner-to-study-the-safety-benefits-of-autonomous-trucks-301283935.html</v>
      </c>
      <c r="C138" s="286">
        <v>44321</v>
      </c>
      <c r="D138" s="135" t="str">
        <v>TuSimple and Liberty Mutual Insurance Partner to Study the Safety Benefits of Autonomous Trucks</v>
      </c>
      <c r="E138" s="135" t="str">
        <v>TuSimple</v>
      </c>
      <c r="F138" s="135" t="str">
        <v>Trucking</v>
      </c>
      <c r="G138" s="135" t="str">
        <v>Liberty Mutual Insurance</v>
      </c>
      <c r="H138" s="135" t="str">
        <v>1. Informal Agreement</v>
      </c>
      <c r="I138" s="135" t="str">
        <v>Research &amp; Collaboration</v>
      </c>
      <c r="J138" s="59">
        <v>0</v>
      </c>
      <c r="K138" s="59">
        <v>0</v>
      </c>
    </row>
    <row r="139" spans="1:11" x14ac:dyDescent="0.35">
      <c r="A139" s="134">
        <f t="shared" si="2"/>
        <v>138</v>
      </c>
      <c r="B139" s="135" t="str" cm="1">
        <f t="array" ref="B139:K139">TRANSPOSE(CHOOSE({1;2;3;4;5;6;7;8;9;10},ANNOUNCEMENTS!A139:A139,ANNOUNCEMENTS!C139:C139,ANNOUNCEMENTS!D139:D139,ANNOUNCEMENTS!E139:E139,ANNOUNCEMENTS!J139:J139,ANNOUNCEMENTS!K139:K139,ANNOUNCEMENTS!W139:W139,ANNOUNCEMENTS!Z139:Z139,ANNOUNCEMENTS!AB139:AB139,ANNOUNCEMENTS!AD139:AD139))</f>
        <v>https://www.prnewswire.com/news-releases/tusimple-and-ryder-partner-to-expand-nationwide-autonomous-trucking-301344048.html</v>
      </c>
      <c r="C139" s="286">
        <v>44406</v>
      </c>
      <c r="D139" s="135" t="str">
        <v>TuSimple and Ryder Partner to Expand Nationwide Autonomous Trucking</v>
      </c>
      <c r="E139" s="135" t="str">
        <v>TuSimple</v>
      </c>
      <c r="F139" s="135" t="str">
        <v>Trucking</v>
      </c>
      <c r="G139" s="135" t="str">
        <v>Ryder</v>
      </c>
      <c r="H139" s="135" t="str">
        <v>2.1. Short term Alliance (no exclusivity / previous experience)</v>
      </c>
      <c r="I139" s="135" t="str">
        <v>Joint Service Agreement</v>
      </c>
      <c r="J139" s="59">
        <v>0</v>
      </c>
      <c r="K139" s="59">
        <v>0</v>
      </c>
    </row>
    <row r="140" spans="1:11" x14ac:dyDescent="0.35">
      <c r="A140" s="134">
        <f t="shared" si="2"/>
        <v>139</v>
      </c>
      <c r="B140" s="135" t="str" cm="1">
        <f t="array" ref="B140:K140">TRANSPOSE(CHOOSE({1;2;3;4;5;6;7;8;9;10},ANNOUNCEMENTS!A140:A140,ANNOUNCEMENTS!C140:C140,ANNOUNCEMENTS!D140:D140,ANNOUNCEMENTS!E140:E140,ANNOUNCEMENTS!J140:J140,ANNOUNCEMENTS!K140:K140,ANNOUNCEMENTS!W140:W140,ANNOUNCEMENTS!Z140:Z140,ANNOUNCEMENTS!AB140:AB140,ANNOUNCEMENTS!AD140:AD140))</f>
        <v>https://www.prnewswire.com/news-releases/tusimple-partners-with-loadsmith-for-350-unit-reservation-for-sae-l4-operation-301512230.html</v>
      </c>
      <c r="C140" s="286">
        <v>44649</v>
      </c>
      <c r="D140" s="135" t="str">
        <v>TuSimple Partners with Loadsmith for 350 Unit Reservation for SAE L4 Operation</v>
      </c>
      <c r="E140" s="135" t="str">
        <v>TuSimple</v>
      </c>
      <c r="F140" s="135" t="str">
        <v>Trucking</v>
      </c>
      <c r="G140" s="135" t="str">
        <v>Loadsmith</v>
      </c>
      <c r="H140" s="135" t="str">
        <v>2.1. Short term Alliance (no exclusivity / previous experience)</v>
      </c>
      <c r="I140" s="135" t="str">
        <v>Supply Partnership (extended)</v>
      </c>
      <c r="J140" s="59">
        <v>0</v>
      </c>
      <c r="K140" s="59">
        <v>0</v>
      </c>
    </row>
    <row r="141" spans="1:11" x14ac:dyDescent="0.35">
      <c r="A141" s="134">
        <f t="shared" si="2"/>
        <v>140</v>
      </c>
      <c r="B141" s="135" t="str" cm="1">
        <f t="array" ref="B141:K141">TRANSPOSE(CHOOSE({1;2;3;4;5;6;7;8;9;10},ANNOUNCEMENTS!A141:A141,ANNOUNCEMENTS!C141:C141,ANNOUNCEMENTS!D141:D141,ANNOUNCEMENTS!E141:E141,ANNOUNCEMENTS!J141:J141,ANNOUNCEMENTS!K141:K141,ANNOUNCEMENTS!W141:W141,ANNOUNCEMENTS!Z141:Z141,ANNOUNCEMENTS!AB141:AB141,ANNOUNCEMENTS!AD141:AD141))</f>
        <v>https://www.prnewswire.com/news-releases/tusimple-partners-with-global-logistics-leader-hegelmann-group-301588546.html</v>
      </c>
      <c r="C141" s="286">
        <v>44761</v>
      </c>
      <c r="D141" s="135" t="str">
        <v>TuSimple Partners with Global Logistics Leader, Hegelmann Group</v>
      </c>
      <c r="E141" s="135" t="str">
        <v>TuSimple</v>
      </c>
      <c r="F141" s="135" t="str">
        <v>Trucking</v>
      </c>
      <c r="G141" s="135" t="str">
        <v>Hegelmann Group</v>
      </c>
      <c r="H141" s="135" t="str">
        <v>2.1. Short term Alliance (no exclusivity / previous experience)</v>
      </c>
      <c r="I141" s="135" t="str">
        <v>Supply Partnership (extended)</v>
      </c>
      <c r="J141" s="59">
        <v>0</v>
      </c>
      <c r="K141" s="59">
        <v>0</v>
      </c>
    </row>
    <row r="142" spans="1:11" x14ac:dyDescent="0.35">
      <c r="A142" s="134">
        <f t="shared" si="2"/>
        <v>141</v>
      </c>
      <c r="B142" s="135" t="str" cm="1">
        <f t="array" ref="B142:K142">TRANSPOSE(CHOOSE({1;2;3;4;5;6;7;8;9;10},ANNOUNCEMENTS!A142:A142,ANNOUNCEMENTS!C142:C142,ANNOUNCEMENTS!D142:D142,ANNOUNCEMENTS!E142:E142,ANNOUNCEMENTS!J142:J142,ANNOUNCEMENTS!K142:K142,ANNOUNCEMENTS!W142:W142,ANNOUNCEMENTS!Z142:Z142,ANNOUNCEMENTS!AB142:AB142,ANNOUNCEMENTS!AD142:AD142))</f>
        <v>https://www.prnewswire.com/news-releases/dhl-partners-with-tusimple-to-adopt-integrate-and-scale-autonomous-trucking-operations-301446160.html</v>
      </c>
      <c r="C142" s="286">
        <v>44212</v>
      </c>
      <c r="D142" s="135" t="str">
        <v>DHL Partners with TuSimple to Adopt, Integrate and Scale Autonomous Trucking Operations</v>
      </c>
      <c r="E142" s="135" t="str">
        <v>TuSimple</v>
      </c>
      <c r="F142" s="135" t="str">
        <v>Trucking</v>
      </c>
      <c r="G142" s="135" t="str">
        <v>DHL</v>
      </c>
      <c r="H142" s="135" t="str">
        <v xml:space="preserve">2.2. Renewed Alliance </v>
      </c>
      <c r="I142" s="135" t="str">
        <v>Supply Partnership (extended)</v>
      </c>
      <c r="J142" s="59">
        <v>0</v>
      </c>
      <c r="K142" s="59">
        <v>0</v>
      </c>
    </row>
    <row r="143" spans="1:11" x14ac:dyDescent="0.35">
      <c r="A143" s="134">
        <f t="shared" si="2"/>
        <v>142</v>
      </c>
      <c r="B143" s="135" t="str" cm="1">
        <f t="array" ref="B143:K143">TRANSPOSE(CHOOSE({1;2;3;4;5;6;7;8;9;10},ANNOUNCEMENTS!A143:A143,ANNOUNCEMENTS!C143:C143,ANNOUNCEMENTS!D143:D143,ANNOUNCEMENTS!E143:E143,ANNOUNCEMENTS!J143:J143,ANNOUNCEMENTS!K143:K143,ANNOUNCEMENTS!W143:W143,ANNOUNCEMENTS!Z143:Z143,ANNOUNCEMENTS!AB143:AB143,ANNOUNCEMENTS!AD143:AD143))</f>
        <v>https://www.uber.com/newsroom/uber-toyota-team-self-driving-cars/</v>
      </c>
      <c r="C143" s="286">
        <v>43339</v>
      </c>
      <c r="D143" s="135" t="str">
        <v>Uber and Toyota Team Up on Self-Driving Cars</v>
      </c>
      <c r="E143" s="135" t="str">
        <v>Uber</v>
      </c>
      <c r="F143" s="135" t="str">
        <v>Ridehailing</v>
      </c>
      <c r="G143" s="135" t="str">
        <v>Toyota</v>
      </c>
      <c r="H143" s="135" t="str">
        <v xml:space="preserve">2.2. Renewed Alliance </v>
      </c>
      <c r="I143" s="135" t="str">
        <v>Supply Partnership (traditional)</v>
      </c>
      <c r="J143" s="59">
        <v>0</v>
      </c>
      <c r="K143" s="59">
        <v>0</v>
      </c>
    </row>
    <row r="144" spans="1:11" x14ac:dyDescent="0.35">
      <c r="A144" s="134">
        <f t="shared" si="2"/>
        <v>143</v>
      </c>
      <c r="B144" s="135" t="str" cm="1">
        <f t="array" ref="B144:K144">TRANSPOSE(CHOOSE({1;2;3;4;5;6;7;8;9;10},ANNOUNCEMENTS!A144:A144,ANNOUNCEMENTS!C144:C144,ANNOUNCEMENTS!D144:D144,ANNOUNCEMENTS!E144:E144,ANNOUNCEMENTS!J144:J144,ANNOUNCEMENTS!K144:K144,ANNOUNCEMENTS!W144:W144,ANNOUNCEMENTS!Z144:Z144,ANNOUNCEMENTS!AB144:AB144,ANNOUNCEMENTS!AD144:AD144))</f>
        <v>https://www.uberfreight.com/blog/uber-freight-and-volvo-autonomous-solutions/</v>
      </c>
      <c r="C144" s="286">
        <v>44575</v>
      </c>
      <c r="D144" s="135" t="str">
        <v>Uber Freight announces strategic partnership with Volvo Autonomous Solutions</v>
      </c>
      <c r="E144" s="135" t="str">
        <v>Uber Freight</v>
      </c>
      <c r="F144" s="135" t="str">
        <v>Trucking</v>
      </c>
      <c r="G144" s="135" t="str">
        <v>Volvo Autonomous Solutions</v>
      </c>
      <c r="H144" s="135" t="str">
        <v>2.1. Short term Alliance (no exclusivity / previous experience)</v>
      </c>
      <c r="I144" s="135" t="str">
        <v>Supply Partnership (extended)</v>
      </c>
      <c r="J144" s="59">
        <v>0</v>
      </c>
      <c r="K144" s="59">
        <v>0</v>
      </c>
    </row>
    <row r="145" spans="1:11" x14ac:dyDescent="0.35">
      <c r="A145" s="134">
        <f t="shared" si="2"/>
        <v>144</v>
      </c>
      <c r="B145" s="135" t="str" cm="1">
        <f t="array" ref="B145:K145">TRANSPOSE(CHOOSE({1;2;3;4;5;6;7;8;9;10},ANNOUNCEMENTS!A145:A145,ANNOUNCEMENTS!C145:C145,ANNOUNCEMENTS!D145:D145,ANNOUNCEMENTS!E145:E145,ANNOUNCEMENTS!J145:J145,ANNOUNCEMENTS!K145:K145,ANNOUNCEMENTS!W145:W145,ANNOUNCEMENTS!Z145:Z145,ANNOUNCEMENTS!AB145:AB145,ANNOUNCEMENTS!AD145:AD145))</f>
        <v>https://www.uberfreight.com/blog/uber-freight-and-waymo-via-partnership/</v>
      </c>
      <c r="C145" s="286">
        <v>44719</v>
      </c>
      <c r="D145" s="135" t="str">
        <v>Uber Freight and Waymo Via partner to accelerate the future of logistics</v>
      </c>
      <c r="E145" s="135" t="str">
        <v>Uber Freight</v>
      </c>
      <c r="F145" s="135" t="str">
        <v>Trucking</v>
      </c>
      <c r="G145" s="135" t="str">
        <v>Waymo</v>
      </c>
      <c r="H145" s="135" t="str">
        <v>2.3. Long term Alliance</v>
      </c>
      <c r="I145" s="135" t="str">
        <v>Joint Service Agreement</v>
      </c>
      <c r="J145" s="59">
        <v>0</v>
      </c>
      <c r="K145" s="59">
        <v>0</v>
      </c>
    </row>
    <row r="146" spans="1:11" x14ac:dyDescent="0.35">
      <c r="A146" s="134">
        <f t="shared" si="2"/>
        <v>145</v>
      </c>
      <c r="B146" s="135" t="str" cm="1">
        <f t="array" ref="B146:K146">TRANSPOSE(CHOOSE({1;2;3;4;5;6;7;8;9;10},ANNOUNCEMENTS!A146:A146,ANNOUNCEMENTS!C146:C146,ANNOUNCEMENTS!D146:D146,ANNOUNCEMENTS!E146:E146,ANNOUNCEMENTS!J146:J146,ANNOUNCEMENTS!K146:K146,ANNOUNCEMENTS!W146:W146,ANNOUNCEMENTS!Z146:Z146,ANNOUNCEMENTS!AB146:AB146,ANNOUNCEMENTS!AD146:AD146))</f>
        <v>https://udelv.com/announcing-our-walmart-partnership/</v>
      </c>
      <c r="C146" s="286">
        <v>43473</v>
      </c>
      <c r="D146" s="135" t="str">
        <v>Announcing our Walmart Partnership</v>
      </c>
      <c r="E146" s="135" t="str">
        <v>Udelv</v>
      </c>
      <c r="F146" s="135" t="str">
        <v>Last-Mile</v>
      </c>
      <c r="G146" s="135" t="str">
        <v>Walmart</v>
      </c>
      <c r="H146" s="135" t="str">
        <v>2.1. Short term Alliance (no exclusivity / previous experience)</v>
      </c>
      <c r="I146" s="135" t="str">
        <v>Joint Service Agreement</v>
      </c>
      <c r="J146" s="59">
        <v>0</v>
      </c>
      <c r="K146" s="59">
        <v>0</v>
      </c>
    </row>
    <row r="147" spans="1:11" x14ac:dyDescent="0.35">
      <c r="A147" s="134">
        <f t="shared" si="2"/>
        <v>146</v>
      </c>
      <c r="B147" s="135" t="str" cm="1">
        <f t="array" ref="B147:K147">TRANSPOSE(CHOOSE({1;2;3;4;5;6;7;8;9;10},ANNOUNCEMENTS!A147:A147,ANNOUNCEMENTS!C147:C147,ANNOUNCEMENTS!D147:D147,ANNOUNCEMENTS!E147:E147,ANNOUNCEMENTS!J147:J147,ANNOUNCEMENTS!K147:K147,ANNOUNCEMENTS!W147:W147,ANNOUNCEMENTS!Z147:Z147,ANNOUNCEMENTS!AB147:AB147,ANNOUNCEMENTS!AD147:AD147))</f>
        <v>https://venturebeat.com/ai/farmstead-partners-with-udelv-for-autonomous-grocery-delivery/#new_tab</v>
      </c>
      <c r="C147" s="286">
        <v>43129</v>
      </c>
      <c r="D147" s="135" t="str">
        <v>Farmstead partners with Udelv for autonomous grocery delivery</v>
      </c>
      <c r="E147" s="135" t="str">
        <v>Udelv</v>
      </c>
      <c r="F147" s="135" t="str">
        <v>Last-Mile</v>
      </c>
      <c r="G147" s="135" t="str">
        <v>Farmstead</v>
      </c>
      <c r="H147" s="135" t="str">
        <v>2.1. Short term Alliance (no exclusivity / previous experience)</v>
      </c>
      <c r="I147" s="135" t="str">
        <v>Joint Service Agreement</v>
      </c>
      <c r="J147" s="59">
        <v>0</v>
      </c>
      <c r="K147" s="59">
        <v>0</v>
      </c>
    </row>
    <row r="148" spans="1:11" x14ac:dyDescent="0.35">
      <c r="A148" s="134">
        <f t="shared" si="2"/>
        <v>147</v>
      </c>
      <c r="B148" s="135" t="str" cm="1">
        <f t="array" ref="B148:K148">TRANSPOSE(CHOOSE({1;2;3;4;5;6;7;8;9;10},ANNOUNCEMENTS!A148:A148,ANNOUNCEMENTS!C148:C148,ANNOUNCEMENTS!D148:D148,ANNOUNCEMENTS!E148:E148,ANNOUNCEMENTS!J148:J148,ANNOUNCEMENTS!K148:K148,ANNOUNCEMENTS!W148:W148,ANNOUNCEMENTS!Z148:Z148,ANNOUNCEMENTS!AB148:AB148,ANNOUNCEMENTS!AD148:AD148))</f>
        <v>https://udelv.com/h-e-b-and-udelv-announce-our-partnership/</v>
      </c>
      <c r="C148" s="286">
        <v>43656</v>
      </c>
      <c r="D148" s="135" t="str">
        <v>H-E-B and Udelv announce our partnership</v>
      </c>
      <c r="E148" s="135" t="str">
        <v>Udelv</v>
      </c>
      <c r="F148" s="135" t="str">
        <v>Last-Mile</v>
      </c>
      <c r="G148" s="135" t="str">
        <v>H-E-B</v>
      </c>
      <c r="H148" s="135" t="str">
        <v>2.1. Short term Alliance (no exclusivity / previous experience)</v>
      </c>
      <c r="I148" s="135" t="str">
        <v>Joint Service Agreement</v>
      </c>
      <c r="J148" s="59">
        <v>0</v>
      </c>
      <c r="K148" s="59">
        <v>0</v>
      </c>
    </row>
    <row r="149" spans="1:11" x14ac:dyDescent="0.35">
      <c r="A149" s="134">
        <f t="shared" si="2"/>
        <v>148</v>
      </c>
      <c r="B149" s="135" t="str" cm="1">
        <f t="array" ref="B149:K149">TRANSPOSE(CHOOSE({1;2;3;4;5;6;7;8;9;10},ANNOUNCEMENTS!A149:A149,ANNOUNCEMENTS!C149:C149,ANNOUNCEMENTS!D149:D149,ANNOUNCEMENTS!E149:E149,ANNOUNCEMENTS!J149:J149,ANNOUNCEMENTS!K149:K149,ANNOUNCEMENTS!W149:W149,ANNOUNCEMENTS!Z149:Z149,ANNOUNCEMENTS!AB149:AB149,ANNOUNCEMENTS!AD149:AD149))</f>
        <v>https://techcrunch.com/2021/04/12/ntels-mobileye-teams-with-udelv-to-launch-35000-driverless-delivery-vehicles-by-2028/#new_tab</v>
      </c>
      <c r="C149" s="286">
        <v>44298</v>
      </c>
      <c r="D149" s="135" t="str">
        <v>Intel's Mobileye teams with Udelv</v>
      </c>
      <c r="E149" s="135" t="str">
        <v>Udelv</v>
      </c>
      <c r="F149" s="135" t="str">
        <v>Last-Mile</v>
      </c>
      <c r="G149" s="135" t="str">
        <v>Mobileye</v>
      </c>
      <c r="H149" s="135" t="str">
        <v>2.3. Long term Alliance</v>
      </c>
      <c r="I149" s="135" t="str">
        <v>Joint D&amp;D</v>
      </c>
      <c r="J149" s="59">
        <v>0</v>
      </c>
      <c r="K149" s="59">
        <v>0</v>
      </c>
    </row>
    <row r="150" spans="1:11" x14ac:dyDescent="0.35">
      <c r="A150" s="134">
        <f t="shared" si="2"/>
        <v>149</v>
      </c>
      <c r="B150" s="135" t="str" cm="1">
        <f t="array" ref="B150:K150">TRANSPOSE(CHOOSE({1;2;3;4;5;6;7;8;9;10},ANNOUNCEMENTS!A150:A150,ANNOUNCEMENTS!C150:C150,ANNOUNCEMENTS!D150:D150,ANNOUNCEMENTS!E150:E150,ANNOUNCEMENTS!J150:J150,ANNOUNCEMENTS!K150:K150,ANNOUNCEMENTS!W150:W150,ANNOUNCEMENTS!Z150:Z150,ANNOUNCEMENTS!AB150:AB150,ANNOUNCEMENTS!AD150:AD150))</f>
        <v>https://waabi.ai/mit/</v>
      </c>
      <c r="C150" s="286">
        <v>44928</v>
      </c>
      <c r="D150" s="135" t="str">
        <v>Waabi Partners with MIT Center for Transportation &amp; Logistics, Becomes First AV Company to Join the Supply Partnership Exchange</v>
      </c>
      <c r="E150" s="135" t="str">
        <v>Waabi</v>
      </c>
      <c r="F150" s="135" t="str">
        <v>Trucking</v>
      </c>
      <c r="G150" s="135" t="str">
        <v>MIT Center for Transportation &amp; Logistics</v>
      </c>
      <c r="H150" s="135" t="str">
        <v>2.1. Short term Alliance (no exclusivity / previous experience)</v>
      </c>
      <c r="I150" s="135" t="str">
        <v>Research &amp; Collaboration</v>
      </c>
      <c r="J150" s="59">
        <v>0</v>
      </c>
      <c r="K150" s="59">
        <v>0</v>
      </c>
    </row>
    <row r="151" spans="1:11" x14ac:dyDescent="0.35">
      <c r="A151" s="134">
        <f t="shared" si="2"/>
        <v>150</v>
      </c>
      <c r="B151" s="135" t="str" cm="1">
        <f t="array" ref="B151:K151">TRANSPOSE(CHOOSE({1;2;3;4;5;6;7;8;9;10},ANNOUNCEMENTS!A151:A151,ANNOUNCEMENTS!C151:C151,ANNOUNCEMENTS!D151:D151,ANNOUNCEMENTS!E151:E151,ANNOUNCEMENTS!J151:J151,ANNOUNCEMENTS!K151:K151,ANNOUNCEMENTS!W151:W151,ANNOUNCEMENTS!Z151:Z151,ANNOUNCEMENTS!AB151:AB151,ANNOUNCEMENTS!AD151:AD151))</f>
        <v>https://waabi.ai/waabi-uber-freight/</v>
      </c>
      <c r="C151" s="286">
        <v>45190</v>
      </c>
      <c r="D151" s="135" t="str">
        <v>Partnering with Uber Freight to build an industry-first solution for AI-powered autonomous truck deployment at scale</v>
      </c>
      <c r="E151" s="135" t="str">
        <v>Waabi</v>
      </c>
      <c r="F151" s="135" t="str">
        <v>Trucking</v>
      </c>
      <c r="G151" s="135" t="str">
        <v>Uber Freight</v>
      </c>
      <c r="H151" s="135" t="str">
        <v>2.3. Long term Alliance</v>
      </c>
      <c r="I151" s="135" t="str">
        <v>Joint Service Agreement</v>
      </c>
      <c r="J151" s="59">
        <v>0</v>
      </c>
      <c r="K151" s="59">
        <v>0</v>
      </c>
    </row>
    <row r="152" spans="1:11" x14ac:dyDescent="0.35">
      <c r="A152" s="134">
        <f t="shared" si="2"/>
        <v>151</v>
      </c>
      <c r="B152" s="135" t="str" cm="1">
        <f t="array" ref="B152:K152">TRANSPOSE(CHOOSE({1;2;3;4;5;6;7;8;9;10},ANNOUNCEMENTS!A152:A152,ANNOUNCEMENTS!C152:C152,ANNOUNCEMENTS!D152:D152,ANNOUNCEMENTS!E152:E152,ANNOUNCEMENTS!J152:J152,ANNOUNCEMENTS!K152:K152,ANNOUNCEMENTS!W152:W152,ANNOUNCEMENTS!Z152:Z152,ANNOUNCEMENTS!AB152:AB152,ANNOUNCEMENTS!AD152:AD152))</f>
        <v>https://waymo.com/blog/2020/07/waymo-and-fiat-chrysler-automobiles-fca-expand-partnership/</v>
      </c>
      <c r="C152" s="286">
        <v>44034</v>
      </c>
      <c r="D152" s="135" t="str">
        <v>Waymo and Fiat Chrysler Automobiles (FCA) expand autonomous driving technology partnership</v>
      </c>
      <c r="E152" s="135" t="str">
        <v>Waymo</v>
      </c>
      <c r="F152" s="135" t="str">
        <v>Ridehailing</v>
      </c>
      <c r="G152" s="135" t="str">
        <v>Fiat Chrysler Automobiles</v>
      </c>
      <c r="H152" s="135" t="str">
        <v>2.4. Exclusive Alliance</v>
      </c>
      <c r="I152" s="135" t="str">
        <v>Joint D&amp;D</v>
      </c>
      <c r="J152" s="59" t="str">
        <v>Research &amp; Collaboration</v>
      </c>
      <c r="K152" s="59">
        <v>0</v>
      </c>
    </row>
    <row r="153" spans="1:11" x14ac:dyDescent="0.35">
      <c r="A153" s="134">
        <f t="shared" si="2"/>
        <v>152</v>
      </c>
      <c r="B153" s="135" t="str" cm="1">
        <f t="array" ref="B153:K153">TRANSPOSE(CHOOSE({1;2;3;4;5;6;7;8;9;10},ANNOUNCEMENTS!A153:A153,ANNOUNCEMENTS!C153:C153,ANNOUNCEMENTS!D153:D153,ANNOUNCEMENTS!E153:E153,ANNOUNCEMENTS!J153:J153,ANNOUNCEMENTS!K153:K153,ANNOUNCEMENTS!W153:W153,ANNOUNCEMENTS!Z153:Z153,ANNOUNCEMENTS!AB153:AB153,ANNOUNCEMENTS!AD153:AD153))</f>
        <v>https://waymo.com/blog/2020/09/providing-covid-19-testing-to-our-team.html</v>
      </c>
      <c r="C153" s="286">
        <v>44078</v>
      </c>
      <c r="D153" s="135" t="str">
        <v>Providing COVID-19 testing to our team in partnership with Verily</v>
      </c>
      <c r="E153" s="135" t="str">
        <v>Waymo</v>
      </c>
      <c r="F153" s="135" t="str">
        <v>Other</v>
      </c>
      <c r="G153" s="135" t="str">
        <v>Verily</v>
      </c>
      <c r="H153" s="135" t="str">
        <v>1. Informal Agreement</v>
      </c>
      <c r="I153" s="135" t="str">
        <v>Marketing Agreement</v>
      </c>
      <c r="J153" s="59">
        <v>0</v>
      </c>
      <c r="K153" s="59">
        <v>0</v>
      </c>
    </row>
    <row r="154" spans="1:11" x14ac:dyDescent="0.35">
      <c r="A154" s="134">
        <f t="shared" si="2"/>
        <v>153</v>
      </c>
      <c r="B154" s="135" t="str" cm="1">
        <f t="array" ref="B154:K154">TRANSPOSE(CHOOSE({1;2;3;4;5;6;7;8;9;10},ANNOUNCEMENTS!A154:A154,ANNOUNCEMENTS!C154:C154,ANNOUNCEMENTS!D154:D154,ANNOUNCEMENTS!E154:E154,ANNOUNCEMENTS!J154:J154,ANNOUNCEMENTS!K154:K154,ANNOUNCEMENTS!W154:W154,ANNOUNCEMENTS!Z154:Z154,ANNOUNCEMENTS!AB154:AB154,ANNOUNCEMENTS!AD154:AD154))</f>
        <v>https://waymo.com/blog/2022/09/waymo-and-swiss-res-new-research.html</v>
      </c>
      <c r="C154" s="286">
        <v>44830</v>
      </c>
      <c r="D154" s="135" t="str">
        <v>Waymo and Swiss Re's new research collaboration</v>
      </c>
      <c r="E154" s="135" t="str">
        <v>Waymo</v>
      </c>
      <c r="F154" s="135" t="str">
        <v>Other</v>
      </c>
      <c r="G154" s="135" t="str">
        <v>Swiss Re</v>
      </c>
      <c r="H154" s="135" t="str">
        <v>2.1. Short term Alliance (no exclusivity / previous experience)</v>
      </c>
      <c r="I154" s="135" t="str">
        <v>Research &amp; Collaboration</v>
      </c>
      <c r="J154" s="59">
        <v>0</v>
      </c>
      <c r="K154" s="59">
        <v>0</v>
      </c>
    </row>
    <row r="155" spans="1:11" x14ac:dyDescent="0.35">
      <c r="A155" s="134">
        <f t="shared" si="2"/>
        <v>154</v>
      </c>
      <c r="B155" s="135" t="str" cm="1">
        <f t="array" ref="B155:K155">TRANSPOSE(CHOOSE({1;2;3;4;5;6;7;8;9;10},ANNOUNCEMENTS!A155:A155,ANNOUNCEMENTS!C155:C155,ANNOUNCEMENTS!D155:D155,ANNOUNCEMENTS!E155:E155,ANNOUNCEMENTS!J155:J155,ANNOUNCEMENTS!K155:K155,ANNOUNCEMENTS!W155:W155,ANNOUNCEMENTS!Z155:Z155,ANNOUNCEMENTS!AB155:AB155,ANNOUNCEMENTS!AD155:AD155))</f>
        <v>https://waymo.com/blog/2019/03/waymo-aaa-northern-california-nevada/</v>
      </c>
      <c r="C155" s="286">
        <v>43537</v>
      </c>
      <c r="D155" s="135" t="str">
        <v>Waymo &amp; AAA Northern California, Nevada &amp; Utah team up to educate the public on self-driving</v>
      </c>
      <c r="E155" s="135" t="str">
        <v>Waymo</v>
      </c>
      <c r="F155" s="135" t="str">
        <v>Other</v>
      </c>
      <c r="G155" s="135" t="str">
        <v>AAA Northern California, Nevada &amp; Utah</v>
      </c>
      <c r="H155" s="135" t="str">
        <v>2.1. Short term Alliance (no exclusivity / previous experience)</v>
      </c>
      <c r="I155" s="135" t="str">
        <v>Other</v>
      </c>
      <c r="J155" s="59">
        <v>0</v>
      </c>
      <c r="K155" s="59">
        <v>0</v>
      </c>
    </row>
    <row r="156" spans="1:11" x14ac:dyDescent="0.35">
      <c r="A156" s="134">
        <f t="shared" si="2"/>
        <v>155</v>
      </c>
      <c r="B156" s="135" t="str" cm="1">
        <f t="array" ref="B156:K156">TRANSPOSE(CHOOSE({1;2;3;4;5;6;7;8;9;10},ANNOUNCEMENTS!A156:A156,ANNOUNCEMENTS!C156:C156,ANNOUNCEMENTS!D156:D156,ANNOUNCEMENTS!E156:E156,ANNOUNCEMENTS!J156:J156,ANNOUNCEMENTS!K156:K156,ANNOUNCEMENTS!W156:W156,ANNOUNCEMENTS!Z156:Z156,ANNOUNCEMENTS!AB156:AB156,ANNOUNCEMENTS!AD156:AD156))</f>
        <v>https://waymo.com/blog/2017/06/well-oiled-and-squeaky-clean-partnering/</v>
      </c>
      <c r="C156" s="286">
        <v>42913</v>
      </c>
      <c r="D156" s="135" t="str">
        <v>Well-oiled and squeaky-clean: Partnering with Avis to maintain our self-driving fleet</v>
      </c>
      <c r="E156" s="135" t="str">
        <v>Waymo</v>
      </c>
      <c r="F156" s="135" t="str">
        <v>Ridehailing</v>
      </c>
      <c r="G156" s="135" t="str">
        <v>Avis</v>
      </c>
      <c r="H156" s="135" t="str">
        <v>2.1. Short term Alliance (no exclusivity / previous experience)</v>
      </c>
      <c r="I156" s="135" t="str">
        <v>Joint Service Agreement</v>
      </c>
      <c r="J156" s="59">
        <v>0</v>
      </c>
      <c r="K156" s="59">
        <v>0</v>
      </c>
    </row>
    <row r="157" spans="1:11" x14ac:dyDescent="0.35">
      <c r="A157" s="134">
        <f t="shared" si="2"/>
        <v>156</v>
      </c>
      <c r="B157" s="135" t="str" cm="1">
        <f t="array" ref="B157:K157">TRANSPOSE(CHOOSE({1;2;3;4;5;6;7;8;9;10},ANNOUNCEMENTS!A157:A157,ANNOUNCEMENTS!C157:C157,ANNOUNCEMENTS!D157:D157,ANNOUNCEMENTS!E157:E157,ANNOUNCEMENTS!J157:J157,ANNOUNCEMENTS!K157:K157,ANNOUNCEMENTS!W157:W157,ANNOUNCEMENTS!Z157:Z157,ANNOUNCEMENTS!AB157:AB157,ANNOUNCEMENTS!AD157:AD157))</f>
        <v>https://waymo.com/blog/2018/07/partnering-with-valley-metro-to-explore-public-transport-solutions/</v>
      </c>
      <c r="C157" s="286">
        <v>43312</v>
      </c>
      <c r="D157" s="135" t="str">
        <v>Partnering with Valley Metro to explore public transportation solutions</v>
      </c>
      <c r="E157" s="135" t="str">
        <v>Waymo</v>
      </c>
      <c r="F157" s="135" t="str">
        <v>Ridehailing</v>
      </c>
      <c r="G157" s="135" t="str">
        <v>Valley Metro</v>
      </c>
      <c r="H157" s="135" t="str">
        <v>2.1. Short term Alliance (no exclusivity / previous experience)</v>
      </c>
      <c r="I157" s="135" t="str">
        <v>Research &amp; Collaboration</v>
      </c>
      <c r="J157" s="59">
        <v>0</v>
      </c>
      <c r="K157" s="59">
        <v>0</v>
      </c>
    </row>
    <row r="158" spans="1:11" x14ac:dyDescent="0.35">
      <c r="A158" s="134">
        <f t="shared" si="2"/>
        <v>157</v>
      </c>
      <c r="B158" s="135" t="str" cm="1">
        <f t="array" ref="B158:K158">TRANSPOSE(CHOOSE({1;2;3;4;5;6;7;8;9;10},ANNOUNCEMENTS!A158:A158,ANNOUNCEMENTS!C158:C158,ANNOUNCEMENTS!D158:D158,ANNOUNCEMENTS!E158:E158,ANNOUNCEMENTS!J158:J158,ANNOUNCEMENTS!K158:K158,ANNOUNCEMENTS!W158:W158,ANNOUNCEMENTS!Z158:Z158,ANNOUNCEMENTS!AB158:AB158,ANNOUNCEMENTS!AD158:AD158))</f>
        <v>https://waymo.com/blog/2019/05/partnering-with-lyft-to-serve-more-riders/</v>
      </c>
      <c r="C158" s="286">
        <v>43592</v>
      </c>
      <c r="D158" s="135" t="str">
        <v>Partnering with Lyft to serve more riders in Metro Phoenix</v>
      </c>
      <c r="E158" s="135" t="str">
        <v>Waymo</v>
      </c>
      <c r="F158" s="135" t="str">
        <v>Ridehailing</v>
      </c>
      <c r="G158" s="135" t="str">
        <v>Lyft</v>
      </c>
      <c r="H158" s="135" t="str">
        <v>2.1. Short term Alliance (no exclusivity / previous experience)</v>
      </c>
      <c r="I158" s="135" t="str">
        <v>Supply Partnership (extended)</v>
      </c>
      <c r="J158" s="59">
        <v>0</v>
      </c>
      <c r="K158" s="59">
        <v>0</v>
      </c>
    </row>
    <row r="159" spans="1:11" x14ac:dyDescent="0.35">
      <c r="A159" s="134">
        <f t="shared" si="2"/>
        <v>158</v>
      </c>
      <c r="B159" s="135" t="str" cm="1">
        <f t="array" ref="B159:K159">TRANSPOSE(CHOOSE({1;2;3;4;5;6;7;8;9;10},ANNOUNCEMENTS!A159:A159,ANNOUNCEMENTS!C159:C159,ANNOUNCEMENTS!D159:D159,ANNOUNCEMENTS!E159:E159,ANNOUNCEMENTS!J159:J159,ANNOUNCEMENTS!K159:K159,ANNOUNCEMENTS!W159:W159,ANNOUNCEMENTS!Z159:Z159,ANNOUNCEMENTS!AB159:AB159,ANNOUNCEMENTS!AD159:AD159))</f>
        <v>https://waymo.com/blog/2019/06/partnering-with-alliance-in-france-japan-and-beyond/</v>
      </c>
      <c r="C159" s="286">
        <v>43635</v>
      </c>
      <c r="D159" s="135" t="str">
        <v>Partnering with The Alliance in France, Japan, and beyond</v>
      </c>
      <c r="E159" s="135" t="str">
        <v>Waymo</v>
      </c>
      <c r="F159" s="135" t="str">
        <v>Ridehailing</v>
      </c>
      <c r="G159" s="135" t="str">
        <v>Alliance Ventures (Renault, Nissan, Mitsubishi)</v>
      </c>
      <c r="H159" s="135" t="str">
        <v>2.4. Exclusive Alliance</v>
      </c>
      <c r="I159" s="135" t="str">
        <v>Research &amp; Collaboration</v>
      </c>
      <c r="J159" s="59">
        <v>0</v>
      </c>
      <c r="K159" s="59">
        <v>0</v>
      </c>
    </row>
    <row r="160" spans="1:11" x14ac:dyDescent="0.35">
      <c r="A160" s="134">
        <f t="shared" si="2"/>
        <v>159</v>
      </c>
      <c r="B160" s="135" t="str" cm="1">
        <f t="array" ref="B160:K160">TRANSPOSE(CHOOSE({1;2;3;4;5;6;7;8;9;10},ANNOUNCEMENTS!A160:A160,ANNOUNCEMENTS!C160:C160,ANNOUNCEMENTS!D160:D160,ANNOUNCEMENTS!E160:E160,ANNOUNCEMENTS!J160:J160,ANNOUNCEMENTS!K160:K160,ANNOUNCEMENTS!W160:W160,ANNOUNCEMENTS!Z160:Z160,ANNOUNCEMENTS!AB160:AB160,ANNOUNCEMENTS!AD160:AD160))</f>
        <v>https://waymo.com/blog/2020/06/partnering-with-volvo-car-group-to-scale-the-waymo-driver/</v>
      </c>
      <c r="C160" s="286">
        <v>44007</v>
      </c>
      <c r="D160" s="135" t="str">
        <v>Partnering with Volvo Car Group to scale the Waymo Driver</v>
      </c>
      <c r="E160" s="135" t="str">
        <v>Waymo</v>
      </c>
      <c r="F160" s="135" t="str">
        <v>Ridehailing</v>
      </c>
      <c r="G160" s="135" t="str">
        <v>Volvo Car Group</v>
      </c>
      <c r="H160" s="135" t="str">
        <v>2.4. Exclusive Alliance</v>
      </c>
      <c r="I160" s="135" t="str">
        <v>Joint D&amp;D</v>
      </c>
      <c r="J160" s="59">
        <v>0</v>
      </c>
      <c r="K160" s="59">
        <v>0</v>
      </c>
    </row>
    <row r="161" spans="1:11" x14ac:dyDescent="0.35">
      <c r="A161" s="134">
        <f t="shared" si="2"/>
        <v>160</v>
      </c>
      <c r="B161" s="135" t="str" cm="1">
        <f t="array" ref="B161:K161">TRANSPOSE(CHOOSE({1;2;3;4;5;6;7;8;9;10},ANNOUNCEMENTS!A161:A161,ANNOUNCEMENTS!C161:C161,ANNOUNCEMENTS!D161:D161,ANNOUNCEMENTS!E161:E161,ANNOUNCEMENTS!J161:J161,ANNOUNCEMENTS!K161:K161,ANNOUNCEMENTS!W161:W161,ANNOUNCEMENTS!Z161:Z161,ANNOUNCEMENTS!AB161:AB161,ANNOUNCEMENTS!AD161:AD161))</f>
        <v>https://wayve.ai/press/wayve-announces-autonomous-van-trial-in-partnership-with-asda/</v>
      </c>
      <c r="C161" s="286">
        <v>44460</v>
      </c>
      <c r="D161" s="135" t="str">
        <v>Wayve Announces Autonomous Van Trial in Partnership with Asda</v>
      </c>
      <c r="E161" s="135" t="str">
        <v>Wayve</v>
      </c>
      <c r="F161" s="135" t="str">
        <v>Last-Mile</v>
      </c>
      <c r="G161" s="135" t="str">
        <v>Asda</v>
      </c>
      <c r="H161" s="135" t="str">
        <v>2.3. Long term Alliance</v>
      </c>
      <c r="I161" s="135" t="str">
        <v>Research &amp; Collaboration</v>
      </c>
      <c r="J161" s="59" t="str">
        <v>Joint Service Agreement</v>
      </c>
      <c r="K161" s="59">
        <v>0</v>
      </c>
    </row>
    <row r="162" spans="1:11" x14ac:dyDescent="0.35">
      <c r="A162" s="134">
        <f t="shared" si="2"/>
        <v>161</v>
      </c>
      <c r="B162" s="135" t="str" cm="1">
        <f t="array" ref="B162:K162">TRANSPOSE(CHOOSE({1;2;3;4;5;6;7;8;9;10},ANNOUNCEMENTS!A162:A162,ANNOUNCEMENTS!C162:C162,ANNOUNCEMENTS!D162:D162,ANNOUNCEMENTS!E162:E162,ANNOUNCEMENTS!J162:J162,ANNOUNCEMENTS!K162:K162,ANNOUNCEMENTS!W162:W162,ANNOUNCEMENTS!Z162:Z162,ANNOUNCEMENTS!AB162:AB162,ANNOUNCEMENTS!AD162:AD162))</f>
        <v>https://wayve.ai/press/wayve-and-ocado-group-partner-to-develop-autonomous-grocery-deliveries-for-osp-retailers-globally/</v>
      </c>
      <c r="C162" s="286">
        <v>44202</v>
      </c>
      <c r="D162" s="135" t="str">
        <v>Wayve and Ocado Group Partner to Develop Autonomous Grocery Deliveries for OSP Retailers Globally</v>
      </c>
      <c r="E162" s="135" t="str">
        <v>Wayve</v>
      </c>
      <c r="F162" s="135" t="str">
        <v>Last-Mile</v>
      </c>
      <c r="G162" s="135" t="str">
        <v>Ocado Group</v>
      </c>
      <c r="H162" s="135" t="str">
        <v>2.1. Short term Alliance (no exclusivity / previous experience)</v>
      </c>
      <c r="I162" s="135" t="str">
        <v>Joint Service Agreement</v>
      </c>
      <c r="J162" s="59" t="str">
        <v>Research &amp; Collaboration</v>
      </c>
      <c r="K162" s="59">
        <v>0</v>
      </c>
    </row>
    <row r="163" spans="1:11" x14ac:dyDescent="0.35">
      <c r="A163" s="134">
        <f t="shared" si="2"/>
        <v>162</v>
      </c>
      <c r="B163" s="135" t="str" cm="1">
        <f t="array" ref="B163:K163">TRANSPOSE(CHOOSE({1;2;3;4;5;6;7;8;9;10},ANNOUNCEMENTS!A163:A163,ANNOUNCEMENTS!C163:C163,ANNOUNCEMENTS!D163:D163,ANNOUNCEMENTS!E163:E163,ANNOUNCEMENTS!J163:J163,ANNOUNCEMENTS!K163:K163,ANNOUNCEMENTS!W163:W163,ANNOUNCEMENTS!Z163:Z163,ANNOUNCEMENTS!AB163:AB163,ANNOUNCEMENTS!AD163:AD163))</f>
        <v>https://press.zf.com/press/en/releases/release_45890.html</v>
      </c>
      <c r="C163" s="286">
        <v>44575</v>
      </c>
      <c r="D163" s="135" t="str">
        <v>ZF and NIO Sign Strategic Cooperation Agreement</v>
      </c>
      <c r="E163" s="135" t="str">
        <v>ZF</v>
      </c>
      <c r="F163" s="135" t="str">
        <v>Other</v>
      </c>
      <c r="G163" s="135" t="str">
        <v>NIO</v>
      </c>
      <c r="H163" s="135" t="str">
        <v>2.1. Short term Alliance (no exclusivity / previous experience)</v>
      </c>
      <c r="I163" s="135" t="str">
        <v>Marketing Agreement</v>
      </c>
      <c r="J163" s="59" t="str">
        <v>Supply Partnership (traditional)</v>
      </c>
      <c r="K163" s="59">
        <v>0</v>
      </c>
    </row>
    <row r="164" spans="1:11" x14ac:dyDescent="0.35">
      <c r="A164" s="134">
        <f t="shared" si="2"/>
        <v>163</v>
      </c>
      <c r="B164" s="135" t="str" cm="1">
        <f t="array" ref="B164:K164">TRANSPOSE(CHOOSE({1;2;3;4;5;6;7;8;9;10},ANNOUNCEMENTS!A164:A164,ANNOUNCEMENTS!C164:C164,ANNOUNCEMENTS!D164:D164,ANNOUNCEMENTS!E164:E164,ANNOUNCEMENTS!J164:J164,ANNOUNCEMENTS!K164:K164,ANNOUNCEMENTS!W164:W164,ANNOUNCEMENTS!Z164:Z164,ANNOUNCEMENTS!AB164:AB164,ANNOUNCEMENTS!AD164:AD164))</f>
        <v>https://press.zf.com/press/en/releases/release_14913.html</v>
      </c>
      <c r="C164" s="286">
        <v>43880</v>
      </c>
      <c r="D164" s="135" t="str">
        <v>Open Manufacturing Platform expands: Anheuser-Busch InBev, BMW Group, Bosch, Microsoft and ZF team up to accelerate manufacturing innovation at scale</v>
      </c>
      <c r="E164" s="135" t="str">
        <v>ZF</v>
      </c>
      <c r="F164" s="135" t="str">
        <v>Ridepooling</v>
      </c>
      <c r="G164" s="135" t="str">
        <v>Anheuser - Busch InBev;Bosch;Microsoft</v>
      </c>
      <c r="H164" s="135" t="str">
        <v>2.1. Short term Alliance (no exclusivity / previous experience)</v>
      </c>
      <c r="I164" s="135" t="str">
        <v>Research &amp; Collaboration</v>
      </c>
      <c r="J164" s="59">
        <v>0</v>
      </c>
      <c r="K164" s="59">
        <v>0</v>
      </c>
    </row>
    <row r="165" spans="1:11" x14ac:dyDescent="0.35">
      <c r="A165" s="134">
        <f t="shared" si="2"/>
        <v>164</v>
      </c>
      <c r="B165" s="135" t="str" cm="1">
        <f t="array" ref="B165:K165">TRANSPOSE(CHOOSE({1;2;3;4;5;6;7;8;9;10},ANNOUNCEMENTS!A165:A165,ANNOUNCEMENTS!C165:C165,ANNOUNCEMENTS!D165:D165,ANNOUNCEMENTS!E165:E165,ANNOUNCEMENTS!J165:J165,ANNOUNCEMENTS!K165:K165,ANNOUNCEMENTS!W165:W165,ANNOUNCEMENTS!Z165:Z165,ANNOUNCEMENTS!AB165:AB165,ANNOUNCEMENTS!AD165:AD165))</f>
        <v>https://press.zf.com/press/en/releases/release_31362.html</v>
      </c>
      <c r="C165" s="286">
        <v>44203</v>
      </c>
      <c r="D165" s="135" t="str">
        <v>ZF and DB Regio agree on strategic partnership for autonomous transport systems</v>
      </c>
      <c r="E165" s="135" t="str">
        <v>ZF</v>
      </c>
      <c r="F165" s="135" t="str">
        <v>Ridepooling</v>
      </c>
      <c r="G165" s="135" t="str">
        <v>DB Regio</v>
      </c>
      <c r="H165" s="135" t="str">
        <v>2.1. Short term Alliance (no exclusivity / previous experience)</v>
      </c>
      <c r="I165" s="135" t="str">
        <v>Joint Service Agreement</v>
      </c>
      <c r="J165" s="59">
        <v>0</v>
      </c>
      <c r="K165" s="59">
        <v>0</v>
      </c>
    </row>
    <row r="166" spans="1:11" x14ac:dyDescent="0.35">
      <c r="A166" s="134">
        <f t="shared" si="2"/>
        <v>165</v>
      </c>
      <c r="B166" s="135" t="str" cm="1">
        <f t="array" ref="B166:K166">TRANSPOSE(CHOOSE({1;2;3;4;5;6;7;8;9;10},ANNOUNCEMENTS!A166:A166,ANNOUNCEMENTS!C166:C166,ANNOUNCEMENTS!D166:D166,ANNOUNCEMENTS!E166:E166,ANNOUNCEMENTS!J166:J166,ANNOUNCEMENTS!K166:K166,ANNOUNCEMENTS!W166:W166,ANNOUNCEMENTS!Z166:Z166,ANNOUNCEMENTS!AB166:AB166,ANNOUNCEMENTS!AD166:AD166))</f>
        <v>https://ridebeep.com/press-releases/zf-announces-partnership-with-beep-unveils-next-generation-autonomous-shuttle</v>
      </c>
      <c r="C166" s="286">
        <v>44930</v>
      </c>
      <c r="D166" s="135" t="str">
        <v>ZF announces partnership with Beep, unveils next-generation autonomous shuttle</v>
      </c>
      <c r="E166" s="135" t="str">
        <v>ZF</v>
      </c>
      <c r="F166" s="135" t="str">
        <v>Ridepooling</v>
      </c>
      <c r="G166" s="135" t="str">
        <v>Beep</v>
      </c>
      <c r="H166" s="135" t="str">
        <v>2.3. Long term Alliance</v>
      </c>
      <c r="I166" s="135" t="str">
        <v>Joint Service Agreement</v>
      </c>
      <c r="J166" s="59">
        <v>0</v>
      </c>
      <c r="K166" s="59">
        <v>0</v>
      </c>
    </row>
    <row r="167" spans="1:11" x14ac:dyDescent="0.35">
      <c r="A167" s="134">
        <f t="shared" si="2"/>
        <v>166</v>
      </c>
      <c r="B167" s="135" t="str" cm="1">
        <f t="array" ref="B167:K167">TRANSPOSE(CHOOSE({1;2;3;4;5;6;7;8;9;10},ANNOUNCEMENTS!A167:A167,ANNOUNCEMENTS!C167:C167,ANNOUNCEMENTS!D167:D167,ANNOUNCEMENTS!E167:E167,ANNOUNCEMENTS!J167:J167,ANNOUNCEMENTS!K167:K167,ANNOUNCEMENTS!W167:W167,ANNOUNCEMENTS!Z167:Z167,ANNOUNCEMENTS!AB167:AB167,ANNOUNCEMENTS!AD167:AD167))</f>
        <v>https://www.ridebeep.com/press-releases/beep-and-oxa-announce-partnership-to-deploy-autonomous-vehicles-driven-by-oxa-in-united-states</v>
      </c>
      <c r="C167" s="286">
        <v>45162</v>
      </c>
      <c r="D167" s="135" t="str">
        <v>Beep and Oxa Announce Partnership to Deploy Autonomous Vehicles Driven by Oxa in United States</v>
      </c>
      <c r="E167" s="135" t="str">
        <v>Oxa</v>
      </c>
      <c r="F167" s="135" t="str">
        <v>Ridepooling</v>
      </c>
      <c r="G167" s="135" t="str">
        <v>Beep</v>
      </c>
      <c r="H167" s="135" t="str">
        <v>2.3. Long term Alliance</v>
      </c>
      <c r="I167" s="135" t="str">
        <v>Joint Service Agreement</v>
      </c>
      <c r="J167" s="59">
        <v>0</v>
      </c>
      <c r="K167" s="59">
        <v>0</v>
      </c>
    </row>
    <row r="168" spans="1:11" x14ac:dyDescent="0.35">
      <c r="A168" s="134">
        <f t="shared" si="2"/>
        <v>167</v>
      </c>
      <c r="B168" s="135" t="str" cm="1">
        <f t="array" ref="B168:K168">TRANSPOSE(CHOOSE({1;2;3;4;5;6;7;8;9;10},ANNOUNCEMENTS!A168:A168,ANNOUNCEMENTS!C168:C168,ANNOUNCEMENTS!D168:D168,ANNOUNCEMENTS!E168:E168,ANNOUNCEMENTS!J168:J168,ANNOUNCEMENTS!K168:K168,ANNOUNCEMENTS!W168:W168,ANNOUNCEMENTS!Z168:Z168,ANNOUNCEMENTS!AB168:AB168,ANNOUNCEMENTS!AD168:AD168))</f>
        <v>https://bolt.eu/en/blog/bolt-starship-technologies-partnership/</v>
      </c>
      <c r="C168" s="286">
        <v>45098</v>
      </c>
      <c r="D168" s="135" t="str">
        <v>Bolt teams up with Starship Technologies for autonomous deliveries</v>
      </c>
      <c r="E168" s="135" t="str">
        <v>Starship Technologies</v>
      </c>
      <c r="F168" s="135" t="str">
        <v>Last-Mile</v>
      </c>
      <c r="G168" s="135" t="str">
        <v>Bolt</v>
      </c>
      <c r="H168" s="135" t="str">
        <v>2.1. Short term Alliance (no exclusivity / previous experience)</v>
      </c>
      <c r="I168" s="135" t="str">
        <v>Joint Service Agreement</v>
      </c>
      <c r="J168" s="59">
        <v>0</v>
      </c>
      <c r="K168" s="59">
        <v>0</v>
      </c>
    </row>
    <row r="169" spans="1:11" x14ac:dyDescent="0.35">
      <c r="A169" s="134">
        <f t="shared" si="2"/>
        <v>168</v>
      </c>
      <c r="B169" s="135" t="str" cm="1">
        <f t="array" ref="B169:K169">TRANSPOSE(CHOOSE({1;2;3;4;5;6;7;8;9;10},ANNOUNCEMENTS!A169:A169,ANNOUNCEMENTS!C169:C169,ANNOUNCEMENTS!D169:D169,ANNOUNCEMENTS!E169:E169,ANNOUNCEMENTS!J169:J169,ANNOUNCEMENTS!K169:K169,ANNOUNCEMENTS!W169:W169,ANNOUNCEMENTS!Z169:Z169,ANNOUNCEMENTS!AB169:AB169,ANNOUNCEMENTS!AD169:AD169))</f>
        <v>Ridepooling</v>
      </c>
      <c r="C169" s="286">
        <v>43848</v>
      </c>
      <c r="D169" s="135" t="str">
        <v>May Mobility and Via announce partnership that will integrate on-demand AVs into public transit</v>
      </c>
      <c r="E169" s="135" t="str">
        <v>Via</v>
      </c>
      <c r="F169" s="135" t="str">
        <v>Ridepooling</v>
      </c>
      <c r="G169" s="135" t="str">
        <v>May Mobility</v>
      </c>
      <c r="H169" s="135" t="str">
        <v>2.3. Long term Alliance</v>
      </c>
      <c r="I169" s="135" t="str">
        <v>Joint Service Agreement</v>
      </c>
      <c r="J169" s="59">
        <v>0</v>
      </c>
      <c r="K169" s="59">
        <v>0</v>
      </c>
    </row>
    <row r="170" spans="1:11" x14ac:dyDescent="0.35">
      <c r="A170" s="134">
        <f t="shared" si="2"/>
        <v>169</v>
      </c>
      <c r="B170" s="135" t="str" cm="1">
        <f t="array" ref="B170:K170">TRANSPOSE(CHOOSE({1;2;3;4;5;6;7;8;9;10},ANNOUNCEMENTS!A170:A170,ANNOUNCEMENTS!C170:C170,ANNOUNCEMENTS!D170:D170,ANNOUNCEMENTS!E170:E170,ANNOUNCEMENTS!J170:J170,ANNOUNCEMENTS!K170:K170,ANNOUNCEMENTS!W170:W170,ANNOUNCEMENTS!Z170:Z170,ANNOUNCEMENTS!AB170:AB170,ANNOUNCEMENTS!AD170:AD170))</f>
        <v>https://www.navya.tech/en/navya-and-lohr-form-a-strategic-alliance-to-speed-up-their-technological-industrial-and-commercial-development-in-the-field-of-autonomous-mobility/</v>
      </c>
      <c r="C170" s="286">
        <v>44826</v>
      </c>
      <c r="D170" s="135" t="str">
        <v>Navya and Lohr form a strategic alliance to speed up their technological, industrial and commercial development in the field of autonomous mobility</v>
      </c>
      <c r="E170" s="135" t="str">
        <v>Lohr</v>
      </c>
      <c r="F170" s="135" t="str">
        <v>Ridepooling</v>
      </c>
      <c r="G170" s="135" t="str">
        <v>Navya</v>
      </c>
      <c r="H170" s="135" t="str">
        <v>2.1. Short term Alliance (no exclusivity / previous experience)</v>
      </c>
      <c r="I170" s="135" t="str">
        <v>Joint Production</v>
      </c>
      <c r="J170" s="59">
        <v>0</v>
      </c>
      <c r="K170" s="59">
        <v>0</v>
      </c>
    </row>
    <row r="171" spans="1:11" x14ac:dyDescent="0.35">
      <c r="A171" s="134">
        <f t="shared" si="2"/>
        <v>170</v>
      </c>
      <c r="B171" s="135" t="str" cm="1">
        <f t="array" ref="B171:K171">TRANSPOSE(CHOOSE({1;2;3;4;5;6;7;8;9;10},ANNOUNCEMENTS!A171:A171,ANNOUNCEMENTS!C171:C171,ANNOUNCEMENTS!D171:D171,ANNOUNCEMENTS!E171:E171,ANNOUNCEMENTS!J171:J171,ANNOUNCEMENTS!K171:K171,ANNOUNCEMENTS!W171:W171,ANNOUNCEMENTS!Z171:Z171,ANNOUNCEMENTS!AB171:AB171,ANNOUNCEMENTS!AD171:AD171))</f>
        <v>https://www.prnewswire.com/news-releases/uber-and-nuro-announce-10-year-partnership-for-autonomous-food-deliveries-starting-in-california-and-texas-301618947.html</v>
      </c>
      <c r="C171" s="286">
        <v>44812</v>
      </c>
      <c r="D171" s="135" t="str">
        <v>Uber and Nuro Announce 10-Year Partnership for Autonomous Food Deliveries Starting in California and Texas</v>
      </c>
      <c r="E171" s="135" t="str">
        <v>Uber Eats</v>
      </c>
      <c r="F171" s="135" t="str">
        <v>Last-Mile</v>
      </c>
      <c r="G171" s="135" t="str">
        <v>Nuro</v>
      </c>
      <c r="H171" s="135" t="str">
        <v>2.3. Long term Alliance</v>
      </c>
      <c r="I171" s="135" t="str">
        <v>Joint Service Agreement</v>
      </c>
      <c r="J171" s="59">
        <v>0</v>
      </c>
      <c r="K171" s="59">
        <v>0</v>
      </c>
    </row>
    <row r="172" spans="1:11" x14ac:dyDescent="0.35">
      <c r="A172" s="134">
        <f t="shared" si="2"/>
        <v>171</v>
      </c>
      <c r="B172" s="135" t="str" cm="1">
        <f t="array" ref="B172:K172">TRANSPOSE(CHOOSE({1;2;3;4;5;6;7;8;9;10},ANNOUNCEMENTS!A172:A172,ANNOUNCEMENTS!C172:C172,ANNOUNCEMENTS!D172:D172,ANNOUNCEMENTS!E172:E172,ANNOUNCEMENTS!J172:J172,ANNOUNCEMENTS!K172:K172,ANNOUNCEMENTS!W172:W172,ANNOUNCEMENTS!Z172:Z172,ANNOUNCEMENTS!AB172:AB172,ANNOUNCEMENTS!AD172:AD172))</f>
        <v>https://www.serverobotics.com/uber-eats-partnership</v>
      </c>
      <c r="C172" s="286">
        <v>44204</v>
      </c>
      <c r="D172" s="135" t="str">
        <v>Serve Robotics and Uber Expand Partnership to Bring Robotic Delivery to Uber Eats</v>
      </c>
      <c r="E172" s="135" t="str">
        <v>Uber Eats</v>
      </c>
      <c r="F172" s="135" t="str">
        <v>Last-Mile</v>
      </c>
      <c r="G172" s="135" t="str">
        <v>ServeRobotics</v>
      </c>
      <c r="H172" s="135" t="str">
        <v>2.1. Short term Alliance (no exclusivity / previous experience)</v>
      </c>
      <c r="I172" s="135" t="str">
        <v>Joint Service Agreement</v>
      </c>
      <c r="J172" s="59">
        <v>0</v>
      </c>
      <c r="K172" s="59">
        <v>0</v>
      </c>
    </row>
    <row r="173" spans="1:11" x14ac:dyDescent="0.35">
      <c r="A173" s="134">
        <f t="shared" si="2"/>
        <v>172</v>
      </c>
      <c r="B173" s="135" t="str" cm="1">
        <f t="array" ref="B173:K173">TRANSPOSE(CHOOSE({1;2;3;4;5;6;7;8;9;10},ANNOUNCEMENTS!A173:A173,ANNOUNCEMENTS!C173:C173,ANNOUNCEMENTS!D173:D173,ANNOUNCEMENTS!E173:E173,ANNOUNCEMENTS!J173:J173,ANNOUNCEMENTS!K173:K173,ANNOUNCEMENTS!W173:W173,ANNOUNCEMENTS!Z173:Z173,ANNOUNCEMENTS!AB173:AB173,ANNOUNCEMENTS!AD173:AD173))</f>
        <v>https://www.transdev.com/en/press-release/partnership-torc-autonomous-shuttle/</v>
      </c>
      <c r="C173" s="286">
        <v>43472</v>
      </c>
      <c r="D173" s="135" t="str">
        <v>Torc and Transdev partner to develop technology for i-Cristal, a shared and fully autonomous shuttle</v>
      </c>
      <c r="E173" s="135" t="str">
        <v>Torc</v>
      </c>
      <c r="F173" s="135" t="str">
        <v>Ridepooling</v>
      </c>
      <c r="G173" s="135" t="str">
        <v>Transdev</v>
      </c>
      <c r="H173" s="135" t="str">
        <v xml:space="preserve">2.2. Renewed Alliance </v>
      </c>
      <c r="I173" s="135" t="str">
        <v>Joint Service Agreement</v>
      </c>
      <c r="J173" s="59" t="str">
        <v>Research &amp; Collaboration</v>
      </c>
      <c r="K173" s="59">
        <v>0</v>
      </c>
    </row>
    <row r="174" spans="1:11" x14ac:dyDescent="0.35">
      <c r="A174" s="134">
        <f t="shared" si="2"/>
        <v>173</v>
      </c>
      <c r="B174" s="135" t="str" cm="1">
        <f t="array" ref="B174:K174">TRANSPOSE(CHOOSE({1;2;3;4;5;6;7;8;9;10},ANNOUNCEMENTS!A174:A174,ANNOUNCEMENTS!C174:C174,ANNOUNCEMENTS!D174:D174,ANNOUNCEMENTS!E174:E174,ANNOUNCEMENTS!J174:J174,ANNOUNCEMENTS!K174:K174,ANNOUNCEMENTS!W174:W174,ANNOUNCEMENTS!Z174:Z174,ANNOUNCEMENTS!AB174:AB174,ANNOUNCEMENTS!AD174:AD174))</f>
        <v>https://www.transdev.com/en/press-release/zf-partnership/</v>
      </c>
      <c r="C174" s="286">
        <v>43473</v>
      </c>
      <c r="D174" s="135" t="str">
        <v>Transdev, ZF and e.GO announce partnership to develop shared autonomous mobility</v>
      </c>
      <c r="E174" s="135" t="str">
        <v>ZF</v>
      </c>
      <c r="F174" s="135" t="str">
        <v>Ridepooling</v>
      </c>
      <c r="G174" s="135" t="str">
        <v>Transdev;e.GO</v>
      </c>
      <c r="H174" s="135" t="str">
        <v>2.3. Long term Alliance</v>
      </c>
      <c r="I174" s="135" t="str">
        <v>Joint D&amp;D</v>
      </c>
      <c r="J174" s="59">
        <v>0</v>
      </c>
      <c r="K174" s="59">
        <v>0</v>
      </c>
    </row>
    <row r="175" spans="1:11" x14ac:dyDescent="0.35">
      <c r="A175" s="134">
        <f t="shared" si="2"/>
        <v>174</v>
      </c>
      <c r="B175" s="135" t="str" cm="1">
        <f t="array" ref="B175:K175">TRANSPOSE(CHOOSE({1;2;3;4;5;6;7;8;9;10},ANNOUNCEMENTS!A175:A175,ANNOUNCEMENTS!C175:C175,ANNOUNCEMENTS!D175:D175,ANNOUNCEMENTS!E175:E175,ANNOUNCEMENTS!J175:J175,ANNOUNCEMENTS!K175:K175,ANNOUNCEMENTS!W175:W175,ANNOUNCEMENTS!Z175:Z175,ANNOUNCEMENTS!AB175:AB175,ANNOUNCEMENTS!AD175:AD175))</f>
        <v>https://www.prnewswire.com/news-releases/tusimple-and-zf-partner-to-develop-technology-for-mass-produced-autonomous-trucks-301030033.html</v>
      </c>
      <c r="C175" s="286">
        <v>43916</v>
      </c>
      <c r="D175" s="135" t="str">
        <v>TuSimple and ZF Partner to Develop Technology for Mass Produced Autonomous Trucks</v>
      </c>
      <c r="E175" s="135" t="str">
        <v>ZF</v>
      </c>
      <c r="F175" s="135" t="str">
        <v>Trucking</v>
      </c>
      <c r="G175" s="135" t="str">
        <v>TuSimple</v>
      </c>
      <c r="H175" s="135" t="str">
        <v>2.1. Short term Alliance (no exclusivity / previous experience)</v>
      </c>
      <c r="I175" s="135" t="str">
        <v>Joint D&amp;D</v>
      </c>
      <c r="J175" s="59" t="str">
        <v>Supply Partnership (traditional)</v>
      </c>
      <c r="K175" s="59">
        <v>0</v>
      </c>
    </row>
    <row r="176" spans="1:11" x14ac:dyDescent="0.35">
      <c r="A176" s="134">
        <f t="shared" si="2"/>
        <v>175</v>
      </c>
      <c r="B176" s="135" t="str" cm="1">
        <f t="array" ref="B176:K176">TRANSPOSE(CHOOSE({1;2;3;4;5;6;7;8;9;10},ANNOUNCEMENTS!A176:A176,ANNOUNCEMENTS!C176:C176,ANNOUNCEMENTS!D176:D176,ANNOUNCEMENTS!E176:E176,ANNOUNCEMENTS!J176:J176,ANNOUNCEMENTS!K176:K176,ANNOUNCEMENTS!W176:W176,ANNOUNCEMENTS!Z176:Z176,ANNOUNCEMENTS!AB176:AB176,ANNOUNCEMENTS!AD176:AD176))</f>
        <v>https://www.uberfreight.com/blog/uber-freight-and-waymo-via-partnership/</v>
      </c>
      <c r="C176" s="286">
        <v>44719</v>
      </c>
      <c r="D176" s="135" t="str">
        <v>Uber Freight and Waymo Via partner to accelerate the future of logistics</v>
      </c>
      <c r="E176" s="135" t="str">
        <v>Waymo</v>
      </c>
      <c r="F176" s="135" t="str">
        <v>Trucking</v>
      </c>
      <c r="G176" s="135" t="str">
        <v>Uber Freight</v>
      </c>
      <c r="H176" s="135" t="str">
        <v>2.3. Long term Alliance</v>
      </c>
      <c r="I176" s="135" t="str">
        <v>Joint Service Agreement</v>
      </c>
      <c r="J176" s="59">
        <v>0</v>
      </c>
      <c r="K176" s="59">
        <v>0</v>
      </c>
    </row>
    <row r="177" spans="1:11" x14ac:dyDescent="0.35">
      <c r="A177" s="134">
        <f t="shared" si="2"/>
        <v>176</v>
      </c>
      <c r="B177" s="135" t="str" cm="1">
        <f t="array" ref="B177:K177">TRANSPOSE(CHOOSE({1;2;3;4;5;6;7;8;9;10},ANNOUNCEMENTS!A177:A177,ANNOUNCEMENTS!C177:C177,ANNOUNCEMENTS!D177:D177,ANNOUNCEMENTS!E177:E177,ANNOUNCEMENTS!J177:J177,ANNOUNCEMENTS!K177:K177,ANNOUNCEMENTS!W177:W177,ANNOUNCEMENTS!Z177:Z177,ANNOUNCEMENTS!AB177:AB177,ANNOUNCEMENTS!AD177:AD177))</f>
        <v>https://waabi.ai/waabi-uber-freight/</v>
      </c>
      <c r="C177" s="286">
        <v>45190</v>
      </c>
      <c r="D177" s="135" t="str">
        <v>Partnering with Uber Freight to build an industry-first solution for AI-powered autonomous truck deployment at scale</v>
      </c>
      <c r="E177" s="135" t="str">
        <v>Uber Freight</v>
      </c>
      <c r="F177" s="135" t="str">
        <v>Trucking</v>
      </c>
      <c r="G177" s="135" t="str">
        <v>Waabi</v>
      </c>
      <c r="H177" s="135" t="str">
        <v>2.3. Long term Alliance</v>
      </c>
      <c r="I177" s="135" t="str">
        <v>Joint Service Agreement</v>
      </c>
      <c r="J177" s="59">
        <v>0</v>
      </c>
      <c r="K177" s="59">
        <v>0</v>
      </c>
    </row>
    <row r="178" spans="1:11" x14ac:dyDescent="0.35">
      <c r="A178" s="134">
        <f t="shared" si="2"/>
        <v>177</v>
      </c>
      <c r="B178" s="135" t="str" cm="1">
        <f t="array" ref="B178:K178">TRANSPOSE(CHOOSE({1;2;3;4;5;6;7;8;9;10},ANNOUNCEMENTS!A178:A178,ANNOUNCEMENTS!C178:C178,ANNOUNCEMENTS!D178:D178,ANNOUNCEMENTS!E178:E178,ANNOUNCEMENTS!J178:J178,ANNOUNCEMENTS!K178:K178,ANNOUNCEMENTS!W178:W178,ANNOUNCEMENTS!Z178:Z178,ANNOUNCEMENTS!AB178:AB178,ANNOUNCEMENTS!AD178:AD178))</f>
        <v>https://waymo.com/blog/2019/05/partnering-with-lyft-to-serve-more-riders/</v>
      </c>
      <c r="C178" s="286">
        <v>43592</v>
      </c>
      <c r="D178" s="135" t="str">
        <v>Partnering with Lyft to serve more riders in Metro Phoenix</v>
      </c>
      <c r="E178" s="135" t="str">
        <v>Lyft</v>
      </c>
      <c r="F178" s="135" t="str">
        <v>Ridehailing</v>
      </c>
      <c r="G178" s="135" t="str">
        <v>Waymo</v>
      </c>
      <c r="H178" s="135" t="str">
        <v>2.1. Short term Alliance (no exclusivity / previous experience)</v>
      </c>
      <c r="I178" s="135" t="str">
        <v>Supply Partnership (extended)</v>
      </c>
      <c r="J178" s="59">
        <v>0</v>
      </c>
      <c r="K178" s="59">
        <v>0</v>
      </c>
    </row>
    <row r="179" spans="1:11" x14ac:dyDescent="0.35">
      <c r="A179" s="134">
        <f t="shared" si="2"/>
        <v>178</v>
      </c>
      <c r="B179" s="135" t="str" cm="1">
        <f t="array" ref="B179:K179">TRANSPOSE(CHOOSE({1;2;3;4;5;6;7;8;9;10},ANNOUNCEMENTS!A179:A179,ANNOUNCEMENTS!C179:C179,ANNOUNCEMENTS!D179:D179,ANNOUNCEMENTS!E179:E179,ANNOUNCEMENTS!J179:J179,ANNOUNCEMENTS!K179:K179,ANNOUNCEMENTS!W179:W179,ANNOUNCEMENTS!Z179:Z179,ANNOUNCEMENTS!AB179:AB179,ANNOUNCEMENTS!AD179:AD179))</f>
        <v>https://waymo.com/blog/2019/06/partnering-with-alliance-in-france-japan-and-beyond/</v>
      </c>
      <c r="C179" s="286">
        <v>43635</v>
      </c>
      <c r="D179" s="135" t="str">
        <v>Partnering with The Alliance in France, Japan, and beyond</v>
      </c>
      <c r="E179" s="135" t="str">
        <v>Waymo</v>
      </c>
      <c r="F179" s="135" t="str">
        <v>Last-Mile</v>
      </c>
      <c r="G179" s="135" t="str">
        <v>Alliance Ventures (Renault, Nissan, Mitsubishi)</v>
      </c>
      <c r="H179" s="135" t="str">
        <v>2.4. Exclusive Alliance</v>
      </c>
      <c r="I179" s="135" t="str">
        <v>Research &amp; Collaboration</v>
      </c>
      <c r="J179" s="59">
        <v>0</v>
      </c>
      <c r="K179" s="59">
        <v>0</v>
      </c>
    </row>
    <row r="180" spans="1:11" x14ac:dyDescent="0.35">
      <c r="A180" s="134">
        <f t="shared" si="2"/>
        <v>179</v>
      </c>
      <c r="B180" s="135" t="str" cm="1">
        <f t="array" ref="B180:K180">TRANSPOSE(CHOOSE({1;2;3;4;5;6;7;8;9;10},ANNOUNCEMENTS!A180:A180,ANNOUNCEMENTS!C180:C180,ANNOUNCEMENTS!D180:D180,ANNOUNCEMENTS!E180:E180,ANNOUNCEMENTS!J180:J180,ANNOUNCEMENTS!K180:K180,ANNOUNCEMENTS!W180:W180,ANNOUNCEMENTS!Z180:Z180,ANNOUNCEMENTS!AB180:AB180,ANNOUNCEMENTS!AD180:AD180))</f>
        <v>https://www.mobileye.com/news/mobileye-willer-self-driving-mobility-solutions/</v>
      </c>
      <c r="C180" s="286">
        <v>44019</v>
      </c>
      <c r="D180" s="135" t="str">
        <v>Mobileye and WILLER Partner on Self-Driving Mobility Solutions for Japan, Southeast Asia</v>
      </c>
      <c r="E180" s="135" t="str">
        <v>Mobileye</v>
      </c>
      <c r="F180" s="135" t="str">
        <v>Ridepooling</v>
      </c>
      <c r="G180" s="135" t="str">
        <v>WILLER</v>
      </c>
      <c r="H180" s="135" t="str">
        <v>2.3. Long term Alliance</v>
      </c>
      <c r="I180" s="135" t="str">
        <v>Supply Partnership (extended)</v>
      </c>
      <c r="J180" s="59">
        <v>0</v>
      </c>
      <c r="K180" s="59">
        <v>0</v>
      </c>
    </row>
    <row r="181" spans="1:11" x14ac:dyDescent="0.35">
      <c r="B181" s="134"/>
    </row>
    <row r="182" spans="1:11" x14ac:dyDescent="0.35">
      <c r="B182" s="134"/>
    </row>
    <row r="183" spans="1:11" x14ac:dyDescent="0.35">
      <c r="B183" s="114"/>
    </row>
    <row r="184" spans="1:11" x14ac:dyDescent="0.35">
      <c r="B184" s="114"/>
    </row>
    <row r="185" spans="1:11" x14ac:dyDescent="0.35">
      <c r="B185" s="114"/>
    </row>
    <row r="186" spans="1:11" x14ac:dyDescent="0.35">
      <c r="B186" s="114"/>
    </row>
    <row r="187" spans="1:11" x14ac:dyDescent="0.35">
      <c r="B187" s="114"/>
    </row>
    <row r="188" spans="1:11" x14ac:dyDescent="0.35">
      <c r="B188" s="114"/>
    </row>
    <row r="189" spans="1:11" x14ac:dyDescent="0.35">
      <c r="B189" s="114"/>
    </row>
    <row r="190" spans="1:11" x14ac:dyDescent="0.35">
      <c r="B190" s="114"/>
    </row>
    <row r="191" spans="1:11" x14ac:dyDescent="0.35">
      <c r="B191" s="114"/>
    </row>
    <row r="192" spans="1:11" x14ac:dyDescent="0.35">
      <c r="B192" s="114"/>
    </row>
    <row r="193" spans="2:2" x14ac:dyDescent="0.35">
      <c r="B193" s="114"/>
    </row>
    <row r="194" spans="2:2" x14ac:dyDescent="0.35">
      <c r="B194" s="114"/>
    </row>
    <row r="195" spans="2:2" x14ac:dyDescent="0.35">
      <c r="B195" s="114"/>
    </row>
    <row r="196" spans="2:2" x14ac:dyDescent="0.35">
      <c r="B196" s="114"/>
    </row>
    <row r="197" spans="2:2" x14ac:dyDescent="0.35">
      <c r="B197" s="1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FD365-35A2-453B-9869-DEAB6F306663}">
  <dimension ref="A1:L180"/>
  <sheetViews>
    <sheetView workbookViewId="0"/>
  </sheetViews>
  <sheetFormatPr defaultRowHeight="14.5" x14ac:dyDescent="0.35"/>
  <cols>
    <col min="3" max="3" width="10" style="66" bestFit="1" customWidth="1"/>
    <col min="6" max="6" width="38.36328125" customWidth="1"/>
    <col min="7" max="7" width="41.26953125" customWidth="1"/>
    <col min="8" max="8" width="86.81640625" customWidth="1"/>
    <col min="9" max="9" width="12.81640625" customWidth="1"/>
    <col min="10" max="10" width="30.36328125" bestFit="1" customWidth="1"/>
  </cols>
  <sheetData>
    <row r="1" spans="1:12" x14ac:dyDescent="0.35">
      <c r="A1" t="s">
        <v>2094</v>
      </c>
      <c r="B1" t="s">
        <v>1422</v>
      </c>
      <c r="C1" s="66" t="s">
        <v>1026</v>
      </c>
      <c r="D1" t="s">
        <v>0</v>
      </c>
      <c r="E1" t="s">
        <v>1943</v>
      </c>
      <c r="F1" t="s">
        <v>2299</v>
      </c>
      <c r="G1" t="s">
        <v>2001</v>
      </c>
      <c r="H1" t="s">
        <v>1194</v>
      </c>
      <c r="I1" t="s">
        <v>5</v>
      </c>
      <c r="J1" t="s">
        <v>2295</v>
      </c>
    </row>
    <row r="2" spans="1:12" x14ac:dyDescent="0.35">
      <c r="A2">
        <v>1</v>
      </c>
      <c r="B2" s="44" t="s">
        <v>1426</v>
      </c>
      <c r="C2" s="66">
        <v>42249</v>
      </c>
      <c r="D2" t="s">
        <v>14</v>
      </c>
      <c r="E2" t="s">
        <v>1937</v>
      </c>
      <c r="F2" t="s">
        <v>2300</v>
      </c>
      <c r="G2" t="s">
        <v>880</v>
      </c>
      <c r="H2" t="s">
        <v>2234</v>
      </c>
      <c r="I2" t="s">
        <v>15</v>
      </c>
      <c r="J2">
        <v>0</v>
      </c>
      <c r="L2" s="44" t="str">
        <f>HYPERLINK(B2,"URL")</f>
        <v>URL</v>
      </c>
    </row>
    <row r="3" spans="1:12" x14ac:dyDescent="0.35">
      <c r="A3">
        <v>2</v>
      </c>
      <c r="B3" s="44" t="s">
        <v>1424</v>
      </c>
      <c r="C3" s="66">
        <v>42213</v>
      </c>
      <c r="D3" t="s">
        <v>9</v>
      </c>
      <c r="E3" t="s">
        <v>1937</v>
      </c>
      <c r="F3" t="s">
        <v>2300</v>
      </c>
      <c r="G3" t="s">
        <v>1952</v>
      </c>
      <c r="H3" t="s">
        <v>2234</v>
      </c>
      <c r="I3" t="s">
        <v>12</v>
      </c>
      <c r="J3">
        <v>0</v>
      </c>
      <c r="L3" s="44" t="str">
        <f t="shared" ref="L3:L66" si="0">HYPERLINK(B3,"URL")</f>
        <v>URL</v>
      </c>
    </row>
    <row r="4" spans="1:12" x14ac:dyDescent="0.35">
      <c r="A4">
        <v>3</v>
      </c>
      <c r="B4" s="44" t="s">
        <v>1425</v>
      </c>
      <c r="C4" s="66">
        <v>41793</v>
      </c>
      <c r="D4" t="s">
        <v>13</v>
      </c>
      <c r="E4" t="s">
        <v>1937</v>
      </c>
      <c r="F4" t="s">
        <v>2300</v>
      </c>
      <c r="G4" t="s">
        <v>922</v>
      </c>
      <c r="H4" t="s">
        <v>2236</v>
      </c>
      <c r="I4" t="s">
        <v>8</v>
      </c>
      <c r="J4">
        <v>0</v>
      </c>
      <c r="L4" s="44" t="str">
        <f t="shared" si="0"/>
        <v>URL</v>
      </c>
    </row>
    <row r="5" spans="1:12" x14ac:dyDescent="0.35">
      <c r="A5">
        <v>4</v>
      </c>
      <c r="B5" s="44" t="s">
        <v>1427</v>
      </c>
      <c r="C5" s="66">
        <v>42394</v>
      </c>
      <c r="D5" t="s">
        <v>16</v>
      </c>
      <c r="E5" t="s">
        <v>1937</v>
      </c>
      <c r="F5" t="s">
        <v>2300</v>
      </c>
      <c r="G5" t="s">
        <v>643</v>
      </c>
      <c r="H5" t="s">
        <v>1204</v>
      </c>
      <c r="I5" t="s">
        <v>1200</v>
      </c>
      <c r="J5">
        <v>0</v>
      </c>
      <c r="L5" s="44" t="str">
        <f t="shared" si="0"/>
        <v>URL</v>
      </c>
    </row>
    <row r="6" spans="1:12" x14ac:dyDescent="0.35">
      <c r="A6">
        <v>5</v>
      </c>
      <c r="B6" s="44" t="s">
        <v>1423</v>
      </c>
      <c r="C6" s="66">
        <v>42480</v>
      </c>
      <c r="D6" t="s">
        <v>6</v>
      </c>
      <c r="E6" t="s">
        <v>1937</v>
      </c>
      <c r="F6" t="s">
        <v>2300</v>
      </c>
      <c r="G6" t="s">
        <v>922</v>
      </c>
      <c r="H6" t="s">
        <v>1205</v>
      </c>
      <c r="I6" t="s">
        <v>8</v>
      </c>
      <c r="J6">
        <v>0</v>
      </c>
      <c r="L6" s="44" t="str">
        <f t="shared" si="0"/>
        <v>URL</v>
      </c>
    </row>
    <row r="7" spans="1:12" x14ac:dyDescent="0.35">
      <c r="A7">
        <v>6</v>
      </c>
      <c r="B7" s="44" t="s">
        <v>1428</v>
      </c>
      <c r="C7" s="66">
        <v>44935</v>
      </c>
      <c r="D7" t="s">
        <v>18</v>
      </c>
      <c r="E7" t="s">
        <v>375</v>
      </c>
      <c r="F7" t="s">
        <v>2300</v>
      </c>
      <c r="G7" t="s">
        <v>811</v>
      </c>
      <c r="H7" t="s">
        <v>2233</v>
      </c>
      <c r="I7" t="s">
        <v>15</v>
      </c>
      <c r="J7">
        <v>0</v>
      </c>
      <c r="L7" s="44" t="str">
        <f t="shared" si="0"/>
        <v>URL</v>
      </c>
    </row>
    <row r="8" spans="1:12" x14ac:dyDescent="0.35">
      <c r="A8">
        <v>7</v>
      </c>
      <c r="B8" s="44" t="s">
        <v>1429</v>
      </c>
      <c r="C8" s="66">
        <v>44931</v>
      </c>
      <c r="D8" t="s">
        <v>20</v>
      </c>
      <c r="E8" t="s">
        <v>375</v>
      </c>
      <c r="F8" t="s">
        <v>2300</v>
      </c>
      <c r="G8" t="s">
        <v>811</v>
      </c>
      <c r="H8" t="s">
        <v>2233</v>
      </c>
      <c r="I8" t="s">
        <v>15</v>
      </c>
      <c r="J8">
        <v>0</v>
      </c>
      <c r="L8" s="44" t="str">
        <f t="shared" si="0"/>
        <v>URL</v>
      </c>
    </row>
    <row r="9" spans="1:12" x14ac:dyDescent="0.35">
      <c r="A9">
        <v>8</v>
      </c>
      <c r="B9" s="44" t="s">
        <v>1431</v>
      </c>
      <c r="C9" s="66">
        <v>45043</v>
      </c>
      <c r="D9" t="s">
        <v>25</v>
      </c>
      <c r="E9" t="s">
        <v>431</v>
      </c>
      <c r="F9" t="s">
        <v>2301</v>
      </c>
      <c r="G9" t="s">
        <v>515</v>
      </c>
      <c r="H9" t="s">
        <v>2235</v>
      </c>
      <c r="I9" t="s">
        <v>15</v>
      </c>
      <c r="J9" t="s">
        <v>12</v>
      </c>
      <c r="L9" s="44" t="str">
        <f t="shared" si="0"/>
        <v>URL</v>
      </c>
    </row>
    <row r="10" spans="1:12" x14ac:dyDescent="0.35">
      <c r="A10">
        <v>9</v>
      </c>
      <c r="B10" s="44" t="s">
        <v>1430</v>
      </c>
      <c r="C10" s="66">
        <v>45048</v>
      </c>
      <c r="D10" t="s">
        <v>22</v>
      </c>
      <c r="E10" t="s">
        <v>431</v>
      </c>
      <c r="F10" t="s">
        <v>2301</v>
      </c>
      <c r="G10" t="s">
        <v>695</v>
      </c>
      <c r="H10" t="s">
        <v>2233</v>
      </c>
      <c r="I10" t="s">
        <v>24</v>
      </c>
      <c r="J10">
        <v>0</v>
      </c>
      <c r="L10" s="44" t="str">
        <f t="shared" si="0"/>
        <v>URL</v>
      </c>
    </row>
    <row r="11" spans="1:12" x14ac:dyDescent="0.35">
      <c r="A11">
        <v>10</v>
      </c>
      <c r="B11" s="44" t="s">
        <v>1432</v>
      </c>
      <c r="C11" s="66">
        <v>44692</v>
      </c>
      <c r="D11" t="s">
        <v>27</v>
      </c>
      <c r="E11" t="s">
        <v>431</v>
      </c>
      <c r="F11" t="s">
        <v>2301</v>
      </c>
      <c r="G11" t="s">
        <v>684</v>
      </c>
      <c r="H11" t="s">
        <v>2233</v>
      </c>
      <c r="I11" t="s">
        <v>24</v>
      </c>
      <c r="J11">
        <v>0</v>
      </c>
      <c r="L11" s="44" t="str">
        <f t="shared" si="0"/>
        <v>URL</v>
      </c>
    </row>
    <row r="12" spans="1:12" x14ac:dyDescent="0.35">
      <c r="A12">
        <v>11</v>
      </c>
      <c r="B12" s="44" t="s">
        <v>1433</v>
      </c>
      <c r="C12" s="66">
        <v>44606</v>
      </c>
      <c r="D12" t="s">
        <v>28</v>
      </c>
      <c r="E12" t="s">
        <v>431</v>
      </c>
      <c r="F12" t="s">
        <v>2301</v>
      </c>
      <c r="G12" t="s">
        <v>705</v>
      </c>
      <c r="H12" t="s">
        <v>2233</v>
      </c>
      <c r="I12" t="s">
        <v>24</v>
      </c>
      <c r="J12">
        <v>0</v>
      </c>
      <c r="L12" s="44" t="str">
        <f t="shared" si="0"/>
        <v>URL</v>
      </c>
    </row>
    <row r="13" spans="1:12" x14ac:dyDescent="0.35">
      <c r="A13">
        <v>12</v>
      </c>
      <c r="B13" s="44" t="s">
        <v>1436</v>
      </c>
      <c r="C13" s="66">
        <v>44999</v>
      </c>
      <c r="D13" t="s">
        <v>32</v>
      </c>
      <c r="E13" t="s">
        <v>379</v>
      </c>
      <c r="F13" t="s">
        <v>2300</v>
      </c>
      <c r="G13" t="s">
        <v>1953</v>
      </c>
      <c r="H13" t="s">
        <v>2233</v>
      </c>
      <c r="I13" t="s">
        <v>8</v>
      </c>
      <c r="J13">
        <v>0</v>
      </c>
      <c r="L13" s="44" t="str">
        <f t="shared" si="0"/>
        <v>URL</v>
      </c>
    </row>
    <row r="14" spans="1:12" x14ac:dyDescent="0.35">
      <c r="A14">
        <v>13</v>
      </c>
      <c r="B14" s="44" t="s">
        <v>1435</v>
      </c>
      <c r="C14" s="66">
        <v>45037</v>
      </c>
      <c r="D14" t="s">
        <v>30</v>
      </c>
      <c r="E14" t="s">
        <v>379</v>
      </c>
      <c r="F14" t="s">
        <v>2300</v>
      </c>
      <c r="G14" t="s">
        <v>913</v>
      </c>
      <c r="H14" t="s">
        <v>2233</v>
      </c>
      <c r="I14" t="s">
        <v>8</v>
      </c>
      <c r="J14">
        <v>0</v>
      </c>
      <c r="L14" s="44" t="str">
        <f t="shared" si="0"/>
        <v>URL</v>
      </c>
    </row>
    <row r="15" spans="1:12" x14ac:dyDescent="0.35">
      <c r="A15">
        <v>14</v>
      </c>
      <c r="B15" s="44" t="s">
        <v>1437</v>
      </c>
      <c r="C15" s="66">
        <v>44930</v>
      </c>
      <c r="D15" t="s">
        <v>33</v>
      </c>
      <c r="E15" t="s">
        <v>379</v>
      </c>
      <c r="F15" t="s">
        <v>2300</v>
      </c>
      <c r="G15" t="s">
        <v>1932</v>
      </c>
      <c r="H15" t="s">
        <v>2235</v>
      </c>
      <c r="I15" t="s">
        <v>8</v>
      </c>
      <c r="J15">
        <v>0</v>
      </c>
      <c r="L15" s="44" t="str">
        <f t="shared" si="0"/>
        <v>URL</v>
      </c>
    </row>
    <row r="16" spans="1:12" x14ac:dyDescent="0.35">
      <c r="A16">
        <v>15</v>
      </c>
      <c r="B16" s="44" t="s">
        <v>1434</v>
      </c>
      <c r="C16" s="66">
        <v>45162</v>
      </c>
      <c r="D16" t="s">
        <v>29</v>
      </c>
      <c r="E16" t="s">
        <v>379</v>
      </c>
      <c r="F16" t="s">
        <v>2300</v>
      </c>
      <c r="G16" t="s">
        <v>364</v>
      </c>
      <c r="H16" t="s">
        <v>2235</v>
      </c>
      <c r="I16" t="s">
        <v>8</v>
      </c>
      <c r="J16">
        <v>0</v>
      </c>
      <c r="L16" s="44" t="str">
        <f t="shared" si="0"/>
        <v>URL</v>
      </c>
    </row>
    <row r="17" spans="1:12" x14ac:dyDescent="0.35">
      <c r="A17">
        <v>16</v>
      </c>
      <c r="B17" s="44" t="s">
        <v>1438</v>
      </c>
      <c r="C17" s="66">
        <v>45098</v>
      </c>
      <c r="D17" t="s">
        <v>34</v>
      </c>
      <c r="E17" t="s">
        <v>340</v>
      </c>
      <c r="F17" t="s">
        <v>2302</v>
      </c>
      <c r="G17" t="s">
        <v>674</v>
      </c>
      <c r="H17" t="s">
        <v>2233</v>
      </c>
      <c r="I17" t="s">
        <v>8</v>
      </c>
      <c r="J17">
        <v>0</v>
      </c>
      <c r="L17" s="44" t="str">
        <f t="shared" si="0"/>
        <v>URL</v>
      </c>
    </row>
    <row r="18" spans="1:12" x14ac:dyDescent="0.35">
      <c r="A18">
        <v>17</v>
      </c>
      <c r="B18" s="44" t="s">
        <v>1440</v>
      </c>
      <c r="C18" s="66">
        <v>44581</v>
      </c>
      <c r="D18" t="s">
        <v>37</v>
      </c>
      <c r="E18" t="s">
        <v>272</v>
      </c>
      <c r="F18" t="s">
        <v>2302</v>
      </c>
      <c r="G18" t="s">
        <v>755</v>
      </c>
      <c r="H18" t="s">
        <v>2233</v>
      </c>
      <c r="I18" t="s">
        <v>38</v>
      </c>
      <c r="J18">
        <v>0</v>
      </c>
      <c r="L18" s="44" t="str">
        <f t="shared" si="0"/>
        <v>URL</v>
      </c>
    </row>
    <row r="19" spans="1:12" x14ac:dyDescent="0.35">
      <c r="A19">
        <v>18</v>
      </c>
      <c r="B19" s="44" t="s">
        <v>1439</v>
      </c>
      <c r="C19" s="66">
        <v>44725</v>
      </c>
      <c r="D19" t="s">
        <v>35</v>
      </c>
      <c r="E19" t="s">
        <v>272</v>
      </c>
      <c r="F19" t="s">
        <v>2302</v>
      </c>
      <c r="G19" t="s">
        <v>574</v>
      </c>
      <c r="H19" t="s">
        <v>2234</v>
      </c>
      <c r="I19" t="s">
        <v>8</v>
      </c>
      <c r="J19">
        <v>0</v>
      </c>
      <c r="L19" s="44" t="str">
        <f t="shared" si="0"/>
        <v>URL</v>
      </c>
    </row>
    <row r="20" spans="1:12" x14ac:dyDescent="0.35">
      <c r="A20">
        <v>19</v>
      </c>
      <c r="B20" s="44" t="s">
        <v>1441</v>
      </c>
      <c r="C20" s="66">
        <v>45107</v>
      </c>
      <c r="D20" t="s">
        <v>39</v>
      </c>
      <c r="E20" t="s">
        <v>349</v>
      </c>
      <c r="F20" t="s">
        <v>1200</v>
      </c>
      <c r="G20" t="s">
        <v>720</v>
      </c>
      <c r="H20" t="s">
        <v>1203</v>
      </c>
      <c r="I20" t="s">
        <v>1200</v>
      </c>
      <c r="J20">
        <v>0</v>
      </c>
      <c r="L20" s="44" t="str">
        <f t="shared" si="0"/>
        <v>URL</v>
      </c>
    </row>
    <row r="21" spans="1:12" x14ac:dyDescent="0.35">
      <c r="A21">
        <v>20</v>
      </c>
      <c r="B21" s="44" t="s">
        <v>1444</v>
      </c>
      <c r="C21" s="66">
        <v>43840</v>
      </c>
      <c r="D21" t="s">
        <v>44</v>
      </c>
      <c r="E21" t="s">
        <v>349</v>
      </c>
      <c r="F21" t="s">
        <v>2302</v>
      </c>
      <c r="G21" t="s">
        <v>840</v>
      </c>
      <c r="H21" t="s">
        <v>2233</v>
      </c>
      <c r="I21" t="s">
        <v>8</v>
      </c>
      <c r="J21">
        <v>0</v>
      </c>
      <c r="L21" s="44" t="str">
        <f t="shared" si="0"/>
        <v>URL</v>
      </c>
    </row>
    <row r="22" spans="1:12" x14ac:dyDescent="0.35">
      <c r="A22">
        <v>21</v>
      </c>
      <c r="B22" s="44" t="s">
        <v>1443</v>
      </c>
      <c r="C22" s="66">
        <v>45083</v>
      </c>
      <c r="D22" t="s">
        <v>43</v>
      </c>
      <c r="E22" t="s">
        <v>349</v>
      </c>
      <c r="F22" t="s">
        <v>2302</v>
      </c>
      <c r="G22" t="s">
        <v>631</v>
      </c>
      <c r="H22" t="s">
        <v>2233</v>
      </c>
      <c r="I22" t="s">
        <v>8</v>
      </c>
      <c r="J22">
        <v>0</v>
      </c>
      <c r="L22" s="44" t="str">
        <f t="shared" si="0"/>
        <v>URL</v>
      </c>
    </row>
    <row r="23" spans="1:12" x14ac:dyDescent="0.35">
      <c r="A23">
        <v>22</v>
      </c>
      <c r="B23" s="44" t="s">
        <v>1442</v>
      </c>
      <c r="C23" s="66">
        <v>44215</v>
      </c>
      <c r="D23" t="s">
        <v>42</v>
      </c>
      <c r="E23" t="s">
        <v>349</v>
      </c>
      <c r="F23" t="s">
        <v>2303</v>
      </c>
      <c r="G23" t="s">
        <v>2063</v>
      </c>
      <c r="H23" t="s">
        <v>1204</v>
      </c>
      <c r="I23" t="s">
        <v>15</v>
      </c>
      <c r="J23">
        <v>0</v>
      </c>
      <c r="L23" s="44" t="str">
        <f t="shared" si="0"/>
        <v>URL</v>
      </c>
    </row>
    <row r="24" spans="1:12" x14ac:dyDescent="0.35">
      <c r="A24">
        <v>23</v>
      </c>
      <c r="B24" s="44" t="s">
        <v>1449</v>
      </c>
      <c r="C24" s="66">
        <v>44950</v>
      </c>
      <c r="D24" t="s">
        <v>55</v>
      </c>
      <c r="E24" t="s">
        <v>56</v>
      </c>
      <c r="F24" t="s">
        <v>1200</v>
      </c>
      <c r="G24">
        <v>0</v>
      </c>
      <c r="H24" t="s">
        <v>1203</v>
      </c>
      <c r="I24" t="s">
        <v>38</v>
      </c>
      <c r="J24">
        <v>0</v>
      </c>
      <c r="L24" s="44" t="str">
        <f t="shared" si="0"/>
        <v>URL</v>
      </c>
    </row>
    <row r="25" spans="1:12" x14ac:dyDescent="0.35">
      <c r="A25">
        <v>24</v>
      </c>
      <c r="B25" s="44" t="s">
        <v>1445</v>
      </c>
      <c r="C25" s="66">
        <v>44931</v>
      </c>
      <c r="D25" t="s">
        <v>47</v>
      </c>
      <c r="E25" t="s">
        <v>56</v>
      </c>
      <c r="F25" t="s">
        <v>2300</v>
      </c>
      <c r="G25" t="s">
        <v>568</v>
      </c>
      <c r="H25" t="s">
        <v>1203</v>
      </c>
      <c r="I25" t="s">
        <v>49</v>
      </c>
      <c r="J25">
        <v>0</v>
      </c>
      <c r="L25" s="44" t="str">
        <f t="shared" si="0"/>
        <v>URL</v>
      </c>
    </row>
    <row r="26" spans="1:12" x14ac:dyDescent="0.35">
      <c r="A26">
        <v>25</v>
      </c>
      <c r="B26" s="44" t="s">
        <v>1450</v>
      </c>
      <c r="C26" s="66">
        <v>43720</v>
      </c>
      <c r="D26" t="s">
        <v>59</v>
      </c>
      <c r="E26" t="s">
        <v>56</v>
      </c>
      <c r="F26" t="s">
        <v>2300</v>
      </c>
      <c r="G26" t="s">
        <v>515</v>
      </c>
      <c r="H26" t="s">
        <v>1203</v>
      </c>
      <c r="I26" t="s">
        <v>41</v>
      </c>
      <c r="J26">
        <v>0</v>
      </c>
      <c r="L26" s="44" t="str">
        <f t="shared" si="0"/>
        <v>URL</v>
      </c>
    </row>
    <row r="27" spans="1:12" x14ac:dyDescent="0.35">
      <c r="A27">
        <v>26</v>
      </c>
      <c r="B27" s="44" t="s">
        <v>1448</v>
      </c>
      <c r="C27" s="66">
        <v>44218</v>
      </c>
      <c r="D27" t="s">
        <v>54</v>
      </c>
      <c r="E27" t="s">
        <v>56</v>
      </c>
      <c r="F27" t="s">
        <v>2300</v>
      </c>
      <c r="G27" t="s">
        <v>768</v>
      </c>
      <c r="H27" t="s">
        <v>2233</v>
      </c>
      <c r="I27" t="s">
        <v>38</v>
      </c>
      <c r="J27">
        <v>0</v>
      </c>
      <c r="L27" s="44" t="str">
        <f t="shared" si="0"/>
        <v>URL</v>
      </c>
    </row>
    <row r="28" spans="1:12" x14ac:dyDescent="0.35">
      <c r="A28">
        <v>27</v>
      </c>
      <c r="B28" s="44" t="s">
        <v>1451</v>
      </c>
      <c r="C28" s="66">
        <v>43851</v>
      </c>
      <c r="D28" t="s">
        <v>60</v>
      </c>
      <c r="E28" t="s">
        <v>56</v>
      </c>
      <c r="F28" t="s">
        <v>2300</v>
      </c>
      <c r="G28" t="s">
        <v>798</v>
      </c>
      <c r="H28" t="s">
        <v>2233</v>
      </c>
      <c r="I28" t="s">
        <v>15</v>
      </c>
      <c r="J28">
        <v>0</v>
      </c>
      <c r="L28" s="44" t="str">
        <f t="shared" si="0"/>
        <v>URL</v>
      </c>
    </row>
    <row r="29" spans="1:12" x14ac:dyDescent="0.35">
      <c r="A29">
        <v>28</v>
      </c>
      <c r="B29" s="44" t="s">
        <v>1446</v>
      </c>
      <c r="C29" s="66">
        <v>43484</v>
      </c>
      <c r="D29" t="s">
        <v>50</v>
      </c>
      <c r="E29" t="s">
        <v>56</v>
      </c>
      <c r="F29" t="s">
        <v>2300</v>
      </c>
      <c r="G29" t="s">
        <v>2065</v>
      </c>
      <c r="H29" t="s">
        <v>2234</v>
      </c>
      <c r="I29" t="s">
        <v>15</v>
      </c>
      <c r="J29">
        <v>0</v>
      </c>
      <c r="L29" s="44" t="str">
        <f t="shared" si="0"/>
        <v>URL</v>
      </c>
    </row>
    <row r="30" spans="1:12" x14ac:dyDescent="0.35">
      <c r="A30">
        <v>29</v>
      </c>
      <c r="B30" s="44" t="s">
        <v>1447</v>
      </c>
      <c r="C30" s="66">
        <v>44202</v>
      </c>
      <c r="D30" t="s">
        <v>51</v>
      </c>
      <c r="E30" t="s">
        <v>56</v>
      </c>
      <c r="F30" t="s">
        <v>2300</v>
      </c>
      <c r="G30" t="s">
        <v>853</v>
      </c>
      <c r="H30" t="s">
        <v>2234</v>
      </c>
      <c r="I30" t="s">
        <v>1201</v>
      </c>
      <c r="J30">
        <v>0</v>
      </c>
      <c r="L30" s="44" t="str">
        <f t="shared" si="0"/>
        <v>URL</v>
      </c>
    </row>
    <row r="31" spans="1:12" x14ac:dyDescent="0.35">
      <c r="A31">
        <v>30</v>
      </c>
      <c r="B31" s="44" t="s">
        <v>1460</v>
      </c>
      <c r="C31" s="66">
        <v>44420</v>
      </c>
      <c r="D31" t="s">
        <v>67</v>
      </c>
      <c r="E31" t="s">
        <v>404</v>
      </c>
      <c r="F31" t="s">
        <v>2301</v>
      </c>
      <c r="G31" t="s">
        <v>512</v>
      </c>
      <c r="H31" t="s">
        <v>2235</v>
      </c>
      <c r="I31" t="s">
        <v>15</v>
      </c>
      <c r="J31" t="s">
        <v>1201</v>
      </c>
      <c r="L31" s="44" t="str">
        <f t="shared" si="0"/>
        <v>URL</v>
      </c>
    </row>
    <row r="32" spans="1:12" x14ac:dyDescent="0.35">
      <c r="A32">
        <v>31</v>
      </c>
      <c r="B32" s="44" t="s">
        <v>1459</v>
      </c>
      <c r="C32" s="66">
        <v>43510</v>
      </c>
      <c r="D32" t="s">
        <v>1415</v>
      </c>
      <c r="E32" t="s">
        <v>404</v>
      </c>
      <c r="F32" t="s">
        <v>2301</v>
      </c>
      <c r="G32" t="s">
        <v>2066</v>
      </c>
      <c r="H32" t="s">
        <v>1203</v>
      </c>
      <c r="I32" t="s">
        <v>41</v>
      </c>
      <c r="J32">
        <v>0</v>
      </c>
      <c r="L32" s="44" t="str">
        <f t="shared" si="0"/>
        <v>URL</v>
      </c>
    </row>
    <row r="33" spans="1:12" x14ac:dyDescent="0.35">
      <c r="A33">
        <v>32</v>
      </c>
      <c r="B33" s="44" t="s">
        <v>1465</v>
      </c>
      <c r="C33" s="66">
        <v>44271</v>
      </c>
      <c r="D33" t="s">
        <v>74</v>
      </c>
      <c r="E33" t="s">
        <v>404</v>
      </c>
      <c r="F33" t="s">
        <v>2301</v>
      </c>
      <c r="G33" t="s">
        <v>648</v>
      </c>
      <c r="H33" t="s">
        <v>2233</v>
      </c>
      <c r="I33" t="s">
        <v>24</v>
      </c>
      <c r="J33">
        <v>0</v>
      </c>
      <c r="L33" s="44" t="str">
        <f t="shared" si="0"/>
        <v>URL</v>
      </c>
    </row>
    <row r="34" spans="1:12" x14ac:dyDescent="0.35">
      <c r="A34">
        <v>33</v>
      </c>
      <c r="B34" s="44" t="s">
        <v>1455</v>
      </c>
      <c r="C34" s="66">
        <v>43593</v>
      </c>
      <c r="D34" t="s">
        <v>64</v>
      </c>
      <c r="E34" t="s">
        <v>404</v>
      </c>
      <c r="F34" t="s">
        <v>2301</v>
      </c>
      <c r="G34" t="s">
        <v>846</v>
      </c>
      <c r="H34" t="s">
        <v>2233</v>
      </c>
      <c r="I34" t="s">
        <v>24</v>
      </c>
      <c r="J34">
        <v>0</v>
      </c>
      <c r="L34" s="44" t="str">
        <f t="shared" si="0"/>
        <v>URL</v>
      </c>
    </row>
    <row r="35" spans="1:12" x14ac:dyDescent="0.35">
      <c r="A35">
        <v>34</v>
      </c>
      <c r="B35" s="44" t="s">
        <v>1464</v>
      </c>
      <c r="C35" s="66">
        <v>43850</v>
      </c>
      <c r="D35" t="s">
        <v>72</v>
      </c>
      <c r="E35" t="s">
        <v>404</v>
      </c>
      <c r="F35" t="s">
        <v>2301</v>
      </c>
      <c r="G35" t="s">
        <v>1955</v>
      </c>
      <c r="H35" t="s">
        <v>2233</v>
      </c>
      <c r="I35" t="s">
        <v>1200</v>
      </c>
      <c r="J35">
        <v>0</v>
      </c>
      <c r="L35" s="44" t="str">
        <f t="shared" si="0"/>
        <v>URL</v>
      </c>
    </row>
    <row r="36" spans="1:12" x14ac:dyDescent="0.35">
      <c r="A36">
        <v>35</v>
      </c>
      <c r="B36" s="44" t="s">
        <v>1463</v>
      </c>
      <c r="C36" s="66">
        <v>43107</v>
      </c>
      <c r="D36" t="s">
        <v>71</v>
      </c>
      <c r="E36" t="s">
        <v>404</v>
      </c>
      <c r="F36" t="s">
        <v>2301</v>
      </c>
      <c r="G36" t="s">
        <v>2067</v>
      </c>
      <c r="H36" t="s">
        <v>2233</v>
      </c>
      <c r="I36" t="s">
        <v>15</v>
      </c>
      <c r="J36">
        <v>0</v>
      </c>
      <c r="L36" s="44" t="str">
        <f t="shared" si="0"/>
        <v>URL</v>
      </c>
    </row>
    <row r="37" spans="1:12" x14ac:dyDescent="0.35">
      <c r="A37">
        <v>36</v>
      </c>
      <c r="B37" s="44" t="s">
        <v>1461</v>
      </c>
      <c r="C37" s="66">
        <v>43965</v>
      </c>
      <c r="D37" t="s">
        <v>68</v>
      </c>
      <c r="E37" t="s">
        <v>404</v>
      </c>
      <c r="F37" t="s">
        <v>2301</v>
      </c>
      <c r="G37" t="s">
        <v>615</v>
      </c>
      <c r="H37" t="s">
        <v>2233</v>
      </c>
      <c r="I37" t="s">
        <v>24</v>
      </c>
      <c r="J37">
        <v>0</v>
      </c>
      <c r="L37" s="44" t="str">
        <f t="shared" si="0"/>
        <v>URL</v>
      </c>
    </row>
    <row r="38" spans="1:12" x14ac:dyDescent="0.35">
      <c r="A38">
        <v>37</v>
      </c>
      <c r="B38" s="44" t="s">
        <v>1454</v>
      </c>
      <c r="C38" s="66">
        <v>44249</v>
      </c>
      <c r="D38" t="s">
        <v>62</v>
      </c>
      <c r="E38" t="s">
        <v>404</v>
      </c>
      <c r="F38" t="s">
        <v>2301</v>
      </c>
      <c r="G38" t="s">
        <v>554</v>
      </c>
      <c r="H38" t="s">
        <v>2235</v>
      </c>
      <c r="I38" t="s">
        <v>24</v>
      </c>
      <c r="J38">
        <v>0</v>
      </c>
      <c r="L38" s="44" t="str">
        <f t="shared" si="0"/>
        <v>URL</v>
      </c>
    </row>
    <row r="39" spans="1:12" x14ac:dyDescent="0.35">
      <c r="A39">
        <v>38</v>
      </c>
      <c r="B39" s="44" t="s">
        <v>1453</v>
      </c>
      <c r="C39" s="66">
        <v>44770</v>
      </c>
      <c r="D39" t="s">
        <v>1416</v>
      </c>
      <c r="E39" t="s">
        <v>404</v>
      </c>
      <c r="F39" t="s">
        <v>2301</v>
      </c>
      <c r="G39" t="s">
        <v>605</v>
      </c>
      <c r="H39" t="s">
        <v>2235</v>
      </c>
      <c r="I39" t="s">
        <v>24</v>
      </c>
      <c r="J39">
        <v>0</v>
      </c>
      <c r="L39" s="44" t="str">
        <f t="shared" si="0"/>
        <v>URL</v>
      </c>
    </row>
    <row r="40" spans="1:12" x14ac:dyDescent="0.35">
      <c r="A40">
        <v>39</v>
      </c>
      <c r="B40" s="44" t="s">
        <v>1452</v>
      </c>
      <c r="C40" s="66">
        <v>43628</v>
      </c>
      <c r="D40" t="s">
        <v>61</v>
      </c>
      <c r="E40" t="s">
        <v>404</v>
      </c>
      <c r="F40" t="s">
        <v>2301</v>
      </c>
      <c r="G40" t="s">
        <v>1956</v>
      </c>
      <c r="H40" t="s">
        <v>2235</v>
      </c>
      <c r="I40" t="s">
        <v>24</v>
      </c>
      <c r="J40">
        <v>0</v>
      </c>
      <c r="L40" s="44" t="str">
        <f t="shared" si="0"/>
        <v>URL</v>
      </c>
    </row>
    <row r="41" spans="1:12" x14ac:dyDescent="0.35">
      <c r="A41">
        <v>40</v>
      </c>
      <c r="B41" s="44" t="s">
        <v>1457</v>
      </c>
      <c r="C41" s="66">
        <v>45077</v>
      </c>
      <c r="D41" t="s">
        <v>65</v>
      </c>
      <c r="E41" t="s">
        <v>404</v>
      </c>
      <c r="F41" t="s">
        <v>2301</v>
      </c>
      <c r="G41" t="s">
        <v>1957</v>
      </c>
      <c r="H41" t="s">
        <v>2235</v>
      </c>
      <c r="I41" t="s">
        <v>24</v>
      </c>
      <c r="J41">
        <v>0</v>
      </c>
      <c r="L41" s="44" t="str">
        <f t="shared" si="0"/>
        <v>URL</v>
      </c>
    </row>
    <row r="42" spans="1:12" x14ac:dyDescent="0.35">
      <c r="A42">
        <v>41</v>
      </c>
      <c r="B42" s="44" t="s">
        <v>1456</v>
      </c>
      <c r="C42" s="66">
        <v>44721</v>
      </c>
      <c r="D42" t="s">
        <v>1417</v>
      </c>
      <c r="E42" t="s">
        <v>404</v>
      </c>
      <c r="F42" t="s">
        <v>2301</v>
      </c>
      <c r="G42" t="s">
        <v>615</v>
      </c>
      <c r="H42" t="s">
        <v>2235</v>
      </c>
      <c r="I42" t="s">
        <v>24</v>
      </c>
      <c r="J42">
        <v>0</v>
      </c>
      <c r="L42" s="44" t="str">
        <f t="shared" si="0"/>
        <v>URL</v>
      </c>
    </row>
    <row r="43" spans="1:12" x14ac:dyDescent="0.35">
      <c r="A43">
        <v>42</v>
      </c>
      <c r="B43" s="44" t="s">
        <v>1458</v>
      </c>
      <c r="C43" s="66">
        <v>44939</v>
      </c>
      <c r="D43" t="s">
        <v>66</v>
      </c>
      <c r="E43" t="s">
        <v>404</v>
      </c>
      <c r="F43" t="s">
        <v>2301</v>
      </c>
      <c r="G43" t="s">
        <v>560</v>
      </c>
      <c r="H43" t="s">
        <v>2235</v>
      </c>
      <c r="I43" t="s">
        <v>24</v>
      </c>
      <c r="J43">
        <v>0</v>
      </c>
      <c r="L43" s="44" t="str">
        <f t="shared" si="0"/>
        <v>URL</v>
      </c>
    </row>
    <row r="44" spans="1:12" x14ac:dyDescent="0.35">
      <c r="A44">
        <v>43</v>
      </c>
      <c r="B44" s="44" t="s">
        <v>1462</v>
      </c>
      <c r="C44" s="66">
        <v>42760</v>
      </c>
      <c r="D44" t="s">
        <v>70</v>
      </c>
      <c r="E44" t="s">
        <v>404</v>
      </c>
      <c r="F44" t="s">
        <v>2301</v>
      </c>
      <c r="G44" t="s">
        <v>833</v>
      </c>
      <c r="H44" t="s">
        <v>2234</v>
      </c>
      <c r="I44" t="s">
        <v>24</v>
      </c>
      <c r="J44">
        <v>0</v>
      </c>
      <c r="L44" s="44" t="str">
        <f t="shared" si="0"/>
        <v>URL</v>
      </c>
    </row>
    <row r="45" spans="1:12" ht="29" x14ac:dyDescent="0.35">
      <c r="A45">
        <v>44</v>
      </c>
      <c r="B45" s="44" t="s">
        <v>1470</v>
      </c>
      <c r="C45" s="66">
        <v>44467</v>
      </c>
      <c r="D45" t="s">
        <v>81</v>
      </c>
      <c r="E45" t="s">
        <v>285</v>
      </c>
      <c r="F45" t="s">
        <v>2301</v>
      </c>
      <c r="G45" t="s">
        <v>507</v>
      </c>
      <c r="H45" t="s">
        <v>1204</v>
      </c>
      <c r="I45" s="45" t="s">
        <v>1200</v>
      </c>
      <c r="J45" s="45" t="s">
        <v>2296</v>
      </c>
      <c r="L45" s="44" t="str">
        <f t="shared" si="0"/>
        <v>URL</v>
      </c>
    </row>
    <row r="46" spans="1:12" x14ac:dyDescent="0.35">
      <c r="A46">
        <v>45</v>
      </c>
      <c r="B46" s="44" t="s">
        <v>1472</v>
      </c>
      <c r="C46" s="66">
        <v>44215</v>
      </c>
      <c r="D46" t="s">
        <v>83</v>
      </c>
      <c r="E46" t="s">
        <v>285</v>
      </c>
      <c r="F46" t="s">
        <v>2301</v>
      </c>
      <c r="G46" t="s">
        <v>700</v>
      </c>
      <c r="H46" t="s">
        <v>1204</v>
      </c>
      <c r="I46" t="s">
        <v>1201</v>
      </c>
      <c r="J46" t="s">
        <v>8</v>
      </c>
      <c r="L46" s="44" t="str">
        <f t="shared" si="0"/>
        <v>URL</v>
      </c>
    </row>
    <row r="47" spans="1:12" x14ac:dyDescent="0.35">
      <c r="A47">
        <v>46</v>
      </c>
      <c r="B47" s="44" t="s">
        <v>1468</v>
      </c>
      <c r="C47" s="66">
        <v>44699</v>
      </c>
      <c r="D47" t="s">
        <v>80</v>
      </c>
      <c r="E47" t="s">
        <v>285</v>
      </c>
      <c r="F47" t="s">
        <v>2301</v>
      </c>
      <c r="G47" t="s">
        <v>840</v>
      </c>
      <c r="H47" t="s">
        <v>1203</v>
      </c>
      <c r="I47" t="s">
        <v>1200</v>
      </c>
      <c r="J47">
        <v>0</v>
      </c>
      <c r="L47" s="44" t="str">
        <f t="shared" si="0"/>
        <v>URL</v>
      </c>
    </row>
    <row r="48" spans="1:12" x14ac:dyDescent="0.35">
      <c r="A48">
        <v>47</v>
      </c>
      <c r="B48" s="44" t="s">
        <v>1466</v>
      </c>
      <c r="C48" s="66">
        <v>44648</v>
      </c>
      <c r="D48" t="s">
        <v>75</v>
      </c>
      <c r="E48" t="s">
        <v>285</v>
      </c>
      <c r="F48" t="s">
        <v>2301</v>
      </c>
      <c r="G48" t="s">
        <v>1958</v>
      </c>
      <c r="H48" t="s">
        <v>2233</v>
      </c>
      <c r="I48" t="s">
        <v>15</v>
      </c>
      <c r="J48">
        <v>0</v>
      </c>
      <c r="L48" s="44" t="str">
        <f t="shared" si="0"/>
        <v>URL</v>
      </c>
    </row>
    <row r="49" spans="1:12" x14ac:dyDescent="0.35">
      <c r="A49">
        <v>48</v>
      </c>
      <c r="B49" s="44" t="s">
        <v>1471</v>
      </c>
      <c r="C49" s="66">
        <v>44277</v>
      </c>
      <c r="D49" t="s">
        <v>82</v>
      </c>
      <c r="E49" t="s">
        <v>285</v>
      </c>
      <c r="F49" t="s">
        <v>2301</v>
      </c>
      <c r="G49" t="s">
        <v>1959</v>
      </c>
      <c r="H49" t="s">
        <v>2233</v>
      </c>
      <c r="I49" t="s">
        <v>15</v>
      </c>
      <c r="J49">
        <v>0</v>
      </c>
      <c r="L49" s="44" t="str">
        <f t="shared" si="0"/>
        <v>URL</v>
      </c>
    </row>
    <row r="50" spans="1:12" x14ac:dyDescent="0.35">
      <c r="A50">
        <v>49</v>
      </c>
      <c r="B50" s="44" t="s">
        <v>1467</v>
      </c>
      <c r="C50" s="66">
        <v>44804</v>
      </c>
      <c r="D50" t="s">
        <v>77</v>
      </c>
      <c r="E50" t="s">
        <v>285</v>
      </c>
      <c r="F50" t="s">
        <v>2301</v>
      </c>
      <c r="G50" t="s">
        <v>710</v>
      </c>
      <c r="H50" t="s">
        <v>2235</v>
      </c>
      <c r="I50" t="s">
        <v>24</v>
      </c>
      <c r="J50">
        <v>0</v>
      </c>
      <c r="L50" s="44" t="str">
        <f t="shared" si="0"/>
        <v>URL</v>
      </c>
    </row>
    <row r="51" spans="1:12" x14ac:dyDescent="0.35">
      <c r="A51">
        <v>50</v>
      </c>
      <c r="B51" s="44" t="s">
        <v>1469</v>
      </c>
      <c r="C51" s="66">
        <v>45000</v>
      </c>
      <c r="D51" t="s">
        <v>1291</v>
      </c>
      <c r="E51" t="s">
        <v>285</v>
      </c>
      <c r="F51" t="s">
        <v>2301</v>
      </c>
      <c r="G51" t="s">
        <v>829</v>
      </c>
      <c r="H51" t="s">
        <v>2235</v>
      </c>
      <c r="I51" t="s">
        <v>8</v>
      </c>
      <c r="J51">
        <v>0</v>
      </c>
      <c r="L51" s="44" t="str">
        <f t="shared" si="0"/>
        <v>URL</v>
      </c>
    </row>
    <row r="52" spans="1:12" x14ac:dyDescent="0.35">
      <c r="A52">
        <v>51</v>
      </c>
      <c r="B52" s="44" t="s">
        <v>1474</v>
      </c>
      <c r="C52" s="66">
        <v>43199</v>
      </c>
      <c r="D52" t="s">
        <v>1234</v>
      </c>
      <c r="E52" t="s">
        <v>338</v>
      </c>
      <c r="F52" t="s">
        <v>2300</v>
      </c>
      <c r="G52" t="s">
        <v>2064</v>
      </c>
      <c r="H52" t="s">
        <v>2233</v>
      </c>
      <c r="I52" t="s">
        <v>15</v>
      </c>
      <c r="J52">
        <v>0</v>
      </c>
      <c r="L52" s="44" t="str">
        <f t="shared" si="0"/>
        <v>URL</v>
      </c>
    </row>
    <row r="53" spans="1:12" x14ac:dyDescent="0.35">
      <c r="A53">
        <v>52</v>
      </c>
      <c r="B53" s="44" t="s">
        <v>1473</v>
      </c>
      <c r="C53" s="66">
        <v>45070</v>
      </c>
      <c r="D53" t="s">
        <v>84</v>
      </c>
      <c r="E53" t="s">
        <v>338</v>
      </c>
      <c r="F53" t="s">
        <v>2300</v>
      </c>
      <c r="G53" t="s">
        <v>1960</v>
      </c>
      <c r="H53" t="s">
        <v>2233</v>
      </c>
      <c r="I53" t="s">
        <v>8</v>
      </c>
      <c r="J53">
        <v>0</v>
      </c>
      <c r="L53" s="44" t="str">
        <f t="shared" si="0"/>
        <v>URL</v>
      </c>
    </row>
    <row r="54" spans="1:12" x14ac:dyDescent="0.35">
      <c r="A54">
        <v>53</v>
      </c>
      <c r="B54" s="44" t="s">
        <v>1476</v>
      </c>
      <c r="C54" s="66">
        <v>44972</v>
      </c>
      <c r="D54" t="s">
        <v>88</v>
      </c>
      <c r="E54" t="s">
        <v>293</v>
      </c>
      <c r="F54" t="s">
        <v>2302</v>
      </c>
      <c r="G54" t="s">
        <v>680</v>
      </c>
      <c r="H54" t="s">
        <v>2233</v>
      </c>
      <c r="I54" t="s">
        <v>8</v>
      </c>
      <c r="J54">
        <v>0</v>
      </c>
      <c r="L54" s="44" t="str">
        <f t="shared" si="0"/>
        <v>URL</v>
      </c>
    </row>
    <row r="55" spans="1:12" x14ac:dyDescent="0.35">
      <c r="A55">
        <v>54</v>
      </c>
      <c r="B55" s="44" t="s">
        <v>1475</v>
      </c>
      <c r="C55" s="66">
        <v>44570</v>
      </c>
      <c r="D55" t="s">
        <v>87</v>
      </c>
      <c r="E55" t="s">
        <v>293</v>
      </c>
      <c r="F55" t="s">
        <v>2302</v>
      </c>
      <c r="G55" t="s">
        <v>574</v>
      </c>
      <c r="H55" t="s">
        <v>2233</v>
      </c>
      <c r="I55" t="s">
        <v>8</v>
      </c>
      <c r="J55">
        <v>0</v>
      </c>
      <c r="L55" s="44" t="str">
        <f t="shared" si="0"/>
        <v>URL</v>
      </c>
    </row>
    <row r="56" spans="1:12" x14ac:dyDescent="0.35">
      <c r="A56">
        <v>55</v>
      </c>
      <c r="B56" s="44" t="s">
        <v>1477</v>
      </c>
      <c r="C56" s="66">
        <v>44979</v>
      </c>
      <c r="D56" t="s">
        <v>89</v>
      </c>
      <c r="E56" t="s">
        <v>293</v>
      </c>
      <c r="F56" t="s">
        <v>2302</v>
      </c>
      <c r="G56" t="s">
        <v>593</v>
      </c>
      <c r="H56" t="s">
        <v>1204</v>
      </c>
      <c r="I56" t="s">
        <v>1200</v>
      </c>
      <c r="J56">
        <v>0</v>
      </c>
      <c r="L56" s="44" t="str">
        <f t="shared" si="0"/>
        <v>URL</v>
      </c>
    </row>
    <row r="57" spans="1:12" x14ac:dyDescent="0.35">
      <c r="A57">
        <v>56</v>
      </c>
      <c r="B57" s="44" t="s">
        <v>1479</v>
      </c>
      <c r="C57" s="66">
        <v>44768</v>
      </c>
      <c r="D57" t="s">
        <v>91</v>
      </c>
      <c r="E57" t="s">
        <v>408</v>
      </c>
      <c r="F57" t="s">
        <v>2301</v>
      </c>
      <c r="G57" t="s">
        <v>2077</v>
      </c>
      <c r="H57" t="s">
        <v>2233</v>
      </c>
      <c r="I57" t="s">
        <v>24</v>
      </c>
      <c r="J57">
        <v>0</v>
      </c>
      <c r="L57" s="44" t="str">
        <f t="shared" si="0"/>
        <v>URL</v>
      </c>
    </row>
    <row r="58" spans="1:12" x14ac:dyDescent="0.35">
      <c r="A58">
        <v>57</v>
      </c>
      <c r="B58" s="44" t="s">
        <v>1478</v>
      </c>
      <c r="C58" s="66">
        <v>44833</v>
      </c>
      <c r="D58" t="s">
        <v>90</v>
      </c>
      <c r="E58" t="s">
        <v>408</v>
      </c>
      <c r="F58" t="s">
        <v>2301</v>
      </c>
      <c r="G58" t="s">
        <v>707</v>
      </c>
      <c r="H58" t="s">
        <v>2233</v>
      </c>
      <c r="I58" t="s">
        <v>15</v>
      </c>
      <c r="J58">
        <v>0</v>
      </c>
      <c r="L58" s="44" t="str">
        <f t="shared" si="0"/>
        <v>URL</v>
      </c>
    </row>
    <row r="59" spans="1:12" x14ac:dyDescent="0.35">
      <c r="A59">
        <v>58</v>
      </c>
      <c r="B59" s="44" t="s">
        <v>1481</v>
      </c>
      <c r="C59" s="66">
        <v>44641</v>
      </c>
      <c r="D59" t="s">
        <v>94</v>
      </c>
      <c r="E59" t="s">
        <v>386</v>
      </c>
      <c r="F59" t="s">
        <v>2303</v>
      </c>
      <c r="G59" t="s">
        <v>512</v>
      </c>
      <c r="H59" t="s">
        <v>1204</v>
      </c>
      <c r="I59" t="s">
        <v>15</v>
      </c>
      <c r="J59" t="s">
        <v>38</v>
      </c>
      <c r="L59" s="44" t="str">
        <f t="shared" si="0"/>
        <v>URL</v>
      </c>
    </row>
    <row r="60" spans="1:12" x14ac:dyDescent="0.35">
      <c r="A60">
        <v>59</v>
      </c>
      <c r="B60" s="44" t="s">
        <v>1483</v>
      </c>
      <c r="C60" s="66">
        <v>45013</v>
      </c>
      <c r="D60" t="s">
        <v>96</v>
      </c>
      <c r="E60" t="s">
        <v>386</v>
      </c>
      <c r="F60" t="s">
        <v>2303</v>
      </c>
      <c r="G60" t="s">
        <v>539</v>
      </c>
      <c r="H60" t="s">
        <v>2233</v>
      </c>
      <c r="I60" t="s">
        <v>15</v>
      </c>
      <c r="J60">
        <v>0</v>
      </c>
      <c r="L60" s="44" t="str">
        <f t="shared" si="0"/>
        <v>URL</v>
      </c>
    </row>
    <row r="61" spans="1:12" x14ac:dyDescent="0.35">
      <c r="A61">
        <v>60</v>
      </c>
      <c r="B61" s="44" t="s">
        <v>1485</v>
      </c>
      <c r="C61" s="66">
        <v>45126</v>
      </c>
      <c r="D61" t="s">
        <v>99</v>
      </c>
      <c r="E61" t="s">
        <v>386</v>
      </c>
      <c r="F61" t="s">
        <v>2303</v>
      </c>
      <c r="G61" t="s">
        <v>715</v>
      </c>
      <c r="H61" t="s">
        <v>2233</v>
      </c>
      <c r="I61" t="s">
        <v>8</v>
      </c>
      <c r="J61">
        <v>0</v>
      </c>
      <c r="L61" s="44" t="str">
        <f t="shared" si="0"/>
        <v>URL</v>
      </c>
    </row>
    <row r="62" spans="1:12" x14ac:dyDescent="0.35">
      <c r="A62">
        <v>61</v>
      </c>
      <c r="B62" s="44" t="s">
        <v>1482</v>
      </c>
      <c r="C62" s="66">
        <v>45029</v>
      </c>
      <c r="D62" t="s">
        <v>95</v>
      </c>
      <c r="E62" t="s">
        <v>386</v>
      </c>
      <c r="F62" t="s">
        <v>2303</v>
      </c>
      <c r="G62" t="s">
        <v>740</v>
      </c>
      <c r="H62" t="s">
        <v>2233</v>
      </c>
      <c r="I62" t="s">
        <v>8</v>
      </c>
      <c r="J62">
        <v>0</v>
      </c>
      <c r="L62" s="44" t="str">
        <f t="shared" si="0"/>
        <v>URL</v>
      </c>
    </row>
    <row r="63" spans="1:12" x14ac:dyDescent="0.35">
      <c r="A63">
        <v>62</v>
      </c>
      <c r="B63" s="44" t="s">
        <v>1480</v>
      </c>
      <c r="C63" s="66">
        <v>44951</v>
      </c>
      <c r="D63" t="s">
        <v>93</v>
      </c>
      <c r="E63" t="s">
        <v>386</v>
      </c>
      <c r="F63" t="s">
        <v>2303</v>
      </c>
      <c r="G63" t="s">
        <v>732</v>
      </c>
      <c r="H63" t="s">
        <v>2233</v>
      </c>
      <c r="I63" t="s">
        <v>8</v>
      </c>
      <c r="J63">
        <v>0</v>
      </c>
      <c r="L63" s="44" t="str">
        <f t="shared" si="0"/>
        <v>URL</v>
      </c>
    </row>
    <row r="64" spans="1:12" x14ac:dyDescent="0.35">
      <c r="A64">
        <v>63</v>
      </c>
      <c r="B64" s="44" t="s">
        <v>1484</v>
      </c>
      <c r="C64" s="66">
        <v>43848</v>
      </c>
      <c r="D64" t="s">
        <v>98</v>
      </c>
      <c r="E64" t="s">
        <v>386</v>
      </c>
      <c r="F64" t="s">
        <v>2303</v>
      </c>
      <c r="G64" t="s">
        <v>724</v>
      </c>
      <c r="H64" t="s">
        <v>2235</v>
      </c>
      <c r="I64" t="s">
        <v>8</v>
      </c>
      <c r="J64">
        <v>0</v>
      </c>
      <c r="L64" s="44" t="str">
        <f t="shared" si="0"/>
        <v>URL</v>
      </c>
    </row>
    <row r="65" spans="1:12" x14ac:dyDescent="0.35">
      <c r="A65">
        <v>64</v>
      </c>
      <c r="B65" s="44" t="s">
        <v>1518</v>
      </c>
      <c r="C65" s="66">
        <v>42088</v>
      </c>
      <c r="D65" t="s">
        <v>147</v>
      </c>
      <c r="E65" t="s">
        <v>141</v>
      </c>
      <c r="F65" t="s">
        <v>2300</v>
      </c>
      <c r="G65" t="s">
        <v>563</v>
      </c>
      <c r="H65" t="s">
        <v>2233</v>
      </c>
      <c r="I65" t="s">
        <v>38</v>
      </c>
      <c r="J65">
        <v>0</v>
      </c>
      <c r="L65" s="44" t="str">
        <f t="shared" si="0"/>
        <v>URL</v>
      </c>
    </row>
    <row r="66" spans="1:12" x14ac:dyDescent="0.35">
      <c r="A66">
        <v>65</v>
      </c>
      <c r="B66" s="44" t="s">
        <v>1490</v>
      </c>
      <c r="C66" s="66">
        <v>44589</v>
      </c>
      <c r="D66" t="s">
        <v>106</v>
      </c>
      <c r="E66" t="s">
        <v>354</v>
      </c>
      <c r="F66" t="s">
        <v>2302</v>
      </c>
      <c r="G66" t="s">
        <v>519</v>
      </c>
      <c r="H66" t="s">
        <v>2233</v>
      </c>
      <c r="I66" t="s">
        <v>24</v>
      </c>
      <c r="J66">
        <v>0</v>
      </c>
      <c r="L66" s="44" t="str">
        <f t="shared" si="0"/>
        <v>URL</v>
      </c>
    </row>
    <row r="67" spans="1:12" x14ac:dyDescent="0.35">
      <c r="A67">
        <v>66</v>
      </c>
      <c r="B67" s="44" t="s">
        <v>1492</v>
      </c>
      <c r="C67" s="66">
        <v>45063</v>
      </c>
      <c r="D67" t="s">
        <v>109</v>
      </c>
      <c r="E67" t="s">
        <v>354</v>
      </c>
      <c r="F67" t="s">
        <v>2300</v>
      </c>
      <c r="G67" t="s">
        <v>793</v>
      </c>
      <c r="H67" t="s">
        <v>2233</v>
      </c>
      <c r="I67" t="s">
        <v>15</v>
      </c>
      <c r="J67">
        <v>0</v>
      </c>
      <c r="L67" s="44" t="str">
        <f t="shared" ref="L67:L130" si="1">HYPERLINK(B67,"URL")</f>
        <v>URL</v>
      </c>
    </row>
    <row r="68" spans="1:12" x14ac:dyDescent="0.35">
      <c r="A68">
        <v>67</v>
      </c>
      <c r="B68" s="44" t="s">
        <v>1496</v>
      </c>
      <c r="C68" s="66">
        <v>45055</v>
      </c>
      <c r="D68" t="s">
        <v>115</v>
      </c>
      <c r="E68" t="s">
        <v>354</v>
      </c>
      <c r="F68" t="s">
        <v>1200</v>
      </c>
      <c r="G68" t="s">
        <v>762</v>
      </c>
      <c r="H68" t="s">
        <v>2233</v>
      </c>
      <c r="I68" t="s">
        <v>15</v>
      </c>
      <c r="J68">
        <v>0</v>
      </c>
      <c r="L68" s="44" t="str">
        <f t="shared" si="1"/>
        <v>URL</v>
      </c>
    </row>
    <row r="69" spans="1:12" x14ac:dyDescent="0.35">
      <c r="A69">
        <v>68</v>
      </c>
      <c r="B69" s="44" t="s">
        <v>1487</v>
      </c>
      <c r="C69" s="66">
        <v>45163</v>
      </c>
      <c r="D69" t="s">
        <v>102</v>
      </c>
      <c r="E69" t="s">
        <v>354</v>
      </c>
      <c r="F69" t="s">
        <v>1200</v>
      </c>
      <c r="G69" t="s">
        <v>1961</v>
      </c>
      <c r="H69" t="s">
        <v>2233</v>
      </c>
      <c r="I69" t="s">
        <v>1201</v>
      </c>
      <c r="J69">
        <v>0</v>
      </c>
      <c r="L69" s="44" t="str">
        <f t="shared" si="1"/>
        <v>URL</v>
      </c>
    </row>
    <row r="70" spans="1:12" x14ac:dyDescent="0.35">
      <c r="A70">
        <v>69</v>
      </c>
      <c r="B70" s="44" t="s">
        <v>1488</v>
      </c>
      <c r="C70" s="66">
        <v>45183</v>
      </c>
      <c r="D70" t="s">
        <v>103</v>
      </c>
      <c r="E70" t="s">
        <v>354</v>
      </c>
      <c r="F70" t="s">
        <v>1200</v>
      </c>
      <c r="G70" t="s">
        <v>1962</v>
      </c>
      <c r="H70" t="s">
        <v>2235</v>
      </c>
      <c r="I70" t="s">
        <v>15</v>
      </c>
      <c r="J70">
        <v>0</v>
      </c>
      <c r="L70" s="44" t="str">
        <f t="shared" si="1"/>
        <v>URL</v>
      </c>
    </row>
    <row r="71" spans="1:12" x14ac:dyDescent="0.35">
      <c r="A71">
        <v>70</v>
      </c>
      <c r="B71" s="44" t="s">
        <v>1494</v>
      </c>
      <c r="C71" s="66">
        <v>44019</v>
      </c>
      <c r="D71" t="s">
        <v>113</v>
      </c>
      <c r="E71" t="s">
        <v>354</v>
      </c>
      <c r="F71" t="s">
        <v>2303</v>
      </c>
      <c r="G71" t="s">
        <v>1963</v>
      </c>
      <c r="H71" t="s">
        <v>2235</v>
      </c>
      <c r="I71" t="s">
        <v>24</v>
      </c>
      <c r="J71">
        <v>0</v>
      </c>
      <c r="L71" s="44" t="str">
        <f t="shared" si="1"/>
        <v>URL</v>
      </c>
    </row>
    <row r="72" spans="1:12" x14ac:dyDescent="0.35">
      <c r="A72">
        <v>71</v>
      </c>
      <c r="B72" s="44" t="s">
        <v>1491</v>
      </c>
      <c r="C72" s="66">
        <v>44930</v>
      </c>
      <c r="D72" t="s">
        <v>107</v>
      </c>
      <c r="E72" t="s">
        <v>354</v>
      </c>
      <c r="F72" t="s">
        <v>1200</v>
      </c>
      <c r="G72" t="s">
        <v>1964</v>
      </c>
      <c r="H72" t="s">
        <v>2235</v>
      </c>
      <c r="I72" t="s">
        <v>1201</v>
      </c>
      <c r="J72">
        <v>0</v>
      </c>
      <c r="L72" s="44" t="str">
        <f t="shared" si="1"/>
        <v>URL</v>
      </c>
    </row>
    <row r="73" spans="1:12" x14ac:dyDescent="0.35">
      <c r="A73">
        <v>72</v>
      </c>
      <c r="B73" s="44" t="s">
        <v>1489</v>
      </c>
      <c r="C73" s="66">
        <v>45195</v>
      </c>
      <c r="D73" t="s">
        <v>104</v>
      </c>
      <c r="E73" t="s">
        <v>354</v>
      </c>
      <c r="F73" t="s">
        <v>1200</v>
      </c>
      <c r="G73" t="s">
        <v>748</v>
      </c>
      <c r="H73" t="s">
        <v>2235</v>
      </c>
      <c r="I73" t="s">
        <v>1201</v>
      </c>
      <c r="J73">
        <v>0</v>
      </c>
      <c r="L73" s="44" t="str">
        <f t="shared" si="1"/>
        <v>URL</v>
      </c>
    </row>
    <row r="74" spans="1:12" x14ac:dyDescent="0.35">
      <c r="A74">
        <v>73</v>
      </c>
      <c r="B74" s="44" t="s">
        <v>1486</v>
      </c>
      <c r="C74" s="66">
        <v>44565</v>
      </c>
      <c r="D74" t="s">
        <v>100</v>
      </c>
      <c r="E74" t="s">
        <v>354</v>
      </c>
      <c r="F74" t="s">
        <v>1200</v>
      </c>
      <c r="G74" t="s">
        <v>780</v>
      </c>
      <c r="H74" t="s">
        <v>2235</v>
      </c>
      <c r="I74" t="s">
        <v>15</v>
      </c>
      <c r="J74">
        <v>0</v>
      </c>
      <c r="L74" s="44" t="str">
        <f t="shared" si="1"/>
        <v>URL</v>
      </c>
    </row>
    <row r="75" spans="1:12" x14ac:dyDescent="0.35">
      <c r="A75">
        <v>74</v>
      </c>
      <c r="B75" s="44" t="s">
        <v>1493</v>
      </c>
      <c r="C75" s="66">
        <v>45173</v>
      </c>
      <c r="D75" t="s">
        <v>111</v>
      </c>
      <c r="E75" t="s">
        <v>354</v>
      </c>
      <c r="F75" t="s">
        <v>1200</v>
      </c>
      <c r="G75" t="s">
        <v>868</v>
      </c>
      <c r="H75" t="s">
        <v>2234</v>
      </c>
      <c r="I75" t="s">
        <v>1201</v>
      </c>
      <c r="J75">
        <v>0</v>
      </c>
      <c r="L75" s="44" t="str">
        <f t="shared" si="1"/>
        <v>URL</v>
      </c>
    </row>
    <row r="76" spans="1:12" x14ac:dyDescent="0.35">
      <c r="A76">
        <v>75</v>
      </c>
      <c r="B76" s="44" t="s">
        <v>1495</v>
      </c>
      <c r="C76" s="66">
        <v>44435</v>
      </c>
      <c r="D76" t="s">
        <v>114</v>
      </c>
      <c r="E76" t="s">
        <v>354</v>
      </c>
      <c r="F76" t="s">
        <v>1200</v>
      </c>
      <c r="G76" t="s">
        <v>780</v>
      </c>
      <c r="H76" t="s">
        <v>1204</v>
      </c>
      <c r="I76" t="s">
        <v>15</v>
      </c>
      <c r="J76">
        <v>0</v>
      </c>
      <c r="L76" s="44" t="str">
        <f t="shared" si="1"/>
        <v>URL</v>
      </c>
    </row>
    <row r="77" spans="1:12" x14ac:dyDescent="0.35">
      <c r="A77">
        <v>76</v>
      </c>
      <c r="B77" s="44" t="s">
        <v>1498</v>
      </c>
      <c r="C77" s="66">
        <v>44574</v>
      </c>
      <c r="D77" t="s">
        <v>119</v>
      </c>
      <c r="E77" t="s">
        <v>117</v>
      </c>
      <c r="F77" t="s">
        <v>2300</v>
      </c>
      <c r="G77" t="s">
        <v>2068</v>
      </c>
      <c r="H77" t="s">
        <v>2235</v>
      </c>
      <c r="I77" t="s">
        <v>8</v>
      </c>
      <c r="J77" t="s">
        <v>38</v>
      </c>
      <c r="L77" s="44" t="str">
        <f t="shared" si="1"/>
        <v>URL</v>
      </c>
    </row>
    <row r="78" spans="1:12" x14ac:dyDescent="0.35">
      <c r="A78">
        <v>77</v>
      </c>
      <c r="B78" s="44" t="s">
        <v>1497</v>
      </c>
      <c r="C78" s="66">
        <v>45188</v>
      </c>
      <c r="D78" t="s">
        <v>116</v>
      </c>
      <c r="E78" t="s">
        <v>117</v>
      </c>
      <c r="F78" t="s">
        <v>2300</v>
      </c>
      <c r="G78">
        <v>0</v>
      </c>
      <c r="H78" t="s">
        <v>2233</v>
      </c>
      <c r="I78" t="s">
        <v>49</v>
      </c>
      <c r="J78">
        <v>0</v>
      </c>
      <c r="L78" s="44" t="str">
        <f t="shared" si="1"/>
        <v>URL</v>
      </c>
    </row>
    <row r="79" spans="1:12" x14ac:dyDescent="0.35">
      <c r="A79">
        <v>78</v>
      </c>
      <c r="B79" s="44" t="s">
        <v>1500</v>
      </c>
      <c r="C79" s="66">
        <v>44306</v>
      </c>
      <c r="D79" t="s">
        <v>122</v>
      </c>
      <c r="E79" t="s">
        <v>359</v>
      </c>
      <c r="F79" t="s">
        <v>2303</v>
      </c>
      <c r="G79" t="s">
        <v>459</v>
      </c>
      <c r="H79" t="s">
        <v>2233</v>
      </c>
      <c r="I79" t="s">
        <v>15</v>
      </c>
      <c r="J79" t="s">
        <v>38</v>
      </c>
      <c r="L79" s="44" t="str">
        <f t="shared" si="1"/>
        <v>URL</v>
      </c>
    </row>
    <row r="80" spans="1:12" x14ac:dyDescent="0.35">
      <c r="A80">
        <v>79</v>
      </c>
      <c r="B80" s="44" t="s">
        <v>1501</v>
      </c>
      <c r="C80" s="66">
        <v>44763</v>
      </c>
      <c r="D80" t="s">
        <v>123</v>
      </c>
      <c r="E80" t="s">
        <v>359</v>
      </c>
      <c r="F80" t="s">
        <v>2303</v>
      </c>
      <c r="G80" t="s">
        <v>924</v>
      </c>
      <c r="H80" t="s">
        <v>2233</v>
      </c>
      <c r="I80" t="s">
        <v>38</v>
      </c>
      <c r="J80" t="s">
        <v>15</v>
      </c>
      <c r="L80" s="44" t="str">
        <f t="shared" si="1"/>
        <v>URL</v>
      </c>
    </row>
    <row r="81" spans="1:12" x14ac:dyDescent="0.35">
      <c r="A81">
        <v>80</v>
      </c>
      <c r="B81" s="44" t="s">
        <v>1502</v>
      </c>
      <c r="C81" s="66">
        <v>44215</v>
      </c>
      <c r="D81" t="s">
        <v>1420</v>
      </c>
      <c r="E81" t="s">
        <v>359</v>
      </c>
      <c r="F81" t="s">
        <v>2303</v>
      </c>
      <c r="G81" t="s">
        <v>1966</v>
      </c>
      <c r="H81" t="s">
        <v>2233</v>
      </c>
      <c r="I81" t="s">
        <v>38</v>
      </c>
      <c r="J81">
        <v>0</v>
      </c>
      <c r="L81" s="44" t="str">
        <f t="shared" si="1"/>
        <v>URL</v>
      </c>
    </row>
    <row r="82" spans="1:12" x14ac:dyDescent="0.35">
      <c r="A82">
        <v>81</v>
      </c>
      <c r="B82" s="44" t="s">
        <v>1499</v>
      </c>
      <c r="C82" s="66">
        <v>44212</v>
      </c>
      <c r="D82" t="s">
        <v>121</v>
      </c>
      <c r="E82" t="s">
        <v>359</v>
      </c>
      <c r="F82" t="s">
        <v>2302</v>
      </c>
      <c r="G82" t="s">
        <v>318</v>
      </c>
      <c r="H82" t="s">
        <v>2233</v>
      </c>
      <c r="I82" t="s">
        <v>8</v>
      </c>
      <c r="J82">
        <v>0</v>
      </c>
      <c r="L82" s="44" t="str">
        <f t="shared" si="1"/>
        <v>URL</v>
      </c>
    </row>
    <row r="83" spans="1:12" ht="29" x14ac:dyDescent="0.35">
      <c r="A83">
        <v>82</v>
      </c>
      <c r="B83" s="44" t="s">
        <v>1507</v>
      </c>
      <c r="C83" s="66">
        <v>44364</v>
      </c>
      <c r="D83" t="s">
        <v>129</v>
      </c>
      <c r="E83" t="s">
        <v>1933</v>
      </c>
      <c r="F83" t="s">
        <v>2300</v>
      </c>
      <c r="G83" t="s">
        <v>868</v>
      </c>
      <c r="H83" t="s">
        <v>2235</v>
      </c>
      <c r="I83" t="s">
        <v>12</v>
      </c>
      <c r="J83" s="45" t="s">
        <v>2297</v>
      </c>
      <c r="L83" s="44" t="str">
        <f t="shared" si="1"/>
        <v>URL</v>
      </c>
    </row>
    <row r="84" spans="1:12" x14ac:dyDescent="0.35">
      <c r="A84">
        <v>83</v>
      </c>
      <c r="B84" s="44" t="s">
        <v>1503</v>
      </c>
      <c r="C84" s="66">
        <v>44006</v>
      </c>
      <c r="D84" t="s">
        <v>124</v>
      </c>
      <c r="E84" t="s">
        <v>1933</v>
      </c>
      <c r="F84" t="s">
        <v>2300</v>
      </c>
      <c r="G84" t="s">
        <v>1967</v>
      </c>
      <c r="H84" t="s">
        <v>2234</v>
      </c>
      <c r="I84" t="s">
        <v>8</v>
      </c>
      <c r="J84" t="s">
        <v>41</v>
      </c>
      <c r="L84" s="44" t="str">
        <f t="shared" si="1"/>
        <v>URL</v>
      </c>
    </row>
    <row r="85" spans="1:12" x14ac:dyDescent="0.35">
      <c r="A85">
        <v>84</v>
      </c>
      <c r="B85" s="44" t="s">
        <v>1506</v>
      </c>
      <c r="C85" s="66">
        <v>44588</v>
      </c>
      <c r="D85" t="s">
        <v>128</v>
      </c>
      <c r="E85" t="s">
        <v>1933</v>
      </c>
      <c r="F85" t="s">
        <v>2300</v>
      </c>
      <c r="G85" t="s">
        <v>868</v>
      </c>
      <c r="H85" t="s">
        <v>2234</v>
      </c>
      <c r="I85" t="s">
        <v>15</v>
      </c>
      <c r="J85" t="s">
        <v>38</v>
      </c>
      <c r="L85" s="44" t="str">
        <f t="shared" si="1"/>
        <v>URL</v>
      </c>
    </row>
    <row r="86" spans="1:12" x14ac:dyDescent="0.35">
      <c r="A86">
        <v>85</v>
      </c>
      <c r="B86" s="44" t="s">
        <v>1505</v>
      </c>
      <c r="C86" s="66">
        <v>44826</v>
      </c>
      <c r="D86" t="s">
        <v>125</v>
      </c>
      <c r="E86" t="s">
        <v>1933</v>
      </c>
      <c r="F86" t="s">
        <v>2300</v>
      </c>
      <c r="G86" t="s">
        <v>1951</v>
      </c>
      <c r="H86" t="s">
        <v>2233</v>
      </c>
      <c r="I86" t="s">
        <v>12</v>
      </c>
      <c r="J86">
        <v>0</v>
      </c>
      <c r="L86" s="44" t="str">
        <f t="shared" si="1"/>
        <v>URL</v>
      </c>
    </row>
    <row r="87" spans="1:12" x14ac:dyDescent="0.35">
      <c r="A87">
        <v>86</v>
      </c>
      <c r="B87" s="44" t="s">
        <v>1504</v>
      </c>
      <c r="C87" s="66">
        <v>44729</v>
      </c>
      <c r="D87" t="s">
        <v>1418</v>
      </c>
      <c r="E87" t="s">
        <v>1933</v>
      </c>
      <c r="F87" t="s">
        <v>2300</v>
      </c>
      <c r="G87" t="s">
        <v>2069</v>
      </c>
      <c r="H87" t="s">
        <v>2234</v>
      </c>
      <c r="I87" t="s">
        <v>38</v>
      </c>
      <c r="J87">
        <v>0</v>
      </c>
      <c r="L87" s="44" t="str">
        <f t="shared" si="1"/>
        <v>URL</v>
      </c>
    </row>
    <row r="88" spans="1:12" x14ac:dyDescent="0.35">
      <c r="A88">
        <v>87</v>
      </c>
      <c r="B88" s="44" t="s">
        <v>1508</v>
      </c>
      <c r="C88" s="66">
        <v>44812</v>
      </c>
      <c r="D88" t="s">
        <v>131</v>
      </c>
      <c r="E88" t="s">
        <v>300</v>
      </c>
      <c r="F88" t="s">
        <v>2302</v>
      </c>
      <c r="G88" t="s">
        <v>580</v>
      </c>
      <c r="H88" t="s">
        <v>2235</v>
      </c>
      <c r="I88" t="s">
        <v>8</v>
      </c>
      <c r="J88">
        <v>0</v>
      </c>
      <c r="L88" s="44" t="str">
        <f t="shared" si="1"/>
        <v>URL</v>
      </c>
    </row>
    <row r="89" spans="1:12" x14ac:dyDescent="0.35">
      <c r="A89">
        <v>88</v>
      </c>
      <c r="B89" s="44" t="s">
        <v>1511</v>
      </c>
      <c r="C89" s="66">
        <v>44934</v>
      </c>
      <c r="D89" t="s">
        <v>135</v>
      </c>
      <c r="E89" t="s">
        <v>364</v>
      </c>
      <c r="F89" t="s">
        <v>2300</v>
      </c>
      <c r="G89" t="s">
        <v>523</v>
      </c>
      <c r="H89" t="s">
        <v>2235</v>
      </c>
      <c r="I89" t="s">
        <v>15</v>
      </c>
      <c r="J89" t="s">
        <v>12</v>
      </c>
      <c r="L89" s="44" t="str">
        <f t="shared" si="1"/>
        <v>URL</v>
      </c>
    </row>
    <row r="90" spans="1:12" x14ac:dyDescent="0.35">
      <c r="A90">
        <v>89</v>
      </c>
      <c r="B90" s="44" t="s">
        <v>1509</v>
      </c>
      <c r="C90" s="66">
        <v>45007</v>
      </c>
      <c r="D90" t="s">
        <v>133</v>
      </c>
      <c r="E90" t="s">
        <v>364</v>
      </c>
      <c r="F90" t="s">
        <v>2302</v>
      </c>
      <c r="G90" t="s">
        <v>519</v>
      </c>
      <c r="H90" t="s">
        <v>2233</v>
      </c>
      <c r="I90" t="s">
        <v>8</v>
      </c>
      <c r="J90">
        <v>0</v>
      </c>
      <c r="L90" s="44" t="str">
        <f t="shared" si="1"/>
        <v>URL</v>
      </c>
    </row>
    <row r="91" spans="1:12" x14ac:dyDescent="0.35">
      <c r="A91">
        <v>90</v>
      </c>
      <c r="B91" s="44" t="s">
        <v>1512</v>
      </c>
      <c r="C91" s="66">
        <v>43653</v>
      </c>
      <c r="D91" t="s">
        <v>136</v>
      </c>
      <c r="E91" t="s">
        <v>364</v>
      </c>
      <c r="F91" t="s">
        <v>1200</v>
      </c>
      <c r="G91" t="s">
        <v>866</v>
      </c>
      <c r="H91" t="s">
        <v>2233</v>
      </c>
      <c r="I91" t="s">
        <v>15</v>
      </c>
      <c r="J91">
        <v>0</v>
      </c>
      <c r="L91" s="44" t="str">
        <f t="shared" si="1"/>
        <v>URL</v>
      </c>
    </row>
    <row r="92" spans="1:12" x14ac:dyDescent="0.35">
      <c r="A92">
        <v>91</v>
      </c>
      <c r="B92" s="44" t="s">
        <v>1513</v>
      </c>
      <c r="C92" s="66">
        <v>44692</v>
      </c>
      <c r="D92" t="s">
        <v>137</v>
      </c>
      <c r="E92" t="s">
        <v>364</v>
      </c>
      <c r="F92" t="s">
        <v>2300</v>
      </c>
      <c r="G92" t="s">
        <v>1968</v>
      </c>
      <c r="H92" t="s">
        <v>2235</v>
      </c>
      <c r="I92" t="s">
        <v>15</v>
      </c>
      <c r="J92">
        <v>0</v>
      </c>
      <c r="L92" s="44" t="str">
        <f t="shared" si="1"/>
        <v>URL</v>
      </c>
    </row>
    <row r="93" spans="1:12" x14ac:dyDescent="0.35">
      <c r="A93">
        <v>92</v>
      </c>
      <c r="B93" s="44" t="s">
        <v>1510</v>
      </c>
      <c r="C93" s="66">
        <v>44301</v>
      </c>
      <c r="D93" t="s">
        <v>134</v>
      </c>
      <c r="E93" t="s">
        <v>364</v>
      </c>
      <c r="F93" t="s">
        <v>2302</v>
      </c>
      <c r="G93" t="s">
        <v>837</v>
      </c>
      <c r="H93" t="s">
        <v>1204</v>
      </c>
      <c r="I93" t="s">
        <v>15</v>
      </c>
      <c r="J93">
        <v>0</v>
      </c>
      <c r="L93" s="44" t="str">
        <f t="shared" si="1"/>
        <v>URL</v>
      </c>
    </row>
    <row r="94" spans="1:12" x14ac:dyDescent="0.35">
      <c r="A94">
        <v>93</v>
      </c>
      <c r="B94" s="44" t="s">
        <v>1519</v>
      </c>
      <c r="C94" s="66">
        <v>45056</v>
      </c>
      <c r="D94" t="s">
        <v>149</v>
      </c>
      <c r="E94" t="s">
        <v>141</v>
      </c>
      <c r="F94" t="s">
        <v>2300</v>
      </c>
      <c r="G94" t="s">
        <v>587</v>
      </c>
      <c r="H94" t="s">
        <v>2233</v>
      </c>
      <c r="I94" t="s">
        <v>1200</v>
      </c>
      <c r="J94">
        <v>0</v>
      </c>
      <c r="L94" s="44" t="str">
        <f t="shared" si="1"/>
        <v>URL</v>
      </c>
    </row>
    <row r="95" spans="1:12" x14ac:dyDescent="0.35">
      <c r="A95">
        <v>94</v>
      </c>
      <c r="B95" s="44" t="s">
        <v>1529</v>
      </c>
      <c r="C95" s="66">
        <v>44566</v>
      </c>
      <c r="D95" t="s">
        <v>1588</v>
      </c>
      <c r="E95" t="s">
        <v>141</v>
      </c>
      <c r="F95" t="s">
        <v>2300</v>
      </c>
      <c r="G95" t="s">
        <v>2070</v>
      </c>
      <c r="H95" t="s">
        <v>2233</v>
      </c>
      <c r="I95" t="s">
        <v>8</v>
      </c>
      <c r="J95">
        <v>0</v>
      </c>
      <c r="L95" s="44" t="str">
        <f t="shared" si="1"/>
        <v>URL</v>
      </c>
    </row>
    <row r="96" spans="1:12" x14ac:dyDescent="0.35">
      <c r="A96">
        <v>95</v>
      </c>
      <c r="B96" s="44" t="s">
        <v>1527</v>
      </c>
      <c r="C96" s="66">
        <v>43221</v>
      </c>
      <c r="D96" t="s">
        <v>160</v>
      </c>
      <c r="E96" t="s">
        <v>141</v>
      </c>
      <c r="F96" t="s">
        <v>2300</v>
      </c>
      <c r="G96" t="s">
        <v>1984</v>
      </c>
      <c r="H96" t="s">
        <v>2233</v>
      </c>
      <c r="I96" t="s">
        <v>38</v>
      </c>
      <c r="J96">
        <v>0</v>
      </c>
      <c r="L96" s="44" t="str">
        <f t="shared" si="1"/>
        <v>URL</v>
      </c>
    </row>
    <row r="97" spans="1:12" x14ac:dyDescent="0.35">
      <c r="A97">
        <v>96</v>
      </c>
      <c r="B97" s="44" t="s">
        <v>1520</v>
      </c>
      <c r="C97" s="66">
        <v>44426</v>
      </c>
      <c r="D97" t="s">
        <v>151</v>
      </c>
      <c r="E97" t="s">
        <v>141</v>
      </c>
      <c r="F97" t="s">
        <v>2300</v>
      </c>
      <c r="G97" t="s">
        <v>808</v>
      </c>
      <c r="H97" t="s">
        <v>2233</v>
      </c>
      <c r="I97" t="s">
        <v>15</v>
      </c>
      <c r="J97">
        <v>0</v>
      </c>
      <c r="L97" s="44" t="str">
        <f t="shared" si="1"/>
        <v>URL</v>
      </c>
    </row>
    <row r="98" spans="1:12" x14ac:dyDescent="0.35">
      <c r="A98">
        <v>97</v>
      </c>
      <c r="B98" s="44" t="s">
        <v>1525</v>
      </c>
      <c r="C98" s="66">
        <v>44426</v>
      </c>
      <c r="D98" t="s">
        <v>158</v>
      </c>
      <c r="E98" t="s">
        <v>141</v>
      </c>
      <c r="F98" t="s">
        <v>2300</v>
      </c>
      <c r="G98" t="s">
        <v>808</v>
      </c>
      <c r="H98" t="s">
        <v>2233</v>
      </c>
      <c r="I98" t="s">
        <v>15</v>
      </c>
      <c r="J98">
        <v>0</v>
      </c>
      <c r="L98" s="44" t="str">
        <f t="shared" si="1"/>
        <v>URL</v>
      </c>
    </row>
    <row r="99" spans="1:12" x14ac:dyDescent="0.35">
      <c r="A99">
        <v>98</v>
      </c>
      <c r="B99" s="44" t="s">
        <v>1515</v>
      </c>
      <c r="C99" s="66">
        <v>43892</v>
      </c>
      <c r="D99" t="s">
        <v>140</v>
      </c>
      <c r="E99" t="s">
        <v>141</v>
      </c>
      <c r="F99" t="s">
        <v>2300</v>
      </c>
      <c r="G99" t="s">
        <v>1989</v>
      </c>
      <c r="H99" t="s">
        <v>2233</v>
      </c>
      <c r="I99" t="s">
        <v>15</v>
      </c>
      <c r="J99">
        <v>0</v>
      </c>
      <c r="L99" s="44" t="str">
        <f t="shared" si="1"/>
        <v>URL</v>
      </c>
    </row>
    <row r="100" spans="1:12" x14ac:dyDescent="0.35">
      <c r="A100">
        <v>99</v>
      </c>
      <c r="B100" s="44" t="s">
        <v>1526</v>
      </c>
      <c r="C100" s="66">
        <v>44670</v>
      </c>
      <c r="D100" t="s">
        <v>159</v>
      </c>
      <c r="E100" t="s">
        <v>141</v>
      </c>
      <c r="F100" t="s">
        <v>2300</v>
      </c>
      <c r="G100" t="s">
        <v>454</v>
      </c>
      <c r="H100" t="s">
        <v>2233</v>
      </c>
      <c r="I100" t="s">
        <v>15</v>
      </c>
      <c r="J100">
        <v>0</v>
      </c>
      <c r="L100" s="44" t="str">
        <f t="shared" si="1"/>
        <v>URL</v>
      </c>
    </row>
    <row r="101" spans="1:12" x14ac:dyDescent="0.35">
      <c r="A101">
        <v>100</v>
      </c>
      <c r="B101" s="44" t="s">
        <v>1517</v>
      </c>
      <c r="C101" s="66">
        <v>44690</v>
      </c>
      <c r="D101" t="s">
        <v>146</v>
      </c>
      <c r="E101" t="s">
        <v>141</v>
      </c>
      <c r="F101" t="s">
        <v>2300</v>
      </c>
      <c r="G101" t="s">
        <v>582</v>
      </c>
      <c r="H101" t="s">
        <v>2233</v>
      </c>
      <c r="I101" t="s">
        <v>15</v>
      </c>
      <c r="J101">
        <v>0</v>
      </c>
      <c r="L101" s="44" t="str">
        <f t="shared" si="1"/>
        <v>URL</v>
      </c>
    </row>
    <row r="102" spans="1:12" x14ac:dyDescent="0.35">
      <c r="A102">
        <v>101</v>
      </c>
      <c r="B102" s="44" t="s">
        <v>1522</v>
      </c>
      <c r="C102" s="66">
        <v>44235</v>
      </c>
      <c r="D102" t="s">
        <v>154</v>
      </c>
      <c r="E102" t="s">
        <v>141</v>
      </c>
      <c r="F102" t="s">
        <v>2300</v>
      </c>
      <c r="G102" t="s">
        <v>1969</v>
      </c>
      <c r="H102" t="s">
        <v>2233</v>
      </c>
      <c r="I102" t="s">
        <v>38</v>
      </c>
      <c r="J102">
        <v>0</v>
      </c>
      <c r="L102" s="44" t="str">
        <f t="shared" si="1"/>
        <v>URL</v>
      </c>
    </row>
    <row r="103" spans="1:12" x14ac:dyDescent="0.35">
      <c r="A103">
        <v>102</v>
      </c>
      <c r="B103" s="44" t="s">
        <v>1524</v>
      </c>
      <c r="C103" s="66">
        <v>44974</v>
      </c>
      <c r="D103" t="s">
        <v>156</v>
      </c>
      <c r="E103" t="s">
        <v>141</v>
      </c>
      <c r="F103" t="s">
        <v>2300</v>
      </c>
      <c r="G103" t="s">
        <v>599</v>
      </c>
      <c r="H103" t="s">
        <v>2233</v>
      </c>
      <c r="I103" t="s">
        <v>1200</v>
      </c>
      <c r="J103">
        <v>0</v>
      </c>
      <c r="L103" s="44" t="str">
        <f t="shared" si="1"/>
        <v>URL</v>
      </c>
    </row>
    <row r="104" spans="1:12" x14ac:dyDescent="0.35">
      <c r="A104">
        <v>103</v>
      </c>
      <c r="B104" s="44" t="s">
        <v>1514</v>
      </c>
      <c r="C104" s="66">
        <v>44571</v>
      </c>
      <c r="D104" t="s">
        <v>138</v>
      </c>
      <c r="E104" t="s">
        <v>141</v>
      </c>
      <c r="F104" t="s">
        <v>2300</v>
      </c>
      <c r="G104" t="s">
        <v>549</v>
      </c>
      <c r="H104" t="s">
        <v>2233</v>
      </c>
      <c r="I104" t="s">
        <v>15</v>
      </c>
      <c r="J104">
        <v>0</v>
      </c>
      <c r="L104" s="44" t="str">
        <f t="shared" si="1"/>
        <v>URL</v>
      </c>
    </row>
    <row r="105" spans="1:12" x14ac:dyDescent="0.35">
      <c r="A105">
        <v>104</v>
      </c>
      <c r="B105" s="44" t="s">
        <v>1521</v>
      </c>
      <c r="C105" s="66">
        <v>44425</v>
      </c>
      <c r="D105" t="s">
        <v>153</v>
      </c>
      <c r="E105" t="s">
        <v>141</v>
      </c>
      <c r="F105" t="s">
        <v>2300</v>
      </c>
      <c r="G105" t="s">
        <v>808</v>
      </c>
      <c r="H105" t="s">
        <v>2233</v>
      </c>
      <c r="I105" t="s">
        <v>15</v>
      </c>
      <c r="J105" t="s">
        <v>49</v>
      </c>
      <c r="L105" s="44" t="str">
        <f t="shared" si="1"/>
        <v>URL</v>
      </c>
    </row>
    <row r="106" spans="1:12" x14ac:dyDescent="0.35">
      <c r="A106">
        <v>105</v>
      </c>
      <c r="B106" s="44" t="s">
        <v>1516</v>
      </c>
      <c r="C106" s="66">
        <v>44205</v>
      </c>
      <c r="D106" t="s">
        <v>144</v>
      </c>
      <c r="E106" t="s">
        <v>141</v>
      </c>
      <c r="F106" t="s">
        <v>2300</v>
      </c>
      <c r="G106" t="s">
        <v>2071</v>
      </c>
      <c r="H106" t="s">
        <v>2233</v>
      </c>
      <c r="I106" t="s">
        <v>15</v>
      </c>
      <c r="J106">
        <v>0</v>
      </c>
      <c r="L106" s="44" t="str">
        <f t="shared" si="1"/>
        <v>URL</v>
      </c>
    </row>
    <row r="107" spans="1:12" x14ac:dyDescent="0.35">
      <c r="A107">
        <v>106</v>
      </c>
      <c r="B107" s="44" t="s">
        <v>1523</v>
      </c>
      <c r="C107" s="66">
        <v>44569</v>
      </c>
      <c r="D107" t="s">
        <v>155</v>
      </c>
      <c r="E107" t="s">
        <v>141</v>
      </c>
      <c r="F107" t="s">
        <v>2300</v>
      </c>
      <c r="G107" t="s">
        <v>602</v>
      </c>
      <c r="H107" t="s">
        <v>2235</v>
      </c>
      <c r="I107" t="s">
        <v>1200</v>
      </c>
      <c r="J107">
        <v>0</v>
      </c>
      <c r="L107" s="44" t="str">
        <f t="shared" si="1"/>
        <v>URL</v>
      </c>
    </row>
    <row r="108" spans="1:12" x14ac:dyDescent="0.35">
      <c r="A108">
        <v>107</v>
      </c>
      <c r="B108" s="44" t="s">
        <v>1528</v>
      </c>
      <c r="C108" s="66">
        <v>44927</v>
      </c>
      <c r="D108" t="s">
        <v>161</v>
      </c>
      <c r="E108" t="s">
        <v>141</v>
      </c>
      <c r="F108" t="s">
        <v>2300</v>
      </c>
      <c r="G108" t="s">
        <v>1970</v>
      </c>
      <c r="H108" t="s">
        <v>2234</v>
      </c>
      <c r="I108" t="s">
        <v>15</v>
      </c>
      <c r="J108">
        <v>0</v>
      </c>
      <c r="L108" s="44" t="str">
        <f t="shared" si="1"/>
        <v>URL</v>
      </c>
    </row>
    <row r="109" spans="1:12" x14ac:dyDescent="0.35">
      <c r="A109">
        <v>108</v>
      </c>
      <c r="B109" s="44" t="s">
        <v>1530</v>
      </c>
      <c r="C109" s="66">
        <v>45047</v>
      </c>
      <c r="D109" t="s">
        <v>164</v>
      </c>
      <c r="E109" t="s">
        <v>411</v>
      </c>
      <c r="F109" t="s">
        <v>2301</v>
      </c>
      <c r="G109" t="s">
        <v>497</v>
      </c>
      <c r="H109" t="s">
        <v>2233</v>
      </c>
      <c r="I109" t="s">
        <v>15</v>
      </c>
      <c r="J109">
        <v>0</v>
      </c>
      <c r="L109" s="44" t="str">
        <f t="shared" si="1"/>
        <v>URL</v>
      </c>
    </row>
    <row r="110" spans="1:12" x14ac:dyDescent="0.35">
      <c r="A110">
        <v>109</v>
      </c>
      <c r="B110" s="44" t="s">
        <v>1535</v>
      </c>
      <c r="C110" s="66">
        <v>43473</v>
      </c>
      <c r="D110" t="s">
        <v>168</v>
      </c>
      <c r="E110" t="s">
        <v>411</v>
      </c>
      <c r="F110" t="s">
        <v>2301</v>
      </c>
      <c r="G110" t="s">
        <v>1971</v>
      </c>
      <c r="H110" t="s">
        <v>2233</v>
      </c>
      <c r="I110" t="s">
        <v>38</v>
      </c>
      <c r="J110">
        <v>0</v>
      </c>
      <c r="L110" s="44" t="str">
        <f t="shared" si="1"/>
        <v>URL</v>
      </c>
    </row>
    <row r="111" spans="1:12" x14ac:dyDescent="0.35">
      <c r="A111">
        <v>110</v>
      </c>
      <c r="B111" s="44" t="s">
        <v>1536</v>
      </c>
      <c r="C111" s="66">
        <v>45160</v>
      </c>
      <c r="D111" t="s">
        <v>169</v>
      </c>
      <c r="E111" t="s">
        <v>411</v>
      </c>
      <c r="F111" t="s">
        <v>2301</v>
      </c>
      <c r="G111" t="s">
        <v>1972</v>
      </c>
      <c r="H111" t="s">
        <v>2233</v>
      </c>
      <c r="I111" t="s">
        <v>38</v>
      </c>
      <c r="J111">
        <v>0</v>
      </c>
      <c r="L111" s="44" t="str">
        <f t="shared" si="1"/>
        <v>URL</v>
      </c>
    </row>
    <row r="112" spans="1:12" x14ac:dyDescent="0.35">
      <c r="A112">
        <v>111</v>
      </c>
      <c r="B112" s="44" t="s">
        <v>1531</v>
      </c>
      <c r="C112" s="66">
        <v>44431</v>
      </c>
      <c r="D112" t="s">
        <v>165</v>
      </c>
      <c r="E112" t="s">
        <v>411</v>
      </c>
      <c r="F112" t="s">
        <v>2301</v>
      </c>
      <c r="G112" t="s">
        <v>507</v>
      </c>
      <c r="H112" t="s">
        <v>2233</v>
      </c>
      <c r="I112" t="s">
        <v>38</v>
      </c>
      <c r="J112" t="s">
        <v>1201</v>
      </c>
      <c r="L112" s="44" t="str">
        <f t="shared" si="1"/>
        <v>URL</v>
      </c>
    </row>
    <row r="113" spans="1:12" x14ac:dyDescent="0.35">
      <c r="A113">
        <v>112</v>
      </c>
      <c r="B113" s="44" t="s">
        <v>1534</v>
      </c>
      <c r="C113" s="66">
        <v>44298</v>
      </c>
      <c r="D113" t="s">
        <v>167</v>
      </c>
      <c r="E113" t="s">
        <v>411</v>
      </c>
      <c r="F113" t="s">
        <v>2301</v>
      </c>
      <c r="G113" t="s">
        <v>1973</v>
      </c>
      <c r="H113" t="s">
        <v>2233</v>
      </c>
      <c r="I113" t="s">
        <v>15</v>
      </c>
      <c r="J113">
        <v>0</v>
      </c>
      <c r="L113" s="44" t="str">
        <f t="shared" si="1"/>
        <v>URL</v>
      </c>
    </row>
    <row r="114" spans="1:12" x14ac:dyDescent="0.35">
      <c r="A114">
        <v>113</v>
      </c>
      <c r="B114" s="44" t="s">
        <v>1533</v>
      </c>
      <c r="C114" s="66">
        <v>44313</v>
      </c>
      <c r="D114" t="s">
        <v>1419</v>
      </c>
      <c r="E114" t="s">
        <v>411</v>
      </c>
      <c r="F114" t="s">
        <v>2301</v>
      </c>
      <c r="G114" t="s">
        <v>480</v>
      </c>
      <c r="H114" t="s">
        <v>2233</v>
      </c>
      <c r="I114" t="s">
        <v>15</v>
      </c>
      <c r="J114">
        <v>0</v>
      </c>
      <c r="L114" s="44" t="str">
        <f t="shared" si="1"/>
        <v>URL</v>
      </c>
    </row>
    <row r="115" spans="1:12" x14ac:dyDescent="0.35">
      <c r="A115">
        <v>114</v>
      </c>
      <c r="B115" s="44" t="s">
        <v>1532</v>
      </c>
      <c r="C115" s="66">
        <v>45083</v>
      </c>
      <c r="D115" t="s">
        <v>166</v>
      </c>
      <c r="E115" t="s">
        <v>411</v>
      </c>
      <c r="F115" t="s">
        <v>2301</v>
      </c>
      <c r="G115" t="s">
        <v>863</v>
      </c>
      <c r="H115" t="s">
        <v>2236</v>
      </c>
      <c r="I115" t="s">
        <v>1201</v>
      </c>
      <c r="J115">
        <v>0</v>
      </c>
      <c r="L115" s="44" t="str">
        <f t="shared" si="1"/>
        <v>URL</v>
      </c>
    </row>
    <row r="116" spans="1:12" x14ac:dyDescent="0.35">
      <c r="A116">
        <v>115</v>
      </c>
      <c r="B116" s="44" t="s">
        <v>1541</v>
      </c>
      <c r="C116" s="66">
        <v>45142</v>
      </c>
      <c r="D116" t="s">
        <v>175</v>
      </c>
      <c r="E116" t="s">
        <v>414</v>
      </c>
      <c r="F116" t="s">
        <v>2303</v>
      </c>
      <c r="G116" t="s">
        <v>774</v>
      </c>
      <c r="H116" t="s">
        <v>1205</v>
      </c>
      <c r="I116" t="s">
        <v>15</v>
      </c>
      <c r="J116" t="s">
        <v>1201</v>
      </c>
      <c r="L116" s="44" t="str">
        <f t="shared" si="1"/>
        <v>URL</v>
      </c>
    </row>
    <row r="117" spans="1:12" x14ac:dyDescent="0.35">
      <c r="A117">
        <v>116</v>
      </c>
      <c r="B117" s="44" t="s">
        <v>1538</v>
      </c>
      <c r="C117" s="66">
        <v>43983</v>
      </c>
      <c r="D117" t="s">
        <v>172</v>
      </c>
      <c r="E117" t="s">
        <v>414</v>
      </c>
      <c r="F117" t="s">
        <v>2303</v>
      </c>
      <c r="G117" t="s">
        <v>859</v>
      </c>
      <c r="H117" t="s">
        <v>2233</v>
      </c>
      <c r="I117" t="s">
        <v>1201</v>
      </c>
      <c r="J117" t="s">
        <v>15</v>
      </c>
      <c r="L117" s="44" t="str">
        <f t="shared" si="1"/>
        <v>URL</v>
      </c>
    </row>
    <row r="118" spans="1:12" x14ac:dyDescent="0.35">
      <c r="A118">
        <v>117</v>
      </c>
      <c r="B118" s="44" t="s">
        <v>1539</v>
      </c>
      <c r="C118" s="66">
        <v>44935</v>
      </c>
      <c r="D118" t="s">
        <v>173</v>
      </c>
      <c r="E118" t="s">
        <v>414</v>
      </c>
      <c r="F118" t="s">
        <v>2303</v>
      </c>
      <c r="G118" t="s">
        <v>1974</v>
      </c>
      <c r="H118" t="s">
        <v>2233</v>
      </c>
      <c r="I118" t="s">
        <v>15</v>
      </c>
      <c r="J118" t="s">
        <v>1201</v>
      </c>
      <c r="L118" s="44" t="str">
        <f t="shared" si="1"/>
        <v>URL</v>
      </c>
    </row>
    <row r="119" spans="1:12" x14ac:dyDescent="0.35">
      <c r="A119">
        <v>118</v>
      </c>
      <c r="B119" s="44" t="s">
        <v>1542</v>
      </c>
      <c r="C119" s="66">
        <v>43703</v>
      </c>
      <c r="D119" t="s">
        <v>176</v>
      </c>
      <c r="E119" t="s">
        <v>414</v>
      </c>
      <c r="F119" t="s">
        <v>2303</v>
      </c>
      <c r="G119" t="s">
        <v>774</v>
      </c>
      <c r="H119" t="s">
        <v>2233</v>
      </c>
      <c r="I119" t="s">
        <v>38</v>
      </c>
      <c r="J119">
        <v>0</v>
      </c>
      <c r="L119" s="44" t="str">
        <f t="shared" si="1"/>
        <v>URL</v>
      </c>
    </row>
    <row r="120" spans="1:12" x14ac:dyDescent="0.35">
      <c r="A120">
        <v>119</v>
      </c>
      <c r="B120" s="44" t="s">
        <v>1543</v>
      </c>
      <c r="C120" s="66">
        <v>44326</v>
      </c>
      <c r="D120" t="s">
        <v>178</v>
      </c>
      <c r="E120" t="s">
        <v>414</v>
      </c>
      <c r="F120" t="s">
        <v>2303</v>
      </c>
      <c r="G120" t="s">
        <v>863</v>
      </c>
      <c r="H120" t="s">
        <v>2235</v>
      </c>
      <c r="I120" t="s">
        <v>1201</v>
      </c>
      <c r="J120">
        <v>0</v>
      </c>
      <c r="L120" s="44" t="str">
        <f t="shared" si="1"/>
        <v>URL</v>
      </c>
    </row>
    <row r="121" spans="1:12" x14ac:dyDescent="0.35">
      <c r="A121">
        <v>120</v>
      </c>
      <c r="B121" s="44" t="s">
        <v>1537</v>
      </c>
      <c r="C121" s="66">
        <v>44565</v>
      </c>
      <c r="D121" t="s">
        <v>1421</v>
      </c>
      <c r="E121" t="s">
        <v>414</v>
      </c>
      <c r="F121" t="s">
        <v>2303</v>
      </c>
      <c r="G121" t="s">
        <v>702</v>
      </c>
      <c r="H121" t="s">
        <v>1205</v>
      </c>
      <c r="I121" t="s">
        <v>15</v>
      </c>
      <c r="J121">
        <v>0</v>
      </c>
      <c r="L121" s="44" t="str">
        <f t="shared" si="1"/>
        <v>URL</v>
      </c>
    </row>
    <row r="122" spans="1:12" x14ac:dyDescent="0.35">
      <c r="A122">
        <v>121</v>
      </c>
      <c r="B122" s="44" t="s">
        <v>1540</v>
      </c>
      <c r="C122" s="66">
        <v>44769</v>
      </c>
      <c r="D122" t="s">
        <v>174</v>
      </c>
      <c r="E122" t="s">
        <v>414</v>
      </c>
      <c r="F122" t="s">
        <v>2301</v>
      </c>
      <c r="G122" t="s">
        <v>1975</v>
      </c>
      <c r="H122" t="s">
        <v>1205</v>
      </c>
      <c r="I122" t="s">
        <v>15</v>
      </c>
      <c r="J122">
        <v>0</v>
      </c>
      <c r="L122" s="44" t="str">
        <f t="shared" si="1"/>
        <v>URL</v>
      </c>
    </row>
    <row r="123" spans="1:12" x14ac:dyDescent="0.35">
      <c r="A123">
        <v>122</v>
      </c>
      <c r="B123" s="44" t="s">
        <v>1544</v>
      </c>
      <c r="C123" s="66">
        <v>44567</v>
      </c>
      <c r="D123" t="s">
        <v>181</v>
      </c>
      <c r="E123" t="s">
        <v>1935</v>
      </c>
      <c r="F123" t="s">
        <v>2302</v>
      </c>
      <c r="G123" t="s">
        <v>2072</v>
      </c>
      <c r="H123" t="s">
        <v>1203</v>
      </c>
      <c r="I123" t="s">
        <v>41</v>
      </c>
      <c r="J123">
        <v>0</v>
      </c>
      <c r="L123" s="44" t="str">
        <f t="shared" si="1"/>
        <v>URL</v>
      </c>
    </row>
    <row r="124" spans="1:12" x14ac:dyDescent="0.35">
      <c r="A124">
        <v>123</v>
      </c>
      <c r="B124" s="44" t="s">
        <v>1546</v>
      </c>
      <c r="C124" s="66">
        <v>44830</v>
      </c>
      <c r="D124" t="s">
        <v>184</v>
      </c>
      <c r="E124" t="s">
        <v>1935</v>
      </c>
      <c r="F124" t="s">
        <v>2302</v>
      </c>
      <c r="G124" t="s">
        <v>627</v>
      </c>
      <c r="H124" t="s">
        <v>2233</v>
      </c>
      <c r="I124" t="s">
        <v>8</v>
      </c>
      <c r="J124">
        <v>0</v>
      </c>
      <c r="L124" s="44" t="str">
        <f t="shared" si="1"/>
        <v>URL</v>
      </c>
    </row>
    <row r="125" spans="1:12" x14ac:dyDescent="0.35">
      <c r="A125">
        <v>124</v>
      </c>
      <c r="B125" s="44" t="s">
        <v>1547</v>
      </c>
      <c r="C125" s="66">
        <v>44204</v>
      </c>
      <c r="D125" t="s">
        <v>186</v>
      </c>
      <c r="E125" t="s">
        <v>1935</v>
      </c>
      <c r="F125" t="s">
        <v>2302</v>
      </c>
      <c r="G125" t="s">
        <v>580</v>
      </c>
      <c r="H125" t="s">
        <v>2233</v>
      </c>
      <c r="I125" t="s">
        <v>8</v>
      </c>
      <c r="J125">
        <v>0</v>
      </c>
      <c r="L125" s="44" t="str">
        <f t="shared" si="1"/>
        <v>URL</v>
      </c>
    </row>
    <row r="126" spans="1:12" x14ac:dyDescent="0.35">
      <c r="A126">
        <v>125</v>
      </c>
      <c r="B126" s="44" t="s">
        <v>1545</v>
      </c>
      <c r="C126" s="66">
        <v>44748</v>
      </c>
      <c r="D126" t="s">
        <v>182</v>
      </c>
      <c r="E126" t="s">
        <v>1935</v>
      </c>
      <c r="F126" t="s">
        <v>2302</v>
      </c>
      <c r="G126" t="s">
        <v>622</v>
      </c>
      <c r="H126" t="s">
        <v>2233</v>
      </c>
      <c r="I126" t="s">
        <v>8</v>
      </c>
      <c r="J126">
        <v>0</v>
      </c>
      <c r="L126" s="44" t="str">
        <f t="shared" si="1"/>
        <v>URL</v>
      </c>
    </row>
    <row r="127" spans="1:12" x14ac:dyDescent="0.35">
      <c r="A127">
        <v>126</v>
      </c>
      <c r="B127" s="44" t="s">
        <v>1550</v>
      </c>
      <c r="C127" s="66">
        <v>44201</v>
      </c>
      <c r="D127" t="s">
        <v>191</v>
      </c>
      <c r="E127" t="s">
        <v>418</v>
      </c>
      <c r="F127" t="s">
        <v>2301</v>
      </c>
      <c r="G127" t="s">
        <v>783</v>
      </c>
      <c r="H127" t="s">
        <v>2233</v>
      </c>
      <c r="I127" t="s">
        <v>15</v>
      </c>
      <c r="J127">
        <v>0</v>
      </c>
      <c r="L127" s="44" t="str">
        <f t="shared" si="1"/>
        <v>URL</v>
      </c>
    </row>
    <row r="128" spans="1:12" x14ac:dyDescent="0.35">
      <c r="A128">
        <v>127</v>
      </c>
      <c r="B128" s="44" t="s">
        <v>1549</v>
      </c>
      <c r="C128" s="66">
        <v>44205</v>
      </c>
      <c r="D128" t="s">
        <v>189</v>
      </c>
      <c r="E128" t="s">
        <v>418</v>
      </c>
      <c r="F128" t="s">
        <v>2301</v>
      </c>
      <c r="G128" t="s">
        <v>939</v>
      </c>
      <c r="H128" t="s">
        <v>2235</v>
      </c>
      <c r="I128" t="s">
        <v>15</v>
      </c>
      <c r="J128">
        <v>0</v>
      </c>
      <c r="L128" s="44" t="str">
        <f t="shared" si="1"/>
        <v>URL</v>
      </c>
    </row>
    <row r="129" spans="1:12" x14ac:dyDescent="0.35">
      <c r="A129">
        <v>128</v>
      </c>
      <c r="B129" s="44" t="s">
        <v>1548</v>
      </c>
      <c r="C129" s="66">
        <v>43860</v>
      </c>
      <c r="D129" t="s">
        <v>187</v>
      </c>
      <c r="E129" t="s">
        <v>418</v>
      </c>
      <c r="F129" t="s">
        <v>2301</v>
      </c>
      <c r="G129" t="s">
        <v>2073</v>
      </c>
      <c r="H129" t="s">
        <v>1204</v>
      </c>
      <c r="I129" t="s">
        <v>15</v>
      </c>
      <c r="J129">
        <v>0</v>
      </c>
      <c r="L129" s="44" t="str">
        <f t="shared" si="1"/>
        <v>URL</v>
      </c>
    </row>
    <row r="130" spans="1:12" x14ac:dyDescent="0.35">
      <c r="A130">
        <v>129</v>
      </c>
      <c r="B130" s="44" t="s">
        <v>1551</v>
      </c>
      <c r="C130" s="66">
        <v>43472</v>
      </c>
      <c r="D130" t="s">
        <v>194</v>
      </c>
      <c r="E130" t="s">
        <v>397</v>
      </c>
      <c r="F130" t="s">
        <v>2300</v>
      </c>
      <c r="G130" t="s">
        <v>418</v>
      </c>
      <c r="H130" t="s">
        <v>2234</v>
      </c>
      <c r="I130" t="s">
        <v>8</v>
      </c>
      <c r="J130" t="s">
        <v>38</v>
      </c>
      <c r="L130" s="44" t="str">
        <f t="shared" si="1"/>
        <v>URL</v>
      </c>
    </row>
    <row r="131" spans="1:12" x14ac:dyDescent="0.35">
      <c r="A131">
        <v>130</v>
      </c>
      <c r="B131" s="44" t="s">
        <v>1553</v>
      </c>
      <c r="C131" s="66">
        <v>44043</v>
      </c>
      <c r="D131" t="s">
        <v>198</v>
      </c>
      <c r="E131" t="s">
        <v>397</v>
      </c>
      <c r="F131" t="s">
        <v>2300</v>
      </c>
      <c r="G131" t="s">
        <v>1976</v>
      </c>
      <c r="H131" t="s">
        <v>2233</v>
      </c>
      <c r="I131" t="s">
        <v>38</v>
      </c>
      <c r="J131">
        <v>0</v>
      </c>
      <c r="L131" s="44" t="str">
        <f t="shared" ref="L131:L180" si="2">HYPERLINK(B131,"URL")</f>
        <v>URL</v>
      </c>
    </row>
    <row r="132" spans="1:12" x14ac:dyDescent="0.35">
      <c r="A132">
        <v>131</v>
      </c>
      <c r="B132" s="44" t="s">
        <v>1552</v>
      </c>
      <c r="C132" s="66">
        <v>42893</v>
      </c>
      <c r="D132" t="s">
        <v>197</v>
      </c>
      <c r="E132" t="s">
        <v>397</v>
      </c>
      <c r="F132" t="s">
        <v>2300</v>
      </c>
      <c r="G132" t="s">
        <v>486</v>
      </c>
      <c r="H132" t="s">
        <v>2233</v>
      </c>
      <c r="I132" t="s">
        <v>8</v>
      </c>
      <c r="J132">
        <v>0</v>
      </c>
      <c r="L132" s="44" t="str">
        <f t="shared" si="2"/>
        <v>URL</v>
      </c>
    </row>
    <row r="133" spans="1:12" x14ac:dyDescent="0.35">
      <c r="A133">
        <v>132</v>
      </c>
      <c r="B133" s="44" t="s">
        <v>1554</v>
      </c>
      <c r="C133" s="66">
        <v>43473</v>
      </c>
      <c r="D133" t="s">
        <v>200</v>
      </c>
      <c r="E133" t="s">
        <v>397</v>
      </c>
      <c r="F133" t="s">
        <v>2300</v>
      </c>
      <c r="G133" t="s">
        <v>2074</v>
      </c>
      <c r="H133" t="s">
        <v>2235</v>
      </c>
      <c r="I133" t="s">
        <v>15</v>
      </c>
      <c r="J133">
        <v>0</v>
      </c>
      <c r="L133" s="44" t="str">
        <f t="shared" si="2"/>
        <v>URL</v>
      </c>
    </row>
    <row r="134" spans="1:12" x14ac:dyDescent="0.35">
      <c r="A134">
        <v>133</v>
      </c>
      <c r="B134" s="44" t="s">
        <v>1561</v>
      </c>
      <c r="C134" s="66">
        <v>43916</v>
      </c>
      <c r="D134" t="s">
        <v>211</v>
      </c>
      <c r="E134" t="s">
        <v>420</v>
      </c>
      <c r="F134" t="s">
        <v>2301</v>
      </c>
      <c r="G134" t="s">
        <v>1932</v>
      </c>
      <c r="H134" t="s">
        <v>2233</v>
      </c>
      <c r="I134" t="s">
        <v>15</v>
      </c>
      <c r="J134" t="s">
        <v>1201</v>
      </c>
      <c r="L134" s="44" t="str">
        <f t="shared" si="2"/>
        <v>URL</v>
      </c>
    </row>
    <row r="135" spans="1:12" x14ac:dyDescent="0.35">
      <c r="A135">
        <v>134</v>
      </c>
      <c r="B135" s="44" t="s">
        <v>1557</v>
      </c>
      <c r="C135" s="66">
        <v>44027</v>
      </c>
      <c r="D135" t="s">
        <v>205</v>
      </c>
      <c r="E135" t="s">
        <v>420</v>
      </c>
      <c r="F135" t="s">
        <v>2301</v>
      </c>
      <c r="G135" t="s">
        <v>795</v>
      </c>
      <c r="H135" t="s">
        <v>1204</v>
      </c>
      <c r="I135" t="s">
        <v>15</v>
      </c>
      <c r="J135" t="s">
        <v>12</v>
      </c>
      <c r="L135" s="44" t="str">
        <f t="shared" si="2"/>
        <v>URL</v>
      </c>
    </row>
    <row r="136" spans="1:12" x14ac:dyDescent="0.35">
      <c r="A136">
        <v>135</v>
      </c>
      <c r="B136" s="44" t="s">
        <v>1558</v>
      </c>
      <c r="C136" s="66">
        <v>44097</v>
      </c>
      <c r="D136" t="s">
        <v>207</v>
      </c>
      <c r="E136" t="s">
        <v>420</v>
      </c>
      <c r="F136" t="s">
        <v>2301</v>
      </c>
      <c r="G136" t="s">
        <v>806</v>
      </c>
      <c r="H136" t="s">
        <v>1204</v>
      </c>
      <c r="I136" t="s">
        <v>15</v>
      </c>
      <c r="J136" t="s">
        <v>38</v>
      </c>
      <c r="L136" s="44" t="str">
        <f t="shared" si="2"/>
        <v>URL</v>
      </c>
    </row>
    <row r="137" spans="1:12" x14ac:dyDescent="0.35">
      <c r="A137">
        <v>136</v>
      </c>
      <c r="B137" s="44" t="s">
        <v>1556</v>
      </c>
      <c r="C137" s="66">
        <v>43847</v>
      </c>
      <c r="D137" t="s">
        <v>203</v>
      </c>
      <c r="E137" t="s">
        <v>420</v>
      </c>
      <c r="F137" t="s">
        <v>2301</v>
      </c>
      <c r="G137" t="s">
        <v>507</v>
      </c>
      <c r="H137" t="s">
        <v>2233</v>
      </c>
      <c r="I137" t="s">
        <v>38</v>
      </c>
      <c r="J137" t="s">
        <v>1201</v>
      </c>
      <c r="L137" s="44" t="str">
        <f t="shared" si="2"/>
        <v>URL</v>
      </c>
    </row>
    <row r="138" spans="1:12" x14ac:dyDescent="0.35">
      <c r="A138">
        <v>137</v>
      </c>
      <c r="B138" s="44" t="s">
        <v>1559</v>
      </c>
      <c r="C138" s="66">
        <v>44321</v>
      </c>
      <c r="D138" t="s">
        <v>209</v>
      </c>
      <c r="E138" t="s">
        <v>420</v>
      </c>
      <c r="F138" t="s">
        <v>2301</v>
      </c>
      <c r="G138" t="s">
        <v>663</v>
      </c>
      <c r="H138" t="s">
        <v>1203</v>
      </c>
      <c r="I138" t="s">
        <v>38</v>
      </c>
      <c r="J138">
        <v>0</v>
      </c>
      <c r="L138" s="44" t="str">
        <f t="shared" si="2"/>
        <v>URL</v>
      </c>
    </row>
    <row r="139" spans="1:12" x14ac:dyDescent="0.35">
      <c r="A139">
        <v>138</v>
      </c>
      <c r="B139" s="44" t="s">
        <v>1560</v>
      </c>
      <c r="C139" s="66">
        <v>44406</v>
      </c>
      <c r="D139" t="s">
        <v>210</v>
      </c>
      <c r="E139" t="s">
        <v>420</v>
      </c>
      <c r="F139" t="s">
        <v>2301</v>
      </c>
      <c r="G139" t="s">
        <v>700</v>
      </c>
      <c r="H139" t="s">
        <v>2233</v>
      </c>
      <c r="I139" t="s">
        <v>8</v>
      </c>
      <c r="J139">
        <v>0</v>
      </c>
      <c r="L139" s="44" t="str">
        <f t="shared" si="2"/>
        <v>URL</v>
      </c>
    </row>
    <row r="140" spans="1:12" x14ac:dyDescent="0.35">
      <c r="A140">
        <v>139</v>
      </c>
      <c r="B140" s="44" t="s">
        <v>1563</v>
      </c>
      <c r="C140" s="66">
        <v>44649</v>
      </c>
      <c r="D140" t="s">
        <v>214</v>
      </c>
      <c r="E140" t="s">
        <v>420</v>
      </c>
      <c r="F140" t="s">
        <v>2301</v>
      </c>
      <c r="G140" t="s">
        <v>697</v>
      </c>
      <c r="H140" t="s">
        <v>2233</v>
      </c>
      <c r="I140" t="s">
        <v>24</v>
      </c>
      <c r="J140">
        <v>0</v>
      </c>
      <c r="L140" s="44" t="str">
        <f t="shared" si="2"/>
        <v>URL</v>
      </c>
    </row>
    <row r="141" spans="1:12" x14ac:dyDescent="0.35">
      <c r="A141">
        <v>140</v>
      </c>
      <c r="B141" s="44" t="s">
        <v>1562</v>
      </c>
      <c r="C141" s="66">
        <v>44761</v>
      </c>
      <c r="D141" t="s">
        <v>212</v>
      </c>
      <c r="E141" t="s">
        <v>420</v>
      </c>
      <c r="F141" t="s">
        <v>2301</v>
      </c>
      <c r="G141" t="s">
        <v>692</v>
      </c>
      <c r="H141" t="s">
        <v>2233</v>
      </c>
      <c r="I141" t="s">
        <v>24</v>
      </c>
      <c r="J141">
        <v>0</v>
      </c>
      <c r="L141" s="44" t="str">
        <f t="shared" si="2"/>
        <v>URL</v>
      </c>
    </row>
    <row r="142" spans="1:12" x14ac:dyDescent="0.35">
      <c r="A142">
        <v>141</v>
      </c>
      <c r="B142" s="44" t="s">
        <v>1555</v>
      </c>
      <c r="C142" s="66">
        <v>44212</v>
      </c>
      <c r="D142" t="s">
        <v>201</v>
      </c>
      <c r="E142" t="s">
        <v>420</v>
      </c>
      <c r="F142" t="s">
        <v>2301</v>
      </c>
      <c r="G142" t="s">
        <v>686</v>
      </c>
      <c r="H142" t="s">
        <v>2234</v>
      </c>
      <c r="I142" t="s">
        <v>24</v>
      </c>
      <c r="J142">
        <v>0</v>
      </c>
      <c r="L142" s="44" t="str">
        <f t="shared" si="2"/>
        <v>URL</v>
      </c>
    </row>
    <row r="143" spans="1:12" x14ac:dyDescent="0.35">
      <c r="A143">
        <v>142</v>
      </c>
      <c r="B143" s="44" t="s">
        <v>1564</v>
      </c>
      <c r="C143" s="66">
        <v>43339</v>
      </c>
      <c r="D143" t="s">
        <v>216</v>
      </c>
      <c r="E143" t="s">
        <v>318</v>
      </c>
      <c r="F143" t="s">
        <v>2303</v>
      </c>
      <c r="G143" t="s">
        <v>774</v>
      </c>
      <c r="H143" t="s">
        <v>2234</v>
      </c>
      <c r="I143" t="s">
        <v>1201</v>
      </c>
      <c r="J143">
        <v>0</v>
      </c>
      <c r="L143" s="44" t="str">
        <f t="shared" si="2"/>
        <v>URL</v>
      </c>
    </row>
    <row r="144" spans="1:12" x14ac:dyDescent="0.35">
      <c r="A144">
        <v>143</v>
      </c>
      <c r="B144" s="44" t="s">
        <v>1566</v>
      </c>
      <c r="C144" s="66">
        <v>44575</v>
      </c>
      <c r="D144" t="s">
        <v>218</v>
      </c>
      <c r="E144" t="s">
        <v>424</v>
      </c>
      <c r="F144" t="s">
        <v>2301</v>
      </c>
      <c r="G144" t="s">
        <v>1977</v>
      </c>
      <c r="H144" t="s">
        <v>2233</v>
      </c>
      <c r="I144" t="s">
        <v>24</v>
      </c>
      <c r="J144">
        <v>0</v>
      </c>
      <c r="L144" s="44" t="str">
        <f t="shared" si="2"/>
        <v>URL</v>
      </c>
    </row>
    <row r="145" spans="1:12" x14ac:dyDescent="0.35">
      <c r="A145">
        <v>144</v>
      </c>
      <c r="B145" s="44" t="s">
        <v>1565</v>
      </c>
      <c r="C145" s="66">
        <v>44719</v>
      </c>
      <c r="D145" t="s">
        <v>217</v>
      </c>
      <c r="E145" t="s">
        <v>424</v>
      </c>
      <c r="F145" t="s">
        <v>2301</v>
      </c>
      <c r="G145" t="s">
        <v>367</v>
      </c>
      <c r="H145" t="s">
        <v>2235</v>
      </c>
      <c r="I145" t="s">
        <v>8</v>
      </c>
      <c r="J145">
        <v>0</v>
      </c>
      <c r="L145" s="44" t="str">
        <f t="shared" si="2"/>
        <v>URL</v>
      </c>
    </row>
    <row r="146" spans="1:12" x14ac:dyDescent="0.35">
      <c r="A146">
        <v>145</v>
      </c>
      <c r="B146" s="44" t="s">
        <v>1567</v>
      </c>
      <c r="C146" s="66">
        <v>43473</v>
      </c>
      <c r="D146" t="s">
        <v>219</v>
      </c>
      <c r="E146" t="s">
        <v>1936</v>
      </c>
      <c r="F146" t="s">
        <v>2302</v>
      </c>
      <c r="G146" t="s">
        <v>840</v>
      </c>
      <c r="H146" t="s">
        <v>2233</v>
      </c>
      <c r="I146" t="s">
        <v>8</v>
      </c>
      <c r="J146">
        <v>0</v>
      </c>
      <c r="L146" s="44" t="str">
        <f t="shared" si="2"/>
        <v>URL</v>
      </c>
    </row>
    <row r="147" spans="1:12" x14ac:dyDescent="0.35">
      <c r="A147">
        <v>146</v>
      </c>
      <c r="B147" s="44" t="s">
        <v>1568</v>
      </c>
      <c r="C147" s="66">
        <v>43129</v>
      </c>
      <c r="D147" t="s">
        <v>220</v>
      </c>
      <c r="E147" t="s">
        <v>1936</v>
      </c>
      <c r="F147" t="s">
        <v>2302</v>
      </c>
      <c r="G147" t="s">
        <v>448</v>
      </c>
      <c r="H147" t="s">
        <v>2233</v>
      </c>
      <c r="I147" t="s">
        <v>8</v>
      </c>
      <c r="J147">
        <v>0</v>
      </c>
      <c r="L147" s="44" t="str">
        <f t="shared" si="2"/>
        <v>URL</v>
      </c>
    </row>
    <row r="148" spans="1:12" x14ac:dyDescent="0.35">
      <c r="A148">
        <v>147</v>
      </c>
      <c r="B148" s="44" t="s">
        <v>1569</v>
      </c>
      <c r="C148" s="66">
        <v>43656</v>
      </c>
      <c r="D148" t="s">
        <v>221</v>
      </c>
      <c r="E148" t="s">
        <v>1936</v>
      </c>
      <c r="F148" t="s">
        <v>2302</v>
      </c>
      <c r="G148" t="s">
        <v>825</v>
      </c>
      <c r="H148" t="s">
        <v>2233</v>
      </c>
      <c r="I148" t="s">
        <v>8</v>
      </c>
      <c r="J148">
        <v>0</v>
      </c>
      <c r="L148" s="44" t="str">
        <f t="shared" si="2"/>
        <v>URL</v>
      </c>
    </row>
    <row r="149" spans="1:12" x14ac:dyDescent="0.35">
      <c r="A149">
        <v>148</v>
      </c>
      <c r="B149" s="44" t="s">
        <v>1570</v>
      </c>
      <c r="C149" s="66">
        <v>44298</v>
      </c>
      <c r="D149" t="s">
        <v>1345</v>
      </c>
      <c r="E149" t="s">
        <v>1936</v>
      </c>
      <c r="F149" t="s">
        <v>2302</v>
      </c>
      <c r="G149" t="s">
        <v>354</v>
      </c>
      <c r="H149" t="s">
        <v>2235</v>
      </c>
      <c r="I149" t="s">
        <v>15</v>
      </c>
      <c r="J149">
        <v>0</v>
      </c>
      <c r="L149" s="44" t="str">
        <f t="shared" si="2"/>
        <v>URL</v>
      </c>
    </row>
    <row r="150" spans="1:12" x14ac:dyDescent="0.35">
      <c r="A150">
        <v>149</v>
      </c>
      <c r="B150" s="44" t="s">
        <v>1572</v>
      </c>
      <c r="C150" s="66">
        <v>44928</v>
      </c>
      <c r="D150" t="s">
        <v>223</v>
      </c>
      <c r="E150" t="s">
        <v>428</v>
      </c>
      <c r="F150" t="s">
        <v>2301</v>
      </c>
      <c r="G150" t="s">
        <v>467</v>
      </c>
      <c r="H150" t="s">
        <v>2233</v>
      </c>
      <c r="I150" t="s">
        <v>38</v>
      </c>
      <c r="J150">
        <v>0</v>
      </c>
      <c r="L150" s="44" t="str">
        <f t="shared" si="2"/>
        <v>URL</v>
      </c>
    </row>
    <row r="151" spans="1:12" x14ac:dyDescent="0.35">
      <c r="A151">
        <v>150</v>
      </c>
      <c r="B151" s="44" t="s">
        <v>1571</v>
      </c>
      <c r="C151" s="66">
        <v>45190</v>
      </c>
      <c r="D151" t="s">
        <v>222</v>
      </c>
      <c r="E151" t="s">
        <v>428</v>
      </c>
      <c r="F151" t="s">
        <v>2301</v>
      </c>
      <c r="G151" t="s">
        <v>424</v>
      </c>
      <c r="H151" t="s">
        <v>2235</v>
      </c>
      <c r="I151" t="s">
        <v>8</v>
      </c>
      <c r="J151">
        <v>0</v>
      </c>
      <c r="L151" s="44" t="str">
        <f t="shared" si="2"/>
        <v>URL</v>
      </c>
    </row>
    <row r="152" spans="1:12" x14ac:dyDescent="0.35">
      <c r="A152">
        <v>151</v>
      </c>
      <c r="B152" s="44" t="s">
        <v>1579</v>
      </c>
      <c r="C152" s="66">
        <v>44034</v>
      </c>
      <c r="D152" t="s">
        <v>232</v>
      </c>
      <c r="E152" t="s">
        <v>367</v>
      </c>
      <c r="F152" t="s">
        <v>2303</v>
      </c>
      <c r="G152" t="s">
        <v>745</v>
      </c>
      <c r="H152" t="s">
        <v>2236</v>
      </c>
      <c r="I152" t="s">
        <v>15</v>
      </c>
      <c r="J152" t="s">
        <v>38</v>
      </c>
      <c r="L152" s="44" t="str">
        <f t="shared" si="2"/>
        <v>URL</v>
      </c>
    </row>
    <row r="153" spans="1:12" x14ac:dyDescent="0.35">
      <c r="A153">
        <v>152</v>
      </c>
      <c r="B153" s="44" t="s">
        <v>1573</v>
      </c>
      <c r="C153" s="66">
        <v>44078</v>
      </c>
      <c r="D153" t="s">
        <v>224</v>
      </c>
      <c r="E153" t="s">
        <v>367</v>
      </c>
      <c r="F153" t="s">
        <v>1200</v>
      </c>
      <c r="G153" t="s">
        <v>638</v>
      </c>
      <c r="H153" t="s">
        <v>1203</v>
      </c>
      <c r="I153" t="s">
        <v>41</v>
      </c>
      <c r="J153">
        <v>0</v>
      </c>
      <c r="L153" s="44" t="str">
        <f t="shared" si="2"/>
        <v>URL</v>
      </c>
    </row>
    <row r="154" spans="1:12" x14ac:dyDescent="0.35">
      <c r="A154">
        <v>153</v>
      </c>
      <c r="B154" s="44" t="s">
        <v>1580</v>
      </c>
      <c r="C154" s="66">
        <v>44830</v>
      </c>
      <c r="D154" t="s">
        <v>1414</v>
      </c>
      <c r="E154" t="s">
        <v>367</v>
      </c>
      <c r="F154" t="s">
        <v>1200</v>
      </c>
      <c r="G154" t="s">
        <v>668</v>
      </c>
      <c r="H154" t="s">
        <v>2233</v>
      </c>
      <c r="I154" t="s">
        <v>38</v>
      </c>
      <c r="J154">
        <v>0</v>
      </c>
      <c r="L154" s="44" t="str">
        <f t="shared" si="2"/>
        <v>URL</v>
      </c>
    </row>
    <row r="155" spans="1:12" x14ac:dyDescent="0.35">
      <c r="A155">
        <v>154</v>
      </c>
      <c r="B155" s="44" t="s">
        <v>1578</v>
      </c>
      <c r="C155" s="66">
        <v>43537</v>
      </c>
      <c r="D155" t="s">
        <v>230</v>
      </c>
      <c r="E155" t="s">
        <v>367</v>
      </c>
      <c r="F155" t="s">
        <v>1200</v>
      </c>
      <c r="G155" t="s">
        <v>1988</v>
      </c>
      <c r="H155" t="s">
        <v>2233</v>
      </c>
      <c r="I155" t="s">
        <v>1200</v>
      </c>
      <c r="J155">
        <v>0</v>
      </c>
      <c r="L155" s="44" t="str">
        <f t="shared" si="2"/>
        <v>URL</v>
      </c>
    </row>
    <row r="156" spans="1:12" x14ac:dyDescent="0.35">
      <c r="A156">
        <v>155</v>
      </c>
      <c r="B156" s="44" t="s">
        <v>1581</v>
      </c>
      <c r="C156" s="66">
        <v>42913</v>
      </c>
      <c r="D156" t="s">
        <v>234</v>
      </c>
      <c r="E156" t="s">
        <v>367</v>
      </c>
      <c r="F156" t="s">
        <v>2303</v>
      </c>
      <c r="G156" t="s">
        <v>819</v>
      </c>
      <c r="H156" t="s">
        <v>2233</v>
      </c>
      <c r="I156" t="s">
        <v>8</v>
      </c>
      <c r="J156">
        <v>0</v>
      </c>
      <c r="L156" s="44" t="str">
        <f t="shared" si="2"/>
        <v>URL</v>
      </c>
    </row>
    <row r="157" spans="1:12" x14ac:dyDescent="0.35">
      <c r="A157">
        <v>156</v>
      </c>
      <c r="B157" s="44" t="s">
        <v>1576</v>
      </c>
      <c r="C157" s="66">
        <v>43312</v>
      </c>
      <c r="D157" t="s">
        <v>227</v>
      </c>
      <c r="E157" t="s">
        <v>367</v>
      </c>
      <c r="F157" t="s">
        <v>2303</v>
      </c>
      <c r="G157" t="s">
        <v>898</v>
      </c>
      <c r="H157" t="s">
        <v>2233</v>
      </c>
      <c r="I157" t="s">
        <v>38</v>
      </c>
      <c r="J157">
        <v>0</v>
      </c>
      <c r="L157" s="44" t="str">
        <f t="shared" si="2"/>
        <v>URL</v>
      </c>
    </row>
    <row r="158" spans="1:12" x14ac:dyDescent="0.35">
      <c r="A158">
        <v>157</v>
      </c>
      <c r="B158" s="44" t="s">
        <v>1574</v>
      </c>
      <c r="C158" s="66">
        <v>43592</v>
      </c>
      <c r="D158" t="s">
        <v>225</v>
      </c>
      <c r="E158" t="s">
        <v>367</v>
      </c>
      <c r="F158" t="s">
        <v>2303</v>
      </c>
      <c r="G158" t="s">
        <v>736</v>
      </c>
      <c r="H158" t="s">
        <v>2233</v>
      </c>
      <c r="I158" t="s">
        <v>24</v>
      </c>
      <c r="J158">
        <v>0</v>
      </c>
      <c r="L158" s="44" t="str">
        <f t="shared" si="2"/>
        <v>URL</v>
      </c>
    </row>
    <row r="159" spans="1:12" x14ac:dyDescent="0.35">
      <c r="A159">
        <v>158</v>
      </c>
      <c r="B159" s="44" t="s">
        <v>1575</v>
      </c>
      <c r="C159" s="66">
        <v>43635</v>
      </c>
      <c r="D159" t="s">
        <v>226</v>
      </c>
      <c r="E159" t="s">
        <v>367</v>
      </c>
      <c r="F159" t="s">
        <v>2303</v>
      </c>
      <c r="G159" t="s">
        <v>472</v>
      </c>
      <c r="H159" t="s">
        <v>2236</v>
      </c>
      <c r="I159" t="s">
        <v>38</v>
      </c>
      <c r="J159">
        <v>0</v>
      </c>
      <c r="L159" s="44" t="str">
        <f t="shared" si="2"/>
        <v>URL</v>
      </c>
    </row>
    <row r="160" spans="1:12" x14ac:dyDescent="0.35">
      <c r="A160">
        <v>159</v>
      </c>
      <c r="B160" s="44" t="s">
        <v>1577</v>
      </c>
      <c r="C160" s="66">
        <v>44007</v>
      </c>
      <c r="D160" t="s">
        <v>228</v>
      </c>
      <c r="E160" t="s">
        <v>367</v>
      </c>
      <c r="F160" t="s">
        <v>2303</v>
      </c>
      <c r="G160" t="s">
        <v>1978</v>
      </c>
      <c r="H160" t="s">
        <v>2236</v>
      </c>
      <c r="I160" t="s">
        <v>15</v>
      </c>
      <c r="J160">
        <v>0</v>
      </c>
      <c r="L160" s="44" t="str">
        <f t="shared" si="2"/>
        <v>URL</v>
      </c>
    </row>
    <row r="161" spans="1:12" x14ac:dyDescent="0.35">
      <c r="A161">
        <v>160</v>
      </c>
      <c r="B161" s="44" t="s">
        <v>1583</v>
      </c>
      <c r="C161" s="66">
        <v>44460</v>
      </c>
      <c r="D161" t="s">
        <v>237</v>
      </c>
      <c r="E161" t="s">
        <v>312</v>
      </c>
      <c r="F161" t="s">
        <v>2302</v>
      </c>
      <c r="G161" t="s">
        <v>823</v>
      </c>
      <c r="H161" t="s">
        <v>2235</v>
      </c>
      <c r="I161" t="s">
        <v>38</v>
      </c>
      <c r="J161" t="s">
        <v>8</v>
      </c>
      <c r="L161" s="44" t="str">
        <f t="shared" si="2"/>
        <v>URL</v>
      </c>
    </row>
    <row r="162" spans="1:12" x14ac:dyDescent="0.35">
      <c r="A162">
        <v>161</v>
      </c>
      <c r="B162" s="44" t="s">
        <v>1582</v>
      </c>
      <c r="C162" s="66">
        <v>44202</v>
      </c>
      <c r="D162" t="s">
        <v>235</v>
      </c>
      <c r="E162" t="s">
        <v>312</v>
      </c>
      <c r="F162" t="s">
        <v>2302</v>
      </c>
      <c r="G162" t="s">
        <v>837</v>
      </c>
      <c r="H162" t="s">
        <v>2233</v>
      </c>
      <c r="I162" t="s">
        <v>8</v>
      </c>
      <c r="J162" t="s">
        <v>38</v>
      </c>
      <c r="L162" s="44" t="str">
        <f t="shared" si="2"/>
        <v>URL</v>
      </c>
    </row>
    <row r="163" spans="1:12" x14ac:dyDescent="0.35">
      <c r="A163">
        <v>162</v>
      </c>
      <c r="B163" s="44" t="s">
        <v>1584</v>
      </c>
      <c r="C163" s="66">
        <v>44575</v>
      </c>
      <c r="D163" t="s">
        <v>239</v>
      </c>
      <c r="E163" t="s">
        <v>1932</v>
      </c>
      <c r="F163" t="s">
        <v>1200</v>
      </c>
      <c r="G163" t="s">
        <v>758</v>
      </c>
      <c r="H163" t="s">
        <v>2233</v>
      </c>
      <c r="I163" t="s">
        <v>41</v>
      </c>
      <c r="J163" t="s">
        <v>1201</v>
      </c>
      <c r="L163" s="44" t="str">
        <f t="shared" si="2"/>
        <v>URL</v>
      </c>
    </row>
    <row r="164" spans="1:12" x14ac:dyDescent="0.35">
      <c r="A164">
        <v>163</v>
      </c>
      <c r="B164" s="44" t="s">
        <v>1585</v>
      </c>
      <c r="C164" s="66">
        <v>43880</v>
      </c>
      <c r="D164" t="s">
        <v>240</v>
      </c>
      <c r="E164" t="s">
        <v>1932</v>
      </c>
      <c r="F164" t="s">
        <v>2300</v>
      </c>
      <c r="G164" t="s">
        <v>2075</v>
      </c>
      <c r="H164" t="s">
        <v>2233</v>
      </c>
      <c r="I164" t="s">
        <v>38</v>
      </c>
      <c r="J164">
        <v>0</v>
      </c>
      <c r="L164" s="44" t="str">
        <f t="shared" si="2"/>
        <v>URL</v>
      </c>
    </row>
    <row r="165" spans="1:12" x14ac:dyDescent="0.35">
      <c r="A165">
        <v>164</v>
      </c>
      <c r="B165" s="44" t="s">
        <v>1586</v>
      </c>
      <c r="C165" s="66">
        <v>44203</v>
      </c>
      <c r="D165" t="s">
        <v>241</v>
      </c>
      <c r="E165" t="s">
        <v>1932</v>
      </c>
      <c r="F165" t="s">
        <v>2300</v>
      </c>
      <c r="G165" t="s">
        <v>907</v>
      </c>
      <c r="H165" t="s">
        <v>2233</v>
      </c>
      <c r="I165" t="s">
        <v>8</v>
      </c>
      <c r="J165">
        <v>0</v>
      </c>
      <c r="L165" s="44" t="str">
        <f t="shared" si="2"/>
        <v>URL</v>
      </c>
    </row>
    <row r="166" spans="1:12" x14ac:dyDescent="0.35">
      <c r="A166">
        <v>165</v>
      </c>
      <c r="B166" s="44" t="s">
        <v>1437</v>
      </c>
      <c r="C166" s="66">
        <v>44930</v>
      </c>
      <c r="D166" t="s">
        <v>33</v>
      </c>
      <c r="E166" t="s">
        <v>1932</v>
      </c>
      <c r="F166" t="s">
        <v>2300</v>
      </c>
      <c r="G166" t="s">
        <v>379</v>
      </c>
      <c r="H166" t="s">
        <v>2235</v>
      </c>
      <c r="I166" t="s">
        <v>8</v>
      </c>
      <c r="J166">
        <v>0</v>
      </c>
      <c r="L166" s="44" t="str">
        <f t="shared" si="2"/>
        <v>URL</v>
      </c>
    </row>
    <row r="167" spans="1:12" x14ac:dyDescent="0.35">
      <c r="A167">
        <v>166</v>
      </c>
      <c r="B167" s="44" t="s">
        <v>1434</v>
      </c>
      <c r="C167" s="66">
        <v>45162</v>
      </c>
      <c r="D167" t="s">
        <v>29</v>
      </c>
      <c r="E167" t="s">
        <v>364</v>
      </c>
      <c r="F167" t="s">
        <v>2300</v>
      </c>
      <c r="G167" t="s">
        <v>379</v>
      </c>
      <c r="H167" t="s">
        <v>2235</v>
      </c>
      <c r="I167" t="s">
        <v>8</v>
      </c>
      <c r="J167">
        <v>0</v>
      </c>
      <c r="L167" s="44" t="str">
        <f t="shared" si="2"/>
        <v>URL</v>
      </c>
    </row>
    <row r="168" spans="1:12" x14ac:dyDescent="0.35">
      <c r="A168">
        <v>167</v>
      </c>
      <c r="B168" s="44" t="s">
        <v>1438</v>
      </c>
      <c r="C168" s="66">
        <v>45098</v>
      </c>
      <c r="D168" t="s">
        <v>34</v>
      </c>
      <c r="E168" t="s">
        <v>674</v>
      </c>
      <c r="F168" t="s">
        <v>2302</v>
      </c>
      <c r="G168" t="s">
        <v>340</v>
      </c>
      <c r="H168" t="s">
        <v>2233</v>
      </c>
      <c r="I168" t="s">
        <v>8</v>
      </c>
      <c r="J168">
        <v>0</v>
      </c>
      <c r="L168" s="44" t="str">
        <f t="shared" si="2"/>
        <v>URL</v>
      </c>
    </row>
    <row r="169" spans="1:12" x14ac:dyDescent="0.35">
      <c r="A169">
        <v>168</v>
      </c>
      <c r="B169" s="44" t="s">
        <v>1484</v>
      </c>
      <c r="C169" s="66">
        <v>43848</v>
      </c>
      <c r="D169" t="s">
        <v>98</v>
      </c>
      <c r="E169" t="s">
        <v>724</v>
      </c>
      <c r="F169" t="s">
        <v>2303</v>
      </c>
      <c r="G169" t="s">
        <v>386</v>
      </c>
      <c r="H169" t="s">
        <v>2235</v>
      </c>
      <c r="I169" t="s">
        <v>8</v>
      </c>
      <c r="J169">
        <v>0</v>
      </c>
      <c r="L169" s="44" t="str">
        <f t="shared" si="2"/>
        <v>URL</v>
      </c>
    </row>
    <row r="170" spans="1:12" x14ac:dyDescent="0.35">
      <c r="A170">
        <v>169</v>
      </c>
      <c r="B170" s="44" t="s">
        <v>1505</v>
      </c>
      <c r="C170" s="66">
        <v>44826</v>
      </c>
      <c r="D170" t="s">
        <v>125</v>
      </c>
      <c r="E170" t="s">
        <v>1951</v>
      </c>
      <c r="F170" t="s">
        <v>2300</v>
      </c>
      <c r="G170" t="s">
        <v>1933</v>
      </c>
      <c r="H170" t="s">
        <v>2233</v>
      </c>
      <c r="I170" t="s">
        <v>12</v>
      </c>
      <c r="J170">
        <v>0</v>
      </c>
      <c r="L170" s="44" t="str">
        <f t="shared" si="2"/>
        <v>URL</v>
      </c>
    </row>
    <row r="171" spans="1:12" x14ac:dyDescent="0.35">
      <c r="A171">
        <v>170</v>
      </c>
      <c r="B171" s="44" t="s">
        <v>1508</v>
      </c>
      <c r="C171" s="66">
        <v>44812</v>
      </c>
      <c r="D171" t="s">
        <v>131</v>
      </c>
      <c r="E171" t="s">
        <v>580</v>
      </c>
      <c r="F171" t="s">
        <v>2302</v>
      </c>
      <c r="G171" t="s">
        <v>300</v>
      </c>
      <c r="H171" t="s">
        <v>2235</v>
      </c>
      <c r="I171" t="s">
        <v>8</v>
      </c>
      <c r="J171">
        <v>0</v>
      </c>
      <c r="L171" s="44" t="str">
        <f t="shared" si="2"/>
        <v>URL</v>
      </c>
    </row>
    <row r="172" spans="1:12" x14ac:dyDescent="0.35">
      <c r="A172">
        <v>171</v>
      </c>
      <c r="B172" s="44" t="s">
        <v>1547</v>
      </c>
      <c r="C172" s="66">
        <v>44204</v>
      </c>
      <c r="D172" t="s">
        <v>186</v>
      </c>
      <c r="E172" t="s">
        <v>580</v>
      </c>
      <c r="F172" t="s">
        <v>2302</v>
      </c>
      <c r="G172" t="s">
        <v>1935</v>
      </c>
      <c r="H172" t="s">
        <v>2233</v>
      </c>
      <c r="I172" t="s">
        <v>8</v>
      </c>
      <c r="J172">
        <v>0</v>
      </c>
      <c r="L172" s="44" t="str">
        <f t="shared" si="2"/>
        <v>URL</v>
      </c>
    </row>
    <row r="173" spans="1:12" x14ac:dyDescent="0.35">
      <c r="A173">
        <v>172</v>
      </c>
      <c r="B173" s="44" t="s">
        <v>1551</v>
      </c>
      <c r="C173" s="66">
        <v>43472</v>
      </c>
      <c r="D173" t="s">
        <v>194</v>
      </c>
      <c r="E173" t="s">
        <v>418</v>
      </c>
      <c r="F173" t="s">
        <v>2300</v>
      </c>
      <c r="G173" t="s">
        <v>397</v>
      </c>
      <c r="H173" t="s">
        <v>2234</v>
      </c>
      <c r="I173" t="s">
        <v>8</v>
      </c>
      <c r="J173" t="s">
        <v>38</v>
      </c>
      <c r="L173" s="44" t="str">
        <f t="shared" si="2"/>
        <v>URL</v>
      </c>
    </row>
    <row r="174" spans="1:12" x14ac:dyDescent="0.35">
      <c r="A174">
        <v>173</v>
      </c>
      <c r="B174" s="44" t="s">
        <v>1554</v>
      </c>
      <c r="C174" s="66">
        <v>43473</v>
      </c>
      <c r="D174" t="s">
        <v>200</v>
      </c>
      <c r="E174" t="s">
        <v>1932</v>
      </c>
      <c r="F174" t="s">
        <v>2300</v>
      </c>
      <c r="G174" t="s">
        <v>2076</v>
      </c>
      <c r="H174" t="s">
        <v>2235</v>
      </c>
      <c r="I174" t="s">
        <v>15</v>
      </c>
      <c r="J174">
        <v>0</v>
      </c>
      <c r="L174" s="44" t="str">
        <f t="shared" si="2"/>
        <v>URL</v>
      </c>
    </row>
    <row r="175" spans="1:12" x14ac:dyDescent="0.35">
      <c r="A175">
        <v>174</v>
      </c>
      <c r="B175" s="44" t="s">
        <v>1561</v>
      </c>
      <c r="C175" s="66">
        <v>43916</v>
      </c>
      <c r="D175" t="s">
        <v>211</v>
      </c>
      <c r="E175" t="s">
        <v>1932</v>
      </c>
      <c r="F175" t="s">
        <v>2301</v>
      </c>
      <c r="G175" t="s">
        <v>420</v>
      </c>
      <c r="H175" t="s">
        <v>2233</v>
      </c>
      <c r="I175" t="s">
        <v>15</v>
      </c>
      <c r="J175" t="s">
        <v>1201</v>
      </c>
      <c r="L175" s="44" t="str">
        <f t="shared" si="2"/>
        <v>URL</v>
      </c>
    </row>
    <row r="176" spans="1:12" x14ac:dyDescent="0.35">
      <c r="A176">
        <v>175</v>
      </c>
      <c r="B176" s="44" t="s">
        <v>1565</v>
      </c>
      <c r="C176" s="66">
        <v>44719</v>
      </c>
      <c r="D176" t="s">
        <v>217</v>
      </c>
      <c r="E176" t="s">
        <v>367</v>
      </c>
      <c r="F176" t="s">
        <v>2301</v>
      </c>
      <c r="G176" t="s">
        <v>424</v>
      </c>
      <c r="H176" t="s">
        <v>2235</v>
      </c>
      <c r="I176" t="s">
        <v>8</v>
      </c>
      <c r="J176">
        <v>0</v>
      </c>
      <c r="L176" s="44" t="str">
        <f t="shared" si="2"/>
        <v>URL</v>
      </c>
    </row>
    <row r="177" spans="1:12" x14ac:dyDescent="0.35">
      <c r="A177">
        <v>176</v>
      </c>
      <c r="B177" s="44" t="s">
        <v>1571</v>
      </c>
      <c r="C177" s="66">
        <v>45190</v>
      </c>
      <c r="D177" t="s">
        <v>222</v>
      </c>
      <c r="E177" t="s">
        <v>424</v>
      </c>
      <c r="F177" t="s">
        <v>2301</v>
      </c>
      <c r="G177" t="s">
        <v>428</v>
      </c>
      <c r="H177" t="s">
        <v>2235</v>
      </c>
      <c r="I177" t="s">
        <v>8</v>
      </c>
      <c r="J177">
        <v>0</v>
      </c>
      <c r="L177" s="44" t="str">
        <f t="shared" si="2"/>
        <v>URL</v>
      </c>
    </row>
    <row r="178" spans="1:12" x14ac:dyDescent="0.35">
      <c r="A178">
        <v>177</v>
      </c>
      <c r="B178" s="44" t="s">
        <v>1574</v>
      </c>
      <c r="C178" s="66">
        <v>43592</v>
      </c>
      <c r="D178" t="s">
        <v>225</v>
      </c>
      <c r="E178" t="s">
        <v>736</v>
      </c>
      <c r="F178" t="s">
        <v>2303</v>
      </c>
      <c r="G178" t="s">
        <v>367</v>
      </c>
      <c r="H178" t="s">
        <v>2233</v>
      </c>
      <c r="I178" t="s">
        <v>24</v>
      </c>
      <c r="J178">
        <v>0</v>
      </c>
      <c r="L178" s="44" t="str">
        <f t="shared" si="2"/>
        <v>URL</v>
      </c>
    </row>
    <row r="179" spans="1:12" x14ac:dyDescent="0.35">
      <c r="A179">
        <v>178</v>
      </c>
      <c r="B179" s="44" t="s">
        <v>1575</v>
      </c>
      <c r="C179" s="66">
        <v>43635</v>
      </c>
      <c r="D179" t="s">
        <v>226</v>
      </c>
      <c r="E179" t="s">
        <v>367</v>
      </c>
      <c r="F179" t="s">
        <v>2302</v>
      </c>
      <c r="G179" t="s">
        <v>472</v>
      </c>
      <c r="H179" t="s">
        <v>2236</v>
      </c>
      <c r="I179" t="s">
        <v>38</v>
      </c>
      <c r="J179">
        <v>0</v>
      </c>
      <c r="L179" s="44" t="str">
        <f t="shared" si="2"/>
        <v>URL</v>
      </c>
    </row>
    <row r="180" spans="1:12" x14ac:dyDescent="0.35">
      <c r="A180">
        <v>179</v>
      </c>
      <c r="B180" s="44" t="s">
        <v>1494</v>
      </c>
      <c r="C180" s="66">
        <v>44019</v>
      </c>
      <c r="D180" t="s">
        <v>113</v>
      </c>
      <c r="E180" t="s">
        <v>354</v>
      </c>
      <c r="F180" t="s">
        <v>2300</v>
      </c>
      <c r="G180" t="s">
        <v>1963</v>
      </c>
      <c r="H180" t="s">
        <v>2235</v>
      </c>
      <c r="I180" t="s">
        <v>24</v>
      </c>
      <c r="J180">
        <v>0</v>
      </c>
      <c r="L180" s="44" t="str">
        <f t="shared" si="2"/>
        <v>URL</v>
      </c>
    </row>
  </sheetData>
  <hyperlinks>
    <hyperlink ref="B2" r:id="rId1" xr:uid="{2FA5D2F1-2C4C-4CC8-8935-F2B50CFE9AA5}"/>
    <hyperlink ref="B3" r:id="rId2" xr:uid="{3B813771-B491-4B7D-AA95-E6C7B18EF805}"/>
    <hyperlink ref="B4" r:id="rId3" xr:uid="{BDB87885-E54D-44BC-8312-EC4941F4989E}"/>
    <hyperlink ref="B5" r:id="rId4" xr:uid="{F594C721-D17B-4EB8-A61A-0CDBE0868757}"/>
    <hyperlink ref="B6" r:id="rId5" xr:uid="{16A70775-7ADE-49D5-A9A0-E656A6A26444}"/>
    <hyperlink ref="B7" r:id="rId6" xr:uid="{EC30B1E7-8B59-43A6-91A1-32CA8A1A8F56}"/>
    <hyperlink ref="B8" r:id="rId7" xr:uid="{CF9FF491-ACEA-463B-994C-5EE0BF3F1FA6}"/>
    <hyperlink ref="B10" r:id="rId8" xr:uid="{A0F26E23-697E-455D-92FF-E8BCFF26BDF6}"/>
    <hyperlink ref="B11" r:id="rId9" xr:uid="{3CFA4458-EF3A-4D81-8FFC-8C63263AA7D3}"/>
    <hyperlink ref="B12" r:id="rId10" xr:uid="{468FF8CA-E098-403F-A6D3-0C05916EA6A4}"/>
    <hyperlink ref="B13" r:id="rId11" xr:uid="{18C0AD04-1006-4A84-BE35-6844857E0F7F}"/>
    <hyperlink ref="B14" r:id="rId12" xr:uid="{09394076-F4F3-4628-98AA-9EB93F1E5B21}"/>
    <hyperlink ref="B15" r:id="rId13" xr:uid="{C8E3D673-1FEC-444E-8CF4-27F793D219D4}"/>
    <hyperlink ref="B16" r:id="rId14" xr:uid="{3FD95A2D-AEAB-4E41-9817-AB14F2095C57}"/>
    <hyperlink ref="B18" r:id="rId15" xr:uid="{5265DD60-FAF2-48E3-96EE-D87E8E3CCD80}"/>
    <hyperlink ref="B19" r:id="rId16" xr:uid="{BDE2F9B4-EADA-4F82-AE00-C8E168F073E2}"/>
    <hyperlink ref="B20" r:id="rId17" xr:uid="{8E821B7C-2052-4613-BB98-4990CA6D946C}"/>
    <hyperlink ref="B21" r:id="rId18" xr:uid="{3575D1E5-3A3A-4FF6-AEBF-D3423085C9BF}"/>
    <hyperlink ref="B22" r:id="rId19" xr:uid="{01EFDEC1-7732-4956-B68E-5C12AB1A7B0C}"/>
    <hyperlink ref="B23" r:id="rId20" xr:uid="{C16D3F8C-AAEC-4B48-82A5-C698D08E3470}"/>
    <hyperlink ref="B24" r:id="rId21" xr:uid="{60D3B45A-A4BE-4F6F-86CE-0BFB1DBB7276}"/>
    <hyperlink ref="B25" r:id="rId22" xr:uid="{3F2F7894-C904-47A7-84A3-1D8B3E8CE39F}"/>
    <hyperlink ref="B26" r:id="rId23" xr:uid="{9A9BA560-268D-446E-AAE4-96117DB74EE7}"/>
    <hyperlink ref="B28" r:id="rId24" xr:uid="{39427A5C-5C5C-44BB-80E7-94E7A250CACA}"/>
    <hyperlink ref="B29" r:id="rId25" xr:uid="{84C16C54-0DD4-450D-B395-3AEDFA47BD6B}"/>
    <hyperlink ref="B31" r:id="rId26" xr:uid="{BC99523B-B688-4435-9A86-D8F05F873A4B}"/>
    <hyperlink ref="B32" r:id="rId27" xr:uid="{9BFAC58E-ACE3-49CE-B8A8-A5512236286D}"/>
    <hyperlink ref="B34" r:id="rId28" xr:uid="{2A8C5364-190F-48AE-8DB7-A4534C706F0F}"/>
    <hyperlink ref="B35" r:id="rId29" xr:uid="{D90BBF72-B409-4BB7-A17F-5BD9C7020728}"/>
    <hyperlink ref="B37" r:id="rId30" xr:uid="{F6F7FA58-7212-42BD-9D32-489A80A6F270}"/>
    <hyperlink ref="B38" r:id="rId31" xr:uid="{FECBBBF0-40E6-472D-8CEE-B75AE53D2D15}"/>
    <hyperlink ref="B39" r:id="rId32" xr:uid="{33BE3FFA-CE7D-4F3C-A44D-2182F955139B}"/>
    <hyperlink ref="B40" r:id="rId33" xr:uid="{36110353-739B-4609-965A-79BCCBD41DED}"/>
    <hyperlink ref="B41" r:id="rId34" xr:uid="{D0596774-A049-40FF-BC10-DE2B45BB978C}"/>
    <hyperlink ref="B43" r:id="rId35" xr:uid="{A86D0CA2-457F-45DB-944F-A433AAF3E9E6}"/>
    <hyperlink ref="B45" r:id="rId36" xr:uid="{D4B26FA0-B293-44D3-9EA3-FB023766566E}"/>
    <hyperlink ref="B46" r:id="rId37" xr:uid="{998CEE9A-B1FC-48D1-A153-01635C8B2B42}"/>
    <hyperlink ref="B48" r:id="rId38" xr:uid="{3680E307-1246-407E-B394-E1E5D2128032}"/>
    <hyperlink ref="B49" r:id="rId39" xr:uid="{1B9090D7-495E-4C5D-979E-4A8E152781F2}"/>
    <hyperlink ref="B51" r:id="rId40" xr:uid="{210ECFBF-94C3-4FEA-AF42-935119A24087}"/>
    <hyperlink ref="B52" r:id="rId41" xr:uid="{7A37566F-B544-4F67-A9BA-700CFB1983D9}"/>
    <hyperlink ref="B53" r:id="rId42" xr:uid="{757E2FD4-12CB-4248-B57A-F2C1FDC70129}"/>
    <hyperlink ref="B54" r:id="rId43" xr:uid="{53D6D060-6924-4B24-AF41-5ACD5949BF58}"/>
    <hyperlink ref="B55" r:id="rId44" xr:uid="{DF46A623-5C0D-4EB1-994E-00740564B524}"/>
    <hyperlink ref="B57" r:id="rId45" xr:uid="{960F1645-A56A-4C82-8323-BD0BE7E8EE41}"/>
    <hyperlink ref="B58" r:id="rId46" xr:uid="{1FDDA3F0-154D-4AF3-97B3-37812F451004}"/>
    <hyperlink ref="B59" r:id="rId47" xr:uid="{4E767BBE-0F50-4E75-88C7-5FA602406E7E}"/>
    <hyperlink ref="B60" r:id="rId48" xr:uid="{BC5879EE-0807-4D52-8285-597DA7A6A44C}"/>
    <hyperlink ref="B61" r:id="rId49" xr:uid="{F9991172-ADFD-4011-80E6-B274E41A9B23}"/>
    <hyperlink ref="B62" r:id="rId50" xr:uid="{B55B7769-4A94-4665-BE26-DAF0885274C0}"/>
    <hyperlink ref="B63" r:id="rId51" xr:uid="{815D5493-DBF6-4C0E-850F-DC1554D8F791}"/>
    <hyperlink ref="B64" r:id="rId52" xr:uid="{C8491DAE-DCA5-4576-9D43-9EE03A53466D}"/>
    <hyperlink ref="B65" r:id="rId53" xr:uid="{65CA1490-1D9C-4F03-9BCC-0D87498C47D6}"/>
    <hyperlink ref="B66" r:id="rId54" xr:uid="{9A03A3C9-41D5-4A36-9632-61D988C42936}"/>
    <hyperlink ref="B67" r:id="rId55" xr:uid="{D3318B27-E372-439E-A46B-21AE251AF6F0}"/>
    <hyperlink ref="B68" r:id="rId56" xr:uid="{58B3EACD-0CE9-4E70-995A-330B6AC8BE0D}"/>
    <hyperlink ref="B69" r:id="rId57" xr:uid="{9EA4594C-2A80-4BD9-B023-0D96F8729F38}"/>
    <hyperlink ref="B70" r:id="rId58" xr:uid="{24438576-74A9-4775-8A64-92819BCBA4FC}"/>
    <hyperlink ref="B71" r:id="rId59" xr:uid="{32071102-B57D-456F-8289-3546751C0D0B}"/>
    <hyperlink ref="B72" r:id="rId60" xr:uid="{24915456-8E27-4E99-ADEE-D873588AEE38}"/>
    <hyperlink ref="B73" r:id="rId61" xr:uid="{9531574C-43E4-4364-8ED7-84BD5D3E11B8}"/>
    <hyperlink ref="B74" r:id="rId62" xr:uid="{72994801-03BE-4FC2-A66D-190E69D58085}"/>
    <hyperlink ref="B75" r:id="rId63" xr:uid="{7D94228A-72FE-4ADE-9B20-2EF961D92EF6}"/>
    <hyperlink ref="B76" r:id="rId64" xr:uid="{12DA234F-5677-488F-88E0-CC37A7CA69FD}"/>
    <hyperlink ref="B77" r:id="rId65" xr:uid="{9DFE3BAB-E19A-4B6E-B6FB-863D12128D84}"/>
    <hyperlink ref="B78" r:id="rId66" xr:uid="{D8317543-3A0C-4A44-897E-E2C96A50999A}"/>
    <hyperlink ref="B79" r:id="rId67" xr:uid="{A0DA2AA1-431D-4817-8F91-C3E1A8F61314}"/>
    <hyperlink ref="B80" r:id="rId68" xr:uid="{D1EF8FEF-ABA3-4A83-BC87-4257594BE36C}"/>
    <hyperlink ref="B82" r:id="rId69" xr:uid="{9E931275-7329-4297-94D4-677988E85BCD}"/>
    <hyperlink ref="B83" r:id="rId70" xr:uid="{3FDBAF6B-480E-41C5-966E-0E03C51AD225}"/>
    <hyperlink ref="B84" r:id="rId71" xr:uid="{794813A0-69D9-4450-9E0B-FB87A88F0C17}"/>
    <hyperlink ref="B85" r:id="rId72" xr:uid="{3E7E93AC-D62D-4E82-B912-EBFC596E1418}"/>
    <hyperlink ref="B86" r:id="rId73" xr:uid="{B1B7CF33-5946-4967-9873-2AD1AE318A3E}"/>
    <hyperlink ref="B87" r:id="rId74" xr:uid="{A1806427-6581-42D9-842E-55755381DB6A}"/>
    <hyperlink ref="B88" r:id="rId75" xr:uid="{F8695BD0-737C-4566-9639-F0866DF94189}"/>
    <hyperlink ref="B89" r:id="rId76" xr:uid="{3C3D9297-2AC9-4544-8DCD-E391879A1CF5}"/>
    <hyperlink ref="B90" r:id="rId77" xr:uid="{080DB38C-CE47-4A17-A74D-95FC5D7E9923}"/>
    <hyperlink ref="B91" r:id="rId78" xr:uid="{63363DD1-3A29-4D2F-9D62-F38A900B6CDA}"/>
    <hyperlink ref="B92" r:id="rId79" xr:uid="{35802010-8414-4EBD-88A5-777123982DDF}"/>
    <hyperlink ref="B93" r:id="rId80" xr:uid="{78ED3C49-C3BC-4144-A223-3DD13CA2B16D}"/>
    <hyperlink ref="B94" r:id="rId81" xr:uid="{DD1DCCCE-25CA-4D70-8334-DB6C97C3508E}"/>
    <hyperlink ref="B95" r:id="rId82" xr:uid="{594EB852-3FD6-4EFB-9FC1-EDE8D4CF7C05}"/>
    <hyperlink ref="B96" r:id="rId83" xr:uid="{9A6479CA-F1D2-48D7-A44A-CFBE405CD785}"/>
    <hyperlink ref="B97" r:id="rId84" xr:uid="{4CD82DFB-C1E3-4B36-97DD-3AADE2DD885E}"/>
    <hyperlink ref="B98" r:id="rId85" xr:uid="{1D85925C-4D41-4764-A00A-C122F99DEB9D}"/>
    <hyperlink ref="B100" r:id="rId86" xr:uid="{E85B1F38-F43F-459F-A100-B8685C8AFBFA}"/>
    <hyperlink ref="B101" r:id="rId87" xr:uid="{F0CA6CA0-8660-4927-B9E9-4C5CD7DEF71A}"/>
    <hyperlink ref="B102" r:id="rId88" xr:uid="{4ABD69FD-93D1-444F-A964-2827EFC0B060}"/>
    <hyperlink ref="B103" r:id="rId89" xr:uid="{63E22063-51DE-480C-8F99-CDFE28ED1882}"/>
    <hyperlink ref="B104" r:id="rId90" xr:uid="{A7532EBE-88F4-4F4C-9B40-C7FC945D00FB}"/>
    <hyperlink ref="B105" r:id="rId91" xr:uid="{556D54AC-E9AE-400C-BCFF-490D602A337C}"/>
    <hyperlink ref="B106" r:id="rId92" xr:uid="{269BFEB2-B020-42F2-80BF-E444EB48E3DA}"/>
    <hyperlink ref="B107" r:id="rId93" xr:uid="{9AED7056-B8B0-4D63-AE71-ABB52B02893A}"/>
    <hyperlink ref="B108" r:id="rId94" xr:uid="{15F23267-F7D4-43A0-A582-178B3C5DBD00}"/>
    <hyperlink ref="B109" r:id="rId95" xr:uid="{F41EA4EA-EBD6-44BE-8C84-6C0251D53403}"/>
    <hyperlink ref="B110" r:id="rId96" xr:uid="{9069A07A-B4DD-4EB1-B3AC-9CC5E5F0D394}"/>
    <hyperlink ref="B111" r:id="rId97" xr:uid="{C5A0820A-6508-4894-809A-3EF61FF6A11D}"/>
    <hyperlink ref="B112" r:id="rId98" xr:uid="{BF13D23E-96FA-4366-B2CC-D57ED5EDAF54}"/>
    <hyperlink ref="B113" r:id="rId99" xr:uid="{B5347AA7-83AA-4786-A887-4B77C4F3E0D1}"/>
    <hyperlink ref="B114" r:id="rId100" xr:uid="{FD9CF0BF-0857-4C05-B1E6-1E9FE4F06E37}"/>
    <hyperlink ref="B115" r:id="rId101" xr:uid="{7F78D64F-1317-4500-B95A-3A6C4A70442F}"/>
    <hyperlink ref="B116" r:id="rId102" xr:uid="{AE98ABAD-6649-45CE-92FA-50D7A2C2BD58}"/>
    <hyperlink ref="B117" r:id="rId103" xr:uid="{D59FAB8A-8B84-43F0-8A59-40A5030A140A}"/>
    <hyperlink ref="B118" r:id="rId104" xr:uid="{7285876D-5528-4A7A-AC1D-6E7AF4585BEA}"/>
    <hyperlink ref="B119" r:id="rId105" xr:uid="{37DF6520-CC3A-4392-B180-939773B4E1B2}"/>
    <hyperlink ref="B120" r:id="rId106" xr:uid="{F161A3D8-FA17-47D5-8014-1B2F187B3E40}"/>
    <hyperlink ref="B121" r:id="rId107" xr:uid="{F517127E-65A1-4658-920F-500CFAE4A6B7}"/>
    <hyperlink ref="B122" r:id="rId108" xr:uid="{ED28C12B-7A1D-4116-85B9-BC318B89C65D}"/>
    <hyperlink ref="B123" r:id="rId109" xr:uid="{53B44381-3719-4B5A-A8AA-BC59737B9465}"/>
    <hyperlink ref="B124" r:id="rId110" xr:uid="{400ECEA3-1D97-40EB-ADB1-02C688346E1C}"/>
    <hyperlink ref="B125" r:id="rId111" xr:uid="{9EC43BF1-07EE-40CD-B578-FAAA99AA278E}"/>
    <hyperlink ref="B126" r:id="rId112" xr:uid="{C06B3A7F-9DAB-4B0A-BE6D-F10D34C54C08}"/>
    <hyperlink ref="B127" r:id="rId113" xr:uid="{F50F967A-9D05-4442-878C-CB506F8C3447}"/>
    <hyperlink ref="B128" r:id="rId114" xr:uid="{4E5FE130-3F93-4669-BE40-7DEE559A3D57}"/>
    <hyperlink ref="B129" r:id="rId115" xr:uid="{49B550FF-27AA-4AAC-A3E7-B0FD77FC0357}"/>
    <hyperlink ref="B130" r:id="rId116" xr:uid="{FF698031-818B-4F76-A528-9E7DFB68C15A}"/>
    <hyperlink ref="B131" r:id="rId117" xr:uid="{2F8397D7-B8BC-4511-A65E-1610B920A3DD}"/>
    <hyperlink ref="B132" r:id="rId118" xr:uid="{4FB4E5AF-13D9-4A5C-84B9-D9C0386AD968}"/>
    <hyperlink ref="B133" r:id="rId119" xr:uid="{1F4683CC-3F14-4B10-8956-4048117F20E7}"/>
    <hyperlink ref="B134" r:id="rId120" xr:uid="{82FF46E1-F6A7-4DDE-9ED3-408E94F11E72}"/>
    <hyperlink ref="B135" r:id="rId121" xr:uid="{5C2DC962-CC56-4438-BD02-7D9F9BB8153F}"/>
    <hyperlink ref="B136" r:id="rId122" xr:uid="{FE0BD161-98E6-4000-AF28-0C34C503EA4E}"/>
    <hyperlink ref="B137" r:id="rId123" xr:uid="{769DB2B9-4F3D-4D70-A9AB-B5B9F9837BD1}"/>
    <hyperlink ref="B138" r:id="rId124" xr:uid="{9051055E-4613-4EAA-890E-825E1062F80D}"/>
    <hyperlink ref="B139" r:id="rId125" xr:uid="{4660BC4C-3F5C-4ABE-BAB5-275A3B4B787F}"/>
    <hyperlink ref="B140" r:id="rId126" xr:uid="{11697F86-71EF-4AA8-AF99-CBC47072320F}"/>
    <hyperlink ref="B141" r:id="rId127" xr:uid="{F0203672-47C0-4BAF-BE43-212B741E1C5F}"/>
    <hyperlink ref="B142" r:id="rId128" xr:uid="{4FD2D0CC-65B7-471E-9910-290C7AFFD2F2}"/>
    <hyperlink ref="B143" r:id="rId129" xr:uid="{C0864661-D3A6-45BC-B688-49EA8CA958AA}"/>
    <hyperlink ref="B144" r:id="rId130" xr:uid="{070E6603-AC13-408F-9F02-C15999135C2B}"/>
    <hyperlink ref="B145" r:id="rId131" xr:uid="{BBF75990-DD04-4A79-995B-1955CE979B29}"/>
    <hyperlink ref="B146" r:id="rId132" xr:uid="{7FCEC0F8-4664-415C-9ADC-7FD642CCD9A4}"/>
    <hyperlink ref="B147" r:id="rId133" location="new_tab" xr:uid="{F366B46E-F9AD-4969-9A84-24DE22369F76}"/>
    <hyperlink ref="B148" r:id="rId134" xr:uid="{EBE46BAF-800A-4AE3-9B5D-58C0A08EC12D}"/>
    <hyperlink ref="B149" r:id="rId135" location="new_tab" xr:uid="{809C7578-9ACC-4E4D-81AA-B02A80798A4E}"/>
    <hyperlink ref="B150" r:id="rId136" xr:uid="{AD3F2D2E-7CD3-4D53-9E42-F98CF65606C7}"/>
    <hyperlink ref="B151" r:id="rId137" xr:uid="{0A414BC5-FAE0-4FE5-9138-270B75FC2A2E}"/>
    <hyperlink ref="B152" r:id="rId138" xr:uid="{EC40ABEF-EE41-4D2B-B735-FE62D070600D}"/>
    <hyperlink ref="B153" r:id="rId139" xr:uid="{3D2905E2-A8CF-4248-9833-A0068373CEFB}"/>
    <hyperlink ref="B154" r:id="rId140" xr:uid="{31891637-56C9-49B6-960E-EAFFE4B3CD46}"/>
    <hyperlink ref="B155" r:id="rId141" xr:uid="{2002C8A0-9140-4382-B4BC-333D3CCF7FF9}"/>
    <hyperlink ref="B156" r:id="rId142" xr:uid="{73C2936D-D88F-44D2-940E-DA60B7B7B36C}"/>
    <hyperlink ref="B157" r:id="rId143" xr:uid="{E2550C4E-895F-4F16-9B30-5771B8202E1D}"/>
    <hyperlink ref="B159" r:id="rId144" xr:uid="{DBE2DC04-3C87-4513-88E2-9012D2F708DF}"/>
    <hyperlink ref="B160" r:id="rId145" xr:uid="{7EE1B96D-BECE-4980-B9DD-EAE4F669A2F8}"/>
    <hyperlink ref="B162" r:id="rId146" xr:uid="{BB12762D-04DD-4DFE-BA46-60208CEAD309}"/>
    <hyperlink ref="B163" r:id="rId147" xr:uid="{E6F51F81-D4B2-4B61-830A-8BF817E2C2A3}"/>
    <hyperlink ref="B164" r:id="rId148" xr:uid="{7F96BE77-99B9-4F8F-8CBF-3F1FC7AC70CE}"/>
    <hyperlink ref="B165" r:id="rId149" xr:uid="{F7387D30-DA94-4573-8AD4-E2700D1D1173}"/>
    <hyperlink ref="B166" r:id="rId150" xr:uid="{8334F6BA-899A-436A-AF8E-BA97768DD0B9}"/>
    <hyperlink ref="B167" r:id="rId151" xr:uid="{ACD11943-806E-4829-AA9A-0E5CBA40C44B}"/>
    <hyperlink ref="B168" r:id="rId152" xr:uid="{AF11470C-031C-47EB-9BC8-08BFABD0ED9B}"/>
    <hyperlink ref="B169" r:id="rId153" xr:uid="{4D5B5202-B377-4122-9539-0FA62C259F26}"/>
    <hyperlink ref="B170" r:id="rId154" xr:uid="{32EFB091-647A-42DB-A5D3-9A84010791AF}"/>
    <hyperlink ref="B171" r:id="rId155" xr:uid="{08BDBF28-667F-48CD-9A6E-AA45BC132F6F}"/>
    <hyperlink ref="B172" r:id="rId156" xr:uid="{33DAA009-70B9-4DE7-BA81-62DADE94B4D3}"/>
    <hyperlink ref="B173" r:id="rId157" xr:uid="{7D29661A-DF30-442F-86BA-24CB7BA42CF8}"/>
    <hyperlink ref="B174" r:id="rId158" xr:uid="{C3F157C6-8E00-4C05-8F52-CCDEE376A066}"/>
    <hyperlink ref="B175" r:id="rId159" xr:uid="{BA04B44A-D1F0-4BF9-BEFA-CAAFC827B6EF}"/>
    <hyperlink ref="B176" r:id="rId160" xr:uid="{76B42E2A-9292-4C9C-973B-B9F611ABA102}"/>
    <hyperlink ref="B177" r:id="rId161" display="https://waabi.ai/waabi-uber-freight/2" xr:uid="{8DA5F12B-3379-4CAD-A386-CC02F612E541}"/>
    <hyperlink ref="B178" r:id="rId162" xr:uid="{81DAB341-A85C-4246-8E0F-4D1977534DF1}"/>
    <hyperlink ref="B179" r:id="rId163" xr:uid="{FE4D499E-8E0F-441B-AF20-2641563ACF9B}"/>
    <hyperlink ref="B180" r:id="rId164" xr:uid="{8A5DEA01-0577-49A1-AAE9-7A69044DB173}"/>
    <hyperlink ref="B161" r:id="rId165" xr:uid="{79574893-6FB5-4B60-A182-9819D5A83133}"/>
    <hyperlink ref="B158" r:id="rId166" xr:uid="{11490EFE-8CE9-4BAD-89AE-F08251091CA8}"/>
    <hyperlink ref="B9" r:id="rId167" xr:uid="{7BBABF58-9920-4E2D-AAE0-716EF11B4ECA}"/>
    <hyperlink ref="B17" r:id="rId168" xr:uid="{36EE03C9-85F0-44EA-8247-805874D1C55A}"/>
    <hyperlink ref="B27" r:id="rId169" xr:uid="{35D9AB67-C834-43A2-B87F-8BDA3DEA2A17}"/>
    <hyperlink ref="B30" r:id="rId170" xr:uid="{639BA71B-7050-4151-B713-BD4451387A64}"/>
    <hyperlink ref="B33" r:id="rId171" xr:uid="{F0C0D9C7-304D-4D28-9021-4699199D4D53}"/>
    <hyperlink ref="B36" r:id="rId172" xr:uid="{23CCEC9F-AFC6-425B-BE9C-EB22F9A26A47}"/>
    <hyperlink ref="B42" r:id="rId173" xr:uid="{C80F8FA7-1635-459D-A668-97E90A83E0CF}"/>
    <hyperlink ref="B44" r:id="rId174" xr:uid="{335B2C56-7B00-458E-B456-463049CFE225}"/>
    <hyperlink ref="B47" r:id="rId175" xr:uid="{9F01C840-897F-441C-9B82-B100C3DD8544}"/>
    <hyperlink ref="B50" r:id="rId176" xr:uid="{67AF2603-92F4-4CB6-B4B9-03EC1D103A79}"/>
    <hyperlink ref="B56" r:id="rId177" xr:uid="{3A6C2E4A-C4B7-4A6E-8B5F-0FF18D6288A0}"/>
    <hyperlink ref="B81" r:id="rId178" xr:uid="{4D25D8CC-95D9-44F2-BF2C-442EB9ECDED3}"/>
    <hyperlink ref="B99" r:id="rId179" xr:uid="{032B4EF5-6E31-47EB-B0E7-224C56E6B46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02C5D-ABFF-4507-B34D-DCBDE90A20BB}">
  <sheetPr>
    <tabColor theme="4" tint="0.39997558519241921"/>
  </sheetPr>
  <dimension ref="A1:CH176"/>
  <sheetViews>
    <sheetView topLeftCell="G1" zoomScale="51" zoomScaleNormal="70" workbookViewId="0">
      <selection activeCell="N25" sqref="N25"/>
    </sheetView>
  </sheetViews>
  <sheetFormatPr defaultColWidth="15.6328125" defaultRowHeight="14.5" x14ac:dyDescent="0.35"/>
  <cols>
    <col min="1" max="1" width="29.08984375" customWidth="1"/>
    <col min="5" max="5" width="19.726562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61" max="61" width="27.6328125" bestFit="1" customWidth="1"/>
    <col min="67" max="67" width="15.6328125" customWidth="1"/>
    <col min="69" max="69" width="15.6328125" customWidth="1"/>
    <col min="70" max="70" width="58.1796875" customWidth="1"/>
    <col min="71" max="83" width="15.6328125" customWidth="1"/>
    <col min="84" max="86" width="15.6328125" style="55" customWidth="1"/>
    <col min="87" max="98" width="15.6328125" customWidth="1"/>
  </cols>
  <sheetData>
    <row r="1" spans="1:78" ht="29" x14ac:dyDescent="0.35">
      <c r="A1" s="131" t="s">
        <v>1931</v>
      </c>
      <c r="H1" s="92"/>
      <c r="AQ1" s="102" t="s">
        <v>2105</v>
      </c>
      <c r="AR1" s="102" t="s">
        <v>2107</v>
      </c>
      <c r="AS1" s="102"/>
      <c r="AT1" s="102"/>
      <c r="AU1" s="103"/>
      <c r="AV1" s="102" t="s">
        <v>2103</v>
      </c>
      <c r="AW1" s="102" t="s">
        <v>2104</v>
      </c>
      <c r="AX1" s="103"/>
      <c r="AY1" s="102"/>
      <c r="AZ1" s="102" t="s">
        <v>2106</v>
      </c>
      <c r="BA1" s="102" t="s">
        <v>2104</v>
      </c>
      <c r="BB1" s="64"/>
      <c r="BD1" s="55"/>
      <c r="BE1" s="55"/>
      <c r="BF1" s="55"/>
      <c r="BG1" s="55"/>
      <c r="BH1" s="55"/>
      <c r="BI1" s="55"/>
      <c r="BJ1" s="55"/>
      <c r="BK1" s="55"/>
      <c r="BL1" s="55"/>
      <c r="BM1" s="55"/>
      <c r="BN1" s="55"/>
      <c r="BO1" s="55"/>
      <c r="BP1" s="55"/>
      <c r="BQ1" s="55"/>
      <c r="BR1" s="55"/>
      <c r="BS1" s="55"/>
      <c r="BT1" s="55"/>
      <c r="BU1" s="55"/>
      <c r="BV1" s="55"/>
      <c r="BW1" s="55"/>
      <c r="BX1" s="55"/>
      <c r="BY1" s="55"/>
      <c r="BZ1" s="55"/>
    </row>
    <row r="2" spans="1:78" x14ac:dyDescent="0.35">
      <c r="A2" s="92" t="s">
        <v>2055</v>
      </c>
      <c r="B2" s="92" t="s">
        <v>372</v>
      </c>
      <c r="AQ2" t="str" cm="1">
        <f t="array" ref="AQ2:AQ83">_xlfn._xlws.FILTER(L73:L156,L73:L156&lt;&gt;0)</f>
        <v>SLTN</v>
      </c>
      <c r="AR2" t="str">
        <f>VLOOKUP(AQ2,CBIMPORT!$A$1:$B$171,2,FALSE)</f>
        <v>Software Company</v>
      </c>
      <c r="AV2" t="str" cm="1">
        <f t="array" ref="AV2:AV59">_xlfn._xlws.FILTER(
CHOOSE(
{1},
$L$72:$L$156),
(($J$72:$J$156=E8)*($L$72:$L$156&lt;&gt;0)))</f>
        <v>SLTN</v>
      </c>
      <c r="AW2" t="str">
        <f>VLOOKUP(AV2,CBIMPORT!$A$1:$B$171,2,FALSE)</f>
        <v>Software Company</v>
      </c>
      <c r="AZ2" t="str" cm="1">
        <f t="array" ref="AZ2:AZ25">_xlfn._xlws.FILTER(
CHOOSE(
{1},
$L$72:$L$156),
(($J$72:$J$156=I8)*($L$72:$L$156&lt;&gt;0)))</f>
        <v>GM</v>
      </c>
      <c r="BA2" t="str">
        <f>VLOOKUP(AZ2,CBIMPORT!$A$1:$B$171,2,FALSE)</f>
        <v>OEM</v>
      </c>
      <c r="BB2" s="55"/>
      <c r="BD2" s="55"/>
      <c r="BE2" s="55"/>
      <c r="BF2" s="55"/>
      <c r="BG2" s="55"/>
      <c r="BH2" s="55"/>
      <c r="BI2" s="55"/>
      <c r="BJ2" s="55"/>
      <c r="BK2" s="55"/>
      <c r="BL2" s="55"/>
      <c r="BM2" s="55"/>
      <c r="BN2" s="55"/>
      <c r="BO2" s="55"/>
      <c r="BP2" s="55"/>
      <c r="BQ2" s="55"/>
      <c r="BR2" s="55"/>
      <c r="BS2" s="55"/>
      <c r="BT2" s="55"/>
      <c r="BU2" s="55"/>
      <c r="BV2" s="55"/>
      <c r="BW2" s="55"/>
      <c r="BX2" s="55"/>
      <c r="BY2" s="55"/>
      <c r="BZ2" s="55"/>
    </row>
    <row r="3" spans="1:78" x14ac:dyDescent="0.35">
      <c r="B3" s="92" t="s">
        <v>341</v>
      </c>
      <c r="AQ3" t="str">
        <v>Benteler</v>
      </c>
      <c r="AR3" t="str">
        <f>VLOOKUP(AQ3,CBIMPORT!$A$1:$B$171,2,FALSE)</f>
        <v>Automotive Supplier</v>
      </c>
      <c r="AV3" t="str">
        <v>Benteler</v>
      </c>
      <c r="AW3" t="str">
        <f>VLOOKUP(AV3,CBIMPORT!$A$1:$B$171,2,FALSE)</f>
        <v>Automotive Supplier</v>
      </c>
      <c r="AZ3" t="str">
        <v>Bridgestone</v>
      </c>
      <c r="BA3" t="str">
        <f>VLOOKUP(AZ3,CBIMPORT!$A$1:$B$171,2,FALSE)</f>
        <v>Automotive Supplier</v>
      </c>
      <c r="BB3" s="55"/>
      <c r="BD3" s="55"/>
      <c r="BE3" s="55"/>
      <c r="BF3" s="55"/>
      <c r="BG3" s="55"/>
      <c r="BH3" s="55"/>
      <c r="BI3" s="55"/>
      <c r="BJ3" s="55"/>
      <c r="BK3" s="55"/>
      <c r="BL3" s="55"/>
      <c r="BM3" s="55"/>
      <c r="BN3" s="55"/>
      <c r="BO3" s="55"/>
      <c r="BP3" s="55"/>
      <c r="BQ3" s="55"/>
      <c r="BR3" s="55"/>
      <c r="BS3" s="55"/>
      <c r="BT3" s="55"/>
      <c r="BU3" s="55"/>
      <c r="BV3" s="55"/>
      <c r="BW3" s="55"/>
      <c r="BX3" s="55"/>
      <c r="BY3" s="55"/>
      <c r="BZ3" s="55"/>
    </row>
    <row r="4" spans="1:78" x14ac:dyDescent="0.35">
      <c r="A4" s="92" t="s">
        <v>2058</v>
      </c>
      <c r="B4" s="92">
        <f>COUNTA(A73:A155)</f>
        <v>83</v>
      </c>
      <c r="AQ4" t="str">
        <v>SMRT</v>
      </c>
      <c r="AR4" t="str">
        <f>VLOOKUP(AQ4,CBIMPORT!$A$1:$B$171,2,FALSE)</f>
        <v>Transport Operator</v>
      </c>
      <c r="AV4" t="str">
        <v>SMRT</v>
      </c>
      <c r="AW4" t="str">
        <f>VLOOKUP(AV4,CBIMPORT!$A$1:$B$171,2,FALSE)</f>
        <v>Transport Operator</v>
      </c>
      <c r="AZ4" t="str">
        <v>Stantec</v>
      </c>
      <c r="BA4" t="str">
        <f>VLOOKUP(AZ4,CBIMPORT!$A$1:$B$171,2,FALSE)</f>
        <v>City Architecture</v>
      </c>
      <c r="BB4" s="55"/>
      <c r="BD4" s="55"/>
      <c r="BE4" s="55"/>
      <c r="BF4" s="55"/>
      <c r="BG4" s="55"/>
      <c r="BH4" s="55"/>
      <c r="BI4" s="55"/>
      <c r="BJ4" s="55"/>
      <c r="BK4" s="55"/>
      <c r="BL4" s="55"/>
      <c r="BM4" s="55"/>
      <c r="BN4" s="55"/>
      <c r="BO4" s="55"/>
      <c r="BP4" s="55"/>
      <c r="BQ4" s="55"/>
      <c r="BR4" s="55"/>
      <c r="BS4" s="55"/>
      <c r="BT4" s="55"/>
      <c r="BU4" s="55"/>
      <c r="BV4" s="55"/>
      <c r="BW4" s="55"/>
      <c r="BX4" s="55"/>
      <c r="BY4" s="55"/>
      <c r="BZ4" s="55"/>
    </row>
    <row r="5" spans="1:78" x14ac:dyDescent="0.35">
      <c r="A5" s="114" t="s">
        <v>2059</v>
      </c>
      <c r="B5">
        <f>COUNTA(_xlfn.UNIQUE(E73:E155))</f>
        <v>22</v>
      </c>
      <c r="AQ5" t="str">
        <v>United Technical Services</v>
      </c>
      <c r="AR5" t="str">
        <f>VLOOKUP(AQ5,CBIMPORT!$A$1:$B$171,2,FALSE)</f>
        <v>Industrial</v>
      </c>
      <c r="AV5" t="str">
        <v>United Technical Services</v>
      </c>
      <c r="AW5" t="str">
        <f>VLOOKUP(AV5,CBIMPORT!$A$1:$B$171,2,FALSE)</f>
        <v>Industrial</v>
      </c>
      <c r="AZ5" t="str">
        <v>Spare</v>
      </c>
      <c r="BA5" t="str">
        <f>VLOOKUP(AZ5,CBIMPORT!$A$1:$B$171,2,FALSE)</f>
        <v>Mobility Analytics</v>
      </c>
      <c r="BB5" s="55"/>
      <c r="BD5" s="55"/>
      <c r="BE5" s="55"/>
      <c r="BF5" s="55"/>
      <c r="BG5" s="55"/>
      <c r="BH5" s="55"/>
      <c r="BI5" s="55"/>
      <c r="BJ5" s="55"/>
      <c r="BK5" s="55"/>
      <c r="BL5" s="55"/>
      <c r="BM5" s="55"/>
      <c r="BN5" s="55"/>
      <c r="BO5" s="55"/>
      <c r="BP5" s="55"/>
      <c r="BQ5" s="55"/>
      <c r="BR5" s="55"/>
      <c r="BS5" s="55"/>
      <c r="BT5" s="55"/>
      <c r="BU5" s="55"/>
      <c r="BV5" s="55"/>
      <c r="BW5" s="55"/>
      <c r="BX5" s="55"/>
      <c r="BY5" s="55"/>
      <c r="BZ5" s="55"/>
    </row>
    <row r="6" spans="1:78" x14ac:dyDescent="0.35">
      <c r="A6" s="98"/>
      <c r="AQ6" t="str">
        <v>SMRT</v>
      </c>
      <c r="AR6" t="str">
        <f>VLOOKUP(AQ6,CBIMPORT!$A$1:$B$171,2,FALSE)</f>
        <v>Transport Operator</v>
      </c>
      <c r="AV6" t="str">
        <v>SMRT</v>
      </c>
      <c r="AW6" t="str">
        <f>VLOOKUP(AV6,CBIMPORT!$A$1:$B$171,2,FALSE)</f>
        <v>Transport Operator</v>
      </c>
      <c r="AZ6" t="str">
        <v>Moovit</v>
      </c>
      <c r="BA6" t="str">
        <f>VLOOKUP(AZ6,CBIMPORT!$A$1:$B$171,2,FALSE)</f>
        <v>Mobility Services Booking</v>
      </c>
      <c r="BB6" s="55"/>
      <c r="BD6" s="55"/>
      <c r="BE6" s="55"/>
      <c r="BF6" s="55"/>
      <c r="BG6" s="55"/>
      <c r="BH6" s="55"/>
      <c r="BI6" s="55"/>
      <c r="BJ6" s="55"/>
      <c r="BK6" s="55"/>
      <c r="BL6" s="55"/>
      <c r="BM6" s="55"/>
      <c r="BN6" s="55"/>
      <c r="BO6" s="55"/>
      <c r="BP6" s="55"/>
      <c r="BQ6" s="55"/>
      <c r="BR6" s="55"/>
      <c r="BS6" s="55"/>
      <c r="BT6" s="55"/>
      <c r="BU6" s="55"/>
      <c r="BV6" s="55"/>
      <c r="BW6" s="55"/>
      <c r="BX6" s="55"/>
      <c r="BY6" s="55"/>
      <c r="BZ6" s="55"/>
    </row>
    <row r="7" spans="1:78" x14ac:dyDescent="0.35">
      <c r="A7" s="41">
        <f>COUNTA(H73:H155)</f>
        <v>83</v>
      </c>
      <c r="E7" s="41">
        <f>COUNTIF(J73:J155,E8)</f>
        <v>59</v>
      </c>
      <c r="I7" s="41">
        <f>COUNTIF(J73:J155,I8)</f>
        <v>24</v>
      </c>
      <c r="J7" s="41"/>
      <c r="K7" s="114" t="s">
        <v>2111</v>
      </c>
      <c r="AQ7" t="str">
        <v>Vicinity Motor Corp.</v>
      </c>
      <c r="AR7" t="str">
        <f>VLOOKUP(AQ7,CBIMPORT!$A$1:$B$171,2,FALSE)</f>
        <v>OEM Commercial Vehicles</v>
      </c>
      <c r="AV7" t="str">
        <v>Vicinity Motor Corp.</v>
      </c>
      <c r="AW7" t="str">
        <f>VLOOKUP(AV7,CBIMPORT!$A$1:$B$171,2,FALSE)</f>
        <v>OEM Commercial Vehicles</v>
      </c>
      <c r="AZ7" t="str">
        <v>Liftango</v>
      </c>
      <c r="BA7" t="str">
        <f>VLOOKUP(AZ7,CBIMPORT!$A$1:$B$171,2,FALSE)</f>
        <v>Mobility Services Booking</v>
      </c>
      <c r="BB7" s="55"/>
      <c r="BD7" s="55"/>
      <c r="BE7" s="55"/>
      <c r="BF7" s="55"/>
      <c r="BG7" s="55"/>
      <c r="BH7" s="55"/>
      <c r="BI7" s="55"/>
      <c r="BJ7" s="55"/>
      <c r="BK7" s="55"/>
      <c r="BL7" s="55"/>
      <c r="BM7" s="55"/>
      <c r="BN7" s="55"/>
      <c r="BO7" s="55"/>
      <c r="BP7" s="55"/>
      <c r="BQ7" s="55"/>
      <c r="BR7" s="55"/>
      <c r="BS7" s="55"/>
      <c r="BT7" s="55"/>
      <c r="BU7" s="55"/>
      <c r="BV7" s="55"/>
      <c r="BW7" s="55"/>
      <c r="BX7" s="55"/>
      <c r="BY7" s="55"/>
      <c r="BZ7" s="55"/>
    </row>
    <row r="8" spans="1:78" x14ac:dyDescent="0.35">
      <c r="A8" s="150" t="s">
        <v>2156</v>
      </c>
      <c r="E8" s="128" t="s">
        <v>372</v>
      </c>
      <c r="G8">
        <f>COUNTA(F10:F35)-COUNTIF(F10:F35,0)</f>
        <v>20</v>
      </c>
      <c r="I8" s="128" t="s">
        <v>341</v>
      </c>
      <c r="J8" s="41"/>
      <c r="K8">
        <f>COUNTA(J10:J35)-COUNTIF(J10:J35,0)</f>
        <v>16</v>
      </c>
      <c r="AQ8" t="str">
        <v>Vicinity Motor Corp.</v>
      </c>
      <c r="AR8" t="str">
        <f>VLOOKUP(AQ8,CBIMPORT!$A$1:$B$171,2,FALSE)</f>
        <v>OEM Commercial Vehicles</v>
      </c>
      <c r="AV8" t="str">
        <v>Vicinity Motor Corp.</v>
      </c>
      <c r="AW8" t="str">
        <f>VLOOKUP(AV8,CBIMPORT!$A$1:$B$171,2,FALSE)</f>
        <v>OEM Commercial Vehicles</v>
      </c>
      <c r="AZ8" t="str">
        <v>WILLER</v>
      </c>
      <c r="BA8" t="str">
        <f>VLOOKUP(AZ8,CBIMPORT!$A$1:$B$171,2,FALSE)</f>
        <v>Mobility Services</v>
      </c>
      <c r="BB8" s="55"/>
      <c r="BD8" s="55"/>
      <c r="BE8" s="55"/>
      <c r="BF8" s="55"/>
      <c r="BG8" s="55"/>
      <c r="BH8" s="55"/>
      <c r="BI8" s="55"/>
      <c r="BJ8" s="55"/>
      <c r="BK8" s="55"/>
      <c r="BL8" s="55"/>
      <c r="BM8" s="55"/>
      <c r="BN8" s="55"/>
      <c r="BO8" s="55"/>
      <c r="BP8" s="55"/>
      <c r="BQ8" s="55"/>
      <c r="BR8" s="55"/>
      <c r="BS8" s="55"/>
      <c r="BT8" s="55"/>
      <c r="BU8" s="55"/>
      <c r="BV8" s="55"/>
      <c r="BW8" s="55"/>
      <c r="BX8" s="55"/>
      <c r="BY8" s="55"/>
      <c r="BZ8" s="55"/>
    </row>
    <row r="9" spans="1:78" x14ac:dyDescent="0.35">
      <c r="A9" s="129" t="s">
        <v>2056</v>
      </c>
      <c r="AQ9" t="str">
        <v>North Carolina Department of Transportation</v>
      </c>
      <c r="AR9" t="str">
        <f>VLOOKUP(AQ9,CBIMPORT!$A$1:$B$171,2,FALSE)</f>
        <v>Transportation Authority</v>
      </c>
      <c r="AV9" t="str">
        <v>North Carolina Department of Transportation</v>
      </c>
      <c r="AW9" t="str">
        <f>VLOOKUP(AV9,CBIMPORT!$A$1:$B$171,2,FALSE)</f>
        <v>Transportation Authority</v>
      </c>
      <c r="AZ9" t="str">
        <v>Derq</v>
      </c>
      <c r="BA9" t="str">
        <f>VLOOKUP(AZ9,CBIMPORT!$A$1:$B$171,2,FALSE)</f>
        <v>Artificial Intelligence (AI)</v>
      </c>
      <c r="BB9" s="55"/>
      <c r="BD9" s="55"/>
      <c r="BE9" s="55"/>
      <c r="BF9" s="55"/>
      <c r="BG9" s="55"/>
      <c r="BH9" s="55"/>
      <c r="BI9" s="55"/>
      <c r="BJ9" s="55"/>
      <c r="BK9" s="55"/>
      <c r="BL9" s="55"/>
      <c r="BM9" s="55"/>
      <c r="BN9" s="55"/>
      <c r="BO9" s="55"/>
      <c r="BP9" s="55"/>
      <c r="BQ9" s="55"/>
      <c r="BR9" s="55"/>
      <c r="BS9" s="55"/>
      <c r="BT9" s="55"/>
      <c r="BU9" s="55"/>
      <c r="BV9" s="55"/>
      <c r="BW9" s="55"/>
      <c r="BX9" s="55"/>
      <c r="BY9" s="55"/>
      <c r="BZ9" s="55"/>
    </row>
    <row r="10" spans="1:78" x14ac:dyDescent="0.35">
      <c r="A10" s="151" t="str" cm="1">
        <f t="array" ref="A10:C35">_xlfn._xlws.SORT(AQ102:AS127,1,1)</f>
        <v>Artificial Intelligence (AI)</v>
      </c>
      <c r="B10">
        <v>1</v>
      </c>
      <c r="C10" s="58">
        <v>1.0752688172043012E-2</v>
      </c>
      <c r="D10" t="b">
        <f t="shared" ref="D10:D18" si="0">EXACT(B10,SUM(F10,J10))</f>
        <v>1</v>
      </c>
      <c r="E10" s="114" t="str" cm="1">
        <f t="array" ref="E10:G35">_xlfn._xlws.SORT(AV102:AX127,1,1)</f>
        <v>Artificial Intelligence (AI)</v>
      </c>
      <c r="F10">
        <v>0</v>
      </c>
      <c r="G10" s="58">
        <v>0</v>
      </c>
      <c r="H10" t="str">
        <f t="shared" ref="H10:H18" si="1">IF(AND(J10=0,F10&gt;0),E10,"")</f>
        <v/>
      </c>
      <c r="I10" s="114" t="str" cm="1">
        <f t="array" ref="I10:K35">_xlfn._xlws.SORT(AZ102:BB127,1,1)</f>
        <v>Artificial Intelligence (AI)</v>
      </c>
      <c r="J10">
        <v>1</v>
      </c>
      <c r="K10" s="58">
        <v>0.04</v>
      </c>
      <c r="L10" t="str">
        <f>IF(AND(F10=0,J10&gt;0),I10,"")</f>
        <v>Artificial Intelligence (AI)</v>
      </c>
      <c r="AQ10" t="str">
        <v>Contra Costa Transportation Authority</v>
      </c>
      <c r="AR10" t="str">
        <f>VLOOKUP(AQ10,CBIMPORT!$A$1:$B$171,2,FALSE)</f>
        <v>Transportation Authority</v>
      </c>
      <c r="AV10" t="str">
        <v>Contra Costa Transportation Authority</v>
      </c>
      <c r="AW10" t="str">
        <f>VLOOKUP(AV10,CBIMPORT!$A$1:$B$171,2,FALSE)</f>
        <v>Transportation Authority</v>
      </c>
      <c r="AZ10" t="str">
        <v>Boston University</v>
      </c>
      <c r="BA10" t="str">
        <f>VLOOKUP(AZ10,CBIMPORT!$A$1:$B$171,2,FALSE)</f>
        <v>University</v>
      </c>
      <c r="BB10" s="55"/>
      <c r="BD10" s="55"/>
      <c r="BE10" s="55"/>
      <c r="BF10" s="55"/>
      <c r="BG10" s="55"/>
      <c r="BH10" s="55"/>
      <c r="BI10" s="55"/>
      <c r="BJ10" s="55"/>
      <c r="BK10" s="55"/>
      <c r="BL10" s="55"/>
      <c r="BM10" s="55"/>
      <c r="BN10" s="55"/>
      <c r="BO10" s="55"/>
      <c r="BP10" s="55"/>
      <c r="BQ10" s="55"/>
      <c r="BR10" s="55"/>
      <c r="BS10" s="55"/>
      <c r="BT10" s="55"/>
      <c r="BU10" s="55"/>
      <c r="BV10" s="55"/>
      <c r="BW10" s="55"/>
      <c r="BX10" s="55"/>
      <c r="BY10" s="55"/>
      <c r="BZ10" s="55"/>
    </row>
    <row r="11" spans="1:78" x14ac:dyDescent="0.35">
      <c r="A11" s="55" t="str">
        <v>Automotive Supplier</v>
      </c>
      <c r="B11">
        <v>7</v>
      </c>
      <c r="C11" s="58">
        <v>7.5268817204301078E-2</v>
      </c>
      <c r="D11" t="b">
        <f t="shared" si="0"/>
        <v>1</v>
      </c>
      <c r="E11" t="str">
        <v>Automotive Supplier</v>
      </c>
      <c r="F11">
        <v>6</v>
      </c>
      <c r="G11" s="58">
        <v>8.8235294117647065E-2</v>
      </c>
      <c r="H11" t="str">
        <f t="shared" si="1"/>
        <v/>
      </c>
      <c r="I11" t="str">
        <v>Automotive Supplier</v>
      </c>
      <c r="J11">
        <v>1</v>
      </c>
      <c r="K11" s="58">
        <v>0.04</v>
      </c>
      <c r="L11" t="str">
        <f t="shared" ref="L11:L35" si="2">IF(AND(F11=0,J11&gt;0),I11,"")</f>
        <v/>
      </c>
      <c r="AQ11" t="str">
        <v>ZF</v>
      </c>
      <c r="AR11" t="str">
        <f>VLOOKUP(AQ11,CBIMPORT!$A$1:$B$171,2,FALSE)</f>
        <v>Autonomous Vehicles</v>
      </c>
      <c r="AV11" t="str">
        <v>ZF</v>
      </c>
      <c r="AW11" t="str">
        <f>VLOOKUP(AV11,CBIMPORT!$A$1:$B$171,2,FALSE)</f>
        <v>Autonomous Vehicles</v>
      </c>
      <c r="AZ11" t="str">
        <v>tfnsw</v>
      </c>
      <c r="BA11" t="str">
        <f>VLOOKUP(AZ11,CBIMPORT!$A$1:$B$171,2,FALSE)</f>
        <v>Transport Operator</v>
      </c>
      <c r="BB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row>
    <row r="12" spans="1:78" x14ac:dyDescent="0.35">
      <c r="A12" s="55" t="str">
        <v>Autonomous Vehicles</v>
      </c>
      <c r="B12">
        <v>9</v>
      </c>
      <c r="C12" s="58">
        <v>9.6774193548387094E-2</v>
      </c>
      <c r="D12" t="b">
        <f t="shared" si="0"/>
        <v>1</v>
      </c>
      <c r="E12" t="str">
        <v>Autonomous Vehicles</v>
      </c>
      <c r="F12">
        <v>7</v>
      </c>
      <c r="G12" s="58">
        <v>0.10294117647058823</v>
      </c>
      <c r="H12" t="str">
        <f t="shared" si="1"/>
        <v/>
      </c>
      <c r="I12" t="str">
        <v>Autonomous Vehicles</v>
      </c>
      <c r="J12">
        <v>2</v>
      </c>
      <c r="K12" s="58">
        <v>0.08</v>
      </c>
      <c r="L12" t="str">
        <f t="shared" si="2"/>
        <v/>
      </c>
      <c r="AQ12" t="str">
        <v>Oxa</v>
      </c>
      <c r="AR12" t="str">
        <f>VLOOKUP(AQ12,CBIMPORT!$A$1:$B$171,2,FALSE)</f>
        <v>Autonomous Vehicles</v>
      </c>
      <c r="AV12" t="str">
        <v>Oxa</v>
      </c>
      <c r="AW12" t="str">
        <f>VLOOKUP(AV12,CBIMPORT!$A$1:$B$171,2,FALSE)</f>
        <v>Autonomous Vehicles</v>
      </c>
      <c r="AZ12" t="str">
        <v>Toyota</v>
      </c>
      <c r="BA12" t="str">
        <f>VLOOKUP(AZ12,CBIMPORT!$A$1:$B$171,2,FALSE)</f>
        <v>OEM</v>
      </c>
      <c r="BB12" s="55"/>
      <c r="BD12" s="55"/>
      <c r="BE12" s="55"/>
      <c r="BF12" s="55"/>
      <c r="BG12" s="55"/>
      <c r="BH12" s="55"/>
      <c r="BI12" s="55"/>
      <c r="BJ12" s="55"/>
      <c r="BK12" s="55"/>
      <c r="BL12" s="55"/>
      <c r="BM12" s="55"/>
      <c r="BN12" s="55"/>
      <c r="BO12" s="55"/>
      <c r="BP12" s="55"/>
      <c r="BQ12" s="55"/>
      <c r="BR12" s="55"/>
      <c r="BS12" s="55"/>
      <c r="BT12" s="55"/>
      <c r="BU12" s="55"/>
      <c r="BV12" s="55"/>
      <c r="BW12" s="55"/>
      <c r="BX12" s="55"/>
      <c r="BY12" s="55"/>
      <c r="BZ12" s="55"/>
    </row>
    <row r="13" spans="1:78" x14ac:dyDescent="0.35">
      <c r="A13" s="55" t="str">
        <v>Charging System</v>
      </c>
      <c r="B13">
        <v>1</v>
      </c>
      <c r="C13" s="58">
        <v>1.0752688172043012E-2</v>
      </c>
      <c r="D13" t="b">
        <f t="shared" si="0"/>
        <v>1</v>
      </c>
      <c r="E13" t="str">
        <v>Charging System</v>
      </c>
      <c r="F13">
        <v>1</v>
      </c>
      <c r="G13" s="58">
        <v>1.4705882352941176E-2</v>
      </c>
      <c r="H13" t="str">
        <f t="shared" si="1"/>
        <v>Charging System</v>
      </c>
      <c r="I13" t="str">
        <v>Charging System</v>
      </c>
      <c r="J13">
        <v>0</v>
      </c>
      <c r="K13" s="58">
        <v>0</v>
      </c>
      <c r="L13" t="str">
        <f t="shared" si="2"/>
        <v/>
      </c>
      <c r="AQ13" t="str">
        <v>GM</v>
      </c>
      <c r="AR13" t="str">
        <f>VLOOKUP(AQ13,CBIMPORT!$A$1:$B$171,2,FALSE)</f>
        <v>OEM</v>
      </c>
      <c r="AV13" t="str">
        <v>TrustInSoft</v>
      </c>
      <c r="AW13" t="str">
        <f>VLOOKUP(AV13,CBIMPORT!$A$1:$B$171,2,FALSE)</f>
        <v>Cyber Security</v>
      </c>
      <c r="AZ13" t="str">
        <v>Onsemi</v>
      </c>
      <c r="BA13" t="str">
        <f>VLOOKUP(AZ13,CBIMPORT!$A$1:$B$171,2,FALSE)</f>
        <v>Semiconductor</v>
      </c>
      <c r="BB13" s="55"/>
      <c r="BD13" s="55"/>
      <c r="BE13" s="55"/>
      <c r="BF13" s="55"/>
      <c r="BG13" s="55"/>
      <c r="BH13" s="55"/>
      <c r="BI13" s="55"/>
      <c r="BJ13" s="55"/>
      <c r="BK13" s="55"/>
      <c r="BL13" s="55"/>
      <c r="BM13" s="55"/>
      <c r="BN13" s="55"/>
      <c r="BO13" s="55"/>
      <c r="BP13" s="55"/>
      <c r="BQ13" s="55"/>
      <c r="BR13" s="55"/>
      <c r="BS13" s="55"/>
      <c r="BT13" s="55"/>
      <c r="BU13" s="55"/>
      <c r="BV13" s="55"/>
      <c r="BW13" s="55"/>
      <c r="BX13" s="55"/>
      <c r="BY13" s="55"/>
      <c r="BZ13" s="55"/>
    </row>
    <row r="14" spans="1:78" x14ac:dyDescent="0.35">
      <c r="A14" s="55" t="str">
        <v>City Architecture</v>
      </c>
      <c r="B14">
        <v>1</v>
      </c>
      <c r="C14" s="58">
        <v>1.0752688172043012E-2</v>
      </c>
      <c r="D14" t="b">
        <f t="shared" si="0"/>
        <v>1</v>
      </c>
      <c r="E14" t="str">
        <v>City Architecture</v>
      </c>
      <c r="F14">
        <v>0</v>
      </c>
      <c r="G14" s="58">
        <v>0</v>
      </c>
      <c r="H14" t="str">
        <f t="shared" si="1"/>
        <v/>
      </c>
      <c r="I14" t="str">
        <v>City Architecture</v>
      </c>
      <c r="J14">
        <v>1</v>
      </c>
      <c r="K14" s="58">
        <v>0.04</v>
      </c>
      <c r="L14" t="str">
        <f t="shared" si="2"/>
        <v>City Architecture</v>
      </c>
      <c r="AQ14" t="str">
        <v>TrustInSoft</v>
      </c>
      <c r="AR14" t="str">
        <f>VLOOKUP(AQ14,CBIMPORT!$A$1:$B$171,2,FALSE)</f>
        <v>Cyber Security</v>
      </c>
      <c r="AV14" t="str">
        <v>Continental</v>
      </c>
      <c r="AW14" t="str">
        <f>VLOOKUP(AV14,CBIMPORT!$A$1:$B$171,2,FALSE)</f>
        <v>Automotive Supplier</v>
      </c>
      <c r="AZ14" t="str">
        <v>Horizon Robotics</v>
      </c>
      <c r="BA14" t="str">
        <f>VLOOKUP(AZ14,CBIMPORT!$A$1:$B$171,2,FALSE)</f>
        <v>Autonomous Vehicles</v>
      </c>
      <c r="BB14" s="55"/>
      <c r="BD14" s="55"/>
      <c r="BE14" s="55"/>
      <c r="BF14" s="55"/>
      <c r="BG14" s="55"/>
      <c r="BH14" s="55"/>
      <c r="BI14" s="55"/>
      <c r="BJ14" s="55"/>
      <c r="BK14" s="55"/>
      <c r="BL14" s="55"/>
      <c r="BM14" s="55"/>
      <c r="BN14" s="55"/>
      <c r="BO14" s="55"/>
      <c r="BP14" s="55"/>
      <c r="BQ14" s="55"/>
      <c r="BR14" s="55"/>
      <c r="BS14" s="55"/>
      <c r="BT14" s="55"/>
      <c r="BU14" s="55"/>
      <c r="BV14" s="55"/>
      <c r="BW14" s="55"/>
      <c r="BX14" s="55"/>
      <c r="BY14" s="55"/>
      <c r="BZ14" s="55"/>
    </row>
    <row r="15" spans="1:78" x14ac:dyDescent="0.35">
      <c r="A15" s="55" t="str">
        <v>Construction</v>
      </c>
      <c r="B15">
        <v>1</v>
      </c>
      <c r="C15" s="58">
        <v>1.0752688172043012E-2</v>
      </c>
      <c r="D15" t="b">
        <f t="shared" si="0"/>
        <v>1</v>
      </c>
      <c r="E15" t="str">
        <v>Construction</v>
      </c>
      <c r="F15">
        <v>1</v>
      </c>
      <c r="G15" s="58">
        <v>1.4705882352941176E-2</v>
      </c>
      <c r="H15" t="str">
        <f t="shared" si="1"/>
        <v>Construction</v>
      </c>
      <c r="I15" t="str">
        <v>Construction</v>
      </c>
      <c r="J15">
        <v>0</v>
      </c>
      <c r="K15" s="58">
        <v>0</v>
      </c>
      <c r="L15" t="str">
        <f t="shared" si="2"/>
        <v/>
      </c>
      <c r="AQ15" t="str">
        <v>Continental</v>
      </c>
      <c r="AR15" t="str">
        <f>VLOOKUP(AQ15,CBIMPORT!$A$1:$B$171,2,FALSE)</f>
        <v>Automotive Supplier</v>
      </c>
      <c r="AV15" t="str">
        <v>Sono Motors</v>
      </c>
      <c r="AW15" t="str">
        <f>VLOOKUP(AV15,CBIMPORT!$A$1:$B$171,2,FALSE)</f>
        <v>OEM</v>
      </c>
      <c r="AZ15" t="str">
        <v>Toyota</v>
      </c>
      <c r="BA15" t="str">
        <f>VLOOKUP(AZ15,CBIMPORT!$A$1:$B$171,2,FALSE)</f>
        <v>OEM</v>
      </c>
      <c r="BB15" s="55"/>
      <c r="BD15" s="55"/>
      <c r="BE15" s="55"/>
      <c r="BF15" s="55"/>
      <c r="BG15" s="55"/>
      <c r="BH15" s="55"/>
      <c r="BI15" s="55"/>
      <c r="BJ15" s="55"/>
      <c r="BK15" s="55"/>
      <c r="BL15" s="55"/>
      <c r="BM15" s="55"/>
      <c r="BN15" s="55"/>
      <c r="BO15" s="55"/>
      <c r="BP15" s="55"/>
      <c r="BQ15" s="55"/>
      <c r="BR15" s="55"/>
      <c r="BS15" s="55"/>
      <c r="BT15" s="55"/>
      <c r="BU15" s="55"/>
      <c r="BV15" s="55"/>
      <c r="BW15" s="55"/>
      <c r="BX15" s="55"/>
      <c r="BY15" s="55"/>
      <c r="BZ15" s="55"/>
    </row>
    <row r="16" spans="1:78" x14ac:dyDescent="0.35">
      <c r="A16" s="55" t="str">
        <v>Cyber Security</v>
      </c>
      <c r="B16">
        <v>2</v>
      </c>
      <c r="C16" s="58">
        <v>2.1505376344086023E-2</v>
      </c>
      <c r="D16" t="b">
        <f t="shared" si="0"/>
        <v>1</v>
      </c>
      <c r="E16" t="str">
        <v>Cyber Security</v>
      </c>
      <c r="F16">
        <v>2</v>
      </c>
      <c r="G16" s="58">
        <v>2.9411764705882353E-2</v>
      </c>
      <c r="H16" t="str">
        <f t="shared" si="1"/>
        <v>Cyber Security</v>
      </c>
      <c r="I16" t="str">
        <v>Cyber Security</v>
      </c>
      <c r="J16">
        <v>0</v>
      </c>
      <c r="K16" s="58">
        <v>0</v>
      </c>
      <c r="L16" t="str">
        <f t="shared" si="2"/>
        <v/>
      </c>
      <c r="AQ16" t="str">
        <v>Sono Motors</v>
      </c>
      <c r="AR16" t="str">
        <f>VLOOKUP(AQ16,CBIMPORT!$A$1:$B$171,2,FALSE)</f>
        <v>OEM</v>
      </c>
      <c r="AV16" t="str">
        <v>Phoenix Motorcars</v>
      </c>
      <c r="AW16" t="str">
        <f>VLOOKUP(AV16,CBIMPORT!$A$1:$B$171,2,FALSE)</f>
        <v>OEM Commercial Vehicles</v>
      </c>
      <c r="AZ16" t="str">
        <v>Luminar</v>
      </c>
      <c r="BA16" t="str">
        <f>VLOOKUP(AZ16,CBIMPORT!$A$1:$B$171,2,FALSE)</f>
        <v>Sensor</v>
      </c>
      <c r="BB16" s="55"/>
      <c r="BD16" s="55"/>
      <c r="BE16" s="55"/>
      <c r="BF16" s="55"/>
      <c r="BG16" s="55"/>
      <c r="BH16" s="55"/>
      <c r="BI16" s="55"/>
      <c r="BJ16" s="55"/>
      <c r="BK16" s="55"/>
      <c r="BL16" s="55"/>
      <c r="BM16" s="55"/>
      <c r="BN16" s="55"/>
      <c r="BO16" s="55"/>
      <c r="BP16" s="55"/>
      <c r="BQ16" s="55"/>
      <c r="BR16" s="55"/>
      <c r="BS16" s="55"/>
      <c r="BT16" s="55"/>
      <c r="BU16" s="55"/>
      <c r="BV16" s="55"/>
      <c r="BW16" s="55"/>
      <c r="BX16" s="55"/>
      <c r="BY16" s="55"/>
      <c r="BZ16" s="55"/>
    </row>
    <row r="17" spans="1:78" x14ac:dyDescent="0.35">
      <c r="A17" s="55" t="str">
        <v>Environmental Engineering</v>
      </c>
      <c r="B17">
        <v>1</v>
      </c>
      <c r="C17" s="58">
        <v>1.0752688172043012E-2</v>
      </c>
      <c r="D17" t="b">
        <f t="shared" si="0"/>
        <v>1</v>
      </c>
      <c r="E17" t="str">
        <v>Environmental Engineering</v>
      </c>
      <c r="F17">
        <v>1</v>
      </c>
      <c r="G17" s="58">
        <v>1.4705882352941176E-2</v>
      </c>
      <c r="H17" t="str">
        <f t="shared" si="1"/>
        <v>Environmental Engineering</v>
      </c>
      <c r="I17" t="str">
        <v>Environmental Engineering</v>
      </c>
      <c r="J17">
        <v>0</v>
      </c>
      <c r="K17" s="58">
        <v>0</v>
      </c>
      <c r="L17" t="str">
        <f t="shared" si="2"/>
        <v/>
      </c>
      <c r="AQ17" t="str">
        <v>Phoenix Motorcars</v>
      </c>
      <c r="AR17" t="str">
        <f>VLOOKUP(AQ17,CBIMPORT!$A$1:$B$171,2,FALSE)</f>
        <v>OEM Commercial Vehicles</v>
      </c>
      <c r="AV17" t="str">
        <v>Continental</v>
      </c>
      <c r="AW17" t="str">
        <f>VLOOKUP(AV17,CBIMPORT!$A$1:$B$171,2,FALSE)</f>
        <v>Automotive Supplier</v>
      </c>
      <c r="AZ17" t="str">
        <v>Sinotrans</v>
      </c>
      <c r="BA17" t="str">
        <f>VLOOKUP(AZ17,CBIMPORT!$A$1:$B$171,2,FALSE)</f>
        <v>Logistics</v>
      </c>
      <c r="BB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row>
    <row r="18" spans="1:78" x14ac:dyDescent="0.35">
      <c r="A18" s="55" t="str">
        <v>Financial Services</v>
      </c>
      <c r="B18">
        <v>3</v>
      </c>
      <c r="C18" s="58">
        <v>3.2258064516129031E-2</v>
      </c>
      <c r="D18" t="b">
        <f t="shared" si="0"/>
        <v>1</v>
      </c>
      <c r="E18" t="str">
        <v>Financial Services</v>
      </c>
      <c r="F18">
        <v>3</v>
      </c>
      <c r="G18" s="58">
        <v>4.4117647058823532E-2</v>
      </c>
      <c r="H18" t="str">
        <f t="shared" si="1"/>
        <v>Financial Services</v>
      </c>
      <c r="I18" t="str">
        <v>Financial Services</v>
      </c>
      <c r="J18">
        <v>0</v>
      </c>
      <c r="K18" s="58">
        <v>0</v>
      </c>
      <c r="L18" t="str">
        <f t="shared" si="2"/>
        <v/>
      </c>
      <c r="AQ18" t="str">
        <v>Continental</v>
      </c>
      <c r="AR18" t="str">
        <f>VLOOKUP(AQ18,CBIMPORT!$A$1:$B$171,2,FALSE)</f>
        <v>Automotive Supplier</v>
      </c>
      <c r="AV18" t="str">
        <v>Kalray</v>
      </c>
      <c r="AW18" t="str">
        <f>VLOOKUP(AV18,CBIMPORT!$A$1:$B$171,2,FALSE)</f>
        <v>Semiconductor</v>
      </c>
      <c r="AZ18" t="str">
        <v>Toyota</v>
      </c>
      <c r="BA18" t="str">
        <f>VLOOKUP(AZ18,CBIMPORT!$A$1:$B$171,2,FALSE)</f>
        <v>OEM</v>
      </c>
      <c r="BB18" s="55"/>
      <c r="BD18" s="55"/>
      <c r="BE18" s="55"/>
      <c r="BF18" s="55"/>
      <c r="BG18" s="55"/>
      <c r="BH18" s="55"/>
      <c r="BI18" s="55"/>
      <c r="BJ18" s="55"/>
      <c r="BK18" s="55"/>
      <c r="BL18" s="55"/>
      <c r="BM18" s="55"/>
      <c r="BN18" s="55"/>
      <c r="BO18" s="55"/>
      <c r="BP18" s="55"/>
      <c r="BQ18" s="55"/>
      <c r="BR18" s="55"/>
      <c r="BS18" s="55"/>
      <c r="BT18" s="55"/>
      <c r="BU18" s="55"/>
      <c r="BV18" s="55"/>
      <c r="BW18" s="55"/>
      <c r="BX18" s="55"/>
      <c r="BY18" s="55"/>
      <c r="BZ18" s="55"/>
    </row>
    <row r="19" spans="1:78" x14ac:dyDescent="0.35">
      <c r="A19" s="55" t="str">
        <v>Food &amp; Beverage</v>
      </c>
      <c r="B19">
        <v>1</v>
      </c>
      <c r="C19" s="58">
        <v>1.0752688172043012E-2</v>
      </c>
      <c r="D19" t="b">
        <f t="shared" ref="D19:D35" si="3">EXACT(B19,SUM(F19,J19))</f>
        <v>1</v>
      </c>
      <c r="E19" t="str">
        <v>Food &amp; Beverage</v>
      </c>
      <c r="F19">
        <v>1</v>
      </c>
      <c r="G19" s="58">
        <v>1.4705882352941176E-2</v>
      </c>
      <c r="H19" t="str">
        <f t="shared" ref="H19:H35" si="4">IF(AND(J19=0,F19&gt;0),E19,"")</f>
        <v>Food &amp; Beverage</v>
      </c>
      <c r="I19" t="str">
        <v>Food &amp; Beverage</v>
      </c>
      <c r="J19">
        <v>0</v>
      </c>
      <c r="K19" s="58">
        <v>0</v>
      </c>
      <c r="L19" t="str">
        <f t="shared" si="2"/>
        <v/>
      </c>
      <c r="AQ19" t="str">
        <v>Kalray</v>
      </c>
      <c r="AR19" t="str">
        <f>VLOOKUP(AQ19,CBIMPORT!$A$1:$B$171,2,FALSE)</f>
        <v>Semiconductor</v>
      </c>
      <c r="AV19" t="str">
        <v>Deutsche Bahn</v>
      </c>
      <c r="AW19" t="str">
        <f>VLOOKUP(AV19,CBIMPORT!$A$1:$B$171,2,FALSE)</f>
        <v>Transport Operator</v>
      </c>
      <c r="AZ19" t="str">
        <v>Fiat Chrysler Automobiles</v>
      </c>
      <c r="BA19" t="str">
        <f>VLOOKUP(AZ19,CBIMPORT!$A$1:$B$171,2,FALSE)</f>
        <v>OEM</v>
      </c>
      <c r="BB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row>
    <row r="20" spans="1:78" x14ac:dyDescent="0.35">
      <c r="A20" s="55" t="str">
        <v>Industrial</v>
      </c>
      <c r="B20">
        <v>1</v>
      </c>
      <c r="C20" s="58">
        <v>1.0752688172043012E-2</v>
      </c>
      <c r="D20" t="b">
        <f t="shared" si="3"/>
        <v>1</v>
      </c>
      <c r="E20" t="str">
        <v>Industrial</v>
      </c>
      <c r="F20">
        <v>1</v>
      </c>
      <c r="G20" s="58">
        <v>1.4705882352941176E-2</v>
      </c>
      <c r="H20" t="str">
        <f t="shared" si="4"/>
        <v>Industrial</v>
      </c>
      <c r="I20" t="str">
        <v>Industrial</v>
      </c>
      <c r="J20">
        <v>0</v>
      </c>
      <c r="K20" s="58">
        <v>0</v>
      </c>
      <c r="L20" t="str">
        <f t="shared" si="2"/>
        <v/>
      </c>
      <c r="AQ20" t="str">
        <v>Deutsche Bahn</v>
      </c>
      <c r="AR20" t="str">
        <f>VLOOKUP(AQ20,CBIMPORT!$A$1:$B$171,2,FALSE)</f>
        <v>Transport Operator</v>
      </c>
      <c r="AV20" t="str">
        <v>MINGA</v>
      </c>
      <c r="AW20" t="str">
        <f>VLOOKUP(AV20,CBIMPORT!$A$1:$B$171,2,FALSE)</f>
        <v>Mobility Project</v>
      </c>
      <c r="AZ20" t="str">
        <v>Avis</v>
      </c>
      <c r="BA20" t="str">
        <f>VLOOKUP(AZ20,CBIMPORT!$A$1:$B$171,2,FALSE)</f>
        <v>Rental Services</v>
      </c>
      <c r="BB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row>
    <row r="21" spans="1:78" x14ac:dyDescent="0.35">
      <c r="A21" s="55" t="str">
        <v>Logistics</v>
      </c>
      <c r="B21">
        <v>1</v>
      </c>
      <c r="C21" s="58">
        <v>1.0752688172043012E-2</v>
      </c>
      <c r="D21" t="b">
        <f t="shared" si="3"/>
        <v>1</v>
      </c>
      <c r="E21" t="str">
        <v>Logistics</v>
      </c>
      <c r="F21">
        <v>0</v>
      </c>
      <c r="G21" s="58">
        <v>0</v>
      </c>
      <c r="H21" t="str">
        <f t="shared" si="4"/>
        <v/>
      </c>
      <c r="I21" t="str">
        <v>Logistics</v>
      </c>
      <c r="J21">
        <v>1</v>
      </c>
      <c r="K21" s="58">
        <v>0.04</v>
      </c>
      <c r="L21" t="str">
        <f t="shared" si="2"/>
        <v>Logistics</v>
      </c>
      <c r="AQ21" t="str">
        <v>MINGA</v>
      </c>
      <c r="AR21" t="str">
        <f>VLOOKUP(AQ21,CBIMPORT!$A$1:$B$171,2,FALSE)</f>
        <v>Mobility Project</v>
      </c>
      <c r="AV21" t="str">
        <v>Via</v>
      </c>
      <c r="AW21" t="str">
        <f>VLOOKUP(AV21,CBIMPORT!$A$1:$B$171,2,FALSE)</f>
        <v>Transport Operator</v>
      </c>
      <c r="AZ21" t="str">
        <v>Valley Metro</v>
      </c>
      <c r="BA21" t="str">
        <f>VLOOKUP(AZ21,CBIMPORT!$A$1:$B$171,2,FALSE)</f>
        <v>Transport Operator</v>
      </c>
      <c r="BB21" s="55"/>
      <c r="BD21" s="55"/>
      <c r="BE21" s="55"/>
      <c r="BF21" s="55"/>
      <c r="BG21" s="55"/>
      <c r="BH21" s="55"/>
      <c r="BI21" s="55"/>
      <c r="BJ21" s="55"/>
      <c r="BK21" s="55"/>
      <c r="BL21" s="55"/>
      <c r="BM21" s="55"/>
      <c r="BN21" s="55"/>
      <c r="BO21" s="55"/>
      <c r="BP21" s="55"/>
      <c r="BQ21" s="55"/>
      <c r="BR21" s="55"/>
      <c r="BS21" s="55"/>
      <c r="BT21" s="55"/>
      <c r="BU21" s="55"/>
      <c r="BV21" s="55"/>
      <c r="BW21" s="55"/>
      <c r="BX21" s="55"/>
      <c r="BY21" s="55"/>
      <c r="BZ21" s="55"/>
    </row>
    <row r="22" spans="1:78" x14ac:dyDescent="0.35">
      <c r="A22" s="55" t="str">
        <v>Mobility Analytics</v>
      </c>
      <c r="B22">
        <v>1</v>
      </c>
      <c r="C22" s="58">
        <v>1.0752688172043012E-2</v>
      </c>
      <c r="D22" t="b">
        <f t="shared" si="3"/>
        <v>1</v>
      </c>
      <c r="E22" t="str">
        <v>Mobility Analytics</v>
      </c>
      <c r="F22">
        <v>0</v>
      </c>
      <c r="G22" s="58">
        <v>0</v>
      </c>
      <c r="H22" t="str">
        <f t="shared" si="4"/>
        <v/>
      </c>
      <c r="I22" t="str">
        <v>Mobility Analytics</v>
      </c>
      <c r="J22">
        <v>1</v>
      </c>
      <c r="K22" s="58">
        <v>0.04</v>
      </c>
      <c r="L22" t="str">
        <f t="shared" si="2"/>
        <v>Mobility Analytics</v>
      </c>
      <c r="AQ22" t="str">
        <v>Bridgestone</v>
      </c>
      <c r="AR22" t="str">
        <f>VLOOKUP(AQ22,CBIMPORT!$A$1:$B$171,2,FALSE)</f>
        <v>Automotive Supplier</v>
      </c>
      <c r="AV22" t="str">
        <v>Mission Secure</v>
      </c>
      <c r="AW22" t="str">
        <f>VLOOKUP(AV22,CBIMPORT!$A$1:$B$171,2,FALSE)</f>
        <v>Cyber Security</v>
      </c>
      <c r="AZ22" t="str">
        <v>Lyft</v>
      </c>
      <c r="BA22" t="str">
        <f>VLOOKUP(AZ22,CBIMPORT!$A$1:$B$171,2,FALSE)</f>
        <v>Mobility Services Booking</v>
      </c>
      <c r="BB22" s="55"/>
      <c r="BD22" s="55"/>
      <c r="BE22" s="55"/>
      <c r="BF22" s="55"/>
      <c r="BG22" s="55"/>
      <c r="BH22" s="55"/>
      <c r="BI22" s="55"/>
      <c r="BJ22" s="55"/>
      <c r="BK22" s="55"/>
      <c r="BL22" s="55"/>
      <c r="BM22" s="55"/>
      <c r="BN22" s="55"/>
      <c r="BO22" s="55"/>
      <c r="BP22" s="55"/>
      <c r="BQ22" s="55"/>
      <c r="BR22" s="55"/>
      <c r="BS22" s="55"/>
      <c r="BT22" s="55"/>
      <c r="BU22" s="55"/>
      <c r="BV22" s="55"/>
      <c r="BW22" s="55"/>
      <c r="BX22" s="55"/>
      <c r="BY22" s="55"/>
      <c r="BZ22" s="55"/>
    </row>
    <row r="23" spans="1:78" x14ac:dyDescent="0.35">
      <c r="A23" s="55" t="str">
        <v>Mobility Project</v>
      </c>
      <c r="B23">
        <v>3</v>
      </c>
      <c r="C23" s="58">
        <v>3.2258064516129031E-2</v>
      </c>
      <c r="D23" t="b">
        <f t="shared" si="3"/>
        <v>1</v>
      </c>
      <c r="E23" t="str">
        <v>Mobility Project</v>
      </c>
      <c r="F23">
        <v>2</v>
      </c>
      <c r="G23" s="58">
        <v>2.9411764705882353E-2</v>
      </c>
      <c r="H23" t="str">
        <f t="shared" si="4"/>
        <v/>
      </c>
      <c r="I23" t="str">
        <v>Mobility Project</v>
      </c>
      <c r="J23">
        <v>1</v>
      </c>
      <c r="K23" s="58">
        <v>0.04</v>
      </c>
      <c r="L23" t="str">
        <f t="shared" si="2"/>
        <v/>
      </c>
      <c r="AQ23" t="str">
        <v>Stantec</v>
      </c>
      <c r="AR23" t="str">
        <f>VLOOKUP(AQ23,CBIMPORT!$A$1:$B$171,2,FALSE)</f>
        <v>City Architecture</v>
      </c>
      <c r="AV23" t="str">
        <v>MAN Truck &amp; Bus</v>
      </c>
      <c r="AW23" t="str">
        <f>VLOOKUP(AV23,CBIMPORT!$A$1:$B$171,2,FALSE)</f>
        <v>OEM Commercial Vehicles</v>
      </c>
      <c r="AZ23" t="str">
        <v>Alliance Ventures (Renault, Nissan, Mitsubishi)</v>
      </c>
      <c r="BA23" t="str">
        <f>VLOOKUP(AZ23,CBIMPORT!$A$1:$B$171,2,FALSE)</f>
        <v>Mobility Project</v>
      </c>
      <c r="BB23" s="55"/>
      <c r="BD23" s="55"/>
      <c r="BE23" s="55"/>
      <c r="BF23" s="55"/>
      <c r="BG23" s="55"/>
      <c r="BH23" s="55"/>
      <c r="BI23" s="55"/>
      <c r="BJ23" s="55"/>
      <c r="BK23" s="55"/>
      <c r="BL23" s="55"/>
      <c r="BM23" s="55"/>
      <c r="BN23" s="55"/>
      <c r="BO23" s="55"/>
      <c r="BP23" s="55"/>
      <c r="BQ23" s="55"/>
      <c r="BR23" s="55"/>
      <c r="BS23" s="55"/>
      <c r="BT23" s="55"/>
      <c r="BU23" s="55"/>
      <c r="BV23" s="55"/>
      <c r="BW23" s="55"/>
      <c r="BX23" s="55"/>
      <c r="BY23" s="55"/>
      <c r="BZ23" s="55"/>
    </row>
    <row r="24" spans="1:78" x14ac:dyDescent="0.35">
      <c r="A24" s="55" t="str">
        <v>Mobility Services</v>
      </c>
      <c r="B24">
        <v>5</v>
      </c>
      <c r="C24" s="58">
        <v>5.3763440860215055E-2</v>
      </c>
      <c r="D24" t="b">
        <f t="shared" si="3"/>
        <v>1</v>
      </c>
      <c r="E24" t="str">
        <v>Mobility Services</v>
      </c>
      <c r="F24">
        <v>4</v>
      </c>
      <c r="G24" s="58">
        <v>5.8823529411764705E-2</v>
      </c>
      <c r="H24" t="str">
        <f t="shared" si="4"/>
        <v/>
      </c>
      <c r="I24" t="str">
        <v>Mobility Services</v>
      </c>
      <c r="J24">
        <v>1</v>
      </c>
      <c r="K24" s="58">
        <v>0.04</v>
      </c>
      <c r="L24" t="str">
        <f t="shared" si="2"/>
        <v/>
      </c>
      <c r="AQ24" t="str">
        <v>Spare</v>
      </c>
      <c r="AR24" t="str">
        <f>VLOOKUP(AQ24,CBIMPORT!$A$1:$B$171,2,FALSE)</f>
        <v>Mobility Analytics</v>
      </c>
      <c r="AV24" t="str">
        <v>HOCHBAHN</v>
      </c>
      <c r="AW24" t="str">
        <f>VLOOKUP(AV24,CBIMPORT!$A$1:$B$171,2,FALSE)</f>
        <v>Transport Operator</v>
      </c>
      <c r="AZ24" t="str">
        <v>Volvo Car Group</v>
      </c>
      <c r="BA24" t="str">
        <f>VLOOKUP(AZ24,CBIMPORT!$A$1:$B$171,2,FALSE)</f>
        <v>OEM</v>
      </c>
      <c r="BB24" s="55"/>
      <c r="BD24" s="55"/>
      <c r="BE24" s="55"/>
      <c r="BF24" s="55"/>
      <c r="BG24" s="55"/>
      <c r="BH24" s="55"/>
      <c r="BI24" s="55"/>
      <c r="BJ24" s="55"/>
      <c r="BK24" s="55"/>
      <c r="BL24" s="55"/>
      <c r="BM24" s="55"/>
      <c r="BN24" s="55"/>
      <c r="BO24" s="55"/>
      <c r="BP24" s="55"/>
      <c r="BQ24" s="55"/>
      <c r="BR24" s="55"/>
      <c r="BS24" s="55"/>
      <c r="BT24" s="55"/>
      <c r="BU24" s="55"/>
      <c r="BV24" s="55"/>
      <c r="BW24" s="55"/>
      <c r="BX24" s="55"/>
      <c r="BY24" s="55"/>
      <c r="BZ24" s="55"/>
    </row>
    <row r="25" spans="1:78" x14ac:dyDescent="0.35">
      <c r="A25" s="55" t="str">
        <v>Mobility Services Booking</v>
      </c>
      <c r="B25">
        <v>3</v>
      </c>
      <c r="C25" s="58">
        <v>3.2258064516129031E-2</v>
      </c>
      <c r="D25" t="b">
        <f t="shared" si="3"/>
        <v>1</v>
      </c>
      <c r="E25" t="str">
        <v>Mobility Services Booking</v>
      </c>
      <c r="F25">
        <v>0</v>
      </c>
      <c r="G25" s="58">
        <v>0</v>
      </c>
      <c r="H25" t="str">
        <f t="shared" si="4"/>
        <v/>
      </c>
      <c r="I25" t="str">
        <v>Mobility Services Booking</v>
      </c>
      <c r="J25">
        <v>3</v>
      </c>
      <c r="K25" s="58">
        <v>0.12</v>
      </c>
      <c r="L25" t="str">
        <f t="shared" si="2"/>
        <v>Mobility Services Booking</v>
      </c>
      <c r="AQ25" t="str">
        <v>Moovit</v>
      </c>
      <c r="AR25" t="str">
        <f>VLOOKUP(AQ25,CBIMPORT!$A$1:$B$171,2,FALSE)</f>
        <v>Mobility Services Booking</v>
      </c>
      <c r="AV25" t="str">
        <v>Valeo</v>
      </c>
      <c r="AW25" t="str">
        <f>VLOOKUP(AV25,CBIMPORT!$A$1:$B$171,2,FALSE)</f>
        <v>Sensor</v>
      </c>
      <c r="AZ25" t="str">
        <v>Waymo</v>
      </c>
      <c r="BA25" t="str">
        <f>VLOOKUP(AZ25,CBIMPORT!$A$1:$B$171,2,FALSE)</f>
        <v>Autonomous Vehicles</v>
      </c>
      <c r="BB25" s="55"/>
      <c r="BD25" s="55"/>
      <c r="BE25" s="55"/>
      <c r="BF25" s="55"/>
      <c r="BG25" s="55"/>
      <c r="BH25" s="55"/>
      <c r="BI25" s="55"/>
      <c r="BJ25" s="55"/>
      <c r="BK25" s="55"/>
      <c r="BL25" s="55"/>
      <c r="BM25" s="55"/>
      <c r="BN25" s="55"/>
      <c r="BO25" s="55"/>
      <c r="BP25" s="55"/>
      <c r="BQ25" s="55"/>
      <c r="BR25" s="55"/>
      <c r="BS25" s="55"/>
      <c r="BT25" s="55"/>
      <c r="BU25" s="55"/>
      <c r="BV25" s="55"/>
      <c r="BW25" s="55"/>
      <c r="BX25" s="55"/>
      <c r="BY25" s="55"/>
      <c r="BZ25" s="55"/>
    </row>
    <row r="26" spans="1:78" x14ac:dyDescent="0.35">
      <c r="A26" s="55" t="str">
        <v>NPO</v>
      </c>
      <c r="B26">
        <v>1</v>
      </c>
      <c r="C26" s="58">
        <v>1.0752688172043012E-2</v>
      </c>
      <c r="D26" t="b">
        <f>EXACT(B26,SUM(F26,J26))</f>
        <v>1</v>
      </c>
      <c r="E26" t="str">
        <v>NPO</v>
      </c>
      <c r="F26">
        <v>1</v>
      </c>
      <c r="G26" s="58">
        <v>1.4705882352941176E-2</v>
      </c>
      <c r="H26" t="str">
        <f t="shared" si="4"/>
        <v>NPO</v>
      </c>
      <c r="I26" t="str">
        <v>NPO</v>
      </c>
      <c r="J26">
        <v>0</v>
      </c>
      <c r="K26" s="58">
        <v>0</v>
      </c>
      <c r="L26" t="str">
        <f t="shared" si="2"/>
        <v/>
      </c>
      <c r="AQ26" t="str">
        <v>Liftango</v>
      </c>
      <c r="AR26" t="str">
        <f>VLOOKUP(AQ26,CBIMPORT!$A$1:$B$171,2,FALSE)</f>
        <v>Mobility Services Booking</v>
      </c>
      <c r="AV26" t="str">
        <v>Ion</v>
      </c>
      <c r="AW26" t="str">
        <f>VLOOKUP(AV26,CBIMPORT!$A$1:$B$171,2,FALSE)</f>
        <v>Mobility Services</v>
      </c>
      <c r="AZ26" t="str" cm="1">
        <f t="array" ref="AZ26">_xlfn._xlws.FILTER(
CHOOSE(
{1},
$M$72:$M$156),
(($J$72:$J$156=I8)*($M$72:$M$156&lt;&gt;0)))</f>
        <v>Microsoft</v>
      </c>
      <c r="BA26" t="str">
        <f>VLOOKUP(AZ26,CBIMPORT!$A$1:$B$171,2,FALSE)</f>
        <v>Software Company</v>
      </c>
      <c r="BB26" s="55"/>
      <c r="BD26" s="55"/>
      <c r="BE26" s="55"/>
      <c r="BF26" s="55"/>
      <c r="BG26" s="55"/>
      <c r="BH26" s="55"/>
      <c r="BI26" s="55"/>
      <c r="BJ26" s="55"/>
      <c r="BK26" s="55"/>
      <c r="BL26" s="55"/>
      <c r="BM26" s="55"/>
      <c r="BN26" s="55"/>
      <c r="BO26" s="55"/>
      <c r="BP26" s="55"/>
      <c r="BQ26" s="55"/>
      <c r="BR26" s="55"/>
      <c r="BS26" s="55"/>
      <c r="BT26" s="55"/>
      <c r="BU26" s="55"/>
      <c r="BV26" s="55"/>
      <c r="BW26" s="55"/>
      <c r="BX26" s="55"/>
      <c r="BY26" s="55"/>
      <c r="BZ26" s="55"/>
    </row>
    <row r="27" spans="1:78" x14ac:dyDescent="0.35">
      <c r="A27" s="55" t="str">
        <v>OEM</v>
      </c>
      <c r="B27">
        <v>9</v>
      </c>
      <c r="C27" s="58">
        <v>9.6774193548387094E-2</v>
      </c>
      <c r="D27" t="b">
        <f t="shared" si="3"/>
        <v>1</v>
      </c>
      <c r="E27" t="str">
        <v>OEM</v>
      </c>
      <c r="F27">
        <v>3</v>
      </c>
      <c r="G27" s="58">
        <v>4.4117647058823532E-2</v>
      </c>
      <c r="H27" t="str">
        <f t="shared" si="4"/>
        <v/>
      </c>
      <c r="I27" t="str">
        <v>OEM</v>
      </c>
      <c r="J27">
        <v>6</v>
      </c>
      <c r="K27" s="58">
        <v>0.24</v>
      </c>
      <c r="L27" t="str">
        <f t="shared" si="2"/>
        <v/>
      </c>
      <c r="AQ27" t="str">
        <v>Via</v>
      </c>
      <c r="AR27" t="str">
        <f>VLOOKUP(AQ27,CBIMPORT!$A$1:$B$171,2,FALSE)</f>
        <v>Transport Operator</v>
      </c>
      <c r="AV27" t="str">
        <v>Valeo</v>
      </c>
      <c r="AW27" t="str">
        <f>VLOOKUP(AV27,CBIMPORT!$A$1:$B$171,2,FALSE)</f>
        <v>Sensor</v>
      </c>
      <c r="BB27" s="55"/>
      <c r="BD27" s="55"/>
      <c r="BE27" s="55"/>
      <c r="BF27" s="55"/>
      <c r="BG27" s="55"/>
      <c r="BH27" s="55"/>
      <c r="BI27" s="55"/>
      <c r="BJ27" s="55"/>
      <c r="BK27" s="55"/>
      <c r="BL27" s="55"/>
      <c r="BM27" s="55"/>
      <c r="BN27" s="55"/>
      <c r="BO27" s="55"/>
      <c r="BP27" s="55"/>
      <c r="BQ27" s="55"/>
      <c r="BR27" s="55"/>
      <c r="BS27" s="55"/>
      <c r="BT27" s="55"/>
      <c r="BU27" s="55"/>
      <c r="BV27" s="55"/>
      <c r="BW27" s="55"/>
      <c r="BX27" s="55"/>
      <c r="BY27" s="55"/>
      <c r="BZ27" s="55"/>
    </row>
    <row r="28" spans="1:78" x14ac:dyDescent="0.35">
      <c r="A28" s="55" t="str">
        <v>OEM Commercial Vehicles</v>
      </c>
      <c r="B28">
        <v>13</v>
      </c>
      <c r="C28" s="58">
        <v>0.13978494623655913</v>
      </c>
      <c r="D28" t="b">
        <f t="shared" si="3"/>
        <v>1</v>
      </c>
      <c r="E28" t="str">
        <v>OEM Commercial Vehicles</v>
      </c>
      <c r="F28">
        <v>13</v>
      </c>
      <c r="G28" s="58">
        <v>0.19117647058823528</v>
      </c>
      <c r="H28" t="str">
        <f t="shared" si="4"/>
        <v>OEM Commercial Vehicles</v>
      </c>
      <c r="I28" t="str">
        <v>OEM Commercial Vehicles</v>
      </c>
      <c r="J28">
        <v>0</v>
      </c>
      <c r="K28" s="58">
        <v>0</v>
      </c>
      <c r="L28" t="str">
        <f t="shared" si="2"/>
        <v/>
      </c>
      <c r="AQ28" t="str">
        <v>Mission Secure</v>
      </c>
      <c r="AR28" t="str">
        <f>VLOOKUP(AQ28,CBIMPORT!$A$1:$B$171,2,FALSE)</f>
        <v>Cyber Security</v>
      </c>
      <c r="AV28" t="str">
        <v>Lohr</v>
      </c>
      <c r="AW28" t="str">
        <f>VLOOKUP(AV28,CBIMPORT!$A$1:$B$171,2,FALSE)</f>
        <v>OEM Commercial Vehicles</v>
      </c>
      <c r="BB28" s="55"/>
      <c r="BD28" s="55"/>
      <c r="BE28" s="55"/>
      <c r="BF28" s="55"/>
      <c r="BG28" s="55"/>
      <c r="BH28" s="55"/>
      <c r="BI28" s="55"/>
      <c r="BJ28" s="55"/>
      <c r="BK28" s="55"/>
      <c r="BL28" s="55"/>
      <c r="BM28" s="55"/>
      <c r="BN28" s="55"/>
      <c r="BO28" s="55"/>
      <c r="BP28" s="55"/>
      <c r="BQ28" s="55"/>
      <c r="BR28" s="55"/>
      <c r="BS28" s="55"/>
      <c r="BT28" s="55"/>
      <c r="BU28" s="55"/>
      <c r="BV28" s="55"/>
      <c r="BW28" s="55"/>
      <c r="BX28" s="55"/>
      <c r="BY28" s="55"/>
      <c r="BZ28" s="55"/>
    </row>
    <row r="29" spans="1:78" x14ac:dyDescent="0.35">
      <c r="A29" s="55" t="str">
        <v>Rental Services</v>
      </c>
      <c r="B29">
        <v>1</v>
      </c>
      <c r="C29" s="58">
        <v>1.0752688172043012E-2</v>
      </c>
      <c r="D29" t="b">
        <f t="shared" si="3"/>
        <v>1</v>
      </c>
      <c r="E29" t="str">
        <v>Rental Services</v>
      </c>
      <c r="F29">
        <v>0</v>
      </c>
      <c r="G29" s="58">
        <v>0</v>
      </c>
      <c r="H29" t="str">
        <f t="shared" si="4"/>
        <v/>
      </c>
      <c r="I29" t="str">
        <v>Rental Services</v>
      </c>
      <c r="J29">
        <v>1</v>
      </c>
      <c r="K29" s="58">
        <v>0.04</v>
      </c>
      <c r="L29" t="str">
        <f t="shared" si="2"/>
        <v>Rental Services</v>
      </c>
      <c r="AQ29" t="str">
        <v>MAN Truck &amp; Bus</v>
      </c>
      <c r="AR29" t="str">
        <f>VLOOKUP(AQ29,CBIMPORT!$A$1:$B$171,2,FALSE)</f>
        <v>OEM Commercial Vehicles</v>
      </c>
      <c r="AV29" t="str">
        <v>Michelin</v>
      </c>
      <c r="AW29" t="str">
        <f>VLOOKUP(AV29,CBIMPORT!$A$1:$B$171,2,FALSE)</f>
        <v>Automotive Supplier</v>
      </c>
      <c r="BB29" s="55"/>
      <c r="BD29" s="55"/>
      <c r="BE29" s="55"/>
      <c r="BF29" s="55"/>
      <c r="BG29" s="55"/>
      <c r="BH29" s="55"/>
      <c r="BI29" s="55"/>
      <c r="BJ29" s="55"/>
      <c r="BK29" s="55"/>
      <c r="BL29" s="55"/>
      <c r="BM29" s="55"/>
      <c r="BN29" s="55"/>
      <c r="BO29" s="55"/>
      <c r="BP29" s="55"/>
      <c r="BQ29" s="55"/>
      <c r="BR29" s="55"/>
      <c r="BS29" s="55"/>
      <c r="BT29" s="55"/>
      <c r="BU29" s="55"/>
      <c r="BV29" s="55"/>
      <c r="BW29" s="55"/>
      <c r="BX29" s="55"/>
      <c r="BY29" s="55"/>
      <c r="BZ29" s="55"/>
    </row>
    <row r="30" spans="1:78" x14ac:dyDescent="0.35">
      <c r="A30" s="55" t="str">
        <v>Semiconductor</v>
      </c>
      <c r="B30">
        <v>2</v>
      </c>
      <c r="C30" s="58">
        <v>2.1505376344086023E-2</v>
      </c>
      <c r="D30" t="b">
        <f t="shared" si="3"/>
        <v>1</v>
      </c>
      <c r="E30" t="str">
        <v>Semiconductor</v>
      </c>
      <c r="F30">
        <v>1</v>
      </c>
      <c r="G30" s="58">
        <v>1.4705882352941176E-2</v>
      </c>
      <c r="H30" t="str">
        <f t="shared" si="4"/>
        <v/>
      </c>
      <c r="I30" t="str">
        <v>Semiconductor</v>
      </c>
      <c r="J30">
        <v>1</v>
      </c>
      <c r="K30" s="58">
        <v>0.04</v>
      </c>
      <c r="L30" t="str">
        <f t="shared" si="2"/>
        <v/>
      </c>
      <c r="AQ30" t="str">
        <v>WILLER</v>
      </c>
      <c r="AR30" t="str">
        <f>VLOOKUP(AQ30,CBIMPORT!$A$1:$B$171,2,FALSE)</f>
        <v>Mobility Services</v>
      </c>
      <c r="AV30" t="str">
        <v>eVersum</v>
      </c>
      <c r="AW30" t="str">
        <f>VLOOKUP(AV30,CBIMPORT!$A$1:$B$171,2,FALSE)</f>
        <v>Autonomous Vehicles</v>
      </c>
      <c r="BB30" s="55"/>
      <c r="BD30" s="55"/>
      <c r="BE30" s="55"/>
      <c r="BF30" s="55"/>
      <c r="BG30" s="55"/>
      <c r="BH30" s="55"/>
      <c r="BI30" s="55"/>
      <c r="BJ30" s="55"/>
      <c r="BK30" s="55"/>
      <c r="BL30" s="55"/>
      <c r="BM30" s="55"/>
      <c r="BN30" s="55"/>
      <c r="BO30" s="55"/>
      <c r="BP30" s="55"/>
      <c r="BQ30" s="55"/>
      <c r="BR30" s="55"/>
      <c r="BS30" s="55"/>
      <c r="BT30" s="55"/>
      <c r="BU30" s="55"/>
      <c r="BV30" s="55"/>
      <c r="BW30" s="55"/>
      <c r="BX30" s="55"/>
      <c r="BY30" s="55"/>
      <c r="BZ30" s="55"/>
    </row>
    <row r="31" spans="1:78" x14ac:dyDescent="0.35">
      <c r="A31" s="55" t="str">
        <v>Sensor</v>
      </c>
      <c r="B31">
        <v>3</v>
      </c>
      <c r="C31" s="58">
        <v>3.2258064516129031E-2</v>
      </c>
      <c r="D31" t="b">
        <f t="shared" si="3"/>
        <v>1</v>
      </c>
      <c r="E31" t="str">
        <v>Sensor</v>
      </c>
      <c r="F31">
        <v>2</v>
      </c>
      <c r="G31" s="58">
        <v>2.9411764705882353E-2</v>
      </c>
      <c r="H31" t="str">
        <f t="shared" si="4"/>
        <v/>
      </c>
      <c r="I31" t="str">
        <v>Sensor</v>
      </c>
      <c r="J31">
        <v>1</v>
      </c>
      <c r="K31" s="58">
        <v>0.04</v>
      </c>
      <c r="L31" t="str">
        <f t="shared" si="2"/>
        <v/>
      </c>
      <c r="AQ31" t="str">
        <v>HOCHBAHN</v>
      </c>
      <c r="AR31" t="str">
        <f>VLOOKUP(AQ31,CBIMPORT!$A$1:$B$171,2,FALSE)</f>
        <v>Transport Operator</v>
      </c>
      <c r="AV31" t="str">
        <v>NEVS</v>
      </c>
      <c r="AW31" t="str">
        <f>VLOOKUP(AV31,CBIMPORT!$A$1:$B$171,2,FALSE)</f>
        <v>OEM Commercial Vehicles</v>
      </c>
      <c r="BB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row>
    <row r="32" spans="1:78" x14ac:dyDescent="0.35">
      <c r="A32" s="55" t="str">
        <v>Software Company</v>
      </c>
      <c r="B32">
        <v>3</v>
      </c>
      <c r="C32" s="58">
        <v>3.2258064516129031E-2</v>
      </c>
      <c r="D32" t="b">
        <f t="shared" si="3"/>
        <v>1</v>
      </c>
      <c r="E32" t="str">
        <v>Software Company</v>
      </c>
      <c r="F32">
        <v>2</v>
      </c>
      <c r="G32" s="58">
        <v>2.9411764705882353E-2</v>
      </c>
      <c r="H32" t="str">
        <f t="shared" si="4"/>
        <v/>
      </c>
      <c r="I32" t="str">
        <v>Software Company</v>
      </c>
      <c r="J32">
        <v>1</v>
      </c>
      <c r="K32" s="58">
        <v>0.04</v>
      </c>
      <c r="L32" t="str">
        <f t="shared" si="2"/>
        <v/>
      </c>
      <c r="AQ32" t="str">
        <v>Derq</v>
      </c>
      <c r="AR32" t="str">
        <f>VLOOKUP(AQ32,CBIMPORT!$A$1:$B$171,2,FALSE)</f>
        <v>Artificial Intelligence (AI)</v>
      </c>
      <c r="AV32" t="str">
        <v>Global Finance Group</v>
      </c>
      <c r="AW32" t="str">
        <f>VLOOKUP(AV32,CBIMPORT!$A$1:$B$171,2,FALSE)</f>
        <v>Financial Services</v>
      </c>
      <c r="BB32" s="55"/>
      <c r="BD32" s="55"/>
      <c r="BE32" s="55"/>
      <c r="BF32" s="55"/>
      <c r="BG32" s="55"/>
      <c r="BH32" s="55"/>
      <c r="BI32" s="55"/>
      <c r="BJ32" s="55"/>
      <c r="BK32" s="55"/>
      <c r="BL32" s="55"/>
      <c r="BM32" s="55"/>
      <c r="BN32" s="55"/>
      <c r="BO32" s="55"/>
      <c r="BP32" s="55"/>
      <c r="BQ32" s="55"/>
      <c r="BR32" s="55"/>
      <c r="BS32" s="55"/>
      <c r="BT32" s="55"/>
      <c r="BU32" s="55"/>
      <c r="BV32" s="55"/>
      <c r="BW32" s="55"/>
      <c r="BX32" s="55"/>
      <c r="BY32" s="55"/>
      <c r="BZ32" s="55"/>
    </row>
    <row r="33" spans="1:78" x14ac:dyDescent="0.35">
      <c r="A33" s="55" t="str">
        <v>Transport Operator</v>
      </c>
      <c r="B33">
        <v>14</v>
      </c>
      <c r="C33" s="58">
        <v>0.15053763440860216</v>
      </c>
      <c r="D33" t="b">
        <f t="shared" si="3"/>
        <v>1</v>
      </c>
      <c r="E33" t="str">
        <v>Transport Operator</v>
      </c>
      <c r="F33">
        <v>12</v>
      </c>
      <c r="G33" s="58">
        <v>0.17647058823529413</v>
      </c>
      <c r="H33" t="str">
        <f t="shared" si="4"/>
        <v/>
      </c>
      <c r="I33" t="str">
        <v>Transport Operator</v>
      </c>
      <c r="J33">
        <v>2</v>
      </c>
      <c r="K33" s="58">
        <v>0.08</v>
      </c>
      <c r="L33" t="str">
        <f t="shared" si="2"/>
        <v/>
      </c>
      <c r="AQ33" t="str">
        <v>Boston University</v>
      </c>
      <c r="AR33" t="str">
        <f>VLOOKUP(AQ33,CBIMPORT!$A$1:$B$171,2,FALSE)</f>
        <v>University</v>
      </c>
      <c r="AV33" t="str">
        <v>Western Reserve Transit Authority</v>
      </c>
      <c r="AW33" t="str">
        <f>VLOOKUP(AV33,CBIMPORT!$A$1:$B$171,2,FALSE)</f>
        <v>Transportation Authority</v>
      </c>
      <c r="BB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row>
    <row r="34" spans="1:78" x14ac:dyDescent="0.35">
      <c r="A34" s="55" t="str">
        <v>Transportation Authority</v>
      </c>
      <c r="B34">
        <v>4</v>
      </c>
      <c r="C34" s="58">
        <v>4.3010752688172046E-2</v>
      </c>
      <c r="D34" t="b">
        <f t="shared" si="3"/>
        <v>1</v>
      </c>
      <c r="E34" t="str">
        <v>Transportation Authority</v>
      </c>
      <c r="F34">
        <v>4</v>
      </c>
      <c r="G34" s="58">
        <v>5.8823529411764705E-2</v>
      </c>
      <c r="H34" t="str">
        <f t="shared" si="4"/>
        <v>Transportation Authority</v>
      </c>
      <c r="I34" t="str">
        <v>Transportation Authority</v>
      </c>
      <c r="J34">
        <v>0</v>
      </c>
      <c r="K34" s="58">
        <v>0</v>
      </c>
      <c r="L34" t="str">
        <f t="shared" si="2"/>
        <v/>
      </c>
      <c r="AQ34" t="str">
        <v>tfnsw</v>
      </c>
      <c r="AR34" t="str">
        <f>VLOOKUP(AQ34,CBIMPORT!$A$1:$B$171,2,FALSE)</f>
        <v>Transport Operator</v>
      </c>
      <c r="AV34" t="str">
        <v>SAE</v>
      </c>
      <c r="AW34" t="str">
        <f>VLOOKUP(AV34,CBIMPORT!$A$1:$B$171,2,FALSE)</f>
        <v>NPO</v>
      </c>
      <c r="BB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row>
    <row r="35" spans="1:78" x14ac:dyDescent="0.35">
      <c r="A35" s="55" t="str">
        <v>University</v>
      </c>
      <c r="B35">
        <v>2</v>
      </c>
      <c r="C35" s="58">
        <v>2.1505376344086023E-2</v>
      </c>
      <c r="D35" t="b">
        <f t="shared" si="3"/>
        <v>1</v>
      </c>
      <c r="E35" t="str">
        <v>University</v>
      </c>
      <c r="F35">
        <v>1</v>
      </c>
      <c r="G35" s="58">
        <v>1.4705882352941176E-2</v>
      </c>
      <c r="H35" t="str">
        <f t="shared" si="4"/>
        <v/>
      </c>
      <c r="I35" t="str">
        <v>University</v>
      </c>
      <c r="J35">
        <v>1</v>
      </c>
      <c r="K35" s="58">
        <v>0.04</v>
      </c>
      <c r="L35" t="str">
        <f t="shared" si="2"/>
        <v/>
      </c>
      <c r="AQ35" t="str">
        <v>Valeo</v>
      </c>
      <c r="AR35" t="str">
        <f>VLOOKUP(AQ35,CBIMPORT!$A$1:$B$171,2,FALSE)</f>
        <v>Sensor</v>
      </c>
      <c r="AV35" t="str">
        <v>Tropos Technologies</v>
      </c>
      <c r="AW35" t="str">
        <f>VLOOKUP(AV35,CBIMPORT!$A$1:$B$171,2,FALSE)</f>
        <v>OEM Commercial Vehicles</v>
      </c>
      <c r="BB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row>
    <row r="36" spans="1:78" x14ac:dyDescent="0.35">
      <c r="C36" s="58"/>
      <c r="G36" s="58"/>
      <c r="I36" s="94"/>
      <c r="K36" s="58"/>
      <c r="AQ36" t="str">
        <v>Ion</v>
      </c>
      <c r="AR36" t="str">
        <f>VLOOKUP(AQ36,CBIMPORT!$A$1:$B$171,2,FALSE)</f>
        <v>Mobility Services</v>
      </c>
      <c r="AV36" t="str">
        <v>Tropos Technologies</v>
      </c>
      <c r="AW36" t="str">
        <f>VLOOKUP(AV36,CBIMPORT!$A$1:$B$171,2,FALSE)</f>
        <v>OEM Commercial Vehicles</v>
      </c>
      <c r="BB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row>
    <row r="37" spans="1:78" x14ac:dyDescent="0.35">
      <c r="A37" s="59"/>
      <c r="E37" s="59"/>
      <c r="I37" s="59"/>
      <c r="AQ37" t="str">
        <v>Valeo</v>
      </c>
      <c r="AR37" t="str">
        <f>VLOOKUP(AQ37,CBIMPORT!$A$1:$B$171,2,FALSE)</f>
        <v>Sensor</v>
      </c>
      <c r="AV37" t="str">
        <v>Greenpower</v>
      </c>
      <c r="AW37" t="str">
        <f>VLOOKUP(AV37,CBIMPORT!$A$1:$B$171,2,FALSE)</f>
        <v>OEM Commercial Vehicles</v>
      </c>
      <c r="BB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row>
    <row r="38" spans="1:78" x14ac:dyDescent="0.35">
      <c r="A38" s="59" t="s">
        <v>2057</v>
      </c>
      <c r="E38" s="59" t="s">
        <v>2057</v>
      </c>
      <c r="I38" s="59" t="s">
        <v>2057</v>
      </c>
      <c r="AQ38" t="str">
        <v>Lohr</v>
      </c>
      <c r="AR38" t="str">
        <f>VLOOKUP(AQ38,CBIMPORT!$A$1:$B$171,2,FALSE)</f>
        <v>OEM Commercial Vehicles</v>
      </c>
      <c r="AV38" t="str">
        <v>Guident</v>
      </c>
      <c r="AW38" t="str">
        <f>VLOOKUP(AV38,CBIMPORT!$A$1:$B$171,2,FALSE)</f>
        <v>Mobility Services</v>
      </c>
      <c r="BB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row>
    <row r="39" spans="1:78" x14ac:dyDescent="0.35">
      <c r="A39" t="str" cm="1">
        <f t="array" ref="A39:A48">_xlfn.UNIQUE(Z74:Z156)</f>
        <v>Joint Production</v>
      </c>
      <c r="B39">
        <f>COUNTIF($Z$73:$Z$156,A39)+COUNTIF($AB$73:$AB$156,A39)+COUNTIF($AD$73:$AD$156,A39)</f>
        <v>5</v>
      </c>
      <c r="C39" s="58">
        <f>B39/SUM($B$39:$B$47)</f>
        <v>5.0505050505050504E-2</v>
      </c>
      <c r="D39" t="b">
        <f t="shared" ref="D39:D56" si="5">EXACT(B39,SUM(F39,J39))</f>
        <v>1</v>
      </c>
      <c r="E39" s="94" t="str" cm="1">
        <f t="array" ref="E39:E48">_xlfn.UNIQUE(Z74:Z156)</f>
        <v>Joint Production</v>
      </c>
      <c r="F39">
        <f t="shared" ref="F39:F45" si="6">COUNTIFS($J$73:$J$156,$E$8,$AB$73:$AB$156,E39)+
COUNTIFS($J$73:$J$156,$E$8,$Z$73:$Z$156,E39)+
COUNTIFS($J$73:$J$156,$E$8,$AD$73:$AD$156,E39)</f>
        <v>5</v>
      </c>
      <c r="G39" s="58">
        <f>F39/SUM($F$39:$F$47)</f>
        <v>7.3529411764705885E-2</v>
      </c>
      <c r="I39" s="94" t="str" cm="1">
        <f t="array" ref="I39:I48">_xlfn.UNIQUE(Z74:Z156)</f>
        <v>Joint Production</v>
      </c>
      <c r="J39">
        <f t="shared" ref="J39:J45" si="7">COUNTIFS($J$73:$J$156,$I$8,$AB$73:$AB$156,I39)+
COUNTIFS($J$73:$J$156,$I$8,$Z$73:$Z$156,I39)+
COUNTIFS($J$73:$J$156,$I$8,$AD$73:$AD$156,I39)</f>
        <v>0</v>
      </c>
      <c r="K39" s="58">
        <f>J39/SUM($J$39:$J$47)</f>
        <v>0</v>
      </c>
      <c r="AQ39" t="str">
        <v>Michelin</v>
      </c>
      <c r="AR39" t="str">
        <f>VLOOKUP(AQ39,CBIMPORT!$A$1:$B$171,2,FALSE)</f>
        <v>Automotive Supplier</v>
      </c>
      <c r="AV39" t="str">
        <v>Lightning eMotors</v>
      </c>
      <c r="AW39" t="str">
        <f>VLOOKUP(AV39,CBIMPORT!$A$1:$B$171,2,FALSE)</f>
        <v>Environmental Engineering</v>
      </c>
      <c r="BB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row>
    <row r="40" spans="1:78" x14ac:dyDescent="0.35">
      <c r="A40" t="str">
        <v>Joint Service Agreement</v>
      </c>
      <c r="B40">
        <f t="shared" ref="B40:B47" si="8">COUNTIF($Z$73:$Z$156,A40)+COUNTIF($AB$73:$AB$156,A40)+COUNTIF($AD$73:$AD$156,A40)</f>
        <v>22</v>
      </c>
      <c r="C40" s="58">
        <f t="shared" ref="C40:C47" si="9">B40/SUM($B$39:$B$47)</f>
        <v>0.22222222222222221</v>
      </c>
      <c r="D40" t="b">
        <f t="shared" si="5"/>
        <v>1</v>
      </c>
      <c r="E40" t="str">
        <v>Joint Service Agreement</v>
      </c>
      <c r="F40">
        <f t="shared" si="6"/>
        <v>18</v>
      </c>
      <c r="G40" s="58">
        <f t="shared" ref="G40:G47" si="10">F40/SUM($F$39:$F$47)</f>
        <v>0.26470588235294118</v>
      </c>
      <c r="I40" t="str">
        <v>Joint Service Agreement</v>
      </c>
      <c r="J40">
        <f t="shared" si="7"/>
        <v>4</v>
      </c>
      <c r="K40" s="58">
        <f t="shared" ref="K40:K47" si="11">J40/SUM($J$39:$J$47)</f>
        <v>0.12903225806451613</v>
      </c>
      <c r="AQ40" t="str">
        <v>eVersum</v>
      </c>
      <c r="AR40" t="str">
        <f>VLOOKUP(AQ40,CBIMPORT!$A$1:$B$171,2,FALSE)</f>
        <v>Autonomous Vehicles</v>
      </c>
      <c r="AV40" t="str">
        <v>University of California</v>
      </c>
      <c r="AW40" t="str">
        <f>VLOOKUP(AV40,CBIMPORT!$A$1:$B$171,2,FALSE)</f>
        <v>University</v>
      </c>
      <c r="BB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row>
    <row r="41" spans="1:78" x14ac:dyDescent="0.35">
      <c r="A41" t="str">
        <v>Other</v>
      </c>
      <c r="B41">
        <f t="shared" si="8"/>
        <v>4</v>
      </c>
      <c r="C41" s="58">
        <f t="shared" si="9"/>
        <v>4.0404040404040407E-2</v>
      </c>
      <c r="D41" t="b">
        <f t="shared" si="5"/>
        <v>1</v>
      </c>
      <c r="E41" t="str">
        <v>Other</v>
      </c>
      <c r="F41">
        <f t="shared" si="6"/>
        <v>4</v>
      </c>
      <c r="G41" s="58">
        <f t="shared" si="10"/>
        <v>5.8823529411764705E-2</v>
      </c>
      <c r="I41" t="str">
        <v>Other</v>
      </c>
      <c r="J41">
        <f t="shared" si="7"/>
        <v>0</v>
      </c>
      <c r="K41" s="58">
        <f t="shared" si="11"/>
        <v>0</v>
      </c>
      <c r="AQ41" t="str">
        <v>NEVS</v>
      </c>
      <c r="AR41" t="str">
        <f>VLOOKUP(AQ41,CBIMPORT!$A$1:$B$171,2,FALSE)</f>
        <v>OEM Commercial Vehicles</v>
      </c>
      <c r="AV41" t="str">
        <v>Sustainability Partners</v>
      </c>
      <c r="AW41" t="str">
        <f>VLOOKUP(AV41,CBIMPORT!$A$1:$B$171,2,FALSE)</f>
        <v>Financial Services</v>
      </c>
      <c r="BB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row>
    <row r="42" spans="1:78" x14ac:dyDescent="0.35">
      <c r="A42" t="str">
        <v>Joint D&amp;D</v>
      </c>
      <c r="B42">
        <f t="shared" si="8"/>
        <v>32</v>
      </c>
      <c r="C42" s="58">
        <f t="shared" si="9"/>
        <v>0.32323232323232326</v>
      </c>
      <c r="D42" t="b">
        <f t="shared" si="5"/>
        <v>1</v>
      </c>
      <c r="E42" t="str">
        <v>Joint D&amp;D</v>
      </c>
      <c r="F42">
        <f t="shared" si="6"/>
        <v>21</v>
      </c>
      <c r="G42" s="58">
        <f t="shared" si="10"/>
        <v>0.30882352941176472</v>
      </c>
      <c r="I42" t="str">
        <v>Joint D&amp;D</v>
      </c>
      <c r="J42">
        <f t="shared" si="7"/>
        <v>11</v>
      </c>
      <c r="K42" s="58">
        <f t="shared" si="11"/>
        <v>0.35483870967741937</v>
      </c>
      <c r="AQ42" t="str">
        <v>Global Finance Group</v>
      </c>
      <c r="AR42" t="str">
        <f>VLOOKUP(AQ42,CBIMPORT!$A$1:$B$171,2,FALSE)</f>
        <v>Financial Services</v>
      </c>
      <c r="AV42" t="str">
        <v>Rampini</v>
      </c>
      <c r="AW42" t="str">
        <f>VLOOKUP(AV42,CBIMPORT!$A$1:$B$171,2,FALSE)</f>
        <v>Construction</v>
      </c>
      <c r="BB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row>
    <row r="43" spans="1:78" ht="26" x14ac:dyDescent="0.6">
      <c r="A43" t="str">
        <v>Licensing</v>
      </c>
      <c r="B43">
        <f t="shared" si="8"/>
        <v>3</v>
      </c>
      <c r="C43" s="58">
        <f t="shared" si="9"/>
        <v>3.0303030303030304E-2</v>
      </c>
      <c r="D43" t="b">
        <f t="shared" si="5"/>
        <v>1</v>
      </c>
      <c r="E43" t="str">
        <v>Licensing</v>
      </c>
      <c r="F43">
        <f t="shared" si="6"/>
        <v>3</v>
      </c>
      <c r="G43" s="58">
        <f t="shared" si="10"/>
        <v>4.4117647058823532E-2</v>
      </c>
      <c r="I43" t="str">
        <v>Licensing</v>
      </c>
      <c r="J43">
        <f t="shared" si="7"/>
        <v>0</v>
      </c>
      <c r="K43" s="58">
        <f t="shared" si="11"/>
        <v>0</v>
      </c>
      <c r="M43" s="167"/>
      <c r="N43" s="160"/>
      <c r="O43" s="160"/>
      <c r="P43" s="160"/>
      <c r="Q43" s="160"/>
      <c r="R43" s="160"/>
      <c r="S43" s="160"/>
      <c r="T43" s="160"/>
      <c r="U43" s="160"/>
      <c r="V43" s="160"/>
      <c r="W43" s="160"/>
      <c r="X43" s="160"/>
      <c r="Y43" s="160"/>
      <c r="Z43" s="112"/>
      <c r="AA43" s="127"/>
      <c r="AQ43" t="str">
        <v>Western Reserve Transit Authority</v>
      </c>
      <c r="AR43" t="str">
        <f>VLOOKUP(AQ43,CBIMPORT!$A$1:$B$171,2,FALSE)</f>
        <v>Transportation Authority</v>
      </c>
      <c r="AV43" t="str">
        <v>Tropos Technologies</v>
      </c>
      <c r="AW43" t="str">
        <f>VLOOKUP(AV43,CBIMPORT!$A$1:$B$171,2,FALSE)</f>
        <v>OEM Commercial Vehicles</v>
      </c>
      <c r="BB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row>
    <row r="44" spans="1:78" x14ac:dyDescent="0.35">
      <c r="A44" t="str">
        <v>Marketing Agreement</v>
      </c>
      <c r="B44">
        <f t="shared" si="8"/>
        <v>2</v>
      </c>
      <c r="C44" s="58">
        <f t="shared" si="9"/>
        <v>2.0202020202020204E-2</v>
      </c>
      <c r="D44" t="b">
        <f t="shared" si="5"/>
        <v>1</v>
      </c>
      <c r="E44" t="str">
        <v>Marketing Agreement</v>
      </c>
      <c r="F44">
        <f t="shared" si="6"/>
        <v>2</v>
      </c>
      <c r="G44" s="58">
        <f t="shared" si="10"/>
        <v>2.9411764705882353E-2</v>
      </c>
      <c r="I44" t="str">
        <v>Marketing Agreement</v>
      </c>
      <c r="J44">
        <f t="shared" si="7"/>
        <v>0</v>
      </c>
      <c r="K44" s="58">
        <f t="shared" si="11"/>
        <v>0</v>
      </c>
      <c r="M44" s="168"/>
      <c r="N44" s="164"/>
      <c r="O44" s="164"/>
      <c r="P44" s="164"/>
      <c r="Q44" s="164"/>
      <c r="R44" s="160"/>
      <c r="S44" s="160"/>
      <c r="T44" s="160"/>
      <c r="U44" s="160"/>
      <c r="V44" s="160"/>
      <c r="W44" s="169"/>
      <c r="X44" s="170"/>
      <c r="Y44" s="160"/>
      <c r="AQ44" t="str">
        <v>SAE</v>
      </c>
      <c r="AR44" t="str">
        <f>VLOOKUP(AQ44,CBIMPORT!$A$1:$B$171,2,FALSE)</f>
        <v>NPO</v>
      </c>
      <c r="AV44" t="str">
        <v>GreenPower</v>
      </c>
      <c r="AW44" t="str">
        <f>VLOOKUP(AV44,CBIMPORT!$A$1:$B$171,2,FALSE)</f>
        <v>OEM Commercial Vehicles</v>
      </c>
      <c r="AY44" s="55"/>
      <c r="BA44" s="55"/>
      <c r="BB44" s="55"/>
      <c r="BC44" s="55"/>
      <c r="BF44" s="55"/>
      <c r="BG44" s="55"/>
      <c r="BH44" s="55"/>
      <c r="BI44" s="55"/>
      <c r="BJ44" s="55"/>
      <c r="BK44" s="55"/>
      <c r="BL44" s="55"/>
      <c r="BM44" s="55"/>
      <c r="BN44" s="55"/>
      <c r="BO44" s="55"/>
      <c r="BP44" s="55"/>
      <c r="BQ44" s="55"/>
      <c r="BR44" s="55"/>
      <c r="BS44" s="55"/>
      <c r="BT44" s="55"/>
      <c r="BU44" s="55"/>
      <c r="BV44" s="55"/>
      <c r="BW44" s="55"/>
      <c r="BX44" s="55"/>
      <c r="BY44" s="55"/>
      <c r="BZ44" s="55"/>
    </row>
    <row r="45" spans="1:78" x14ac:dyDescent="0.35">
      <c r="A45" t="str">
        <v>Research &amp; Collaboration</v>
      </c>
      <c r="B45">
        <f t="shared" si="8"/>
        <v>20</v>
      </c>
      <c r="C45" s="58">
        <f t="shared" si="9"/>
        <v>0.20202020202020202</v>
      </c>
      <c r="D45" t="b">
        <f t="shared" si="5"/>
        <v>1</v>
      </c>
      <c r="E45" t="str">
        <v>Research &amp; Collaboration</v>
      </c>
      <c r="F45">
        <f t="shared" si="6"/>
        <v>12</v>
      </c>
      <c r="G45" s="58">
        <f t="shared" si="10"/>
        <v>0.17647058823529413</v>
      </c>
      <c r="I45" t="str">
        <v>Research &amp; Collaboration</v>
      </c>
      <c r="J45">
        <f t="shared" si="7"/>
        <v>8</v>
      </c>
      <c r="K45" s="58">
        <f t="shared" si="11"/>
        <v>0.25806451612903225</v>
      </c>
      <c r="M45" s="160"/>
      <c r="N45" s="160"/>
      <c r="O45" s="160"/>
      <c r="P45" s="160"/>
      <c r="Q45" s="160"/>
      <c r="R45" s="160"/>
      <c r="S45" s="160"/>
      <c r="T45" s="160"/>
      <c r="U45" s="160"/>
      <c r="V45" s="160"/>
      <c r="W45" s="169"/>
      <c r="X45" s="171"/>
      <c r="Y45" s="160"/>
      <c r="AQ45" t="str">
        <v>Tropos Technologies</v>
      </c>
      <c r="AR45" t="str">
        <f>VLOOKUP(AQ45,CBIMPORT!$A$1:$B$171,2,FALSE)</f>
        <v>OEM Commercial Vehicles</v>
      </c>
      <c r="AV45" t="str">
        <v>UVA Foundation</v>
      </c>
      <c r="AW45" t="str">
        <f>VLOOKUP(AV45,CBIMPORT!$A$1:$B$171,2,FALSE)</f>
        <v>Financial Services</v>
      </c>
      <c r="AY45" s="55"/>
      <c r="BA45" s="55"/>
      <c r="BB45" s="55"/>
      <c r="BC45" s="55"/>
      <c r="BF45" s="55"/>
      <c r="BG45" s="55"/>
      <c r="BH45" s="55"/>
      <c r="BI45" s="55"/>
      <c r="BJ45" s="55"/>
      <c r="BK45" s="55"/>
      <c r="BL45" s="55"/>
      <c r="BM45" s="55"/>
      <c r="BN45" s="55"/>
      <c r="BO45" s="55"/>
      <c r="BP45" s="55"/>
      <c r="BQ45" s="55"/>
      <c r="BR45" s="55"/>
      <c r="BS45" s="55"/>
      <c r="BT45" s="55"/>
      <c r="BU45" s="55"/>
      <c r="BV45" s="55"/>
      <c r="BW45" s="55"/>
      <c r="BX45" s="55"/>
      <c r="BY45" s="55"/>
      <c r="BZ45" s="55"/>
    </row>
    <row r="46" spans="1:78" x14ac:dyDescent="0.35">
      <c r="A46" t="str">
        <v>Supply Partnership (traditional)</v>
      </c>
      <c r="B46">
        <f t="shared" si="8"/>
        <v>7</v>
      </c>
      <c r="C46" s="58">
        <f t="shared" si="9"/>
        <v>7.0707070707070704E-2</v>
      </c>
      <c r="D46" t="b">
        <f t="shared" si="5"/>
        <v>1</v>
      </c>
      <c r="E46" t="str">
        <v>Supply Partnership (traditional)</v>
      </c>
      <c r="F46">
        <f t="shared" ref="F46:F47" si="12">COUNTIFS($J$73:$J$156,$E$8,$AB$73:$AB$156,E46)+
COUNTIFS($J$73:$J$156,$E$8,$Z$73:$Z$156,E46)+
COUNTIFS($J$73:$J$156,$E$8,$AD$73:$AD$156,E46)</f>
        <v>2</v>
      </c>
      <c r="G46" s="58">
        <f t="shared" si="10"/>
        <v>2.9411764705882353E-2</v>
      </c>
      <c r="I46" t="str">
        <v>Supply Partnership (traditional)</v>
      </c>
      <c r="J46">
        <f t="shared" ref="J46:J47" si="13">COUNTIFS($J$73:$J$156,$I$8,$AB$73:$AB$156,I46)+
COUNTIFS($J$73:$J$156,$I$8,$Z$73:$Z$156,I46)+
COUNTIFS($J$73:$J$156,$I$8,$AD$73:$AD$156,I46)</f>
        <v>5</v>
      </c>
      <c r="K46" s="58">
        <f t="shared" si="11"/>
        <v>0.16129032258064516</v>
      </c>
      <c r="M46" s="160"/>
      <c r="N46" s="160"/>
      <c r="O46" s="160"/>
      <c r="P46" s="160"/>
      <c r="Q46" s="160"/>
      <c r="R46" s="160"/>
      <c r="S46" s="160"/>
      <c r="T46" s="160"/>
      <c r="U46" s="160"/>
      <c r="V46" s="160"/>
      <c r="W46" s="169"/>
      <c r="X46" s="171"/>
      <c r="Y46" s="160"/>
      <c r="AQ46" t="str">
        <v>Tropos Technologies</v>
      </c>
      <c r="AR46" t="str">
        <f>VLOOKUP(AQ46,CBIMPORT!$A$1:$B$171,2,FALSE)</f>
        <v>OEM Commercial Vehicles</v>
      </c>
      <c r="AV46" t="str">
        <v>E Charger Systems</v>
      </c>
      <c r="AW46" t="str">
        <f>VLOOKUP(AV46,CBIMPORT!$A$1:$B$171,2,FALSE)</f>
        <v>Charging System</v>
      </c>
      <c r="AY46" s="55"/>
      <c r="BA46" s="55"/>
      <c r="BB46" s="55"/>
      <c r="BC46" s="55"/>
      <c r="BF46" s="55"/>
      <c r="BG46" s="55"/>
      <c r="BH46" s="55"/>
      <c r="BI46" s="55"/>
      <c r="BJ46" s="55"/>
      <c r="BK46" s="55"/>
      <c r="BL46" s="55"/>
      <c r="BM46" s="55"/>
      <c r="BN46" s="55"/>
      <c r="BO46" s="55"/>
      <c r="BP46" s="55"/>
      <c r="BQ46" s="55"/>
      <c r="BR46" s="55"/>
      <c r="BS46" s="55"/>
      <c r="BT46" s="55"/>
      <c r="BU46" s="55"/>
      <c r="BV46" s="55"/>
      <c r="BW46" s="55"/>
      <c r="BX46" s="55"/>
      <c r="BY46" s="55"/>
      <c r="BZ46" s="55"/>
    </row>
    <row r="47" spans="1:78" x14ac:dyDescent="0.35">
      <c r="A47" t="str">
        <v>Supply Partnership (extended)</v>
      </c>
      <c r="B47">
        <f t="shared" si="8"/>
        <v>4</v>
      </c>
      <c r="C47" s="58">
        <f t="shared" si="9"/>
        <v>4.0404040404040407E-2</v>
      </c>
      <c r="D47" t="b">
        <f t="shared" si="5"/>
        <v>1</v>
      </c>
      <c r="E47" t="str">
        <v>Supply Partnership (extended)</v>
      </c>
      <c r="F47">
        <f t="shared" si="12"/>
        <v>1</v>
      </c>
      <c r="G47" s="58">
        <f t="shared" si="10"/>
        <v>1.4705882352941176E-2</v>
      </c>
      <c r="I47" t="str">
        <v>Supply Partnership (extended)</v>
      </c>
      <c r="J47">
        <f t="shared" si="13"/>
        <v>3</v>
      </c>
      <c r="K47" s="58">
        <f t="shared" si="11"/>
        <v>9.6774193548387094E-2</v>
      </c>
      <c r="M47" s="160"/>
      <c r="N47" s="160"/>
      <c r="O47" s="160"/>
      <c r="P47" s="160"/>
      <c r="Q47" s="160"/>
      <c r="R47" s="160"/>
      <c r="S47" s="160"/>
      <c r="T47" s="160"/>
      <c r="U47" s="160"/>
      <c r="V47" s="160"/>
      <c r="W47" s="169"/>
      <c r="X47" s="171"/>
      <c r="Y47" s="160"/>
      <c r="AQ47" t="str">
        <v>Greenpower</v>
      </c>
      <c r="AR47" t="str">
        <f>VLOOKUP(AQ47,CBIMPORT!$A$1:$B$171,2,FALSE)</f>
        <v>OEM Commercial Vehicles</v>
      </c>
      <c r="AV47" t="str">
        <v>Torc</v>
      </c>
      <c r="AW47" t="str">
        <f>VLOOKUP(AV47,CBIMPORT!$A$1:$B$171,2,FALSE)</f>
        <v>Autonomous Vehicles</v>
      </c>
      <c r="AY47" s="55"/>
      <c r="BA47" s="55"/>
      <c r="BB47" s="55"/>
      <c r="BC47" s="55"/>
      <c r="BF47" s="55"/>
      <c r="BG47" s="55"/>
      <c r="BH47" s="55"/>
      <c r="BI47" s="55"/>
      <c r="BJ47" s="55"/>
      <c r="BK47" s="55"/>
      <c r="BL47" s="55"/>
      <c r="BM47" s="55"/>
      <c r="BN47" s="55"/>
      <c r="BO47" s="55"/>
      <c r="BP47" s="55"/>
      <c r="BQ47" s="55"/>
      <c r="BR47" s="55"/>
      <c r="BS47" s="55"/>
      <c r="BT47" s="55"/>
      <c r="BU47" s="55"/>
      <c r="BV47" s="55"/>
      <c r="BW47" s="55"/>
      <c r="BX47" s="55"/>
      <c r="BY47" s="55"/>
      <c r="BZ47" s="55"/>
    </row>
    <row r="48" spans="1:78" x14ac:dyDescent="0.35">
      <c r="A48">
        <v>0</v>
      </c>
      <c r="E48">
        <v>0</v>
      </c>
      <c r="I48">
        <v>0</v>
      </c>
      <c r="M48" s="160"/>
      <c r="N48" s="160"/>
      <c r="O48" s="160"/>
      <c r="P48" s="160"/>
      <c r="Q48" s="160"/>
      <c r="R48" s="160"/>
      <c r="S48" s="160"/>
      <c r="T48" s="160"/>
      <c r="U48" s="160"/>
      <c r="V48" s="160"/>
      <c r="W48" s="169"/>
      <c r="X48" s="171"/>
      <c r="Y48" s="160"/>
      <c r="AQ48" t="str">
        <v>Guident</v>
      </c>
      <c r="AR48" t="str">
        <f>VLOOKUP(AQ48,CBIMPORT!$A$1:$B$171,2,FALSE)</f>
        <v>Mobility Services</v>
      </c>
      <c r="AV48" t="str">
        <v>LAVTA</v>
      </c>
      <c r="AW48" t="str">
        <f>VLOOKUP(AV48,CBIMPORT!$A$1:$B$171,2,FALSE)</f>
        <v>Transport Operator</v>
      </c>
      <c r="AY48" s="55"/>
      <c r="BA48" s="55"/>
      <c r="BB48" s="55"/>
      <c r="BC48" s="55"/>
      <c r="BF48" s="55"/>
      <c r="BG48" s="55"/>
      <c r="BH48" s="55"/>
      <c r="BI48" s="55"/>
      <c r="BJ48" s="55"/>
      <c r="BK48" s="55"/>
      <c r="BL48" s="55"/>
      <c r="BM48" s="55"/>
      <c r="BN48" s="55"/>
      <c r="BO48" s="55"/>
      <c r="BP48" s="55"/>
      <c r="BQ48" s="55"/>
      <c r="BR48" s="55"/>
      <c r="BS48" s="55"/>
      <c r="BT48" s="55"/>
      <c r="BU48" s="55"/>
      <c r="BV48" s="55"/>
      <c r="BW48" s="55"/>
      <c r="BX48" s="55"/>
      <c r="BY48" s="55"/>
      <c r="BZ48" s="55"/>
    </row>
    <row r="49" spans="1:78" x14ac:dyDescent="0.35">
      <c r="M49" s="160"/>
      <c r="N49" s="160"/>
      <c r="O49" s="160"/>
      <c r="P49" s="160"/>
      <c r="Q49" s="160"/>
      <c r="R49" s="160"/>
      <c r="S49" s="160"/>
      <c r="T49" s="160"/>
      <c r="U49" s="160"/>
      <c r="V49" s="160"/>
      <c r="W49" s="169"/>
      <c r="X49" s="171"/>
      <c r="Y49" s="160"/>
      <c r="AQ49" t="str">
        <v>Lightning eMotors</v>
      </c>
      <c r="AR49" t="str">
        <f>VLOOKUP(AQ49,CBIMPORT!$A$1:$B$171,2,FALSE)</f>
        <v>Environmental Engineering</v>
      </c>
      <c r="AV49" t="str">
        <v>Delphi</v>
      </c>
      <c r="AW49" t="str">
        <f>VLOOKUP(AV49,CBIMPORT!$A$1:$B$171,2,FALSE)</f>
        <v>Automotive Supplier</v>
      </c>
      <c r="AY49" s="55"/>
      <c r="BA49" s="55"/>
      <c r="BB49" s="55"/>
      <c r="BC49" s="55"/>
      <c r="BF49" s="55"/>
      <c r="BG49" s="55"/>
      <c r="BH49" s="55"/>
      <c r="BI49" s="55"/>
      <c r="BJ49" s="55"/>
      <c r="BK49" s="55"/>
      <c r="BL49" s="55"/>
      <c r="BM49" s="55"/>
      <c r="BN49" s="55"/>
      <c r="BO49" s="55"/>
      <c r="BP49" s="55"/>
      <c r="BQ49" s="55"/>
      <c r="BR49" s="55"/>
      <c r="BS49" s="55"/>
      <c r="BT49" s="55"/>
      <c r="BU49" s="55"/>
      <c r="BV49" s="55"/>
      <c r="BW49" s="55"/>
      <c r="BX49" s="55"/>
      <c r="BY49" s="55"/>
      <c r="BZ49" s="55"/>
    </row>
    <row r="50" spans="1:78" x14ac:dyDescent="0.35">
      <c r="A50" s="114" t="str" cm="1">
        <f t="array" ref="A50:C56">_xlfn._xlws.SORT(AP133:AR139,1,1)</f>
        <v>1. Informal Agreement</v>
      </c>
      <c r="B50">
        <v>2</v>
      </c>
      <c r="C50" s="58">
        <v>2.4096385542168676E-2</v>
      </c>
      <c r="D50" t="b">
        <f t="shared" si="5"/>
        <v>1</v>
      </c>
      <c r="E50" s="114" t="str" cm="1">
        <f t="array" ref="E50:G56">_xlfn._xlws.SORT(AT133:AV139,1,1)</f>
        <v>1. Informal Agreement</v>
      </c>
      <c r="F50">
        <v>2</v>
      </c>
      <c r="G50" s="58">
        <v>3.3898305084745763E-2</v>
      </c>
      <c r="I50" s="114" t="str" cm="1">
        <f t="array" ref="I50:K56">_xlfn._xlws.SORT(AX133:AZ139,1,1)</f>
        <v>1. Informal Agreement</v>
      </c>
      <c r="J50">
        <v>0</v>
      </c>
      <c r="K50" s="130">
        <v>0</v>
      </c>
      <c r="M50" s="160"/>
      <c r="N50" s="160"/>
      <c r="O50" s="160"/>
      <c r="P50" s="160"/>
      <c r="Q50" s="160"/>
      <c r="R50" s="160"/>
      <c r="S50" s="160"/>
      <c r="T50" s="160"/>
      <c r="U50" s="160"/>
      <c r="V50" s="160"/>
      <c r="W50" s="169"/>
      <c r="X50" s="171"/>
      <c r="Y50" s="160"/>
      <c r="AQ50" t="str">
        <v>University of California</v>
      </c>
      <c r="AR50" t="str">
        <f>VLOOKUP(AQ50,CBIMPORT!$A$1:$B$171,2,FALSE)</f>
        <v>University</v>
      </c>
      <c r="AV50" t="str">
        <v>ZF</v>
      </c>
      <c r="AW50" t="str">
        <f>VLOOKUP(AV50,CBIMPORT!$A$1:$B$171,2,FALSE)</f>
        <v>Autonomous Vehicles</v>
      </c>
      <c r="AY50" s="55"/>
      <c r="BA50" s="55"/>
      <c r="BB50" s="55"/>
      <c r="BC50" s="55"/>
      <c r="BF50" s="55"/>
      <c r="BG50" s="55"/>
      <c r="BH50" s="55"/>
      <c r="BI50" s="55"/>
      <c r="BJ50" s="55"/>
      <c r="BK50" s="55"/>
      <c r="BL50" s="55"/>
      <c r="BM50" s="55"/>
      <c r="BN50" s="55"/>
      <c r="BO50" s="55"/>
      <c r="BP50" s="55"/>
      <c r="BQ50" s="55"/>
      <c r="BR50" s="55"/>
      <c r="BS50" s="55"/>
      <c r="BT50" s="55"/>
      <c r="BU50" s="55"/>
      <c r="BV50" s="55"/>
      <c r="BW50" s="55"/>
      <c r="BX50" s="55"/>
      <c r="BY50" s="55"/>
      <c r="BZ50" s="55"/>
    </row>
    <row r="51" spans="1:78" x14ac:dyDescent="0.35">
      <c r="A51" t="str">
        <v>2.1. Short term Alliance (no exclusivity / previous experience)</v>
      </c>
      <c r="B51">
        <v>44</v>
      </c>
      <c r="C51" s="58">
        <v>0.53012048192771088</v>
      </c>
      <c r="D51" t="b">
        <f t="shared" si="5"/>
        <v>1</v>
      </c>
      <c r="E51" t="str">
        <v>2.1. Short term Alliance (no exclusivity / previous experience)</v>
      </c>
      <c r="F51">
        <v>30</v>
      </c>
      <c r="G51" s="58">
        <v>0.50847457627118642</v>
      </c>
      <c r="I51" t="str">
        <v>2.1. Short term Alliance (no exclusivity / previous experience)</v>
      </c>
      <c r="J51">
        <v>14</v>
      </c>
      <c r="K51" s="130">
        <v>0.58333333333333337</v>
      </c>
      <c r="L51" s="136"/>
      <c r="M51" s="160"/>
      <c r="N51" s="160"/>
      <c r="O51" s="160"/>
      <c r="P51" s="160"/>
      <c r="Q51" s="160"/>
      <c r="R51" s="160"/>
      <c r="S51" s="160"/>
      <c r="T51" s="160"/>
      <c r="U51" s="160"/>
      <c r="V51" s="160"/>
      <c r="W51" s="169"/>
      <c r="X51" s="171"/>
      <c r="Y51" s="160"/>
      <c r="AQ51" t="str">
        <v>Sustainability Partners</v>
      </c>
      <c r="AR51" t="str">
        <f>VLOOKUP(AQ51,CBIMPORT!$A$1:$B$171,2,FALSE)</f>
        <v>Financial Services</v>
      </c>
      <c r="AV51" t="str">
        <v>Anheuser - Busch InBev</v>
      </c>
      <c r="AW51" t="str">
        <f>VLOOKUP(AV51,CBIMPORT!$A$1:$B$171,2,FALSE)</f>
        <v>Food &amp; Beverage</v>
      </c>
      <c r="AY51" s="55"/>
      <c r="BA51" s="55"/>
      <c r="BB51" s="55"/>
      <c r="BC51" s="55"/>
      <c r="BF51" s="55"/>
      <c r="BG51" s="55"/>
      <c r="BH51" s="55"/>
      <c r="BI51" s="55"/>
      <c r="BJ51" s="55"/>
      <c r="BK51" s="55"/>
      <c r="BL51" s="55"/>
      <c r="BM51" s="55"/>
      <c r="BN51" s="55"/>
      <c r="BO51" s="55"/>
      <c r="BP51" s="55"/>
      <c r="BQ51" s="55"/>
      <c r="BR51" s="55"/>
      <c r="BS51" s="55"/>
      <c r="BT51" s="55"/>
      <c r="BU51" s="55"/>
      <c r="BV51" s="55"/>
      <c r="BW51" s="55"/>
      <c r="BX51" s="55"/>
      <c r="BY51" s="55"/>
      <c r="BZ51" s="55"/>
    </row>
    <row r="52" spans="1:78" x14ac:dyDescent="0.35">
      <c r="A52" t="str">
        <v xml:space="preserve">2.2. Renewed Alliance </v>
      </c>
      <c r="B52">
        <v>11</v>
      </c>
      <c r="C52" s="58">
        <v>0.13253012048192772</v>
      </c>
      <c r="D52" t="b">
        <f t="shared" si="5"/>
        <v>1</v>
      </c>
      <c r="E52" t="str">
        <v xml:space="preserve">2.2. Renewed Alliance </v>
      </c>
      <c r="F52">
        <v>10</v>
      </c>
      <c r="G52" s="58">
        <v>0.16949152542372881</v>
      </c>
      <c r="I52" t="str">
        <v xml:space="preserve">2.2. Renewed Alliance </v>
      </c>
      <c r="J52">
        <v>1</v>
      </c>
      <c r="K52" s="130">
        <v>4.1666666666666664E-2</v>
      </c>
      <c r="M52" s="160"/>
      <c r="N52" s="160"/>
      <c r="O52" s="160"/>
      <c r="P52" s="160"/>
      <c r="Q52" s="160"/>
      <c r="R52" s="160"/>
      <c r="S52" s="160"/>
      <c r="T52" s="160"/>
      <c r="U52" s="160"/>
      <c r="V52" s="160"/>
      <c r="W52" s="160"/>
      <c r="X52" s="160"/>
      <c r="Y52" s="160"/>
      <c r="Z52" s="112"/>
      <c r="AA52" s="127"/>
      <c r="AQ52" t="str">
        <v>Rampini</v>
      </c>
      <c r="AR52" t="str">
        <f>VLOOKUP(AQ52,CBIMPORT!$A$1:$B$171,2,FALSE)</f>
        <v>Construction</v>
      </c>
      <c r="AV52" t="str">
        <v>DB Regio</v>
      </c>
      <c r="AW52" t="str">
        <f>VLOOKUP(AV52,CBIMPORT!$A$1:$B$171,2,FALSE)</f>
        <v>Transport Operator</v>
      </c>
      <c r="BB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row>
    <row r="53" spans="1:78" x14ac:dyDescent="0.35">
      <c r="A53" t="str">
        <v>2.3. Long term Alliance</v>
      </c>
      <c r="B53">
        <v>16</v>
      </c>
      <c r="C53" s="58">
        <v>0.19277108433734941</v>
      </c>
      <c r="D53" t="b">
        <f t="shared" si="5"/>
        <v>1</v>
      </c>
      <c r="E53" t="str">
        <v>2.3. Long term Alliance</v>
      </c>
      <c r="F53">
        <v>14</v>
      </c>
      <c r="G53" s="58">
        <v>0.23728813559322035</v>
      </c>
      <c r="I53" t="str">
        <v>2.3. Long term Alliance</v>
      </c>
      <c r="J53">
        <v>2</v>
      </c>
      <c r="K53" s="130">
        <v>8.3333333333333329E-2</v>
      </c>
      <c r="M53" s="160"/>
      <c r="N53" s="160"/>
      <c r="O53" s="160"/>
      <c r="P53" s="160"/>
      <c r="Q53" s="166"/>
      <c r="R53" s="166"/>
      <c r="S53" s="166"/>
      <c r="T53" s="166"/>
      <c r="U53" s="166"/>
      <c r="V53" s="166"/>
      <c r="W53" s="166"/>
      <c r="X53" s="166"/>
      <c r="Y53" s="166"/>
      <c r="Z53" s="112"/>
      <c r="AA53" s="127"/>
      <c r="AQ53" t="str">
        <v>Tropos Technologies</v>
      </c>
      <c r="AR53" t="str">
        <f>VLOOKUP(AQ53,CBIMPORT!$A$1:$B$171,2,FALSE)</f>
        <v>OEM Commercial Vehicles</v>
      </c>
      <c r="AV53" t="str">
        <v>Beep</v>
      </c>
      <c r="AW53" t="str">
        <f>VLOOKUP(AV53,CBIMPORT!$A$1:$B$171,2,FALSE)</f>
        <v>Transport Operator</v>
      </c>
      <c r="BB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row>
    <row r="54" spans="1:78" x14ac:dyDescent="0.35">
      <c r="A54" t="str">
        <v>2.4. Exclusive Alliance</v>
      </c>
      <c r="B54">
        <v>4</v>
      </c>
      <c r="C54" s="58">
        <v>4.8192771084337352E-2</v>
      </c>
      <c r="D54" t="b">
        <f t="shared" si="5"/>
        <v>1</v>
      </c>
      <c r="E54" t="str">
        <v>2.4. Exclusive Alliance</v>
      </c>
      <c r="F54">
        <v>1</v>
      </c>
      <c r="G54" s="58">
        <v>1.6949152542372881E-2</v>
      </c>
      <c r="I54" t="str">
        <v>2.4. Exclusive Alliance</v>
      </c>
      <c r="J54">
        <v>3</v>
      </c>
      <c r="K54" s="130">
        <v>0.125</v>
      </c>
      <c r="M54" s="172"/>
      <c r="N54" s="160"/>
      <c r="O54" s="160"/>
      <c r="P54" s="160"/>
      <c r="Q54" s="160"/>
      <c r="R54" s="160"/>
      <c r="S54" s="160"/>
      <c r="T54" s="160"/>
      <c r="U54" s="160"/>
      <c r="V54" s="160"/>
      <c r="W54" s="160"/>
      <c r="X54" s="160"/>
      <c r="Y54" s="160"/>
      <c r="AQ54" t="str">
        <v>GreenPower</v>
      </c>
      <c r="AR54" t="str">
        <f>VLOOKUP(AQ54,CBIMPORT!$A$1:$B$171,2,FALSE)</f>
        <v>OEM Commercial Vehicles</v>
      </c>
      <c r="AV54" t="str">
        <v>Beep</v>
      </c>
      <c r="AW54" t="str">
        <f>VLOOKUP(AV54,CBIMPORT!$A$1:$B$171,2,FALSE)</f>
        <v>Transport Operator</v>
      </c>
      <c r="BB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row>
    <row r="55" spans="1:78" x14ac:dyDescent="0.35">
      <c r="A55" t="str">
        <v>3. Strategic Partnership</v>
      </c>
      <c r="B55">
        <v>3</v>
      </c>
      <c r="C55" s="58">
        <v>3.614457831325301E-2</v>
      </c>
      <c r="D55" t="b">
        <f t="shared" si="5"/>
        <v>1</v>
      </c>
      <c r="E55" t="str">
        <v>3. Strategic Partnership</v>
      </c>
      <c r="F55">
        <v>1</v>
      </c>
      <c r="G55" s="58">
        <v>1.6949152542372881E-2</v>
      </c>
      <c r="I55" t="str">
        <v>3. Strategic Partnership</v>
      </c>
      <c r="J55">
        <v>2</v>
      </c>
      <c r="K55" s="130">
        <v>8.3333333333333329E-2</v>
      </c>
      <c r="M55" s="160"/>
      <c r="N55" s="160"/>
      <c r="O55" s="160"/>
      <c r="P55" s="160"/>
      <c r="Q55" s="160"/>
      <c r="R55" s="160"/>
      <c r="S55" s="160"/>
      <c r="T55" s="160"/>
      <c r="U55" s="160"/>
      <c r="V55" s="160"/>
      <c r="W55" s="160"/>
      <c r="X55" s="160"/>
      <c r="Y55" s="160"/>
      <c r="AQ55" t="str">
        <v>UVA Foundation</v>
      </c>
      <c r="AR55" t="str">
        <f>VLOOKUP(AQ55,CBIMPORT!$A$1:$B$171,2,FALSE)</f>
        <v>Financial Services</v>
      </c>
      <c r="AV55" t="str">
        <v>May Mobility</v>
      </c>
      <c r="AW55" t="str">
        <f>VLOOKUP(AV55,CBIMPORT!$A$1:$B$171,2,FALSE)</f>
        <v>Autonomous Vehicles</v>
      </c>
      <c r="BB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row>
    <row r="56" spans="1:78" x14ac:dyDescent="0.35">
      <c r="A56" t="str">
        <v>4. Joint Venture</v>
      </c>
      <c r="B56">
        <v>3</v>
      </c>
      <c r="C56" s="58">
        <v>3.614457831325301E-2</v>
      </c>
      <c r="D56" t="b">
        <f t="shared" si="5"/>
        <v>1</v>
      </c>
      <c r="E56" t="str">
        <v>4. Joint Venture</v>
      </c>
      <c r="F56">
        <v>1</v>
      </c>
      <c r="G56" s="58">
        <v>1.6949152542372881E-2</v>
      </c>
      <c r="I56" t="str">
        <v>4. Joint Venture</v>
      </c>
      <c r="J56">
        <v>2</v>
      </c>
      <c r="K56" s="130">
        <v>8.3333333333333329E-2</v>
      </c>
      <c r="L56" s="136"/>
      <c r="M56" s="160"/>
      <c r="N56" s="160"/>
      <c r="O56" s="160"/>
      <c r="P56" s="160"/>
      <c r="Q56" s="160"/>
      <c r="R56" s="160"/>
      <c r="S56" s="160"/>
      <c r="T56" s="160"/>
      <c r="U56" s="160"/>
      <c r="V56" s="160"/>
      <c r="W56" s="160"/>
      <c r="X56" s="160"/>
      <c r="Y56" s="160"/>
      <c r="AQ56" t="str">
        <v>E Charger Systems</v>
      </c>
      <c r="AR56" t="str">
        <f>VLOOKUP(AQ56,CBIMPORT!$A$1:$B$171,2,FALSE)</f>
        <v>Charging System</v>
      </c>
      <c r="AV56" t="str">
        <v>Navya</v>
      </c>
      <c r="AW56" t="str">
        <f>VLOOKUP(AV56,CBIMPORT!$A$1:$B$171,2,FALSE)</f>
        <v>Autonomous Vehicles</v>
      </c>
      <c r="BB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row>
    <row r="57" spans="1:78" x14ac:dyDescent="0.35">
      <c r="AQ57" t="str">
        <v>Toyota</v>
      </c>
      <c r="AR57" t="str">
        <f>VLOOKUP(AQ57,CBIMPORT!$A$1:$B$171,2,FALSE)</f>
        <v>OEM</v>
      </c>
      <c r="AV57" t="str">
        <v>Transdev</v>
      </c>
      <c r="AW57" t="str">
        <f>VLOOKUP(AV57,CBIMPORT!$A$1:$B$171,2,FALSE)</f>
        <v>Transport Operator</v>
      </c>
      <c r="BB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row>
    <row r="58" spans="1:78" x14ac:dyDescent="0.35">
      <c r="AQ58" t="str">
        <v>Onsemi</v>
      </c>
      <c r="AR58" t="str">
        <f>VLOOKUP(AQ58,CBIMPORT!$A$1:$B$171,2,FALSE)</f>
        <v>Semiconductor</v>
      </c>
      <c r="AV58" t="str">
        <v>Transdev</v>
      </c>
      <c r="AW58" t="str">
        <f>VLOOKUP(AV58,CBIMPORT!$A$1:$B$171,2,FALSE)</f>
        <v>Transport Operator</v>
      </c>
      <c r="BB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row>
    <row r="59" spans="1:78" x14ac:dyDescent="0.35">
      <c r="AQ59" t="str">
        <v>Horizon Robotics</v>
      </c>
      <c r="AR59" t="str">
        <f>VLOOKUP(AQ59,CBIMPORT!$A$1:$B$171,2,FALSE)</f>
        <v>Autonomous Vehicles</v>
      </c>
      <c r="AV59" t="str">
        <v>WILLER</v>
      </c>
      <c r="AW59" t="str">
        <f>VLOOKUP(AV59,CBIMPORT!$A$1:$B$171,2,FALSE)</f>
        <v>Mobility Services</v>
      </c>
      <c r="BD59" s="55"/>
      <c r="BE59" s="55"/>
      <c r="BF59" s="55"/>
      <c r="BG59" s="55"/>
      <c r="BH59" s="55"/>
      <c r="BI59" s="55"/>
      <c r="BJ59" s="55"/>
      <c r="BK59" s="55"/>
      <c r="BL59" s="55"/>
      <c r="BM59" s="55"/>
      <c r="BN59" s="55"/>
      <c r="BO59" s="55"/>
      <c r="BP59" s="55"/>
      <c r="BQ59" s="55"/>
      <c r="BR59" s="55"/>
      <c r="BS59" s="55"/>
      <c r="BT59" s="55"/>
      <c r="BU59" s="55"/>
      <c r="BV59" s="55"/>
      <c r="BW59" s="55"/>
      <c r="BX59" s="55"/>
      <c r="BY59" s="55"/>
      <c r="BZ59" s="55"/>
    </row>
    <row r="60" spans="1:78" x14ac:dyDescent="0.35">
      <c r="AQ60" t="str">
        <v>Toyota</v>
      </c>
      <c r="AR60" t="str">
        <f>VLOOKUP(AQ60,CBIMPORT!$A$1:$B$171,2,FALSE)</f>
        <v>OEM</v>
      </c>
      <c r="AV60" t="str" cm="1">
        <f t="array" ref="AV60:AV68">_xlfn._xlws.FILTER(
CHOOSE(
{1},
$M$72:$M$153),
(($J$72:$J$153=E8)*($M$72:$M$153&lt;&gt;0)))</f>
        <v>Shanghai Jiading Industrial Zone</v>
      </c>
      <c r="AW60" t="str">
        <f>VLOOKUP(AV60,CBIMPORT!$A$1:$B$171,2,FALSE)</f>
        <v>Mobility Project</v>
      </c>
      <c r="BD60" s="55"/>
      <c r="BE60" s="55"/>
      <c r="BF60" s="55"/>
      <c r="BG60" s="55"/>
      <c r="BH60" s="55"/>
      <c r="BI60" s="55"/>
      <c r="BJ60" s="55"/>
      <c r="BK60" s="55"/>
      <c r="BL60" s="55"/>
      <c r="BM60" s="55"/>
      <c r="BN60" s="55"/>
      <c r="BO60" s="55"/>
      <c r="BP60" s="55"/>
      <c r="BQ60" s="55"/>
      <c r="BR60" s="55"/>
      <c r="BS60" s="55"/>
      <c r="BT60" s="55"/>
      <c r="BU60" s="55"/>
      <c r="BV60" s="55"/>
      <c r="BW60" s="55"/>
      <c r="BX60" s="55"/>
      <c r="BY60" s="55"/>
      <c r="BZ60" s="55"/>
    </row>
    <row r="61" spans="1:78" x14ac:dyDescent="0.35">
      <c r="AQ61" t="str">
        <v>Luminar</v>
      </c>
      <c r="AR61" t="str">
        <f>VLOOKUP(AQ61,CBIMPORT!$A$1:$B$171,2,FALSE)</f>
        <v>Sensor</v>
      </c>
      <c r="AV61" t="str">
        <v>Berliner Verkehrsbetriebe</v>
      </c>
      <c r="AW61" t="str">
        <f>VLOOKUP(AV61,CBIMPORT!$A$1:$B$171,2,FALSE)</f>
        <v>Transport Operator</v>
      </c>
      <c r="BD61" s="55"/>
      <c r="BE61" s="55"/>
      <c r="BF61" s="55"/>
      <c r="BG61" s="55"/>
      <c r="BH61" s="55"/>
      <c r="BI61" s="55"/>
      <c r="BJ61" s="55"/>
      <c r="BK61" s="55"/>
      <c r="BL61" s="55"/>
      <c r="BM61" s="55"/>
      <c r="BN61" s="55"/>
      <c r="BO61" s="55"/>
      <c r="BP61" s="55"/>
      <c r="BQ61" s="55"/>
      <c r="BR61" s="55"/>
      <c r="BS61" s="55"/>
      <c r="BT61" s="55"/>
      <c r="BU61" s="55"/>
      <c r="BV61" s="55"/>
      <c r="BW61" s="55"/>
      <c r="BX61" s="55"/>
      <c r="BY61" s="55"/>
      <c r="BZ61" s="55"/>
    </row>
    <row r="62" spans="1:78" s="103" customFormat="1" x14ac:dyDescent="0.35">
      <c r="A62"/>
      <c r="E62"/>
      <c r="AQ62" t="str">
        <v>Sinotrans</v>
      </c>
      <c r="AR62" t="str">
        <f>VLOOKUP(AQ62,CBIMPORT!$A$1:$B$171,2,FALSE)</f>
        <v>Logistics</v>
      </c>
      <c r="AS62"/>
      <c r="AT62"/>
      <c r="AU62"/>
      <c r="AV62" t="str">
        <v>Volkswagen Commercial Vehicles</v>
      </c>
      <c r="AW62" t="str">
        <f>VLOOKUP(AV62,CBIMPORT!$A$1:$B$171,2,FALSE)</f>
        <v>OEM Commercial Vehicles</v>
      </c>
      <c r="AX62"/>
      <c r="AY62"/>
      <c r="AZ62"/>
      <c r="BA62"/>
      <c r="BB62"/>
      <c r="BC62"/>
      <c r="BD62" s="55"/>
      <c r="BE62" s="55"/>
      <c r="BF62" s="55"/>
      <c r="BG62" s="55"/>
      <c r="BH62" s="55"/>
      <c r="BI62" s="55"/>
      <c r="BJ62" s="55"/>
      <c r="BK62" s="55"/>
      <c r="BL62" s="55"/>
      <c r="BM62" s="55"/>
      <c r="BN62" s="55"/>
      <c r="BO62" s="55"/>
      <c r="BP62" s="199"/>
      <c r="BQ62" s="199"/>
      <c r="BR62" s="199"/>
      <c r="BS62" s="199"/>
      <c r="BT62" s="199"/>
      <c r="BU62" s="199"/>
      <c r="BV62" s="199"/>
      <c r="BW62" s="199"/>
      <c r="BX62" s="199"/>
      <c r="BY62" s="199"/>
      <c r="BZ62" s="199"/>
    </row>
    <row r="63" spans="1:78" x14ac:dyDescent="0.35">
      <c r="AQ63" t="str">
        <v>Torc</v>
      </c>
      <c r="AR63" t="str">
        <f>VLOOKUP(AQ63,CBIMPORT!$A$1:$B$171,2,FALSE)</f>
        <v>Autonomous Vehicles</v>
      </c>
      <c r="AV63" t="str">
        <v>Beti</v>
      </c>
      <c r="AW63" t="str">
        <f>VLOOKUP(AV63,CBIMPORT!$A$1:$B$171,2,FALSE)</f>
        <v>Mobility Services</v>
      </c>
      <c r="BD63" s="55"/>
      <c r="BE63" s="55"/>
      <c r="BF63" s="55"/>
      <c r="BG63" s="55"/>
      <c r="BH63" s="55"/>
      <c r="BI63" s="55"/>
      <c r="BJ63" s="55"/>
      <c r="BK63" s="55"/>
      <c r="BL63" s="55"/>
      <c r="BM63" s="55"/>
      <c r="BN63" s="55"/>
      <c r="BO63" s="55"/>
      <c r="BP63" s="55"/>
      <c r="BQ63" s="55"/>
      <c r="BR63" s="55"/>
      <c r="BS63" s="55"/>
      <c r="BT63" s="55"/>
      <c r="BU63" s="55"/>
      <c r="BV63" s="55"/>
      <c r="BW63" s="55"/>
      <c r="BX63" s="55"/>
      <c r="BY63" s="55"/>
      <c r="BZ63" s="55"/>
    </row>
    <row r="64" spans="1:78" x14ac:dyDescent="0.35">
      <c r="AQ64" t="str">
        <v>LAVTA</v>
      </c>
      <c r="AR64" t="str">
        <f>VLOOKUP(AQ64,CBIMPORT!$A$1:$B$171,2,FALSE)</f>
        <v>Transport Operator</v>
      </c>
      <c r="AV64" t="str">
        <v>GreenPower</v>
      </c>
      <c r="AW64" t="str">
        <f>VLOOKUP(AV64,CBIMPORT!$A$1:$B$171,2,FALSE)</f>
        <v>OEM Commercial Vehicles</v>
      </c>
      <c r="BD64" s="55"/>
      <c r="BE64" s="55"/>
      <c r="BF64" s="55"/>
      <c r="BG64" s="55"/>
      <c r="BH64" s="55"/>
      <c r="BI64" s="55"/>
      <c r="BJ64" s="55"/>
      <c r="BK64" s="55"/>
      <c r="BL64" s="55"/>
      <c r="BM64" s="55"/>
      <c r="BN64" s="55"/>
      <c r="BO64" s="55"/>
      <c r="BP64" s="55"/>
      <c r="BQ64" s="55"/>
      <c r="BR64" s="55"/>
      <c r="BS64" s="55"/>
      <c r="BT64" s="55"/>
      <c r="BU64" s="55"/>
      <c r="BV64" s="55"/>
      <c r="BW64" s="55"/>
      <c r="BX64" s="55"/>
      <c r="BY64" s="55"/>
      <c r="BZ64" s="55"/>
    </row>
    <row r="65" spans="1:78" x14ac:dyDescent="0.35">
      <c r="AQ65" t="str">
        <v>Delphi</v>
      </c>
      <c r="AR65" t="str">
        <f>VLOOKUP(AQ65,CBIMPORT!$A$1:$B$171,2,FALSE)</f>
        <v>Automotive Supplier</v>
      </c>
      <c r="AV65" t="str">
        <v>JTA</v>
      </c>
      <c r="AW65" t="str">
        <f>VLOOKUP(AV65,CBIMPORT!$A$1:$B$171,2,FALSE)</f>
        <v>Transportation Authority</v>
      </c>
      <c r="BD65" s="55"/>
      <c r="BE65" s="55"/>
      <c r="BF65" s="55"/>
      <c r="BG65" s="55"/>
      <c r="BH65" s="55"/>
      <c r="BI65" s="55"/>
      <c r="BJ65" s="55"/>
      <c r="BK65" s="55"/>
      <c r="BL65" s="55"/>
      <c r="BM65" s="55"/>
      <c r="BN65" s="55"/>
      <c r="BO65" s="55"/>
      <c r="BP65" s="55"/>
      <c r="BQ65" s="55"/>
      <c r="BR65" s="55"/>
      <c r="BS65" s="55"/>
      <c r="BT65" s="55"/>
      <c r="BU65" s="55"/>
      <c r="BV65" s="55"/>
      <c r="BW65" s="55"/>
      <c r="BX65" s="55"/>
      <c r="BY65" s="55"/>
      <c r="BZ65" s="55"/>
    </row>
    <row r="66" spans="1:78" x14ac:dyDescent="0.35">
      <c r="E66" s="55"/>
      <c r="AQ66" t="str">
        <v>ZF</v>
      </c>
      <c r="AR66" t="str">
        <f>VLOOKUP(AQ66,CBIMPORT!$A$1:$B$171,2,FALSE)</f>
        <v>Autonomous Vehicles</v>
      </c>
      <c r="AV66" t="str">
        <v>e.GO</v>
      </c>
      <c r="AW66" t="str">
        <f>VLOOKUP(AV66,CBIMPORT!$A$1:$B$171,2,FALSE)</f>
        <v>OEM</v>
      </c>
      <c r="BD66" s="55"/>
      <c r="BE66" s="55"/>
      <c r="BF66" s="55"/>
      <c r="BG66" s="55"/>
      <c r="BH66" s="55"/>
      <c r="BI66" s="55"/>
      <c r="BJ66" s="55"/>
      <c r="BK66" s="55"/>
      <c r="BL66" s="55"/>
      <c r="BM66" s="55"/>
      <c r="BN66" s="55"/>
      <c r="BO66" s="55"/>
      <c r="BP66" s="55"/>
      <c r="BQ66" s="55"/>
      <c r="BR66" s="55"/>
      <c r="BS66" s="55"/>
      <c r="BT66" s="55"/>
      <c r="BU66" s="55"/>
      <c r="BV66" s="55"/>
      <c r="BW66" s="55"/>
      <c r="BX66" s="55"/>
      <c r="BY66" s="55"/>
      <c r="BZ66" s="55"/>
    </row>
    <row r="67" spans="1:78" x14ac:dyDescent="0.35">
      <c r="A67" s="92"/>
      <c r="AQ67" t="str">
        <v>Toyota</v>
      </c>
      <c r="AR67" t="str">
        <f>VLOOKUP(AQ67,CBIMPORT!$A$1:$B$171,2,FALSE)</f>
        <v>OEM</v>
      </c>
      <c r="AV67" t="str">
        <v>Bosch</v>
      </c>
      <c r="AW67" t="str">
        <f>VLOOKUP(AV67,CBIMPORT!$A$1:$B$171,2,FALSE)</f>
        <v>Automotive Supplier</v>
      </c>
      <c r="BD67" s="55"/>
      <c r="BE67" s="55"/>
      <c r="BF67" s="55"/>
      <c r="BG67" s="55"/>
      <c r="BH67" s="55"/>
      <c r="BI67" s="55"/>
      <c r="BJ67" s="55"/>
      <c r="BK67" s="55"/>
      <c r="BL67" s="55"/>
      <c r="BM67" s="55"/>
      <c r="BN67" s="55"/>
      <c r="BO67" s="55"/>
      <c r="BP67" s="55"/>
      <c r="BQ67" s="55"/>
      <c r="BR67" s="55"/>
      <c r="BS67" s="55"/>
      <c r="BT67" s="55"/>
      <c r="BU67" s="55"/>
      <c r="BV67" s="55"/>
      <c r="BW67" s="55"/>
      <c r="BX67" s="55"/>
      <c r="BY67" s="55"/>
      <c r="BZ67" s="55"/>
    </row>
    <row r="68" spans="1:78" x14ac:dyDescent="0.35">
      <c r="AQ68" t="str">
        <v>Fiat Chrysler Automobiles</v>
      </c>
      <c r="AR68" t="str">
        <f>VLOOKUP(AQ68,CBIMPORT!$A$1:$B$171,2,FALSE)</f>
        <v>OEM</v>
      </c>
      <c r="AV68" t="str">
        <v>e.GO</v>
      </c>
      <c r="AW68" t="str">
        <f>VLOOKUP(AV68,CBIMPORT!$A$1:$B$171,2,FALSE)</f>
        <v>OEM</v>
      </c>
      <c r="BD68" s="55"/>
      <c r="BE68" s="55"/>
      <c r="BF68" s="55"/>
      <c r="BG68" s="55"/>
      <c r="BH68" s="55"/>
      <c r="BI68" s="55"/>
      <c r="BJ68" s="55"/>
      <c r="BK68" s="55"/>
      <c r="BL68" s="55"/>
      <c r="BM68" s="55"/>
      <c r="BN68" s="55"/>
      <c r="BO68" s="55"/>
      <c r="BP68" s="55"/>
      <c r="BQ68" s="55"/>
      <c r="BR68" s="55"/>
      <c r="BS68" s="55"/>
      <c r="BT68" s="55"/>
      <c r="BU68" s="55"/>
      <c r="BV68" s="55"/>
      <c r="BW68" s="55"/>
      <c r="BX68" s="55"/>
      <c r="BY68" s="55"/>
      <c r="BZ68" s="55"/>
    </row>
    <row r="69" spans="1:78" x14ac:dyDescent="0.35">
      <c r="B69" s="55"/>
      <c r="C69" s="55"/>
      <c r="D69" s="55"/>
      <c r="E69" s="55"/>
      <c r="F69" s="55"/>
      <c r="G69" s="55"/>
      <c r="AQ69" t="str">
        <v>Avis</v>
      </c>
      <c r="AR69" t="str">
        <f>VLOOKUP(AQ69,CBIMPORT!$A$1:$B$171,2,FALSE)</f>
        <v>Rental Services</v>
      </c>
      <c r="AV69" t="str" cm="1">
        <f t="array" ref="AV69">_xlfn._xlws.FILTER(
CHOOSE(
{1},
$N$72:$N$156),
(($J$72:$J$156=E8)*($N$72:$N$156&lt;&gt;0)))</f>
        <v>Microsoft</v>
      </c>
      <c r="AW69" t="str">
        <f>VLOOKUP(AV69,CBIMPORT!$A$1:$B$171,2,FALSE)</f>
        <v>Software Company</v>
      </c>
      <c r="BD69" s="55"/>
      <c r="BE69" s="55"/>
      <c r="BF69" s="55"/>
      <c r="BG69" s="55"/>
      <c r="BH69" s="55"/>
      <c r="BI69" s="55"/>
      <c r="BJ69" s="55"/>
      <c r="BK69" s="55"/>
      <c r="BL69" s="55"/>
      <c r="BM69" s="55"/>
      <c r="BN69" s="55"/>
      <c r="BO69" s="55"/>
      <c r="BP69" s="55"/>
      <c r="BQ69" s="55"/>
      <c r="BR69" s="55"/>
      <c r="BS69" s="55"/>
      <c r="BT69" s="55"/>
      <c r="BU69" s="55"/>
      <c r="BV69" s="55"/>
      <c r="BW69" s="55"/>
      <c r="BX69" s="55"/>
      <c r="BY69" s="55"/>
      <c r="BZ69" s="55"/>
    </row>
    <row r="70" spans="1:78" x14ac:dyDescent="0.35">
      <c r="A70" s="92"/>
      <c r="AQ70" t="str">
        <v>Valley Metro</v>
      </c>
      <c r="AR70" t="str">
        <f>VLOOKUP(AQ70,CBIMPORT!$A$1:$B$171,2,FALSE)</f>
        <v>Transport Operator</v>
      </c>
      <c r="BD70" s="55"/>
      <c r="BE70" s="55"/>
      <c r="BF70" s="55"/>
      <c r="BG70" s="55"/>
      <c r="BH70" s="55"/>
      <c r="BI70" s="55"/>
      <c r="BJ70" s="55"/>
      <c r="BK70" s="55"/>
      <c r="BL70" s="55"/>
      <c r="BM70" s="55"/>
      <c r="BN70" s="55"/>
      <c r="BO70" s="55"/>
      <c r="BP70" s="55"/>
      <c r="BQ70" s="55"/>
      <c r="BR70" s="55"/>
      <c r="BS70" s="55"/>
      <c r="BT70" s="55"/>
      <c r="BU70" s="55"/>
      <c r="BV70" s="55"/>
      <c r="BW70" s="55"/>
      <c r="BX70" s="55"/>
      <c r="BY70" s="55"/>
      <c r="BZ70" s="55"/>
    </row>
    <row r="71" spans="1:78" x14ac:dyDescent="0.35">
      <c r="J71" t="s">
        <v>1931</v>
      </c>
      <c r="K71" t="s">
        <v>1931</v>
      </c>
      <c r="L71" t="s">
        <v>1931</v>
      </c>
      <c r="M71" t="s">
        <v>1931</v>
      </c>
      <c r="N71" t="s">
        <v>1931</v>
      </c>
      <c r="Q71" t="s">
        <v>372</v>
      </c>
      <c r="R71" t="s">
        <v>372</v>
      </c>
      <c r="W71" s="114" t="s">
        <v>341</v>
      </c>
      <c r="X71" s="114" t="s">
        <v>341</v>
      </c>
      <c r="AI71" s="103"/>
      <c r="AJ71" s="103"/>
      <c r="AK71" s="103"/>
      <c r="AO71" s="103"/>
      <c r="AQ71" t="str">
        <v>Lyft</v>
      </c>
      <c r="AR71" t="str">
        <f>VLOOKUP(AQ71,CBIMPORT!$A$1:$B$171,2,FALSE)</f>
        <v>Mobility Services Booking</v>
      </c>
      <c r="BD71" s="55"/>
      <c r="BE71" s="55"/>
      <c r="BF71" s="55"/>
    </row>
    <row r="72" spans="1:78" ht="29" x14ac:dyDescent="0.35">
      <c r="A72" s="23" t="s">
        <v>1422</v>
      </c>
      <c r="B72" s="23" t="s">
        <v>1026</v>
      </c>
      <c r="C72" s="23"/>
      <c r="D72" s="23" t="s">
        <v>0</v>
      </c>
      <c r="E72" s="23" t="s">
        <v>1943</v>
      </c>
      <c r="F72" s="23" t="s">
        <v>1946</v>
      </c>
      <c r="G72" s="23" t="s">
        <v>2052</v>
      </c>
      <c r="H72" s="23" t="s">
        <v>1949</v>
      </c>
      <c r="I72" s="23" t="s">
        <v>1947</v>
      </c>
      <c r="J72" s="23" t="s">
        <v>1948</v>
      </c>
      <c r="K72" s="23" t="s">
        <v>2001</v>
      </c>
      <c r="L72" s="23" t="s">
        <v>1993</v>
      </c>
      <c r="M72" s="23" t="s">
        <v>1994</v>
      </c>
      <c r="N72" s="23" t="s">
        <v>1995</v>
      </c>
      <c r="O72" s="23" t="s">
        <v>1</v>
      </c>
      <c r="P72" s="23" t="s">
        <v>2</v>
      </c>
      <c r="Q72" s="23" t="s">
        <v>3</v>
      </c>
      <c r="R72" s="24" t="s">
        <v>976</v>
      </c>
      <c r="S72" s="24" t="s">
        <v>1193</v>
      </c>
      <c r="T72" s="24" t="s">
        <v>982</v>
      </c>
      <c r="U72" s="24" t="s">
        <v>975</v>
      </c>
      <c r="V72" s="24" t="s">
        <v>956</v>
      </c>
      <c r="W72" s="24" t="s">
        <v>1194</v>
      </c>
      <c r="X72" s="23" t="s">
        <v>2050</v>
      </c>
      <c r="Y72" s="10" t="s">
        <v>4</v>
      </c>
      <c r="Z72" s="23" t="s">
        <v>5</v>
      </c>
      <c r="AA72" s="10" t="s">
        <v>1638</v>
      </c>
      <c r="AB72" s="23" t="s">
        <v>1939</v>
      </c>
      <c r="AC72" s="23" t="s">
        <v>1942</v>
      </c>
      <c r="AD72" s="23" t="s">
        <v>1940</v>
      </c>
      <c r="AE72" s="23" t="s">
        <v>1941</v>
      </c>
      <c r="AF72" s="104" t="s">
        <v>1761</v>
      </c>
      <c r="AG72" s="104" t="s">
        <v>1762</v>
      </c>
      <c r="AH72" s="103"/>
      <c r="AQ72" t="str">
        <v>Alliance Ventures (Renault, Nissan, Mitsubishi)</v>
      </c>
      <c r="AR72" t="str">
        <f>VLOOKUP(AQ72,CBIMPORT!$A$1:$B$171,2,FALSE)</f>
        <v>Mobility Project</v>
      </c>
      <c r="BD72" s="55"/>
      <c r="BE72" s="55"/>
      <c r="BF72" s="55"/>
    </row>
    <row r="73" spans="1:78" x14ac:dyDescent="0.35">
      <c r="A73" s="60" t="str" cm="1">
        <f t="array" ref="A73:AG155">_xlfn._xlws.FILTER(ANNOUNCEMENTS!A2:AG180,(ANNOUNCEMENTS!J2:J180=B2)+(ANNOUNCEMENTS!J2:J180=B3))</f>
        <v>https://www.2getthere.eu/news/strategic-cooperation-agreement-with-sltn-extended/</v>
      </c>
      <c r="B73" s="60" t="str">
        <v>2015, 9, 2</v>
      </c>
      <c r="C73" s="105">
        <v>42249</v>
      </c>
      <c r="D73" s="60" t="str">
        <v>Strategic Cooperation Agreement with SLTN extended</v>
      </c>
      <c r="E73" s="60" t="str">
        <v>2getthere</v>
      </c>
      <c r="F73" s="60" t="str">
        <v>L2</v>
      </c>
      <c r="G73" s="60" t="str">
        <v>2getthere-SAV</v>
      </c>
      <c r="H73" s="60" t="str">
        <v>SAV</v>
      </c>
      <c r="I73" s="60" t="str">
        <v>Ridepooling</v>
      </c>
      <c r="J73" s="60" t="str">
        <v>Ridepooling</v>
      </c>
      <c r="K73" s="60" t="str">
        <v>SLTN</v>
      </c>
      <c r="L73" s="60" t="str">
        <v>SLTN</v>
      </c>
      <c r="M73" s="60">
        <v>0</v>
      </c>
      <c r="N73" s="60">
        <v>0</v>
      </c>
      <c r="O73"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73"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73" s="60" t="str">
        <v>Strategic Alliance</v>
      </c>
      <c r="R73" s="60" t="str">
        <v>Yes</v>
      </c>
      <c r="S73" s="60" t="str">
        <v>Service Integration</v>
      </c>
      <c r="T73" s="60" t="str">
        <v>-</v>
      </c>
      <c r="U73" s="60" t="str">
        <v>Yes</v>
      </c>
      <c r="V73" s="60" t="str">
        <v>-</v>
      </c>
      <c r="W73" s="60" t="str">
        <v xml:space="preserve">2.2. Renewed Alliance </v>
      </c>
      <c r="X73" s="60">
        <v>0</v>
      </c>
      <c r="Y73" s="60" t="str">
        <v>The cooperation concerns the realization of 2getthere's innovative automated people mover systems, with SLTN Inter Access designing and providing the Information and Communication Technology (ICT) network.</v>
      </c>
      <c r="Z73" s="60" t="str">
        <v>Joint D&amp;D</v>
      </c>
      <c r="AA73" s="60" t="str">
        <v>The cooperation concerns the realization of 2getthere's innovative automated people mover systems, with SLTN Inter Access designing and providing the Information and Communication Technology (ICT) network.</v>
      </c>
      <c r="AB73" s="60">
        <v>0</v>
      </c>
      <c r="AC73" s="60">
        <v>0</v>
      </c>
      <c r="AD73" s="60">
        <v>0</v>
      </c>
      <c r="AE73" s="60">
        <v>0</v>
      </c>
      <c r="AF73" s="60" t="str">
        <v>Strategic Cooperation Agreement with SLTN extended</v>
      </c>
      <c r="AG73" s="60">
        <v>0</v>
      </c>
      <c r="AQ73" t="str">
        <v>Volvo Car Group</v>
      </c>
      <c r="AR73" t="str">
        <f>VLOOKUP(AQ73,CBIMPORT!$A$1:$B$171,2,FALSE)</f>
        <v>OEM</v>
      </c>
      <c r="BD73" s="55"/>
      <c r="BE73" s="55"/>
      <c r="BF73" s="55"/>
    </row>
    <row r="74" spans="1:78" x14ac:dyDescent="0.35">
      <c r="A74" s="60" t="str">
        <v>https://www.2getthere.eu/news/partnering-with-benteler/</v>
      </c>
      <c r="B74" s="60" t="str">
        <v>2015, 7, 28</v>
      </c>
      <c r="C74" s="105">
        <v>42213</v>
      </c>
      <c r="D74" s="60" t="str">
        <v>2getthere partners with Benteler for the engineering of the 3rd generation GRT</v>
      </c>
      <c r="E74" s="60" t="str">
        <v>2getthere</v>
      </c>
      <c r="F74" s="60" t="str">
        <v>L2</v>
      </c>
      <c r="G74" s="60" t="str">
        <v>2getthere-SAV</v>
      </c>
      <c r="H74" s="60" t="str">
        <v>SAV</v>
      </c>
      <c r="I74" s="60" t="str">
        <v>Ridepooling</v>
      </c>
      <c r="J74" s="60" t="str">
        <v>Ridepooling</v>
      </c>
      <c r="K74" s="60" t="str">
        <v>Benteler</v>
      </c>
      <c r="L74" s="60" t="str">
        <v>Benteler</v>
      </c>
      <c r="M74" s="60">
        <v>0</v>
      </c>
      <c r="N74" s="60">
        <v>0</v>
      </c>
      <c r="O74"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74"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74" s="60" t="str">
        <v>Strategic Alliance</v>
      </c>
      <c r="R74" s="60" t="str">
        <v>n.a.</v>
      </c>
      <c r="S74" s="60" t="str">
        <v>Product cooperation</v>
      </c>
      <c r="T74" s="60" t="str">
        <v>-</v>
      </c>
      <c r="U74" s="60" t="str">
        <v>Yes</v>
      </c>
      <c r="V74" s="60" t="str">
        <v>-</v>
      </c>
      <c r="W74" s="60" t="str">
        <v xml:space="preserve">2.2. Renewed Alliance </v>
      </c>
      <c r="X74" s="60">
        <v>0</v>
      </c>
      <c r="Y74" s="60" t="str">
        <v>BENTELER Engineering Services will be responsible for the engineering of both the chassis and the body of the GRT vehicle, with the IP of the work being owned by 2getthere.</v>
      </c>
      <c r="Z74" s="60" t="str">
        <v>Joint Production</v>
      </c>
      <c r="AA74" s="60" t="str">
        <v>BENTELER Engineering Services will be responsible for the engineering of both the chassis and the body of the GRT vehicle, with the IP of the work being owned by 2getthere.</v>
      </c>
      <c r="AB74" s="60">
        <v>0</v>
      </c>
      <c r="AC74" s="60">
        <v>0</v>
      </c>
      <c r="AD74" s="60">
        <v>0</v>
      </c>
      <c r="AE74" s="60">
        <v>0</v>
      </c>
      <c r="AF74" s="60" t="str">
        <v>2getthere partners with Benteler for the engineering of the 3rd generation GRT</v>
      </c>
      <c r="AG74" s="60">
        <v>0</v>
      </c>
      <c r="AQ74" t="str">
        <v>Anheuser - Busch InBev</v>
      </c>
      <c r="AR74" t="str">
        <f>VLOOKUP(AQ74,CBIMPORT!$A$1:$B$171,2,FALSE)</f>
        <v>Food &amp; Beverage</v>
      </c>
      <c r="BD74" s="55"/>
      <c r="BE74" s="55"/>
      <c r="BF74" s="55"/>
    </row>
    <row r="75" spans="1:78" x14ac:dyDescent="0.35">
      <c r="A75" s="60" t="str">
        <v>https://www.2getthere.eu/news/singapore-partnership/</v>
      </c>
      <c r="B75" s="60" t="str">
        <v>2014, 6, 3</v>
      </c>
      <c r="C75" s="105">
        <v>41793</v>
      </c>
      <c r="D75" s="60" t="str">
        <v>SMRT and 2getthere enter into a partnership for Singapore</v>
      </c>
      <c r="E75" s="60" t="str">
        <v>2getthere</v>
      </c>
      <c r="F75" s="60" t="str">
        <v>L2</v>
      </c>
      <c r="G75" s="60" t="str">
        <v>2getthere-SAV</v>
      </c>
      <c r="H75" s="60" t="str">
        <v>SAV</v>
      </c>
      <c r="I75" s="60" t="str">
        <v>Ridepooling</v>
      </c>
      <c r="J75" s="60" t="str">
        <v>Ridepooling</v>
      </c>
      <c r="K75" s="60" t="str">
        <v>SMRT</v>
      </c>
      <c r="L75" s="60" t="str">
        <v>SMRT</v>
      </c>
      <c r="M75" s="60">
        <v>0</v>
      </c>
      <c r="N75" s="60">
        <v>0</v>
      </c>
      <c r="O75"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75"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75" s="60" t="str">
        <v>Strategic Alliance</v>
      </c>
      <c r="R75" s="60" t="str">
        <v>Yes</v>
      </c>
      <c r="S75" s="60" t="str">
        <v>Product cooperation</v>
      </c>
      <c r="T75" s="60" t="str">
        <v>-</v>
      </c>
      <c r="U75" s="60" t="str">
        <v>Yes</v>
      </c>
      <c r="V75" s="60" t="str">
        <v>Yes</v>
      </c>
      <c r="W75" s="60" t="str">
        <v>2.4. Exclusive Alliance</v>
      </c>
      <c r="X75" s="60">
        <v>0</v>
      </c>
      <c r="Y75" s="60" t="str">
        <v>cooperation agreement for the introduction of 2getthere's innovative driverless transit systems to Singapore.</v>
      </c>
      <c r="Z75" s="60" t="str">
        <v>Joint Service Agreement</v>
      </c>
      <c r="AA75" s="60" t="str">
        <v>cooperation agreement for the introduction of 2getthere's innovative driverless transit systems to Singapore.</v>
      </c>
      <c r="AB75" s="60">
        <v>0</v>
      </c>
      <c r="AC75" s="60">
        <v>0</v>
      </c>
      <c r="AD75" s="60">
        <v>0</v>
      </c>
      <c r="AE75" s="60">
        <v>0</v>
      </c>
      <c r="AF75" s="60" t="str">
        <v>SMRT and 2getthere enter into a partnership for Singapore</v>
      </c>
      <c r="AG75" s="60">
        <v>0</v>
      </c>
      <c r="AQ75" t="str">
        <v>DB Regio</v>
      </c>
      <c r="AR75" t="str">
        <f>VLOOKUP(AQ75,CBIMPORT!$A$1:$B$171,2,FALSE)</f>
        <v>Transport Operator</v>
      </c>
      <c r="BD75" s="55"/>
      <c r="BE75" s="55"/>
      <c r="BF75" s="55"/>
    </row>
    <row r="76" spans="1:78" x14ac:dyDescent="0.35">
      <c r="A76" s="60" t="str">
        <v>https://www.2getthere.eu/news/uae-partner-united-technical-services-takes-a-stake-in-2getthere/</v>
      </c>
      <c r="B76" s="60" t="str">
        <v>2016, 1, 25</v>
      </c>
      <c r="C76" s="105">
        <v>42394</v>
      </c>
      <c r="D76" s="60" t="str">
        <v>UAE partner United Technical Services takes a stake in 2getthere</v>
      </c>
      <c r="E76" s="60" t="str">
        <v>2getthere</v>
      </c>
      <c r="F76" s="60" t="str">
        <v>L2</v>
      </c>
      <c r="G76" s="60" t="str">
        <v>2getthere-SAV</v>
      </c>
      <c r="H76" s="60" t="str">
        <v>SAV</v>
      </c>
      <c r="I76" s="60" t="str">
        <v>Ridepooling</v>
      </c>
      <c r="J76" s="60" t="str">
        <v>Ridepooling</v>
      </c>
      <c r="K76" s="60" t="str">
        <v>United Technical Services</v>
      </c>
      <c r="L76" s="60" t="str">
        <v>United Technical Services</v>
      </c>
      <c r="M76" s="60">
        <v>0</v>
      </c>
      <c r="N76" s="60">
        <v>0</v>
      </c>
      <c r="O76"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76"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76" s="60" t="str">
        <v>Strategic Partnership</v>
      </c>
      <c r="R76" s="60" t="str">
        <v>n.a.</v>
      </c>
      <c r="S76" s="60" t="str">
        <v>Product cooperation</v>
      </c>
      <c r="T76" s="60" t="str">
        <v>-</v>
      </c>
      <c r="U76" s="60" t="str">
        <v>Yes</v>
      </c>
      <c r="V76" s="60" t="str">
        <v>-</v>
      </c>
      <c r="W76" s="60" t="str">
        <v>3. Strategic Partnership</v>
      </c>
      <c r="X76" s="60">
        <v>0</v>
      </c>
      <c r="Y76" s="60" t="str">
        <v>In anticipation of the growing demand for 2getthere's systems in the Middle East, the investment is used to support the road map development, organizational growth and marketing ambitions.</v>
      </c>
      <c r="Z76" s="60" t="str">
        <v>Other</v>
      </c>
      <c r="AA76" s="60" t="str">
        <v>In anticipation of the growing demand for 2getthere's systems in the Middle East, the investment is used to support the road map development, organizational growth and marketing ambitions.</v>
      </c>
      <c r="AB76" s="60">
        <v>0</v>
      </c>
      <c r="AC76" s="60">
        <v>0</v>
      </c>
      <c r="AD76" s="60">
        <v>0</v>
      </c>
      <c r="AE76" s="60">
        <v>0</v>
      </c>
      <c r="AF76" s="60" t="str">
        <v>UAE partner United Technical Services takes a stake in 2getthere</v>
      </c>
      <c r="AG76" s="60">
        <v>0</v>
      </c>
      <c r="AQ76" t="str">
        <v>Beep</v>
      </c>
      <c r="AR76" t="str">
        <f>VLOOKUP(AQ76,CBIMPORT!$A$1:$B$171,2,FALSE)</f>
        <v>Transport Operator</v>
      </c>
      <c r="BD76" s="55"/>
      <c r="BE76" s="55"/>
      <c r="BF76" s="55"/>
    </row>
    <row r="77" spans="1:78" x14ac:dyDescent="0.35">
      <c r="A77" s="60" t="str">
        <v>https://www.2getthere.eu/news/2getthere-asia-joint-venture/</v>
      </c>
      <c r="B77" s="60" t="str">
        <v>2016, 4, 20</v>
      </c>
      <c r="C77" s="105">
        <v>42480</v>
      </c>
      <c r="D77" s="60" t="str">
        <v>2getthere Asia Joint Venture established in Singapore</v>
      </c>
      <c r="E77" s="60" t="str">
        <v>2getthere</v>
      </c>
      <c r="F77" s="60" t="str">
        <v>L2</v>
      </c>
      <c r="G77" s="60" t="str">
        <v>2getthere-SAV</v>
      </c>
      <c r="H77" s="60" t="str">
        <v>SAV</v>
      </c>
      <c r="I77" s="60" t="str">
        <v>Ridepooling</v>
      </c>
      <c r="J77" s="60" t="str">
        <v>Ridepooling</v>
      </c>
      <c r="K77" s="60" t="str">
        <v>SMRT</v>
      </c>
      <c r="L77" s="60" t="str">
        <v>SMRT</v>
      </c>
      <c r="M77" s="60">
        <v>0</v>
      </c>
      <c r="N77" s="60">
        <v>0</v>
      </c>
      <c r="O77"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77"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77" s="60" t="str">
        <v>Joint Venture</v>
      </c>
      <c r="R77" s="60" t="str">
        <v>Yes</v>
      </c>
      <c r="S77" s="60" t="str">
        <v>Service Integration</v>
      </c>
      <c r="T77" s="60" t="str">
        <v>-</v>
      </c>
      <c r="U77" s="60" t="str">
        <v>Yes</v>
      </c>
      <c r="V77" s="60" t="str">
        <v>-</v>
      </c>
      <c r="W77" s="60" t="str">
        <v>4. Joint Venture</v>
      </c>
      <c r="X77" s="60">
        <v>0</v>
      </c>
      <c r="Y77"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77" s="60" t="str">
        <v>Joint Service Agreement</v>
      </c>
      <c r="AA77"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77" s="60">
        <v>0</v>
      </c>
      <c r="AC77" s="60">
        <v>0</v>
      </c>
      <c r="AD77" s="60">
        <v>0</v>
      </c>
      <c r="AE77" s="60">
        <v>0</v>
      </c>
      <c r="AF77" s="60" t="str">
        <v>2getthere Asia Joint Venture established in Singapore</v>
      </c>
      <c r="AG77" s="60">
        <v>0</v>
      </c>
      <c r="AQ77" t="str">
        <v>Beep</v>
      </c>
      <c r="AR77" t="str">
        <f>VLOOKUP(AQ77,CBIMPORT!$A$1:$B$171,2,FALSE)</f>
        <v>Transport Operator</v>
      </c>
      <c r="BD77" s="55"/>
      <c r="BE77" s="55"/>
      <c r="BF77" s="55"/>
    </row>
    <row r="78" spans="1:78" x14ac:dyDescent="0.35">
      <c r="A78" s="60" t="str">
        <v>https://www.adastec.com/news-coverage/adastec-and-vicinity-motor-corp-collaborate-to-deploy-automated-bus-at-michigan-state-university</v>
      </c>
      <c r="B78" s="60" t="str">
        <v>2023, 10, 9</v>
      </c>
      <c r="C78" s="105">
        <v>44935</v>
      </c>
      <c r="D78" s="60" t="str">
        <v>ADASTEC and Vicinity Motor Corp. Collaborate to Deploy Automated Bus at Michigan State University</v>
      </c>
      <c r="E78" s="60" t="str">
        <v>ADASTEC</v>
      </c>
      <c r="F78" s="60" t="str">
        <v>L1</v>
      </c>
      <c r="G78" s="60" t="str">
        <v>ADASTEC-SAV</v>
      </c>
      <c r="H78" s="60" t="str">
        <v>SAV</v>
      </c>
      <c r="I78" s="60" t="str">
        <v>Ridepooling</v>
      </c>
      <c r="J78" s="60" t="str">
        <v>Ridepooling</v>
      </c>
      <c r="K78" s="60" t="str">
        <v>Vicinity Motor Corp.</v>
      </c>
      <c r="L78" s="60" t="str">
        <v>Vicinity Motor Corp.</v>
      </c>
      <c r="M78" s="60">
        <v>0</v>
      </c>
      <c r="N78" s="60">
        <v>0</v>
      </c>
      <c r="O78"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78"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78" s="60" t="str">
        <v>Strategic Alliance</v>
      </c>
      <c r="R78" s="60" t="str">
        <v>n.a.</v>
      </c>
      <c r="S78" s="60" t="str">
        <v>Product cooperation</v>
      </c>
      <c r="T78" s="60" t="str">
        <v>-</v>
      </c>
      <c r="U78" s="60" t="str">
        <v>-</v>
      </c>
      <c r="V78" s="60" t="str">
        <v>-</v>
      </c>
      <c r="W78" s="60" t="str">
        <v>2.1. Short term Alliance (no exclusivity / previous experience)</v>
      </c>
      <c r="X78" s="60">
        <v>0</v>
      </c>
      <c r="Y78"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78" s="60" t="str">
        <v>Joint D&amp;D</v>
      </c>
      <c r="AA78"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78" s="60">
        <v>0</v>
      </c>
      <c r="AC78" s="60">
        <v>0</v>
      </c>
      <c r="AD78" s="60">
        <v>0</v>
      </c>
      <c r="AE78" s="60">
        <v>0</v>
      </c>
      <c r="AF78" s="60" t="str">
        <v xml:space="preserve">ADASTEC and Vicinity Motor Corp. Collaborate to Deploy </v>
      </c>
      <c r="AG78" s="60" t="str">
        <v>Automated Bus at Michigan State University</v>
      </c>
      <c r="AQ78" t="str">
        <v>May Mobility</v>
      </c>
      <c r="AR78" t="str">
        <f>VLOOKUP(AQ78,CBIMPORT!$A$1:$B$171,2,FALSE)</f>
        <v>Autonomous Vehicles</v>
      </c>
      <c r="BD78" s="55"/>
      <c r="BE78" s="55"/>
      <c r="BF78" s="55"/>
    </row>
    <row r="79" spans="1:78" x14ac:dyDescent="0.35">
      <c r="A79" s="60" t="str">
        <v>https://www.adastec.com/news-coverage/adastec-and-vicinity-motor-corp-partner-to-deploy-automated-bus-at-the-university-at-buffalo</v>
      </c>
      <c r="B79" s="60" t="str">
        <v>2023, 10, 5</v>
      </c>
      <c r="C79" s="105">
        <v>44931</v>
      </c>
      <c r="D79" s="60" t="str">
        <v>ADASTEC and Vicinity Motor Corp. Partner to Deploy Automated Bus at the University at Buffalo</v>
      </c>
      <c r="E79" s="60" t="str">
        <v>ADASTEC</v>
      </c>
      <c r="F79" s="60" t="str">
        <v>L1</v>
      </c>
      <c r="G79" s="60" t="str">
        <v>ADASTEC-SAV</v>
      </c>
      <c r="H79" s="60" t="str">
        <v>SAV</v>
      </c>
      <c r="I79" s="60" t="str">
        <v>Ridepooling</v>
      </c>
      <c r="J79" s="60" t="str">
        <v>Ridepooling</v>
      </c>
      <c r="K79" s="60" t="str">
        <v>Vicinity Motor Corp.</v>
      </c>
      <c r="L79" s="60" t="str">
        <v>Vicinity Motor Corp.</v>
      </c>
      <c r="M79" s="60">
        <v>0</v>
      </c>
      <c r="N79" s="60">
        <v>0</v>
      </c>
      <c r="O79"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79"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79" s="60" t="str">
        <v>Strategic Alliance</v>
      </c>
      <c r="R79" s="60" t="str">
        <v>n.a.</v>
      </c>
      <c r="S79" s="60" t="str">
        <v>Product cooperation</v>
      </c>
      <c r="T79" s="60" t="str">
        <v>-</v>
      </c>
      <c r="U79" s="60" t="str">
        <v>-</v>
      </c>
      <c r="V79" s="60" t="str">
        <v>-</v>
      </c>
      <c r="W79" s="60" t="str">
        <v>2.1. Short term Alliance (no exclusivity / previous experience)</v>
      </c>
      <c r="X79" s="60">
        <v>0</v>
      </c>
      <c r="Y79"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79" s="60" t="str">
        <v>Joint D&amp;D</v>
      </c>
      <c r="AA79"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79" s="60">
        <v>0</v>
      </c>
      <c r="AC79" s="60">
        <v>0</v>
      </c>
      <c r="AD79" s="60">
        <v>0</v>
      </c>
      <c r="AE79" s="60">
        <v>0</v>
      </c>
      <c r="AF79" s="60" t="str">
        <v>ADASTEC and Vicinity Motor Corp. Partner to Deploy Automated Bus at the University at Buffalo</v>
      </c>
      <c r="AG79" s="60">
        <v>0</v>
      </c>
      <c r="AQ79" t="str">
        <v>Navya</v>
      </c>
      <c r="AR79" t="str">
        <f>VLOOKUP(AQ79,CBIMPORT!$A$1:$B$171,2,FALSE)</f>
        <v>Autonomous Vehicles</v>
      </c>
      <c r="BD79" s="55"/>
      <c r="BE79" s="55"/>
      <c r="BF79" s="55"/>
      <c r="BI79" s="55"/>
      <c r="BJ79" s="55"/>
      <c r="BK79" s="55"/>
      <c r="BL79" s="55"/>
      <c r="BM79" s="55"/>
      <c r="BN79" s="55"/>
      <c r="BO79" s="55"/>
    </row>
    <row r="80" spans="1:78" x14ac:dyDescent="0.35">
      <c r="A80" s="60" t="str">
        <v>https://www.ridebeep.com/press-releases/north-carolina-department-of-transportation-and-beep-partner-for-autonomous-vehicle-testing-projects</v>
      </c>
      <c r="B80" s="60" t="str">
        <v>2023, 3, 14</v>
      </c>
      <c r="C80" s="105">
        <v>44999</v>
      </c>
      <c r="D80" s="60" t="str">
        <v>North Carolina Department of Transportation and Beep Partner for Autonomous Vehicle Testing Projects</v>
      </c>
      <c r="E80" s="60" t="str">
        <v>Beep</v>
      </c>
      <c r="F80" s="60" t="str">
        <v>L3</v>
      </c>
      <c r="G80" s="60" t="str">
        <v>Beep-SAV</v>
      </c>
      <c r="H80" s="60" t="str">
        <v>SAV</v>
      </c>
      <c r="I80" s="60" t="str">
        <v>Ridepooling</v>
      </c>
      <c r="J80" s="60" t="str">
        <v>Ridepooling</v>
      </c>
      <c r="K80" s="60" t="str">
        <v>North Carolina Department of Transportation</v>
      </c>
      <c r="L80" s="60" t="str">
        <v>North Carolina Department of Transportation</v>
      </c>
      <c r="M80" s="60">
        <v>0</v>
      </c>
      <c r="N80" s="60">
        <v>0</v>
      </c>
      <c r="O80"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80"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80" s="60" t="str">
        <v>Strategic Alliance</v>
      </c>
      <c r="R80" s="60" t="str">
        <v>n.a.</v>
      </c>
      <c r="S80" s="60" t="str">
        <v>Service Integration</v>
      </c>
      <c r="T80" s="60" t="str">
        <v>-</v>
      </c>
      <c r="U80" s="60" t="str">
        <v>-</v>
      </c>
      <c r="V80" s="60" t="str">
        <v>-</v>
      </c>
      <c r="W80" s="60" t="str">
        <v>2.1. Short term Alliance (no exclusivity / previous experience)</v>
      </c>
      <c r="X80" s="60">
        <v>0</v>
      </c>
      <c r="Y80"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80" s="60" t="str">
        <v>Joint Service Agreement</v>
      </c>
      <c r="AA80"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80" s="60">
        <v>0</v>
      </c>
      <c r="AC80" s="60">
        <v>0</v>
      </c>
      <c r="AD80" s="60">
        <v>0</v>
      </c>
      <c r="AE80" s="60">
        <v>0</v>
      </c>
      <c r="AF80" s="60" t="str">
        <v xml:space="preserve">North Carolina Department of Transportation and Beep Partner for </v>
      </c>
      <c r="AG80" s="60" t="str">
        <v>Autonomous Vehicle Testing Projects</v>
      </c>
      <c r="AQ80" t="str">
        <v>Transdev</v>
      </c>
      <c r="AR80" t="str">
        <f>VLOOKUP(AQ80,CBIMPORT!$A$1:$B$171,2,FALSE)</f>
        <v>Transport Operator</v>
      </c>
      <c r="BD80" s="55"/>
      <c r="BE80" s="55"/>
      <c r="BF80" s="55"/>
    </row>
    <row r="81" spans="1:58" x14ac:dyDescent="0.35">
      <c r="A81" s="60" t="str">
        <v>https://www.ridebeep.com/press-releases/contra-costa-transportation-authority-and-beep-partner-to-deliver-autonomous-vehicle-projects-in-california</v>
      </c>
      <c r="B81" s="60" t="str">
        <v>2023, 4, 21</v>
      </c>
      <c r="C81" s="105">
        <v>45037</v>
      </c>
      <c r="D81" s="60" t="str">
        <v>Contra Costa Transportation Authority and Beep Partner to Deliver Autonomous Vehicle Projects in California</v>
      </c>
      <c r="E81" s="60" t="str">
        <v>Beep</v>
      </c>
      <c r="F81" s="60" t="str">
        <v>L3</v>
      </c>
      <c r="G81" s="60" t="str">
        <v>Beep-SAV</v>
      </c>
      <c r="H81" s="60" t="str">
        <v>SAV</v>
      </c>
      <c r="I81" s="60" t="str">
        <v>Ridepooling</v>
      </c>
      <c r="J81" s="60" t="str">
        <v>Ridepooling</v>
      </c>
      <c r="K81" s="60" t="str">
        <v>Contra Costa Transportation Authority</v>
      </c>
      <c r="L81" s="60" t="str">
        <v>Contra Costa Transportation Authority</v>
      </c>
      <c r="M81" s="60">
        <v>0</v>
      </c>
      <c r="N81" s="60">
        <v>0</v>
      </c>
      <c r="O81"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81"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81" s="60" t="str">
        <v>Strategic Alliance</v>
      </c>
      <c r="R81" s="60" t="str">
        <v>n.a.</v>
      </c>
      <c r="S81" s="60" t="str">
        <v>Service Integration</v>
      </c>
      <c r="T81" s="60" t="str">
        <v>-</v>
      </c>
      <c r="U81" s="60" t="str">
        <v>-</v>
      </c>
      <c r="V81" s="60" t="str">
        <v>-</v>
      </c>
      <c r="W81" s="60" t="str">
        <v>2.1. Short term Alliance (no exclusivity / previous experience)</v>
      </c>
      <c r="X81" s="60">
        <v>0</v>
      </c>
      <c r="Y81"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81" s="60" t="str">
        <v>Joint Service Agreement</v>
      </c>
      <c r="AA81"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81" s="60">
        <v>0</v>
      </c>
      <c r="AC81" s="60">
        <v>0</v>
      </c>
      <c r="AD81" s="60">
        <v>0</v>
      </c>
      <c r="AE81" s="60">
        <v>0</v>
      </c>
      <c r="AF81" s="60" t="str">
        <v xml:space="preserve">Contra Costa Transportation Authority and Beep Partner to Deliver </v>
      </c>
      <c r="AG81" s="60" t="str">
        <v>Autonomous Vehicle Projects in California</v>
      </c>
      <c r="AQ81" t="str">
        <v>Transdev</v>
      </c>
      <c r="AR81" t="str">
        <f>VLOOKUP(AQ81,CBIMPORT!$A$1:$B$171,2,FALSE)</f>
        <v>Transport Operator</v>
      </c>
      <c r="BD81" s="55"/>
      <c r="BE81" s="55"/>
      <c r="BF81" s="55"/>
    </row>
    <row r="82" spans="1:58" x14ac:dyDescent="0.35">
      <c r="A82" s="60" t="str">
        <v>https://ridebeep.com/press-releases/zf-announces-partnership-with-beep-unveils-next-generation-autonomous-shuttle</v>
      </c>
      <c r="B82" s="60" t="str">
        <v>2023, 1, 4</v>
      </c>
      <c r="C82" s="105">
        <v>44930</v>
      </c>
      <c r="D82" s="60" t="str">
        <v>ZF announces partnership with Beep, unveils next-generation autonomous shuttle</v>
      </c>
      <c r="E82" s="60" t="str">
        <v>Beep</v>
      </c>
      <c r="F82" s="60" t="str">
        <v>L3</v>
      </c>
      <c r="G82" s="60" t="str">
        <v>Beep-SAV</v>
      </c>
      <c r="H82" s="60" t="str">
        <v>SAV</v>
      </c>
      <c r="I82" s="60" t="str">
        <v>Ridepooling</v>
      </c>
      <c r="J82" s="60" t="str">
        <v>Ridepooling</v>
      </c>
      <c r="K82" s="60" t="str">
        <v>ZF</v>
      </c>
      <c r="L82" s="60" t="str">
        <v>ZF</v>
      </c>
      <c r="M82" s="60">
        <v>0</v>
      </c>
      <c r="N82" s="60">
        <v>0</v>
      </c>
      <c r="O82"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82"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82" s="60" t="str">
        <v>Strategic Alliance</v>
      </c>
      <c r="R82" s="60" t="str">
        <v>Yes</v>
      </c>
      <c r="S82" s="60" t="str">
        <v>Service Integration</v>
      </c>
      <c r="T82" s="60" t="str">
        <v>Long term - coming years</v>
      </c>
      <c r="U82" s="60" t="str">
        <v>-</v>
      </c>
      <c r="V82" s="60" t="str">
        <v>-</v>
      </c>
      <c r="W82" s="60" t="str">
        <v>2.3. Long term Alliance</v>
      </c>
      <c r="X82" s="60">
        <v>0</v>
      </c>
      <c r="Y82"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82" s="60" t="str">
        <v>Joint Service Agreement</v>
      </c>
      <c r="AA82" s="60" t="str">
        <v>"Our offer of clean, efficient and affordable mobility is convincing, and has found a partner and major customer in Beep"</v>
      </c>
      <c r="AB82" s="60">
        <v>0</v>
      </c>
      <c r="AC82" s="60">
        <v>0</v>
      </c>
      <c r="AD82" s="60">
        <v>0</v>
      </c>
      <c r="AE82" s="60">
        <v>0</v>
      </c>
      <c r="AF82" s="60" t="str">
        <v>ZF announces partnership with Beep, unveils next-generation autonomous shuttle</v>
      </c>
      <c r="AG82" s="60">
        <v>0</v>
      </c>
      <c r="AQ82" t="str">
        <v>Waymo</v>
      </c>
      <c r="AR82" t="str">
        <f>VLOOKUP(AQ82,CBIMPORT!$A$1:$B$171,2,FALSE)</f>
        <v>Autonomous Vehicles</v>
      </c>
      <c r="BD82" s="55"/>
      <c r="BE82" s="55"/>
      <c r="BF82" s="55"/>
    </row>
    <row r="83" spans="1:58" x14ac:dyDescent="0.35">
      <c r="A83" s="60" t="str">
        <v>https://www.ridebeep.com/press-releases/beep-and-oxa-announce-partnership-to-deploy-autonomous-vehicles-driven-by-oxa-in-united-states</v>
      </c>
      <c r="B83" s="60" t="str">
        <v>2023, 8, 24</v>
      </c>
      <c r="C83" s="105">
        <v>45162</v>
      </c>
      <c r="D83" s="60" t="str">
        <v>Beep and Oxa Announce Partnership to Deploy Autonomous Vehicles Driven by Oxa in United States</v>
      </c>
      <c r="E83" s="60" t="str">
        <v>Beep</v>
      </c>
      <c r="F83" s="60" t="str">
        <v>L3</v>
      </c>
      <c r="G83" s="60" t="str">
        <v>Beep-SAV</v>
      </c>
      <c r="H83" s="60" t="str">
        <v>SAV</v>
      </c>
      <c r="I83" s="60" t="str">
        <v>Ridepooling</v>
      </c>
      <c r="J83" s="60" t="str">
        <v>Ridepooling</v>
      </c>
      <c r="K83" s="60" t="str">
        <v>Oxa</v>
      </c>
      <c r="L83" s="60" t="str">
        <v>Oxa</v>
      </c>
      <c r="M83" s="60">
        <v>0</v>
      </c>
      <c r="N83" s="60">
        <v>0</v>
      </c>
      <c r="O83"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83"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83" s="60" t="str">
        <v>Strategic Alliance</v>
      </c>
      <c r="R83" s="60" t="str">
        <v>n.a.</v>
      </c>
      <c r="S83" s="60" t="str">
        <v>Service Integration</v>
      </c>
      <c r="T83" s="60" t="str">
        <v>Long term - Future years mentioned</v>
      </c>
      <c r="U83" s="60" t="str">
        <v>Yes</v>
      </c>
      <c r="V83" s="60" t="str">
        <v>-</v>
      </c>
      <c r="W83" s="60" t="str">
        <v>2.3. Long term Alliance</v>
      </c>
      <c r="X83" s="60">
        <v>0</v>
      </c>
      <c r="Y83" s="60" t="str">
        <v>the strategic partnership will see Oxa's autonomy software installed in a variety of vehicle types operated by Beep, from current passenger shuttles to future vehicle platforms</v>
      </c>
      <c r="Z83" s="60" t="str">
        <v>Joint Service Agreement</v>
      </c>
      <c r="AA83" s="60" t="str">
        <v>the strategic partnership will see Oxa's autonomy software installed in a variety of vehicle types operated by Beep, from current passenger shuttles to future vehicle platforms</v>
      </c>
      <c r="AB83" s="60">
        <v>0</v>
      </c>
      <c r="AC83" s="60">
        <v>0</v>
      </c>
      <c r="AD83" s="60">
        <v>0</v>
      </c>
      <c r="AE83" s="60">
        <v>0</v>
      </c>
      <c r="AF83" s="60" t="str">
        <v>Beep and Oxa Announce Partnership to Deploy Autonomous Vehicles Driven by Oxa in United States</v>
      </c>
      <c r="AG83" s="60">
        <v>0</v>
      </c>
      <c r="AQ83" t="str">
        <v>WILLER</v>
      </c>
      <c r="AR83" t="str">
        <f>VLOOKUP(AQ83,CBIMPORT!$A$1:$B$171,2,FALSE)</f>
        <v>Mobility Services</v>
      </c>
      <c r="BD83" s="55"/>
      <c r="BE83" s="55"/>
      <c r="BF83" s="55"/>
    </row>
    <row r="84" spans="1:58" x14ac:dyDescent="0.35">
      <c r="A84" s="60" t="str">
        <v>https://getcruise.com/news/pressrelease/2021/cruise-and-gm-team-up-with-microsoft-to-commercialize-self-driving-vehicles/</v>
      </c>
      <c r="B84" s="60" t="str">
        <v>2021, 1, 19</v>
      </c>
      <c r="C84" s="105">
        <v>44215</v>
      </c>
      <c r="D84" s="60" t="str">
        <v>Cruise and GM team up with Microsoft to commercialize self-driving vehicles</v>
      </c>
      <c r="E84" s="60" t="str">
        <v>Cruise</v>
      </c>
      <c r="F84" s="60" t="str">
        <v>L1</v>
      </c>
      <c r="G84" s="60" t="str">
        <v>Cruise-SAV</v>
      </c>
      <c r="H84" s="60" t="str">
        <v>SAV</v>
      </c>
      <c r="I84" s="60" t="str">
        <v>Ridehailing</v>
      </c>
      <c r="J84" s="60" t="str">
        <v>Ridehailing</v>
      </c>
      <c r="K84" s="60" t="str">
        <v>GM;Microsoft</v>
      </c>
      <c r="L84" s="60" t="str">
        <v>GM</v>
      </c>
      <c r="M84" s="60" t="str">
        <v>Microsoft</v>
      </c>
      <c r="N84" s="60">
        <v>0</v>
      </c>
      <c r="O84"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84"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84" s="60" t="str">
        <v>Strategic Partnership</v>
      </c>
      <c r="R84" s="60" t="str">
        <v>n.a.</v>
      </c>
      <c r="S84" s="60" t="str">
        <v>Product cooperation</v>
      </c>
      <c r="T84" s="60" t="str">
        <v>Long term</v>
      </c>
      <c r="U84" s="60" t="str">
        <v>-</v>
      </c>
      <c r="V84" s="60" t="str">
        <v>-</v>
      </c>
      <c r="W84" s="60" t="str">
        <v>3. Strategic Partnership</v>
      </c>
      <c r="X84" s="60">
        <v>0</v>
      </c>
      <c r="Y84"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84" s="60" t="str">
        <v>Joint D&amp;D</v>
      </c>
      <c r="AA84"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84" s="60">
        <v>0</v>
      </c>
      <c r="AC84" s="60">
        <v>0</v>
      </c>
      <c r="AD84" s="60">
        <v>0</v>
      </c>
      <c r="AE84" s="60">
        <v>0</v>
      </c>
      <c r="AF84" s="60" t="str">
        <v>Cruise and GM team up with Microsoft to commercialize self-driving vehicles</v>
      </c>
      <c r="AG84" s="60">
        <v>0</v>
      </c>
      <c r="AQ84" t="str" cm="1">
        <f t="array" ref="AQ84:AQ93">(_xlfn._xlws.FILTER(M73:M156,M73:M156&lt;&gt;0))</f>
        <v>Microsoft</v>
      </c>
      <c r="AR84" t="str">
        <f>VLOOKUP(AQ84,CBIMPORT!$A$1:$B$171,2,FALSE)</f>
        <v>Software Company</v>
      </c>
      <c r="BD84" s="55"/>
      <c r="BE84" s="55"/>
      <c r="BF84" s="55"/>
    </row>
    <row r="85" spans="1:58" x14ac:dyDescent="0.35">
      <c r="A85" s="60" t="str">
        <v>https://easymile.com/news/ces2023-trust-soft-and-easymile-collaborate-complement-product-development-strategies</v>
      </c>
      <c r="B85" s="60" t="str">
        <v>2023, 1, 5</v>
      </c>
      <c r="C85" s="105">
        <v>44931</v>
      </c>
      <c r="D85" s="60" t="str">
        <v>#CES2023 - Trust in Soft and EasyMile collaborate to complement product development strategies</v>
      </c>
      <c r="E85" s="60" t="str">
        <v>EasyMile</v>
      </c>
      <c r="F85" s="60" t="str">
        <v>L2</v>
      </c>
      <c r="G85" s="60" t="str">
        <v>EasyMile-SAV</v>
      </c>
      <c r="H85" s="60" t="str">
        <v>SAV</v>
      </c>
      <c r="I85" s="60" t="str">
        <v>Ridepooling</v>
      </c>
      <c r="J85" s="60" t="str">
        <v>Ridepooling</v>
      </c>
      <c r="K85" s="60" t="str">
        <v>TrustInSoft</v>
      </c>
      <c r="L85" s="60" t="str">
        <v>TrustInSoft</v>
      </c>
      <c r="M85" s="60">
        <v>0</v>
      </c>
      <c r="N85" s="60">
        <v>0</v>
      </c>
      <c r="O85"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85" s="60" t="str">
        <v>EasyMile, a vendor of autonomous mobility solutions, has chosen TrustInSoft Analyzer to complement its product development strategies.</v>
      </c>
      <c r="Q85" s="60" t="str">
        <v>Informal Agreement</v>
      </c>
      <c r="R85" s="60" t="str">
        <v>n.a.</v>
      </c>
      <c r="S85" s="60" t="str">
        <v>Financing</v>
      </c>
      <c r="T85" s="60" t="str">
        <v>-</v>
      </c>
      <c r="U85" s="60" t="str">
        <v>-</v>
      </c>
      <c r="V85" s="60" t="str">
        <v>-</v>
      </c>
      <c r="W85" s="60" t="str">
        <v>1. Informal Agreement</v>
      </c>
      <c r="X85" s="60">
        <v>0</v>
      </c>
      <c r="Y85"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85" s="60" t="str">
        <v>Licensing</v>
      </c>
      <c r="AA85"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85" s="60">
        <v>0</v>
      </c>
      <c r="AC85" s="60">
        <v>0</v>
      </c>
      <c r="AD85" s="60">
        <v>0</v>
      </c>
      <c r="AE85" s="60">
        <v>0</v>
      </c>
      <c r="AF85" s="60" t="str">
        <v xml:space="preserve">#CES2023 - Trust in Soft and EasyMile collaborate to complement </v>
      </c>
      <c r="AG85" s="60" t="str">
        <v>product development strategies</v>
      </c>
      <c r="AQ85" t="str">
        <v>Shanghai Jiading Industrial Zone</v>
      </c>
      <c r="AR85" t="str">
        <f>VLOOKUP(AQ85,CBIMPORT!$A$1:$B$171,2,FALSE)</f>
        <v>Mobility Project</v>
      </c>
      <c r="BD85" s="55"/>
      <c r="BE85" s="55"/>
      <c r="BF85" s="55"/>
    </row>
    <row r="86" spans="1:58" x14ac:dyDescent="0.35">
      <c r="A86" s="60" t="str">
        <v>https://easymile.com/news/iaa-frankfurt-continental-and-easymile-partner-demonstrate-ez10</v>
      </c>
      <c r="B86" s="60" t="str">
        <v>2019, 9, 12</v>
      </c>
      <c r="C86" s="105">
        <v>43720</v>
      </c>
      <c r="D86" s="60" t="str">
        <v>IAA Frankfurt: Continental and EasyMile Partner to Demonstrate an EZ10</v>
      </c>
      <c r="E86" s="60" t="str">
        <v>EasyMile</v>
      </c>
      <c r="F86" s="60" t="str">
        <v>L2</v>
      </c>
      <c r="G86" s="60" t="str">
        <v>EasyMile-SAV</v>
      </c>
      <c r="H86" s="60" t="str">
        <v>SAV</v>
      </c>
      <c r="I86" s="60" t="str">
        <v>Ridepooling</v>
      </c>
      <c r="J86" s="60" t="str">
        <v>Ridepooling</v>
      </c>
      <c r="K86" s="60" t="str">
        <v>Continental</v>
      </c>
      <c r="L86" s="60" t="str">
        <v>Continental</v>
      </c>
      <c r="M86" s="60">
        <v>0</v>
      </c>
      <c r="N86" s="60">
        <v>0</v>
      </c>
      <c r="O86"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86"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86" s="60" t="str">
        <v>Informal Agreement</v>
      </c>
      <c r="R86" s="60" t="str">
        <v>n.a.</v>
      </c>
      <c r="S86" s="60" t="str">
        <v>One time - Trade show</v>
      </c>
      <c r="T86" s="60" t="str">
        <v>-</v>
      </c>
      <c r="U86" s="60" t="str">
        <v>Yes</v>
      </c>
      <c r="V86" s="60" t="str">
        <v>-</v>
      </c>
      <c r="W86" s="60" t="str">
        <v>1. Informal Agreement</v>
      </c>
      <c r="X86" s="60">
        <v>0</v>
      </c>
      <c r="Y86"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86" s="60" t="str">
        <v>Marketing Agreement</v>
      </c>
      <c r="AA86"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86" s="60">
        <v>0</v>
      </c>
      <c r="AC86" s="60">
        <v>0</v>
      </c>
      <c r="AD86" s="60">
        <v>0</v>
      </c>
      <c r="AE86" s="60">
        <v>0</v>
      </c>
      <c r="AF86" s="60" t="str">
        <v xml:space="preserve">IAA Frankfurt: Continental and EasyMile Partner to Demonstrate </v>
      </c>
      <c r="AG86" s="60" t="str">
        <v>an EZ10</v>
      </c>
      <c r="AQ86" t="str">
        <v>Berliner Verkehrsbetriebe</v>
      </c>
      <c r="AR86" t="str">
        <f>VLOOKUP(AQ86,CBIMPORT!$A$1:$B$171,2,FALSE)</f>
        <v>Transport Operator</v>
      </c>
      <c r="BD86" s="55"/>
      <c r="BE86" s="55"/>
      <c r="BF86" s="55"/>
    </row>
    <row r="87" spans="1:58" x14ac:dyDescent="0.35">
      <c r="A87" s="60" t="str">
        <v>https://easymile.com/news/easymile-and-sono-motors-reveal-collaboration-autonomous-solar-powered-passenger-shuttle</v>
      </c>
      <c r="B87" s="60" t="str">
        <v>2021, 1, 22</v>
      </c>
      <c r="C87" s="105">
        <v>44218</v>
      </c>
      <c r="D87" s="60" t="str">
        <v>EasyMile and Sono Motors Reveal Collaboration on Autonomous Solar-Powered Passenger Shuttle</v>
      </c>
      <c r="E87" s="60" t="str">
        <v>EasyMile</v>
      </c>
      <c r="F87" s="60" t="str">
        <v>L2</v>
      </c>
      <c r="G87" s="60" t="str">
        <v>EasyMile-SAV</v>
      </c>
      <c r="H87" s="60" t="str">
        <v>SAV</v>
      </c>
      <c r="I87" s="60" t="str">
        <v>Ridepooling</v>
      </c>
      <c r="J87" s="60" t="str">
        <v>Ridepooling</v>
      </c>
      <c r="K87" s="60" t="str">
        <v>Sono Motors</v>
      </c>
      <c r="L87" s="60" t="str">
        <v>Sono Motors</v>
      </c>
      <c r="M87" s="60">
        <v>0</v>
      </c>
      <c r="N87" s="60">
        <v>0</v>
      </c>
      <c r="O87"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87" s="60" t="str">
        <v>EasyMile and Sono Motors are equipping an EZ10 autonomous shuttle prototype with Sono Motors' patented solar technology, testing a new energy concept for electric and driverless shuttles.</v>
      </c>
      <c r="Q87" s="60" t="str">
        <v>Strategic Alliance</v>
      </c>
      <c r="R87" s="60" t="str">
        <v>n.a.</v>
      </c>
      <c r="S87" s="60" t="str">
        <v>One time -  Pilot</v>
      </c>
      <c r="T87" s="60" t="str">
        <v>-</v>
      </c>
      <c r="U87" s="60" t="str">
        <v>-</v>
      </c>
      <c r="V87" s="60" t="str">
        <v>-</v>
      </c>
      <c r="W87" s="60" t="str">
        <v>2.1. Short term Alliance (no exclusivity / previous experience)</v>
      </c>
      <c r="X87" s="60">
        <v>0</v>
      </c>
      <c r="Y87" s="60" t="str">
        <v>EasyMile and Sono Motors are equipping an EZ10 autonomous shuttle prototype with Sono Motors' patented solar technology, testing a new energy concept for electric and driverless shuttles.</v>
      </c>
      <c r="Z87" s="60" t="str">
        <v>Research &amp; Collaboration</v>
      </c>
      <c r="AA87" s="60" t="str">
        <v>EasyMile and Sono Motors are equipping an EZ10 autonomous shuttle prototype with Sono Motors' patented solar technology, testing a new energy concept for electric and driverless shuttles.</v>
      </c>
      <c r="AB87" s="60">
        <v>0</v>
      </c>
      <c r="AC87" s="60">
        <v>0</v>
      </c>
      <c r="AD87" s="60">
        <v>0</v>
      </c>
      <c r="AE87" s="60">
        <v>0</v>
      </c>
      <c r="AF87" s="60" t="str">
        <v xml:space="preserve">EasyMile and Sono Motors Reveal Collaboration on </v>
      </c>
      <c r="AG87" s="60" t="str">
        <v>Autonomous Solar-Powered Passenger Shuttle</v>
      </c>
      <c r="AQ87" t="str">
        <v>Volkswagen Commercial Vehicles</v>
      </c>
      <c r="AR87" t="str">
        <f>VLOOKUP(AQ87,CBIMPORT!$A$1:$B$171,2,FALSE)</f>
        <v>OEM Commercial Vehicles</v>
      </c>
      <c r="BD87" s="55"/>
      <c r="BE87" s="55"/>
      <c r="BF87" s="55"/>
    </row>
    <row r="88" spans="1:58" x14ac:dyDescent="0.35">
      <c r="A88" s="60" t="str">
        <v>https://easymile.com/news/phoenix-motorcars-and-easymile-collaborate-deploy-delivery-trucks-well-autonomous-shuttle</v>
      </c>
      <c r="B88" s="60" t="str">
        <v>2020, 12, 21</v>
      </c>
      <c r="C88" s="105">
        <v>43851</v>
      </c>
      <c r="D88" s="60" t="str">
        <v>Phoenix Motorcars and EasyMile Collaborate to Deploy Delivery Trucks as well as Autonomous Shuttle Buses</v>
      </c>
      <c r="E88" s="60" t="str">
        <v>EasyMile</v>
      </c>
      <c r="F88" s="60" t="str">
        <v>L2</v>
      </c>
      <c r="G88" s="60" t="str">
        <v>EasyMile-SAV</v>
      </c>
      <c r="H88" s="60" t="str">
        <v>SAV</v>
      </c>
      <c r="I88" s="60" t="str">
        <v>Ridepooling</v>
      </c>
      <c r="J88" s="60" t="str">
        <v>Ridepooling</v>
      </c>
      <c r="K88" s="60" t="str">
        <v>Phoenix Motorcars</v>
      </c>
      <c r="L88" s="60" t="str">
        <v>Phoenix Motorcars</v>
      </c>
      <c r="M88" s="60">
        <v>0</v>
      </c>
      <c r="N88" s="60">
        <v>0</v>
      </c>
      <c r="O88"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88"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88" s="60" t="str">
        <v>Strategic Alliance</v>
      </c>
      <c r="R88" s="60" t="str">
        <v>n.a.</v>
      </c>
      <c r="S88" s="60" t="str">
        <v>Product cooperation</v>
      </c>
      <c r="T88" s="60" t="str">
        <v>-</v>
      </c>
      <c r="U88" s="60" t="str">
        <v>-</v>
      </c>
      <c r="V88" s="60" t="str">
        <v>-</v>
      </c>
      <c r="W88" s="60" t="str">
        <v>2.1. Short term Alliance (no exclusivity / previous experience)</v>
      </c>
      <c r="X88" s="60">
        <v>0</v>
      </c>
      <c r="Y88"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88" s="60" t="str">
        <v>Joint D&amp;D</v>
      </c>
      <c r="AA88"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88" s="60">
        <v>0</v>
      </c>
      <c r="AC88" s="60">
        <v>0</v>
      </c>
      <c r="AD88" s="60">
        <v>0</v>
      </c>
      <c r="AE88" s="60">
        <v>0</v>
      </c>
      <c r="AF88" s="60" t="str">
        <v>Phoenix Motorcars and EasyMile Collaborate to Deploy Delivery Trucks as well as Autonomous Shuttle Buses</v>
      </c>
      <c r="AG88" s="60">
        <v>0</v>
      </c>
      <c r="AQ88" t="str">
        <v>Beti</v>
      </c>
      <c r="AR88" t="str">
        <f>VLOOKUP(AQ88,CBIMPORT!$A$1:$B$171,2,FALSE)</f>
        <v>Mobility Services</v>
      </c>
      <c r="BD88" s="55"/>
      <c r="BE88" s="55"/>
      <c r="BF88" s="55"/>
    </row>
    <row r="89" spans="1:58" x14ac:dyDescent="0.35">
      <c r="A89" s="60" t="str">
        <v>https://easymile.com/news/easymile-and-continental-collaborate-shanghai-jiading-industrial-zone-develop-driverless</v>
      </c>
      <c r="B89" s="60" t="str">
        <v>2019, 12, 19</v>
      </c>
      <c r="C89" s="105">
        <v>43484</v>
      </c>
      <c r="D89" s="60" t="str">
        <v>EasyMile and Continental Collaborate with Shanghai Jiading Industrial Zone to Develop Driverless Technology in China</v>
      </c>
      <c r="E89" s="60" t="str">
        <v>EasyMile</v>
      </c>
      <c r="F89" s="60" t="str">
        <v>L2</v>
      </c>
      <c r="G89" s="60" t="str">
        <v>EasyMile-SAV</v>
      </c>
      <c r="H89" s="60" t="str">
        <v>SAV</v>
      </c>
      <c r="I89" s="60" t="str">
        <v>Ridepooling</v>
      </c>
      <c r="J89" s="60" t="str">
        <v>Ridepooling</v>
      </c>
      <c r="K89" s="60" t="str">
        <v>Continental;Shanghai Jiading Industrial Zone</v>
      </c>
      <c r="L89" s="60" t="str">
        <v>Continental</v>
      </c>
      <c r="M89" s="60" t="str">
        <v>Shanghai Jiading Industrial Zone</v>
      </c>
      <c r="N89" s="60">
        <v>0</v>
      </c>
      <c r="O89"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89"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89" s="60" t="str">
        <v>Strategic Alliance</v>
      </c>
      <c r="R89" s="60" t="str">
        <v>Yes</v>
      </c>
      <c r="S89" s="60" t="str">
        <v>Product cooperation</v>
      </c>
      <c r="T89" s="60" t="str">
        <v>-</v>
      </c>
      <c r="U89" s="60" t="str">
        <v>Yes</v>
      </c>
      <c r="V89" s="60" t="str">
        <v>-</v>
      </c>
      <c r="W89" s="60" t="str">
        <v xml:space="preserve">2.2. Renewed Alliance </v>
      </c>
      <c r="X89" s="60">
        <v>0</v>
      </c>
      <c r="Y89"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89" s="60" t="str">
        <v>Joint D&amp;D</v>
      </c>
      <c r="AA89"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89" s="60">
        <v>0</v>
      </c>
      <c r="AC89" s="60">
        <v>0</v>
      </c>
      <c r="AD89" s="60">
        <v>0</v>
      </c>
      <c r="AE89" s="60">
        <v>0</v>
      </c>
      <c r="AF89" s="60" t="str">
        <v>EasyMile and Continental Collaborate with Shanghai Jiading Industrial Zone to Develop Driverless Technology in China</v>
      </c>
      <c r="AG89" s="60">
        <v>0</v>
      </c>
      <c r="AQ89" t="str">
        <v>GreenPower</v>
      </c>
      <c r="AR89" t="str">
        <f>VLOOKUP(AQ89,CBIMPORT!$A$1:$B$171,2,FALSE)</f>
        <v>OEM Commercial Vehicles</v>
      </c>
      <c r="BD89" s="55"/>
      <c r="BE89" s="55"/>
      <c r="BF89" s="55"/>
    </row>
    <row r="90" spans="1:58" x14ac:dyDescent="0.35">
      <c r="A90" s="60" t="str">
        <v>https://easymile.com/news/easymile-and-kalray-strengthen-development-platform-collaboration</v>
      </c>
      <c r="B90" s="60" t="str">
        <v>2021, 1, 6</v>
      </c>
      <c r="C90" s="105">
        <v>44202</v>
      </c>
      <c r="D90" s="60" t="str">
        <v>EasyMile and Kalray Strengthen Development Platform Collaboration</v>
      </c>
      <c r="E90" s="60" t="str">
        <v>EasyMile</v>
      </c>
      <c r="F90" s="60" t="str">
        <v>L2</v>
      </c>
      <c r="G90" s="60" t="str">
        <v>EasyMile-SAV</v>
      </c>
      <c r="H90" s="60" t="str">
        <v>SAV</v>
      </c>
      <c r="I90" s="60" t="str">
        <v>Ridepooling</v>
      </c>
      <c r="J90" s="60" t="str">
        <v>Ridepooling</v>
      </c>
      <c r="K90" s="60" t="str">
        <v>Kalray</v>
      </c>
      <c r="L90" s="60" t="str">
        <v>Kalray</v>
      </c>
      <c r="M90" s="60">
        <v>0</v>
      </c>
      <c r="N90" s="60">
        <v>0</v>
      </c>
      <c r="O90"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90" s="60" t="str">
        <v>“Autonomous technology provider EasyMile and intelligent processors supplier Kalray have deepened their relationship with the signature of a Memorandum of Understanding (MoU) formalizing their relationship to develop intelligent systems.</v>
      </c>
      <c r="Q90" s="60" t="str">
        <v>Strategic Alliance</v>
      </c>
      <c r="R90" s="60" t="str">
        <v>Yes</v>
      </c>
      <c r="S90" s="60" t="str">
        <v>Product cooperation</v>
      </c>
      <c r="T90" s="60" t="str">
        <v>-</v>
      </c>
      <c r="U90" s="60" t="str">
        <v>Yes</v>
      </c>
      <c r="V90" s="60" t="str">
        <v>-</v>
      </c>
      <c r="W90" s="60" t="str">
        <v xml:space="preserve">2.2. Renewed Alliance </v>
      </c>
      <c r="X90" s="60">
        <v>0</v>
      </c>
      <c r="Y90"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90" s="60" t="str">
        <v>Supply Partnership (traditional)</v>
      </c>
      <c r="AA90"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90" s="60">
        <v>0</v>
      </c>
      <c r="AC90" s="60">
        <v>0</v>
      </c>
      <c r="AD90" s="60">
        <v>0</v>
      </c>
      <c r="AE90" s="60">
        <v>0</v>
      </c>
      <c r="AF90" s="60" t="str">
        <v>EasyMile and Kalray Strengthen Development Platform Collaboration</v>
      </c>
      <c r="AG90" s="60">
        <v>0</v>
      </c>
      <c r="AQ90" t="str">
        <v>JTA</v>
      </c>
      <c r="AR90" t="str">
        <f>VLOOKUP(AQ90,CBIMPORT!$A$1:$B$171,2,FALSE)</f>
        <v>Transportation Authority</v>
      </c>
      <c r="BD90" s="55"/>
      <c r="BE90" s="55"/>
      <c r="BF90" s="55"/>
    </row>
    <row r="91" spans="1:58" x14ac:dyDescent="0.35">
      <c r="A91" s="60" t="str">
        <v>https://ioki.com/en/deutsche-bahn-and-berlins-municipal-public-transportation-operator-berliner-verkehrsbetriebe-are-cooperation-partners-in-the-area-of-autonomous-driving/</v>
      </c>
      <c r="B91" s="60" t="str">
        <v>2018, 4, 9</v>
      </c>
      <c r="C91" s="105">
        <v>43199</v>
      </c>
      <c r="D91" s="60" t="str">
        <v>Deutsche Bahn and Berlin's municipal public transportation operator Berliner Verkehrsbetriebe are cooperation partners in the area of autonomous driving</v>
      </c>
      <c r="E91" s="60" t="str">
        <v>Ioki</v>
      </c>
      <c r="F91" s="60" t="str">
        <v>L4</v>
      </c>
      <c r="G91" s="60" t="str">
        <v>Ioki-SAV</v>
      </c>
      <c r="H91" s="60" t="str">
        <v>SAV</v>
      </c>
      <c r="I91" s="60" t="str">
        <v>Ridepooling</v>
      </c>
      <c r="J91" s="60" t="str">
        <v>Ridepooling</v>
      </c>
      <c r="K91" s="60" t="str">
        <v>Deutsche Bahn;Berliner Verkehrsbetriebe</v>
      </c>
      <c r="L91" s="60" t="str">
        <v>Deutsche Bahn</v>
      </c>
      <c r="M91" s="60" t="str">
        <v>Berliner Verkehrsbetriebe</v>
      </c>
      <c r="N91" s="60">
        <v>0</v>
      </c>
      <c r="O91"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91"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91" s="60" t="str">
        <v>Strategic Alliance</v>
      </c>
      <c r="R91" s="60" t="str">
        <v>n.a.</v>
      </c>
      <c r="S91" s="60" t="str">
        <v xml:space="preserve">One time  - Pilot </v>
      </c>
      <c r="T91" s="60" t="str">
        <v>-</v>
      </c>
      <c r="U91" s="60" t="str">
        <v>-</v>
      </c>
      <c r="V91" s="60" t="str">
        <v>-</v>
      </c>
      <c r="W91" s="60" t="str">
        <v>2.1. Short term Alliance (no exclusivity / previous experience)</v>
      </c>
      <c r="X91" s="60">
        <v>0</v>
      </c>
      <c r="Y91"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91" s="60" t="str">
        <v>Joint D&amp;D</v>
      </c>
      <c r="AA91" s="60" t="str">
        <v xml:space="preserve">Current plans foresee the expansion of the test project to include operations on public streets. The project partners are working in close collaboration with local authorities in the search for a suitable route. </v>
      </c>
      <c r="AB91" s="60">
        <v>0</v>
      </c>
      <c r="AC91" s="60">
        <v>0</v>
      </c>
      <c r="AD91" s="60">
        <v>0</v>
      </c>
      <c r="AE91" s="60">
        <v>0</v>
      </c>
      <c r="AF91" s="60" t="str">
        <v xml:space="preserve">Deutsche Bahn and Berlin's municipal public transportation operator Berliner Verkehrsbetriebe are cooperation partners </v>
      </c>
      <c r="AG91" s="60" t="str">
        <v>in the area of autonomous driving</v>
      </c>
      <c r="AQ91" t="str">
        <v>e.GO</v>
      </c>
      <c r="AR91" t="str">
        <f>VLOOKUP(AQ91,CBIMPORT!$A$1:$B$171,2,FALSE)</f>
        <v>OEM</v>
      </c>
      <c r="AS91" s="55"/>
      <c r="AT91" s="55"/>
      <c r="AU91" s="55"/>
      <c r="AV91" s="55"/>
      <c r="BD91" s="55"/>
      <c r="BE91" s="55"/>
      <c r="BF91" s="55"/>
    </row>
    <row r="92" spans="1:58" x14ac:dyDescent="0.35">
      <c r="A92" s="60" t="str">
        <v>https://ioki.com/en/automated-public-transport-ioki-to-be-technology-partner-of-the-research-project-minga-in-munich/</v>
      </c>
      <c r="B92" s="60" t="str">
        <v>2023, 5, 24</v>
      </c>
      <c r="C92" s="105">
        <v>45070</v>
      </c>
      <c r="D92" s="60" t="str">
        <v>Automated public transport: ioki to be technology partner of the research project MINGA in Munich</v>
      </c>
      <c r="E92" s="60" t="str">
        <v>Ioki</v>
      </c>
      <c r="F92" s="60" t="str">
        <v>L4</v>
      </c>
      <c r="G92" s="60" t="str">
        <v>Ioki-SAV</v>
      </c>
      <c r="H92" s="60" t="str">
        <v>SAV</v>
      </c>
      <c r="I92" s="60" t="str">
        <v>Ridepooling</v>
      </c>
      <c r="J92" s="60" t="str">
        <v>Ridepooling</v>
      </c>
      <c r="K92" s="60" t="str">
        <v>MINGA</v>
      </c>
      <c r="L92" s="60" t="str">
        <v>MINGA</v>
      </c>
      <c r="M92" s="60">
        <v>0</v>
      </c>
      <c r="N92" s="60">
        <v>0</v>
      </c>
      <c r="O92"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92" s="60" t="str">
        <v>Today, the consecutive partners presented the project to the public. The pilot operation of automated shuttles accompanied by a safety driver is planned from 2025.</v>
      </c>
      <c r="Q92" s="60" t="str">
        <v>Strategic Alliance</v>
      </c>
      <c r="R92" s="60" t="str">
        <v>n.a.</v>
      </c>
      <c r="S92" s="60" t="str">
        <v xml:space="preserve">One time  - Pilot </v>
      </c>
      <c r="T92" s="60" t="str">
        <v>-</v>
      </c>
      <c r="U92" s="60" t="str">
        <v>-</v>
      </c>
      <c r="V92" s="60" t="str">
        <v>-</v>
      </c>
      <c r="W92" s="60" t="str">
        <v>2.1. Short term Alliance (no exclusivity / previous experience)</v>
      </c>
      <c r="X92" s="60">
        <v>0</v>
      </c>
      <c r="Y92"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92" s="60" t="str">
        <v>Joint Service Agreement</v>
      </c>
      <c r="AA92"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92" s="60">
        <v>0</v>
      </c>
      <c r="AC92" s="60">
        <v>0</v>
      </c>
      <c r="AD92" s="60">
        <v>0</v>
      </c>
      <c r="AE92" s="60">
        <v>0</v>
      </c>
      <c r="AF92" s="60" t="str">
        <v xml:space="preserve">Automated public transport: ioki to be technology partner of </v>
      </c>
      <c r="AG92" s="60" t="str">
        <v>the research project MINGA in Munich</v>
      </c>
      <c r="AQ92" t="str">
        <v>Bosch</v>
      </c>
      <c r="AR92" t="str">
        <f>VLOOKUP(AQ92,CBIMPORT!$A$1:$B$171,2,FALSE)</f>
        <v>Automotive Supplier</v>
      </c>
      <c r="AS92" s="55"/>
      <c r="AT92" s="55"/>
      <c r="AU92" s="55"/>
      <c r="AV92" s="55"/>
      <c r="BD92" s="55"/>
      <c r="BE92" s="55"/>
      <c r="BF92" s="55"/>
    </row>
    <row r="93" spans="1:58" x14ac:dyDescent="0.35">
      <c r="A93" s="60" t="str">
        <v>https://maymobility.com/posts/bridgestone-invests-in-autonomous-driving-technology-provider-may-mobility-kicks-off-broader-partnership/</v>
      </c>
      <c r="B93" s="60" t="str">
        <v>2022, 3, 21</v>
      </c>
      <c r="C93" s="105">
        <v>44641</v>
      </c>
      <c r="D93" s="60" t="str">
        <v>Bridgestone invests in autonomous driving technology provider May Mobility, kicks off broader partnership</v>
      </c>
      <c r="E93" s="60" t="str">
        <v>May Mobility</v>
      </c>
      <c r="F93" s="60" t="str">
        <v>L1</v>
      </c>
      <c r="G93" s="60" t="str">
        <v>May Mobility-SAV</v>
      </c>
      <c r="H93" s="60" t="str">
        <v>SAV</v>
      </c>
      <c r="I93" s="60" t="str">
        <v>Ridehailing</v>
      </c>
      <c r="J93" s="60" t="str">
        <v>Ridehailing</v>
      </c>
      <c r="K93" s="60" t="str">
        <v>Bridgestone</v>
      </c>
      <c r="L93" s="60" t="str">
        <v>Bridgestone</v>
      </c>
      <c r="M93" s="60">
        <v>0</v>
      </c>
      <c r="N93" s="60">
        <v>0</v>
      </c>
      <c r="O93"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93"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93" s="60" t="str">
        <v>Strategic Partnership</v>
      </c>
      <c r="R93" s="60" t="str">
        <v>n.a.</v>
      </c>
      <c r="S93" s="60" t="str">
        <v>Product Integration</v>
      </c>
      <c r="T93" s="60" t="str">
        <v>-</v>
      </c>
      <c r="U93" s="60" t="str">
        <v>-</v>
      </c>
      <c r="V93" s="60" t="str">
        <v>-</v>
      </c>
      <c r="W93" s="60" t="str">
        <v>3. Strategic Partnership</v>
      </c>
      <c r="X93" s="60">
        <v>0</v>
      </c>
      <c r="Y93"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93" s="60" t="str">
        <v>Joint D&amp;D</v>
      </c>
      <c r="AA93" s="60" t="str">
        <v>the new partnership will include the future integration of Bridgestone's digital and predictive tire-centric technologies into May Mobility autonomous vehicles, granting deeper AV intelligence for even safer and more efficient operation.</v>
      </c>
      <c r="AB93" s="60" t="str">
        <v>Research &amp; Collaboration</v>
      </c>
      <c r="AC93" s="60" t="str">
        <v>Through the partnership, Bridgestone will also gain valuable insights into autonomous vehicle operations to improve its core tire products and mobility solutions.</v>
      </c>
      <c r="AD93" s="60">
        <v>0</v>
      </c>
      <c r="AE93" s="60">
        <v>0</v>
      </c>
      <c r="AF93" s="60" t="str">
        <v xml:space="preserve">Bridgestone invests </v>
      </c>
      <c r="AG93" s="60" t="str">
        <v>in autonomous driving technology provider May Mobility, kicks off broader partnership</v>
      </c>
      <c r="AQ93" t="str">
        <v>e.GO</v>
      </c>
      <c r="AR93" t="str">
        <f>VLOOKUP(AQ93,CBIMPORT!$A$1:$B$171,2,FALSE)</f>
        <v>OEM</v>
      </c>
      <c r="AS93" s="55"/>
      <c r="AT93" s="55"/>
      <c r="AU93" s="55"/>
      <c r="AV93" s="55"/>
      <c r="BD93" s="55"/>
      <c r="BE93" s="55"/>
      <c r="BF93" s="55"/>
    </row>
    <row r="94" spans="1:58" x14ac:dyDescent="0.35">
      <c r="A94" s="60" t="str">
        <v>https://maymobility.com/posts/may-mobility-and-stantec-partner-to-deliver-turnkey-av-microtransit-solutions/</v>
      </c>
      <c r="B94" s="60" t="str">
        <v>2023, 3, 28</v>
      </c>
      <c r="C94" s="105">
        <v>45013</v>
      </c>
      <c r="D94" s="60" t="str">
        <v>May Mobility and Stantec partner to deliver turnkey AV microtransit solutions</v>
      </c>
      <c r="E94" s="60" t="str">
        <v>May Mobility</v>
      </c>
      <c r="F94" s="60" t="str">
        <v>L1</v>
      </c>
      <c r="G94" s="60" t="str">
        <v>May Mobility-SAV</v>
      </c>
      <c r="H94" s="60" t="str">
        <v>SAV</v>
      </c>
      <c r="I94" s="60" t="str">
        <v>Ridehailing</v>
      </c>
      <c r="J94" s="60" t="str">
        <v>Ridehailing</v>
      </c>
      <c r="K94" s="60" t="str">
        <v>Stantec</v>
      </c>
      <c r="L94" s="60" t="str">
        <v>Stantec</v>
      </c>
      <c r="M94" s="60">
        <v>0</v>
      </c>
      <c r="N94" s="60">
        <v>0</v>
      </c>
      <c r="O94"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94" s="60" t="str">
        <v>"May Mobility is a global technology leader in autonomous mobility and we're proud to partner with them to establish and scale a complete AV deployment system</v>
      </c>
      <c r="Q94" s="60" t="str">
        <v>Strategic Alliance</v>
      </c>
      <c r="R94" s="60" t="str">
        <v>n.a.</v>
      </c>
      <c r="S94" s="60" t="str">
        <v>Service Integration</v>
      </c>
      <c r="T94" s="60" t="str">
        <v>-</v>
      </c>
      <c r="U94" s="60" t="str">
        <v>-</v>
      </c>
      <c r="V94" s="60" t="str">
        <v>-</v>
      </c>
      <c r="W94" s="60" t="str">
        <v>2.1. Short term Alliance (no exclusivity / previous experience)</v>
      </c>
      <c r="X94" s="60">
        <v>0</v>
      </c>
      <c r="Y94"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94" s="60" t="str">
        <v>Joint D&amp;D</v>
      </c>
      <c r="AA94"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94" s="60">
        <v>0</v>
      </c>
      <c r="AC94" s="60">
        <v>0</v>
      </c>
      <c r="AD94" s="60">
        <v>0</v>
      </c>
      <c r="AE94" s="60">
        <v>0</v>
      </c>
      <c r="AF94" s="60" t="str">
        <v xml:space="preserve">May Mobility and Stantec partner to deliver </v>
      </c>
      <c r="AG94" s="60" t="str">
        <v>turnkey AV microtransit solutions</v>
      </c>
      <c r="AQ94" t="str" cm="1">
        <f t="array" ref="AQ94">_xlfn._xlws.FILTER(N73:N156,N73:N156&lt;&gt;0)</f>
        <v>Microsoft</v>
      </c>
      <c r="AR94" t="str">
        <f>VLOOKUP(AQ94,CBIMPORT!$A$1:$B$171,2,FALSE)</f>
        <v>Software Company</v>
      </c>
      <c r="AS94" s="55"/>
      <c r="AT94" s="55"/>
      <c r="AU94" s="55"/>
      <c r="AV94" s="55"/>
      <c r="BD94" s="55"/>
      <c r="BE94" s="55"/>
      <c r="BF94" s="55"/>
    </row>
    <row r="95" spans="1:58" x14ac:dyDescent="0.35">
      <c r="A95" s="60" t="str">
        <v>https://maymobility.com/posts/spare-and-may-mobility-partner-to-deliver-a-powerful-on-demand-transit-solution-with-autonomous-vehicles/</v>
      </c>
      <c r="B95" s="60" t="str">
        <v>2023, 7, 19</v>
      </c>
      <c r="C95" s="105">
        <v>45126</v>
      </c>
      <c r="D95" s="60" t="str">
        <v>Spare and May Mobility Partner to Deliver a Powerful On-Demand Transit Solution with Autonomous Vehicles</v>
      </c>
      <c r="E95" s="60" t="str">
        <v>May Mobility</v>
      </c>
      <c r="F95" s="60" t="str">
        <v>L1</v>
      </c>
      <c r="G95" s="60" t="str">
        <v>May Mobility-SAV</v>
      </c>
      <c r="H95" s="60" t="str">
        <v>SAV</v>
      </c>
      <c r="I95" s="60" t="str">
        <v>Ridehailing</v>
      </c>
      <c r="J95" s="60" t="str">
        <v>Ridehailing</v>
      </c>
      <c r="K95" s="60" t="str">
        <v>Spare</v>
      </c>
      <c r="L95" s="60" t="str">
        <v>Spare</v>
      </c>
      <c r="M95" s="60">
        <v>0</v>
      </c>
      <c r="N95" s="60">
        <v>0</v>
      </c>
      <c r="O95"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95" s="60" t="str">
        <v xml:space="preserve">Spare, the leading on-demand transit platform, and May Mobility, a leader in the development and deployment of autonomous vehicle (AV) technology, have joined forces to deliver on-demand transit solutions leveraging autonomous vehicles. </v>
      </c>
      <c r="Q95" s="60" t="str">
        <v>Strategic Alliance</v>
      </c>
      <c r="R95" s="60" t="str">
        <v>n.a.</v>
      </c>
      <c r="S95" s="60" t="str">
        <v>Service Integration</v>
      </c>
      <c r="T95" s="60" t="str">
        <v>-</v>
      </c>
      <c r="U95" s="60" t="str">
        <v>-</v>
      </c>
      <c r="V95" s="60" t="str">
        <v>-</v>
      </c>
      <c r="W95" s="60" t="str">
        <v>2.1. Short term Alliance (no exclusivity / previous experience)</v>
      </c>
      <c r="X95" s="60">
        <v>0</v>
      </c>
      <c r="Y95"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95" s="60" t="str">
        <v>Joint Service Agreement</v>
      </c>
      <c r="AA95"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95" s="60">
        <v>0</v>
      </c>
      <c r="AC95" s="60">
        <v>0</v>
      </c>
      <c r="AD95" s="60">
        <v>0</v>
      </c>
      <c r="AE95" s="60">
        <v>0</v>
      </c>
      <c r="AF95" s="60" t="str">
        <v>Spare and May Mobility Partner to Deliver a Powerful On-Demand Transit Solution with Autonomous Vehicles</v>
      </c>
      <c r="AG95" s="60">
        <v>0</v>
      </c>
      <c r="AQ95" s="55"/>
      <c r="AR95" s="55"/>
      <c r="AS95" s="55"/>
      <c r="AT95" s="55"/>
      <c r="AU95" s="55"/>
      <c r="AV95" s="55"/>
      <c r="BD95" s="55"/>
      <c r="BE95" s="55"/>
      <c r="BF95" s="55"/>
    </row>
    <row r="96" spans="1:58" x14ac:dyDescent="0.35">
      <c r="A96" s="60" t="str">
        <v>https://maymobility.com/posts/may-mobility-moovit-partner-to-deploy-complete-autonomous-mobility-package/</v>
      </c>
      <c r="B96" s="60" t="str">
        <v>2023, 4, 13</v>
      </c>
      <c r="C96" s="105">
        <v>45029</v>
      </c>
      <c r="D96" s="60" t="str">
        <v>May Mobility and Moovit partner to deploy complete autonomous mobility package</v>
      </c>
      <c r="E96" s="60" t="str">
        <v>May Mobility</v>
      </c>
      <c r="F96" s="60" t="str">
        <v>L1</v>
      </c>
      <c r="G96" s="60" t="str">
        <v>May Mobility-SAV</v>
      </c>
      <c r="H96" s="60" t="str">
        <v>SAV</v>
      </c>
      <c r="I96" s="60" t="str">
        <v>Ridehailing</v>
      </c>
      <c r="J96" s="60" t="str">
        <v>Ridehailing</v>
      </c>
      <c r="K96" s="60" t="str">
        <v>Moovit</v>
      </c>
      <c r="L96" s="60" t="str">
        <v>Moovit</v>
      </c>
      <c r="M96" s="60">
        <v>0</v>
      </c>
      <c r="N96" s="60">
        <v>0</v>
      </c>
      <c r="O96"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96" s="60" t="str">
        <v>The partnership will allow riders to easily plan, pay and ride in shared AVs while providing them a safe, accessible, and sustainable form of mobility in regions around the globe.</v>
      </c>
      <c r="Q96" s="60" t="str">
        <v>Strategic Alliance</v>
      </c>
      <c r="R96" s="60" t="str">
        <v>n.a.</v>
      </c>
      <c r="S96" s="60" t="str">
        <v>Service Integration</v>
      </c>
      <c r="T96" s="60" t="str">
        <v>-</v>
      </c>
      <c r="U96" s="60" t="str">
        <v>-</v>
      </c>
      <c r="V96" s="60" t="str">
        <v>-</v>
      </c>
      <c r="W96" s="60" t="str">
        <v>2.1. Short term Alliance (no exclusivity / previous experience)</v>
      </c>
      <c r="X96" s="60">
        <v>0</v>
      </c>
      <c r="Y96"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96" s="60" t="str">
        <v>Joint Service Agreement</v>
      </c>
      <c r="AA96"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96" s="60">
        <v>0</v>
      </c>
      <c r="AC96" s="60">
        <v>0</v>
      </c>
      <c r="AD96" s="60">
        <v>0</v>
      </c>
      <c r="AE96" s="60">
        <v>0</v>
      </c>
      <c r="AF96" s="60" t="str">
        <v>May Mobility and Moovit partner to deploy complete autonomous mobility package</v>
      </c>
      <c r="AG96" s="60">
        <v>0</v>
      </c>
      <c r="AQ96" s="55"/>
      <c r="AR96" s="55"/>
      <c r="AS96" s="55"/>
      <c r="AT96" s="55"/>
      <c r="AU96" s="55"/>
      <c r="AV96" s="55"/>
      <c r="BD96" s="55"/>
      <c r="BE96" s="55"/>
      <c r="BF96" s="55"/>
    </row>
    <row r="97" spans="1:58" x14ac:dyDescent="0.35">
      <c r="A97" s="60" t="str">
        <v>https://maymobility.com/posts/liftango-and-may-mobility-partner/</v>
      </c>
      <c r="B97" s="60" t="str">
        <v>2023, 10, 25</v>
      </c>
      <c r="C97" s="105">
        <v>44951</v>
      </c>
      <c r="D97" s="60" t="str">
        <v>Liftango and May Mobility partner to deliver dynamic on-demand shared transport solutions with autonomous vehicles</v>
      </c>
      <c r="E97" s="60" t="str">
        <v>May Mobility</v>
      </c>
      <c r="F97" s="60" t="str">
        <v>L1</v>
      </c>
      <c r="G97" s="60" t="str">
        <v>May Mobility-SAV</v>
      </c>
      <c r="H97" s="60" t="str">
        <v>SAV</v>
      </c>
      <c r="I97" s="60" t="str">
        <v>Ridehailing</v>
      </c>
      <c r="J97" s="60" t="str">
        <v>Ridehailing</v>
      </c>
      <c r="K97" s="60" t="str">
        <v>Liftango</v>
      </c>
      <c r="L97" s="60" t="str">
        <v>Liftango</v>
      </c>
      <c r="M97" s="60">
        <v>0</v>
      </c>
      <c r="N97" s="60">
        <v>0</v>
      </c>
      <c r="O97"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97"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97" s="60" t="str">
        <v>Strategic Alliance</v>
      </c>
      <c r="R97" s="60" t="str">
        <v>n.a.</v>
      </c>
      <c r="S97" s="60" t="str">
        <v>Service Integration</v>
      </c>
      <c r="T97" s="60" t="str">
        <v>-</v>
      </c>
      <c r="U97" s="60" t="str">
        <v>-</v>
      </c>
      <c r="V97" s="60" t="str">
        <v>-</v>
      </c>
      <c r="W97" s="60" t="str">
        <v>2.1. Short term Alliance (no exclusivity / previous experience)</v>
      </c>
      <c r="X97" s="60">
        <v>0</v>
      </c>
      <c r="Y97"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97" s="60" t="str">
        <v>Joint Service Agreement</v>
      </c>
      <c r="AA97"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97" s="60">
        <v>0</v>
      </c>
      <c r="AC97" s="60">
        <v>0</v>
      </c>
      <c r="AD97" s="60">
        <v>0</v>
      </c>
      <c r="AE97" s="60">
        <v>0</v>
      </c>
      <c r="AF97" s="60" t="str">
        <v>Liftango and May Mobility partner to deliver dynamic on-demand shared transport solutions with autonomous vehicles</v>
      </c>
      <c r="AG97" s="60">
        <v>0</v>
      </c>
      <c r="AQ97" s="55"/>
      <c r="AR97" s="55"/>
      <c r="AS97" s="55"/>
      <c r="AT97" s="55"/>
      <c r="AU97" s="55"/>
      <c r="AV97" s="55"/>
      <c r="BD97" s="55"/>
      <c r="BE97" s="55"/>
      <c r="BF97" s="55"/>
    </row>
    <row r="98" spans="1:58" x14ac:dyDescent="0.35">
      <c r="A98" s="60" t="str">
        <v>https://maymobility.com/posts/may-mobility-and-via-announce-partnership-that-will-integrate-on-demand-avs-into-public-transit/</v>
      </c>
      <c r="B98" s="60" t="str">
        <v>2020, 11, 18</v>
      </c>
      <c r="C98" s="105">
        <v>43848</v>
      </c>
      <c r="D98" s="60" t="str">
        <v>May Mobility and Via announce partnership that will integrate on-demand AVs into public transit</v>
      </c>
      <c r="E98" s="60" t="str">
        <v>May Mobility</v>
      </c>
      <c r="F98" s="60" t="str">
        <v>L1</v>
      </c>
      <c r="G98" s="60" t="str">
        <v>May Mobility-SAV</v>
      </c>
      <c r="H98" s="60" t="str">
        <v>SAV</v>
      </c>
      <c r="I98" s="60" t="str">
        <v>Ridehailing</v>
      </c>
      <c r="J98" s="60" t="str">
        <v>Ridepooling</v>
      </c>
      <c r="K98" s="60" t="str">
        <v>Via</v>
      </c>
      <c r="L98" s="60" t="str">
        <v>Via</v>
      </c>
      <c r="M98" s="60">
        <v>0</v>
      </c>
      <c r="N98" s="60">
        <v>0</v>
      </c>
      <c r="O98"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98"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98" s="60" t="str">
        <v>Strategic Alliance</v>
      </c>
      <c r="R98" s="60" t="str">
        <v>n.a.</v>
      </c>
      <c r="S98" s="60" t="str">
        <v>Service Integration</v>
      </c>
      <c r="T98" s="60" t="str">
        <v>Long term - -</v>
      </c>
      <c r="U98" s="60" t="str">
        <v>-</v>
      </c>
      <c r="V98" s="60" t="str">
        <v>-</v>
      </c>
      <c r="W98" s="60" t="str">
        <v>2.3. Long term Alliance</v>
      </c>
      <c r="X98" s="60">
        <v>0</v>
      </c>
      <c r="Y98"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98" s="60" t="str">
        <v>Joint Service Agreement</v>
      </c>
      <c r="AA98" s="60" t="str">
        <v>May Mobility will adopt Via's autonomous fleet platform to power booking, routing, passenger and vehicle assignment and identification, customer experience, and fleet management as part of their new transit solution for future autonomous vehicle deployments.</v>
      </c>
      <c r="AB98" s="60">
        <v>0</v>
      </c>
      <c r="AC98" s="60">
        <v>0</v>
      </c>
      <c r="AD98" s="60">
        <v>0</v>
      </c>
      <c r="AE98" s="60">
        <v>0</v>
      </c>
      <c r="AF98" s="60" t="str">
        <v>May Mobility and Via announce partnership that will integrate on-demand AVs into public transit</v>
      </c>
      <c r="AG98" s="60">
        <v>0</v>
      </c>
      <c r="BD98" s="55"/>
      <c r="BE98" s="55"/>
      <c r="BF98" s="55"/>
    </row>
    <row r="99" spans="1:58" x14ac:dyDescent="0.35">
      <c r="A99" s="60" t="str">
        <v>https://www.globenewswire.com/en/news-release/2015/03/23/717890/34491/en/Mission-Secure-Inc-Perrone-Robotics-and-University-of-Virginia-Demonstrate-Cyber-Attacks-and-Protections-for-Automobile-Braking-and-Acceleration.html</v>
      </c>
      <c r="B99" s="60" t="str">
        <v>2015, 3, 25</v>
      </c>
      <c r="C99" s="105">
        <v>42088</v>
      </c>
      <c r="D99" s="60" t="str">
        <v>Mission Secure Announces Partnership with UVA &amp; Perrone</v>
      </c>
      <c r="E99" s="60" t="str">
        <v>Perrone Robotics</v>
      </c>
      <c r="F99" s="60" t="str">
        <v>L1</v>
      </c>
      <c r="G99" s="60" t="str">
        <v>Perrone Robotics-SAV</v>
      </c>
      <c r="H99" s="60" t="str">
        <v>SAV</v>
      </c>
      <c r="I99" s="60" t="str">
        <v>Ridepooling</v>
      </c>
      <c r="J99" s="60" t="str">
        <v>Ridepooling</v>
      </c>
      <c r="K99" s="60" t="str">
        <v>Mission Secure</v>
      </c>
      <c r="L99" s="60" t="str">
        <v>Mission Secure</v>
      </c>
      <c r="M99" s="60">
        <v>0</v>
      </c>
      <c r="N99" s="60">
        <v>0</v>
      </c>
      <c r="O99"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99"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99" s="60" t="str">
        <v>Strategic Alliance</v>
      </c>
      <c r="R99" s="60" t="str">
        <v>n.a.</v>
      </c>
      <c r="S99" s="60" t="str">
        <v>One time - Pilot</v>
      </c>
      <c r="T99" s="60" t="str">
        <v>Short term -  &gt;2 months</v>
      </c>
      <c r="U99" s="60" t="str">
        <v>-</v>
      </c>
      <c r="V99" s="60" t="str">
        <v>-</v>
      </c>
      <c r="W99" s="60" t="str">
        <v>2.1. Short term Alliance (no exclusivity / previous experience)</v>
      </c>
      <c r="X99" s="60">
        <v>0</v>
      </c>
      <c r="Y99"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99" s="60" t="str">
        <v>Research &amp; Collaboration</v>
      </c>
      <c r="AA99"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99" s="60">
        <v>0</v>
      </c>
      <c r="AC99" s="60">
        <v>0</v>
      </c>
      <c r="AD99" s="60">
        <v>0</v>
      </c>
      <c r="AE99" s="60">
        <v>0</v>
      </c>
      <c r="AF99" s="60" t="str">
        <v>Mission Secure Announces Partnership with UVA &amp; Perrone</v>
      </c>
      <c r="AG99" s="60">
        <v>0</v>
      </c>
      <c r="BD99" s="55"/>
      <c r="BE99" s="55"/>
      <c r="BF99" s="55"/>
    </row>
    <row r="100" spans="1:58" x14ac:dyDescent="0.35">
      <c r="A100" s="60" t="str">
        <v>https://www.mobileye.com/news/mobileye-and-man-truck-bus-launch-collaboration-for-av-city-buses/</v>
      </c>
      <c r="B100" s="60" t="str">
        <v>2023, 5, 17</v>
      </c>
      <c r="C100" s="105">
        <v>45063</v>
      </c>
      <c r="D100" s="60" t="str">
        <v>Mobileye and MAN Truck &amp; Bus launch collaboration for AV city buses</v>
      </c>
      <c r="E100" s="60" t="str">
        <v>Mobileye</v>
      </c>
      <c r="F100" s="60" t="str">
        <v>L1</v>
      </c>
      <c r="G100" s="60" t="str">
        <v>Mobileye-SAV</v>
      </c>
      <c r="H100" s="60" t="str">
        <v>SAV</v>
      </c>
      <c r="I100" s="60" t="str">
        <v>Ridepooling</v>
      </c>
      <c r="J100" s="60" t="str">
        <v>Ridepooling</v>
      </c>
      <c r="K100" s="60" t="str">
        <v>MAN Truck &amp; Bus</v>
      </c>
      <c r="L100" s="60" t="str">
        <v>MAN Truck &amp; Bus</v>
      </c>
      <c r="M100" s="60">
        <v>0</v>
      </c>
      <c r="N100" s="60">
        <v>0</v>
      </c>
      <c r="O100"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100"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100" s="60" t="str">
        <v>Strategic Alliance</v>
      </c>
      <c r="R100" s="60" t="str">
        <v>n.a.</v>
      </c>
      <c r="S100" s="60" t="str">
        <v>Product cooperation</v>
      </c>
      <c r="T100" s="60" t="str">
        <v>-</v>
      </c>
      <c r="U100" s="60" t="str">
        <v>-</v>
      </c>
      <c r="V100" s="60" t="str">
        <v>-</v>
      </c>
      <c r="W100" s="60" t="str">
        <v>2.1. Short term Alliance (no exclusivity / previous experience)</v>
      </c>
      <c r="X100" s="60">
        <v>0</v>
      </c>
      <c r="Y100" s="60" t="str">
        <v>Mobileye and MAN Truck &amp; Bus today announced a collaboration to explore autonomy in public transit, integrating state-of-the-art autonomous vehicle technology into the award-winning city buses of MAN.</v>
      </c>
      <c r="Z100" s="60" t="str">
        <v>Joint D&amp;D</v>
      </c>
      <c r="AA100" s="60" t="str">
        <v>Mobileye and MAN Truck &amp; Bus today announced a collaboration to explore autonomy in public transit, integrating state-of-the-art autonomous vehicle technology into the award-winning city buses of MAN.</v>
      </c>
      <c r="AB100" s="60">
        <v>0</v>
      </c>
      <c r="AC100" s="60">
        <v>0</v>
      </c>
      <c r="AD100" s="60">
        <v>0</v>
      </c>
      <c r="AE100" s="60">
        <v>0</v>
      </c>
      <c r="AF100" s="60" t="str">
        <v>Mobileye and MAN Truck &amp; Bus launch collaboration for AV city buses</v>
      </c>
      <c r="AG100" s="60">
        <v>0</v>
      </c>
      <c r="AQ100" s="114" t="s">
        <v>1931</v>
      </c>
      <c r="AV100" s="128" t="s">
        <v>372</v>
      </c>
      <c r="AZ100" s="128" t="s">
        <v>341</v>
      </c>
      <c r="BD100" s="55"/>
      <c r="BE100" s="55"/>
      <c r="BF100" s="55"/>
    </row>
    <row r="101" spans="1:58" x14ac:dyDescent="0.35">
      <c r="A101" s="60" t="str">
        <v>https://www.mobileye.com/news/mobileye-willer-self-driving-mobility-solutions/</v>
      </c>
      <c r="B101" s="60" t="str">
        <v>2020, 7, 7</v>
      </c>
      <c r="C101" s="105">
        <v>44019</v>
      </c>
      <c r="D101" s="60" t="str">
        <v>Mobileye and WILLER Partner on Self-Driving Mobility Solutions for Japan, Southeast Asia</v>
      </c>
      <c r="E101" s="60" t="str">
        <v>Mobileye</v>
      </c>
      <c r="F101" s="60" t="str">
        <v>L1</v>
      </c>
      <c r="G101" s="60" t="str">
        <v>Mobileye-SAV</v>
      </c>
      <c r="H101" s="60" t="str">
        <v>SAV</v>
      </c>
      <c r="I101" s="60" t="str">
        <v>Ridepooling</v>
      </c>
      <c r="J101" s="60" t="str">
        <v>Ridehailing</v>
      </c>
      <c r="K101" s="60" t="str">
        <v>WILLER</v>
      </c>
      <c r="L101" s="60" t="str">
        <v>WILLER</v>
      </c>
      <c r="M101" s="60">
        <v>0</v>
      </c>
      <c r="N101" s="60">
        <v>0</v>
      </c>
      <c r="O101"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1"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1" s="60" t="str">
        <v>Strategic Alliance</v>
      </c>
      <c r="R101" s="60" t="str">
        <v>n.a.</v>
      </c>
      <c r="S101" s="60" t="str">
        <v>Service integration</v>
      </c>
      <c r="T101" s="60" t="str">
        <v>Long term - 2023 (&gt;2 years)</v>
      </c>
      <c r="U101" s="60" t="str">
        <v>-</v>
      </c>
      <c r="V101" s="60" t="str">
        <v>-</v>
      </c>
      <c r="W101" s="60" t="str">
        <v>2.3. Long term Alliance</v>
      </c>
      <c r="X101" s="60">
        <v>0</v>
      </c>
      <c r="Y101"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1" s="60" t="str">
        <v>Supply Partnership (extended)</v>
      </c>
      <c r="AA101"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1" s="60">
        <v>0</v>
      </c>
      <c r="AC101" s="60">
        <v>0</v>
      </c>
      <c r="AD101" s="60">
        <v>0</v>
      </c>
      <c r="AE101" s="60">
        <v>0</v>
      </c>
      <c r="AF101" s="60" t="str">
        <v>Mobileye and WILLER Partner on Self-Driving Mobility Solutions for Japan, Southeast Asia</v>
      </c>
      <c r="AG101" s="60">
        <v>0</v>
      </c>
      <c r="AQ101" s="129" t="s">
        <v>2056</v>
      </c>
      <c r="AV101" s="129" t="s">
        <v>2056</v>
      </c>
      <c r="AZ101" s="129" t="s">
        <v>2056</v>
      </c>
      <c r="BD101" s="55"/>
      <c r="BE101" s="55"/>
      <c r="BF101" s="55"/>
    </row>
    <row r="102" spans="1:58" x14ac:dyDescent="0.35">
      <c r="A102" s="60" t="str">
        <v>https://www.moia.io/en/news-center/hochbahn-volkswagen-commercial-vehicles-and-moia-cooperate-for-the-traffic-turnaround</v>
      </c>
      <c r="B102" s="60" t="str">
        <v>2022, 1, 13</v>
      </c>
      <c r="C102" s="105">
        <v>44574</v>
      </c>
      <c r="D102" s="60" t="str">
        <v>Partnership: HOCHBAHN, Volkswagen Commercial Vehicles and MOIA cooperate for the traffic turnaround</v>
      </c>
      <c r="E102" s="60" t="str">
        <v>MOIA</v>
      </c>
      <c r="F102" s="60" t="str">
        <v>L3</v>
      </c>
      <c r="G102" s="60" t="str">
        <v>MOIA-SAV</v>
      </c>
      <c r="H102" s="60" t="str">
        <v>SAV</v>
      </c>
      <c r="I102" s="60" t="str">
        <v>Ridepooling</v>
      </c>
      <c r="J102" s="60" t="str">
        <v>Ridepooling</v>
      </c>
      <c r="K102" s="60" t="str">
        <v>HOCHBAHN;Volkswagen Commercial Vehicles</v>
      </c>
      <c r="L102" s="60" t="str">
        <v>HOCHBAHN</v>
      </c>
      <c r="M102" s="60" t="str">
        <v>Volkswagen Commercial Vehicles</v>
      </c>
      <c r="N102" s="60">
        <v>0</v>
      </c>
      <c r="O102"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102"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102" s="60" t="str">
        <v>Strategic Alliance</v>
      </c>
      <c r="R102" s="60" t="str">
        <v>Yes</v>
      </c>
      <c r="S102" s="60" t="str">
        <v>Service Integration</v>
      </c>
      <c r="T102" s="60" t="str">
        <v>Long term - coming years</v>
      </c>
      <c r="U102" s="60" t="str">
        <v>Yes</v>
      </c>
      <c r="V102" s="60" t="str">
        <v>-</v>
      </c>
      <c r="W102" s="60" t="str">
        <v>2.3. Long term Alliance</v>
      </c>
      <c r="X102" s="60">
        <v>0</v>
      </c>
      <c r="Y102"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102" s="60" t="str">
        <v>Joint Service Agreement</v>
      </c>
      <c r="AA102"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102" s="60" t="str">
        <v>Research &amp; Collaboration</v>
      </c>
      <c r="AC102"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102" s="60">
        <v>0</v>
      </c>
      <c r="AE102" s="60">
        <v>0</v>
      </c>
      <c r="AF102" s="60" t="str">
        <v xml:space="preserve">cooperate for </v>
      </c>
      <c r="AG102" s="60" t="str">
        <v>the traffic turnaround</v>
      </c>
      <c r="AO102" t="b">
        <f>EXACT(AR102,SUM(AW102,BA102))</f>
        <v>1</v>
      </c>
      <c r="AQ102" t="str" cm="1">
        <f t="array" ref="AQ102:AQ127">_xlfn.UNIQUE(_xlfn._xlws.FILTER(AR2:AR94,AR2:AR94&lt;&gt;""))</f>
        <v>Software Company</v>
      </c>
      <c r="AR102" s="100">
        <f t="shared" ref="AR102:AR128" si="14">COUNTIF($AR$1:$AR$94,$AQ102)</f>
        <v>3</v>
      </c>
      <c r="AS102" s="101">
        <f>$AR102/SUM($AR$102:$AR$128)</f>
        <v>3.2258064516129031E-2</v>
      </c>
      <c r="AV102" s="94" t="str" cm="1">
        <f t="array" ref="AV102:AV127">_xlfn.UNIQUE(_xlfn._xlws.FILTER(AR2:AR94,AR2:AR94&lt;&gt;""))</f>
        <v>Software Company</v>
      </c>
      <c r="AW102">
        <f t="shared" ref="AW102:AW128" si="15">COUNTIF($AW$1:$AW$69,$AV102)</f>
        <v>2</v>
      </c>
      <c r="AX102" s="101">
        <f>$AW102/SUM($AW$102:$AW$128)</f>
        <v>2.9411764705882353E-2</v>
      </c>
      <c r="AZ102" s="94" t="str" cm="1">
        <f t="array" ref="AZ102:AZ127">_xlfn.UNIQUE(_xlfn._xlws.FILTER(AR2:AR94,AR2:AR94&lt;&gt;""))</f>
        <v>Software Company</v>
      </c>
      <c r="BA102">
        <f>COUNTIF($BA$2:$BA$28,$AZ102)</f>
        <v>1</v>
      </c>
      <c r="BB102" s="101">
        <f>$BA102/SUM($BA$102:$BA$128)</f>
        <v>0.04</v>
      </c>
      <c r="BD102" s="55"/>
      <c r="BE102" s="55"/>
      <c r="BF102" s="55"/>
    </row>
    <row r="103" spans="1:58" x14ac:dyDescent="0.35">
      <c r="A103" s="60" t="str">
        <v>https://www.moia.io/en/news-center/new-licensing-model-moia-opens-ridepooling-ecosystem-to-cities-and-local-transport-operators</v>
      </c>
      <c r="B103" s="60" t="str">
        <v>2023, 9, 19</v>
      </c>
      <c r="C103" s="105">
        <v>45188</v>
      </c>
      <c r="D103" s="60" t="str">
        <v>New licensing model: MOIA opens ridepooling ecosystem to cities and local transport operators</v>
      </c>
      <c r="E103" s="60" t="str">
        <v>MOIA</v>
      </c>
      <c r="F103" s="60" t="str">
        <v>L3</v>
      </c>
      <c r="G103" s="60" t="str">
        <v>MOIA-SAV</v>
      </c>
      <c r="H103" s="60" t="str">
        <v>SAV</v>
      </c>
      <c r="I103" s="60" t="str">
        <v>Ridepooling</v>
      </c>
      <c r="J103" s="60" t="str">
        <v>Ridepooling</v>
      </c>
      <c r="K103" s="60" t="str">
        <v/>
      </c>
      <c r="L103" s="60">
        <v>0</v>
      </c>
      <c r="M103" s="60">
        <v>0</v>
      </c>
      <c r="N103" s="60">
        <v>0</v>
      </c>
      <c r="O103"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103" s="60" t="str">
        <v>-</v>
      </c>
      <c r="Q103" s="60" t="str">
        <v>Strategic Alliance</v>
      </c>
      <c r="R103" s="60" t="str">
        <v>n.a.</v>
      </c>
      <c r="S103" s="60" t="str">
        <v>Licensing</v>
      </c>
      <c r="T103" s="60" t="str">
        <v>-</v>
      </c>
      <c r="U103" s="60" t="str">
        <v>-</v>
      </c>
      <c r="V103" s="60" t="str">
        <v>-</v>
      </c>
      <c r="W103" s="60" t="str">
        <v>2.1. Short term Alliance (no exclusivity / previous experience)</v>
      </c>
      <c r="X103" s="60">
        <v>0</v>
      </c>
      <c r="Y103"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103" s="60" t="str">
        <v>Licensing</v>
      </c>
      <c r="AA103"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103" s="60">
        <v>0</v>
      </c>
      <c r="AC103" s="60">
        <v>0</v>
      </c>
      <c r="AD103" s="60">
        <v>0</v>
      </c>
      <c r="AE103" s="60">
        <v>0</v>
      </c>
      <c r="AF103" s="60" t="str">
        <v>New licensing model: MOIA opens ridepooling ecosystem to cities and local transport operators</v>
      </c>
      <c r="AG103" s="60">
        <v>0</v>
      </c>
      <c r="AO103" t="b">
        <f t="shared" ref="AO103:AO128" si="16">EXACT(AR103,SUM(AW103,BA103))</f>
        <v>1</v>
      </c>
      <c r="AQ103" t="str">
        <v>Automotive Supplier</v>
      </c>
      <c r="AR103" s="100">
        <f t="shared" si="14"/>
        <v>7</v>
      </c>
      <c r="AS103" s="101">
        <f t="shared" ref="AS103:AS128" si="17">$AR103/SUM($AR$102:$AR$128)</f>
        <v>7.5268817204301078E-2</v>
      </c>
      <c r="AV103" s="58" t="str">
        <v>Automotive Supplier</v>
      </c>
      <c r="AW103">
        <f t="shared" si="15"/>
        <v>6</v>
      </c>
      <c r="AX103" s="101">
        <f t="shared" ref="AX103:AX128" si="18">$AW103/SUM($AW$102:$AW$128)</f>
        <v>8.8235294117647065E-2</v>
      </c>
      <c r="AZ103" s="41" t="str">
        <v>Automotive Supplier</v>
      </c>
      <c r="BA103">
        <f t="shared" ref="BA103:BA128" si="19">COUNTIF($BA$2:$BA$28,$AZ103)</f>
        <v>1</v>
      </c>
      <c r="BB103" s="101">
        <f t="shared" ref="BB103:BB128" si="20">$BA103/SUM($BA$102:$BA$128)</f>
        <v>0.04</v>
      </c>
      <c r="BD103" s="55"/>
      <c r="BE103" s="55"/>
      <c r="BF103" s="55"/>
    </row>
    <row r="104" spans="1:58" x14ac:dyDescent="0.35">
      <c r="A104" s="60" t="str">
        <v>https://motional.com/news/motional-derq-partner-give-driverless-vehicles-birds-eye-view</v>
      </c>
      <c r="B104" s="60" t="str">
        <v>2021, 4, 20</v>
      </c>
      <c r="C104" s="105">
        <v>44306</v>
      </c>
      <c r="D104" s="60" t="str">
        <v>Motional + Derq Partner to Give Driverless Vehicles a Bird's-Eye View</v>
      </c>
      <c r="E104" s="60" t="str">
        <v>Motional</v>
      </c>
      <c r="F104" s="60" t="str">
        <v>L1</v>
      </c>
      <c r="G104" s="60" t="str">
        <v>Motional-SAV</v>
      </c>
      <c r="H104" s="60" t="str">
        <v>SAV</v>
      </c>
      <c r="I104" s="60" t="str">
        <v>Last-Mile</v>
      </c>
      <c r="J104" s="60" t="str">
        <v>Ridehailing</v>
      </c>
      <c r="K104" s="60" t="str">
        <v>Derq</v>
      </c>
      <c r="L104" s="60" t="str">
        <v>Derq</v>
      </c>
      <c r="M104" s="60">
        <v>0</v>
      </c>
      <c r="N104" s="60">
        <v>0</v>
      </c>
      <c r="O104"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104" s="60" t="str">
        <v>We've partnered with Derq, an AI company developing innovative road solutions, to find those answers. Together, Derq and Motional are testing how driverless technology reacts when given an even broader perspective than it already has: a bird's-eye view.</v>
      </c>
      <c r="Q104" s="60" t="str">
        <v>Strategic Alliance</v>
      </c>
      <c r="R104" s="60" t="str">
        <v>n.a.</v>
      </c>
      <c r="S104" s="60" t="str">
        <v xml:space="preserve">One time - Pilot </v>
      </c>
      <c r="T104" s="60" t="str">
        <v>-</v>
      </c>
      <c r="U104" s="60" t="str">
        <v>-</v>
      </c>
      <c r="V104" s="60" t="str">
        <v>-</v>
      </c>
      <c r="W104" s="60" t="str">
        <v>2.1. Short term Alliance (no exclusivity / previous experience)</v>
      </c>
      <c r="X104" s="60">
        <v>0</v>
      </c>
      <c r="Y104"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104" s="60" t="str">
        <v>Joint D&amp;D</v>
      </c>
      <c r="AA104"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104" s="60" t="str">
        <v>Research &amp; Collaboration</v>
      </c>
      <c r="AC104" s="60" t="str">
        <v>We've partnered with Derq, an AI company developing innovative road solutions, to find those answers. Together, Derq and Motional are testing how driverless technology reacts when given an even broader perspective than it already has: a bird's-eye view.</v>
      </c>
      <c r="AD104" s="60">
        <v>0</v>
      </c>
      <c r="AE104" s="60">
        <v>0</v>
      </c>
      <c r="AF104" s="60" t="str">
        <v xml:space="preserve">Motional + Derq Partner to Give </v>
      </c>
      <c r="AG104" s="60" t="str">
        <v>Driverless Vehicles a Bird's-Eye View</v>
      </c>
      <c r="AO104" t="b">
        <f t="shared" si="16"/>
        <v>1</v>
      </c>
      <c r="AQ104" t="str">
        <v>Transport Operator</v>
      </c>
      <c r="AR104" s="100">
        <f t="shared" si="14"/>
        <v>14</v>
      </c>
      <c r="AS104" s="101">
        <f t="shared" si="17"/>
        <v>0.15053763440860216</v>
      </c>
      <c r="AV104" t="str">
        <v>Transport Operator</v>
      </c>
      <c r="AW104">
        <f t="shared" si="15"/>
        <v>12</v>
      </c>
      <c r="AX104" s="101">
        <f t="shared" si="18"/>
        <v>0.17647058823529413</v>
      </c>
      <c r="AZ104" t="str">
        <v>Transport Operator</v>
      </c>
      <c r="BA104">
        <f t="shared" si="19"/>
        <v>2</v>
      </c>
      <c r="BB104" s="101">
        <f t="shared" si="20"/>
        <v>0.08</v>
      </c>
      <c r="BD104" s="55"/>
      <c r="BE104" s="55"/>
      <c r="BF104" s="55"/>
    </row>
    <row r="105" spans="1:58" x14ac:dyDescent="0.35">
      <c r="A105" s="60" t="str">
        <v>https://motional.com/news/motional-boston-university-partner-navigational-assistance-research-blind</v>
      </c>
      <c r="B105" s="60" t="str">
        <v>2022, 7, 21</v>
      </c>
      <c r="C105" s="105">
        <v>44763</v>
      </c>
      <c r="D105" s="60" t="str">
        <v>Motional, Boston University Partner on Navigational Assistance Research for the Blind</v>
      </c>
      <c r="E105" s="60" t="str">
        <v>Motional</v>
      </c>
      <c r="F105" s="60" t="str">
        <v>L1</v>
      </c>
      <c r="G105" s="60" t="str">
        <v>Motional-SAV</v>
      </c>
      <c r="H105" s="60" t="str">
        <v>SAV</v>
      </c>
      <c r="I105" s="60" t="str">
        <v>Last-Mile</v>
      </c>
      <c r="J105" s="60" t="str">
        <v>Ridehailing</v>
      </c>
      <c r="K105" s="60" t="str">
        <v>Boston University</v>
      </c>
      <c r="L105" s="60" t="str">
        <v>Boston University</v>
      </c>
      <c r="M105" s="60">
        <v>0</v>
      </c>
      <c r="N105" s="60">
        <v>0</v>
      </c>
      <c r="O105"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105"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105" s="60" t="str">
        <v>Strategic Alliance</v>
      </c>
      <c r="R105" s="60" t="str">
        <v>n.a.</v>
      </c>
      <c r="S105" s="60" t="str">
        <v>One time - Pilot</v>
      </c>
      <c r="T105" s="60" t="str">
        <v>-</v>
      </c>
      <c r="U105" s="60" t="str">
        <v>-</v>
      </c>
      <c r="V105" s="60" t="str">
        <v>-</v>
      </c>
      <c r="W105" s="60" t="str">
        <v>2.1. Short term Alliance (no exclusivity / previous experience)</v>
      </c>
      <c r="X105" s="60">
        <v>0</v>
      </c>
      <c r="Y105"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105" s="60" t="str">
        <v>Research &amp; Collaboration</v>
      </c>
      <c r="AA105" s="60" t="str">
        <v>Once across the street, Howell swiped his finger across his smartphone's screen. The vehicle's rear passenger door unlocked. Using a couple more verbal cues, Howell was able to find the vehicle, open the door, fold up his cane, and sit himself down in the backseat.</v>
      </c>
      <c r="AB105" s="60" t="str">
        <v>Joint D&amp;D</v>
      </c>
      <c r="AC105" s="60" t="str">
        <v>Motional worked with people who are blind or have low-vision to develop features that help improve driverless rideshare accessibility. These features include a button on an app that triggers the vehicle's horn, making it easier to find.</v>
      </c>
      <c r="AD105" s="60">
        <v>0</v>
      </c>
      <c r="AE105" s="60">
        <v>0</v>
      </c>
      <c r="AF105" s="60" t="str">
        <v xml:space="preserve">Motional, Boston University Partner on </v>
      </c>
      <c r="AG105" s="60" t="str">
        <v>Navigational Assistance Research for the Blind</v>
      </c>
      <c r="AO105" t="b">
        <f t="shared" si="16"/>
        <v>1</v>
      </c>
      <c r="AQ105" t="str">
        <v>Industrial</v>
      </c>
      <c r="AR105" s="100">
        <f t="shared" si="14"/>
        <v>1</v>
      </c>
      <c r="AS105" s="101">
        <f t="shared" si="17"/>
        <v>1.0752688172043012E-2</v>
      </c>
      <c r="AV105" t="str">
        <v>Industrial</v>
      </c>
      <c r="AW105">
        <f t="shared" si="15"/>
        <v>1</v>
      </c>
      <c r="AX105" s="101">
        <f t="shared" si="18"/>
        <v>1.4705882352941176E-2</v>
      </c>
      <c r="AZ105" t="str">
        <v>Industrial</v>
      </c>
      <c r="BA105">
        <f t="shared" si="19"/>
        <v>0</v>
      </c>
      <c r="BB105" s="101">
        <f t="shared" si="20"/>
        <v>0</v>
      </c>
      <c r="BD105" s="55"/>
      <c r="BE105" s="55"/>
      <c r="BF105" s="55"/>
    </row>
    <row r="106" spans="1:58" x14ac:dyDescent="0.35">
      <c r="A106" s="60" t="str">
        <v>https://motional.com/news/tfnsw-and-motional-partner-lay-foundations-nsws-driverless-future</v>
      </c>
      <c r="B106" s="60" t="str">
        <v>2021, 10, 19</v>
      </c>
      <c r="C106" s="105">
        <v>44215</v>
      </c>
      <c r="D106" s="60" t="str">
        <v>TfNSW and Motional Partner to Lay Foundations for NSW's Driverless Future</v>
      </c>
      <c r="E106" s="60" t="str">
        <v>Motional</v>
      </c>
      <c r="F106" s="60" t="str">
        <v>L1</v>
      </c>
      <c r="G106" s="60" t="str">
        <v>Motional-SAV</v>
      </c>
      <c r="H106" s="60" t="str">
        <v>SAV</v>
      </c>
      <c r="I106" s="60" t="str">
        <v>Last-Mile</v>
      </c>
      <c r="J106" s="60" t="str">
        <v>Ridehailing</v>
      </c>
      <c r="K106" s="60" t="str">
        <v>tfnsw</v>
      </c>
      <c r="L106" s="60" t="str">
        <v>tfnsw</v>
      </c>
      <c r="M106" s="60">
        <v>0</v>
      </c>
      <c r="N106" s="60">
        <v>0</v>
      </c>
      <c r="O106"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106"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106" s="60" t="str">
        <v>Strategic Alliance</v>
      </c>
      <c r="R106" s="60" t="str">
        <v>n.a.</v>
      </c>
      <c r="S106" s="60" t="str">
        <v>One time - Pilot</v>
      </c>
      <c r="T106" s="60" t="str">
        <v>-</v>
      </c>
      <c r="U106" s="60" t="str">
        <v>-</v>
      </c>
      <c r="V106" s="60" t="str">
        <v>-</v>
      </c>
      <c r="W106" s="60" t="str">
        <v>2.1. Short term Alliance (no exclusivity / previous experience)</v>
      </c>
      <c r="X106" s="60">
        <v>0</v>
      </c>
      <c r="Y106"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106" s="60" t="str">
        <v>Research &amp; Collaboration</v>
      </c>
      <c r="AA106"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106" s="60">
        <v>0</v>
      </c>
      <c r="AC106" s="60">
        <v>0</v>
      </c>
      <c r="AD106" s="60">
        <v>0</v>
      </c>
      <c r="AE106" s="60">
        <v>0</v>
      </c>
      <c r="AF106" s="60" t="str">
        <v xml:space="preserve">TfNSW and Motional Partner to Lay Foundations </v>
      </c>
      <c r="AG106" s="60" t="str">
        <v>for NSW's Driverless Future</v>
      </c>
      <c r="AO106" t="b">
        <f t="shared" si="16"/>
        <v>1</v>
      </c>
      <c r="AQ106" t="str">
        <v>OEM Commercial Vehicles</v>
      </c>
      <c r="AR106" s="100">
        <f t="shared" si="14"/>
        <v>13</v>
      </c>
      <c r="AS106" s="101">
        <f t="shared" si="17"/>
        <v>0.13978494623655913</v>
      </c>
      <c r="AV106" t="str">
        <v>OEM Commercial Vehicles</v>
      </c>
      <c r="AW106">
        <f t="shared" si="15"/>
        <v>13</v>
      </c>
      <c r="AX106" s="101">
        <f t="shared" si="18"/>
        <v>0.19117647058823528</v>
      </c>
      <c r="AZ106" t="str">
        <v>OEM Commercial Vehicles</v>
      </c>
      <c r="BA106">
        <f t="shared" si="19"/>
        <v>0</v>
      </c>
      <c r="BB106" s="101">
        <f t="shared" si="20"/>
        <v>0</v>
      </c>
      <c r="BD106" s="55"/>
      <c r="BE106" s="55"/>
      <c r="BF106" s="55"/>
    </row>
    <row r="107" spans="1:58" x14ac:dyDescent="0.35">
      <c r="A107" s="60" t="str">
        <v>https://www.navya.tech/en/valeo-navya-technological-collaboration/</v>
      </c>
      <c r="B107" s="60" t="str">
        <v>2021, 6, 17</v>
      </c>
      <c r="C107" s="105">
        <v>44364</v>
      </c>
      <c r="D107" s="60" t="str">
        <v>Valeo and Navya strengthen their technological and industrial collaboration</v>
      </c>
      <c r="E107" s="60" t="str">
        <v>Navya</v>
      </c>
      <c r="F107" s="60" t="str">
        <v>L2</v>
      </c>
      <c r="G107" s="60" t="str">
        <v>Navya-SAV</v>
      </c>
      <c r="H107" s="60" t="str">
        <v>SAV</v>
      </c>
      <c r="I107" s="60" t="str">
        <v>Ridepooling</v>
      </c>
      <c r="J107" s="60" t="str">
        <v>Ridepooling</v>
      </c>
      <c r="K107" s="60" t="str">
        <v>Valeo</v>
      </c>
      <c r="L107" s="60" t="str">
        <v>Valeo</v>
      </c>
      <c r="M107" s="60">
        <v>0</v>
      </c>
      <c r="N107" s="60">
        <v>0</v>
      </c>
      <c r="O107"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107"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107" s="60" t="str">
        <v>Strategic Alliance</v>
      </c>
      <c r="R107" s="60" t="str">
        <v>n.a.</v>
      </c>
      <c r="S107" s="60" t="str">
        <v>Research cooperation</v>
      </c>
      <c r="T107" s="60" t="str">
        <v>Long term - 3 years</v>
      </c>
      <c r="U107" s="60" t="str">
        <v>Yes</v>
      </c>
      <c r="V107" s="60" t="str">
        <v>-</v>
      </c>
      <c r="W107" s="60" t="str">
        <v>2.3. Long term Alliance</v>
      </c>
      <c r="X107" s="60">
        <v>0</v>
      </c>
      <c r="Y107"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107" s="60" t="str">
        <v>Joint Production</v>
      </c>
      <c r="AA107" s="60" t="str">
        <v>At the end of this phase, Valeo will manufacture and supply the selected components, so that they can be integrated in the autonomous driving solutions marketed by Navya.</v>
      </c>
      <c r="AB107" s="60" t="str">
        <v>Research &amp; Collaboration</v>
      </c>
      <c r="AC107" s="60" t="str">
        <v>The aim is to ramp up the Research and Development program to build level 4 autonomous driving systems that can be brought to market within the next three years.</v>
      </c>
      <c r="AD107" s="60" t="str">
        <v>Supply Partnership (traditional)</v>
      </c>
      <c r="AE107" s="60" t="str">
        <v>Valeo will provide Navya with the sensors and associated algorithms that will enable the vehicle to closely perceive its surroundings</v>
      </c>
      <c r="AF107" s="60" t="str">
        <v xml:space="preserve">Valeo and Navya strengthen </v>
      </c>
      <c r="AG107" s="60" t="str">
        <v>their technological and industrial collaboration</v>
      </c>
      <c r="AO107" t="b">
        <f t="shared" si="16"/>
        <v>1</v>
      </c>
      <c r="AQ107" t="str">
        <v>Transportation Authority</v>
      </c>
      <c r="AR107" s="100">
        <f t="shared" si="14"/>
        <v>4</v>
      </c>
      <c r="AS107" s="101">
        <f t="shared" si="17"/>
        <v>4.3010752688172046E-2</v>
      </c>
      <c r="AV107" t="str">
        <v>Transportation Authority</v>
      </c>
      <c r="AW107">
        <f t="shared" si="15"/>
        <v>4</v>
      </c>
      <c r="AX107" s="101">
        <f t="shared" si="18"/>
        <v>5.8823529411764705E-2</v>
      </c>
      <c r="AZ107" t="str">
        <v>Transportation Authority</v>
      </c>
      <c r="BA107">
        <f t="shared" si="19"/>
        <v>0</v>
      </c>
      <c r="BB107" s="101">
        <f t="shared" si="20"/>
        <v>0</v>
      </c>
      <c r="BD107" s="55"/>
      <c r="BE107" s="55"/>
      <c r="BF107" s="55"/>
    </row>
    <row r="108" spans="1:58" x14ac:dyDescent="0.35">
      <c r="A108" s="60" t="str">
        <v>https://www.navya.tech/en/ion-and-navya-form-partnership-to-deliver-sustainable-and-autonomous-transportation-offerings-in-gcc-region/</v>
      </c>
      <c r="B108" s="60" t="str">
        <v>2020, 6, 24</v>
      </c>
      <c r="C108" s="105">
        <v>44006</v>
      </c>
      <c r="D108" s="60" t="str">
        <v>ION And NAVYA Form Partnership To Deliver Sustainable And Autonomous Transportation Offerings In GCC Region</v>
      </c>
      <c r="E108" s="60" t="str">
        <v>Navya</v>
      </c>
      <c r="F108" s="60" t="str">
        <v>L2</v>
      </c>
      <c r="G108" s="60" t="str">
        <v>Navya-SAV</v>
      </c>
      <c r="H108" s="60" t="str">
        <v>SAV</v>
      </c>
      <c r="I108" s="60" t="str">
        <v>Ridepooling</v>
      </c>
      <c r="J108" s="60" t="str">
        <v>Ridepooling</v>
      </c>
      <c r="K108" s="60" t="str">
        <v>Ion</v>
      </c>
      <c r="L108" s="60" t="str">
        <v>Ion</v>
      </c>
      <c r="M108" s="60">
        <v>0</v>
      </c>
      <c r="N108" s="60">
        <v>0</v>
      </c>
      <c r="O108"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108" s="60" t="str">
        <v>ION will be the official distributor of NAVYA vehicles in the GCC operating and maintaining NAVYA vehicles in the region
Already operating in Masdar City since October 2018, the shuttles are also wheelchair-accessible and have a capacity of 15 passengers.</v>
      </c>
      <c r="Q108" s="60" t="str">
        <v>Strategic Alliance</v>
      </c>
      <c r="R108" s="60" t="str">
        <v>n.a.</v>
      </c>
      <c r="S108" s="60" t="str">
        <v>Service Integration</v>
      </c>
      <c r="T108" s="60" t="str">
        <v>-</v>
      </c>
      <c r="U108" s="60" t="str">
        <v>Yes</v>
      </c>
      <c r="V108" s="60" t="str">
        <v>-</v>
      </c>
      <c r="W108" s="60" t="str">
        <v xml:space="preserve">2.2. Renewed Alliance </v>
      </c>
      <c r="X108" s="60">
        <v>0</v>
      </c>
      <c r="Y108"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108" s="60" t="str">
        <v>Joint Service Agreement</v>
      </c>
      <c r="AA108"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108" s="60" t="str">
        <v>Marketing Agreement</v>
      </c>
      <c r="AC108" s="60" t="str">
        <v>As an official distributor, ION will engage with NAVYA's existing and new customers on sales and after-sales support.</v>
      </c>
      <c r="AD108" s="60">
        <v>0</v>
      </c>
      <c r="AE108" s="60">
        <v>0</v>
      </c>
      <c r="AF108" s="60" t="str">
        <v xml:space="preserve">ION And NAVYA Form Partnership To Deliver </v>
      </c>
      <c r="AG108" s="60" t="str">
        <v>Sustainable And Autonomous Transportation Offerings In GCC Region</v>
      </c>
      <c r="AO108" t="b">
        <f t="shared" si="16"/>
        <v>1</v>
      </c>
      <c r="AQ108" t="str">
        <v>Autonomous Vehicles</v>
      </c>
      <c r="AR108" s="100">
        <f t="shared" si="14"/>
        <v>9</v>
      </c>
      <c r="AS108" s="101">
        <f t="shared" si="17"/>
        <v>9.6774193548387094E-2</v>
      </c>
      <c r="AV108" t="str">
        <v>Autonomous Vehicles</v>
      </c>
      <c r="AW108">
        <f t="shared" si="15"/>
        <v>7</v>
      </c>
      <c r="AX108" s="101">
        <f t="shared" si="18"/>
        <v>0.10294117647058823</v>
      </c>
      <c r="AZ108" t="str">
        <v>Autonomous Vehicles</v>
      </c>
      <c r="BA108">
        <f t="shared" si="19"/>
        <v>2</v>
      </c>
      <c r="BB108" s="101">
        <f t="shared" si="20"/>
        <v>0.08</v>
      </c>
      <c r="BD108" s="55"/>
      <c r="BE108" s="55"/>
      <c r="BF108" s="55"/>
    </row>
    <row r="109" spans="1:58" x14ac:dyDescent="0.35">
      <c r="A109" s="60" t="str">
        <v>https://www.navya.tech/en/navya-and-valeo-partner-to-develop-a-unique-safety-system-for-the-commercialization-of-level-4-autonomous-vehicles/</v>
      </c>
      <c r="B109" s="60" t="str">
        <v>2022, 1, 27</v>
      </c>
      <c r="C109" s="105">
        <v>44588</v>
      </c>
      <c r="D109" s="60" t="str">
        <v>NAVYA and VALEO partner to develop a unique safety system for the commercialization of level 4 autonomous vehicles</v>
      </c>
      <c r="E109" s="60" t="str">
        <v>Navya</v>
      </c>
      <c r="F109" s="60" t="str">
        <v>L2</v>
      </c>
      <c r="G109" s="60" t="str">
        <v>Navya-SAV</v>
      </c>
      <c r="H109" s="60" t="str">
        <v>SAV</v>
      </c>
      <c r="I109" s="60" t="str">
        <v>Ridepooling</v>
      </c>
      <c r="J109" s="60" t="str">
        <v>Ridepooling</v>
      </c>
      <c r="K109" s="60" t="str">
        <v>Valeo</v>
      </c>
      <c r="L109" s="60" t="str">
        <v>Valeo</v>
      </c>
      <c r="M109" s="60">
        <v>0</v>
      </c>
      <c r="N109" s="60">
        <v>0</v>
      </c>
      <c r="O109"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109"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109" s="60" t="str">
        <v>Strategic Alliance</v>
      </c>
      <c r="R109" s="60" t="str">
        <v>n.a.</v>
      </c>
      <c r="S109" s="60" t="str">
        <v>Product cooperation</v>
      </c>
      <c r="T109" s="60" t="str">
        <v>-</v>
      </c>
      <c r="U109" s="60" t="str">
        <v>Yes</v>
      </c>
      <c r="V109" s="60" t="str">
        <v>-</v>
      </c>
      <c r="W109" s="60" t="str">
        <v xml:space="preserve">2.2. Renewed Alliance </v>
      </c>
      <c r="X109" s="60">
        <v>0</v>
      </c>
      <c r="Y109" s="60" t="str">
        <v>have announced a new strategic partnership leveraging their respective industry advantages in software, hardware and technology products. The two sides will work together to create new products based on Mobileye SuperVision and Mobileye Chauffeur platform</v>
      </c>
      <c r="Z109" s="60" t="str">
        <v>Joint D&amp;D</v>
      </c>
      <c r="AA109" s="60" t="str">
        <v>project ensure the design of such a system, its realization, and a final evaluation of the concept.</v>
      </c>
      <c r="AB109" s="60" t="str">
        <v>Research &amp; Collaboration</v>
      </c>
      <c r="AC109" s="60" t="str">
        <v>The various stages of this R&amp;D project ensure the design of such a system, its realization, and a final evaluation of the concept.</v>
      </c>
      <c r="AD109" s="60">
        <v>0</v>
      </c>
      <c r="AE109" s="60">
        <v>0</v>
      </c>
      <c r="AF109" s="60" t="str">
        <v xml:space="preserve">NAVYA and VALEO partner to develop </v>
      </c>
      <c r="AG109" s="60" t="str">
        <v>a unique safety system for the commercialization of level 4 autonomous vehicles</v>
      </c>
      <c r="AO109" t="b">
        <f t="shared" si="16"/>
        <v>1</v>
      </c>
      <c r="AQ109" t="str">
        <v>OEM</v>
      </c>
      <c r="AR109" s="100">
        <f t="shared" si="14"/>
        <v>9</v>
      </c>
      <c r="AS109" s="101">
        <f t="shared" si="17"/>
        <v>9.6774193548387094E-2</v>
      </c>
      <c r="AV109" t="str">
        <v>OEM</v>
      </c>
      <c r="AW109">
        <f t="shared" si="15"/>
        <v>3</v>
      </c>
      <c r="AX109" s="101">
        <f t="shared" si="18"/>
        <v>4.4117647058823532E-2</v>
      </c>
      <c r="AZ109" t="str">
        <v>OEM</v>
      </c>
      <c r="BA109">
        <f t="shared" si="19"/>
        <v>6</v>
      </c>
      <c r="BB109" s="101">
        <f t="shared" si="20"/>
        <v>0.24</v>
      </c>
      <c r="BD109" s="55"/>
      <c r="BE109" s="55"/>
      <c r="BF109" s="55"/>
    </row>
    <row r="110" spans="1:58" x14ac:dyDescent="0.35">
      <c r="A110" s="60" t="str">
        <v>https://www.navya.tech/en/navya-and-lohr-form-a-strategic-alliance-to-speed-up-their-technological-industrial-and-commercial-development-in-the-field-of-autonomous-mobility/</v>
      </c>
      <c r="B110" s="60" t="str">
        <v>2022, 9, 22</v>
      </c>
      <c r="C110" s="105">
        <v>44826</v>
      </c>
      <c r="D110" s="60" t="str">
        <v>Navya and Lohr form a strategic alliance to speed up their technological, industrial and commercial development in the field of autonomous mobility</v>
      </c>
      <c r="E110" s="60" t="str">
        <v>Navya</v>
      </c>
      <c r="F110" s="60" t="str">
        <v>L2</v>
      </c>
      <c r="G110" s="60" t="str">
        <v>Navya-SAV</v>
      </c>
      <c r="H110" s="60" t="str">
        <v>SAV</v>
      </c>
      <c r="I110" s="60" t="str">
        <v>Ridepooling</v>
      </c>
      <c r="J110" s="60" t="str">
        <v>Ridepooling</v>
      </c>
      <c r="K110" s="60" t="str">
        <v>Lohr</v>
      </c>
      <c r="L110" s="60" t="str">
        <v>Lohr</v>
      </c>
      <c r="M110" s="60">
        <v>0</v>
      </c>
      <c r="N110" s="60">
        <v>0</v>
      </c>
      <c r="O110"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10" s="60" t="str">
        <v>NAVYA (FR0013018041- Navya), an autonomous mobility systems leader, signs a strategic alliance with Lohr, an industrial group known worldwide for its expertise in the engineering, production and marketing of systems for the transportation of people and goods.</v>
      </c>
      <c r="Q110" s="60" t="str">
        <v>Strategic Alliance</v>
      </c>
      <c r="R110" s="60" t="str">
        <v>Yes</v>
      </c>
      <c r="S110" s="60" t="str">
        <v>Product cooperation</v>
      </c>
      <c r="T110" s="60" t="str">
        <v>-</v>
      </c>
      <c r="U110" s="60" t="str">
        <v>-</v>
      </c>
      <c r="V110" s="60" t="str">
        <v>-</v>
      </c>
      <c r="W110" s="60" t="str">
        <v>2.1. Short term Alliance (no exclusivity / previous experience)</v>
      </c>
      <c r="X110" s="60">
        <v>0</v>
      </c>
      <c r="Y11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10" s="60" t="str">
        <v>Joint Production</v>
      </c>
      <c r="AA11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10" s="60">
        <v>0</v>
      </c>
      <c r="AC110" s="60">
        <v>0</v>
      </c>
      <c r="AD110" s="60">
        <v>0</v>
      </c>
      <c r="AE110" s="60">
        <v>0</v>
      </c>
      <c r="AF110" s="60" t="str">
        <v>Navya and Lohr form a strategic alliance to speed up their technological, industrial and commercial development in the field of autonomous mobility</v>
      </c>
      <c r="AG110" s="60">
        <v>0</v>
      </c>
      <c r="AO110" t="b">
        <f t="shared" si="16"/>
        <v>1</v>
      </c>
      <c r="AQ110" t="str">
        <v>Cyber Security</v>
      </c>
      <c r="AR110" s="100">
        <f t="shared" si="14"/>
        <v>2</v>
      </c>
      <c r="AS110" s="101">
        <f t="shared" si="17"/>
        <v>2.1505376344086023E-2</v>
      </c>
      <c r="AV110" t="str">
        <v>Cyber Security</v>
      </c>
      <c r="AW110">
        <f t="shared" si="15"/>
        <v>2</v>
      </c>
      <c r="AX110" s="101">
        <f t="shared" si="18"/>
        <v>2.9411764705882353E-2</v>
      </c>
      <c r="AZ110" t="str">
        <v>Cyber Security</v>
      </c>
      <c r="BA110">
        <f t="shared" si="19"/>
        <v>0</v>
      </c>
      <c r="BB110" s="101">
        <f t="shared" si="20"/>
        <v>0</v>
      </c>
      <c r="BD110" s="55"/>
      <c r="BE110" s="55"/>
      <c r="BF110" s="55"/>
    </row>
    <row r="111" spans="1:58" x14ac:dyDescent="0.35">
      <c r="A111" s="60" t="str">
        <v>https://www.navya.tech/en/michelin-navya-and-beti-enter-into-a-technological-partnership-and-launch-their-first-autonomous-mobility-experimentation-within-the-framework-of-the-movinon-think-do-tank/</v>
      </c>
      <c r="B111" s="60" t="str">
        <v>2022, 6, 17</v>
      </c>
      <c r="C111" s="105">
        <v>44729</v>
      </c>
      <c r="D111" s="60" t="str">
        <v>Michelin, Navya and beti enter into a technological partnership and launch their first autonomous mobility experimentation within the framework of the Movin On Think &amp; Do Tank</v>
      </c>
      <c r="E111" s="60" t="str">
        <v>Navya</v>
      </c>
      <c r="F111" s="60" t="str">
        <v>L2</v>
      </c>
      <c r="G111" s="60" t="str">
        <v>Navya-SAV</v>
      </c>
      <c r="H111" s="60" t="str">
        <v>SAV</v>
      </c>
      <c r="I111" s="60" t="str">
        <v>Ridepooling</v>
      </c>
      <c r="J111" s="60" t="str">
        <v>Ridepooling</v>
      </c>
      <c r="K111" s="60" t="str">
        <v>Michelin;Beti</v>
      </c>
      <c r="L111" s="60" t="str">
        <v>Michelin</v>
      </c>
      <c r="M111" s="60" t="str">
        <v>Beti</v>
      </c>
      <c r="N111" s="60">
        <v>0</v>
      </c>
      <c r="O111"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111" s="60" t="str">
        <v>j</v>
      </c>
      <c r="Q111" s="60" t="str">
        <v>Strategic Alliance</v>
      </c>
      <c r="R111" s="60" t="str">
        <v>Yes</v>
      </c>
      <c r="S111" s="60" t="str">
        <v>One time</v>
      </c>
      <c r="T111" s="60" t="str">
        <v>-</v>
      </c>
      <c r="U111" s="60" t="str">
        <v>Yes</v>
      </c>
      <c r="V111" s="60" t="str">
        <v>-</v>
      </c>
      <c r="W111" s="60" t="str">
        <v xml:space="preserve">2.2. Renewed Alliance </v>
      </c>
      <c r="X111" s="60">
        <v>0</v>
      </c>
      <c r="Y111"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111" s="60" t="str">
        <v>Research &amp; Collaboration</v>
      </c>
      <c r="AA111"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111" s="60">
        <v>0</v>
      </c>
      <c r="AC111" s="60">
        <v>0</v>
      </c>
      <c r="AD111" s="60">
        <v>0</v>
      </c>
      <c r="AE111" s="60">
        <v>0</v>
      </c>
      <c r="AF111" s="60" t="str">
        <v>Michelin, Navya and beti enter into a technological partnership and launch their first autonomous mobility experimentation within the framework of the Movin On Think &amp; Do Tank</v>
      </c>
      <c r="AG111" s="60">
        <v>0</v>
      </c>
      <c r="AO111" t="b">
        <f t="shared" si="16"/>
        <v>1</v>
      </c>
      <c r="AQ111" t="str">
        <v>Semiconductor</v>
      </c>
      <c r="AR111" s="100">
        <f t="shared" si="14"/>
        <v>2</v>
      </c>
      <c r="AS111" s="101">
        <f t="shared" si="17"/>
        <v>2.1505376344086023E-2</v>
      </c>
      <c r="AV111" t="str">
        <v>Semiconductor</v>
      </c>
      <c r="AW111">
        <f t="shared" si="15"/>
        <v>1</v>
      </c>
      <c r="AX111" s="101">
        <f t="shared" si="18"/>
        <v>1.4705882352941176E-2</v>
      </c>
      <c r="AZ111" t="str">
        <v>Semiconductor</v>
      </c>
      <c r="BA111">
        <f t="shared" si="19"/>
        <v>1</v>
      </c>
      <c r="BB111" s="101">
        <f t="shared" si="20"/>
        <v>0.04</v>
      </c>
      <c r="BD111" s="55"/>
      <c r="BE111" s="55"/>
      <c r="BF111" s="55"/>
    </row>
    <row r="112" spans="1:58" x14ac:dyDescent="0.35">
      <c r="A112" s="60" t="str">
        <v>https://oxa.tech/news-and-insights/oxa-and-eversum-announce-partnership-to-develop-and-deploy-autonomous-passenger-shuttles/</v>
      </c>
      <c r="B112" s="60" t="str">
        <v>2023, 10, 8</v>
      </c>
      <c r="C112" s="105">
        <v>44934</v>
      </c>
      <c r="D112" s="60" t="str">
        <v>Oxa and eVersum Announce Partnership To Develop and Deploy Autonomous Passenger Shuttles</v>
      </c>
      <c r="E112" s="60" t="str">
        <v>Oxa</v>
      </c>
      <c r="F112" s="60" t="str">
        <v>L1</v>
      </c>
      <c r="G112" s="60" t="str">
        <v>Oxa-SAV</v>
      </c>
      <c r="H112" s="60" t="str">
        <v>SAV</v>
      </c>
      <c r="I112" s="60" t="str">
        <v>Ridepooling</v>
      </c>
      <c r="J112" s="60" t="str">
        <v>Ridepooling</v>
      </c>
      <c r="K112" s="60" t="str">
        <v>eVersum</v>
      </c>
      <c r="L112" s="60" t="str">
        <v>eVersum</v>
      </c>
      <c r="M112" s="60">
        <v>0</v>
      </c>
      <c r="N112" s="60">
        <v>0</v>
      </c>
      <c r="O112"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112"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112" s="60" t="str">
        <v>Strategic Alliance</v>
      </c>
      <c r="R112" s="60" t="str">
        <v>n.a.</v>
      </c>
      <c r="S112" s="60" t="str">
        <v>Product cooperation</v>
      </c>
      <c r="T112" s="60" t="str">
        <v>Long term - Min 1 year</v>
      </c>
      <c r="U112" s="60" t="str">
        <v>-</v>
      </c>
      <c r="V112" s="60" t="str">
        <v>-</v>
      </c>
      <c r="W112" s="60" t="str">
        <v>2.3. Long term Alliance</v>
      </c>
      <c r="X112" s="60">
        <v>0</v>
      </c>
      <c r="Y112"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112" s="60" t="str">
        <v>Joint D&amp;D</v>
      </c>
      <c r="AA112"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112" s="60" t="str">
        <v>Joint Production</v>
      </c>
      <c r="AC112" s="60" t="str">
        <v xml:space="preserve">this partnership will see eVersum produce autonomous-ready electric base vehicles, featuring Oxa Driver, Oxa's autonomy software, along with sensors and computing technology integrated directly on the production line. </v>
      </c>
      <c r="AD112" s="60">
        <v>0</v>
      </c>
      <c r="AE112" s="60">
        <v>0</v>
      </c>
      <c r="AF112" s="60" t="str">
        <v xml:space="preserve">Partnership To Develop and Deploy </v>
      </c>
      <c r="AG112" s="60" t="str">
        <v>Autonomous Passenger Shuttles</v>
      </c>
      <c r="AO112" t="b">
        <f t="shared" si="16"/>
        <v>1</v>
      </c>
      <c r="AQ112" t="str">
        <v>Mobility Project</v>
      </c>
      <c r="AR112" s="100">
        <f t="shared" si="14"/>
        <v>3</v>
      </c>
      <c r="AS112" s="101">
        <f t="shared" si="17"/>
        <v>3.2258064516129031E-2</v>
      </c>
      <c r="AV112" t="str">
        <v>Mobility Project</v>
      </c>
      <c r="AW112">
        <f t="shared" si="15"/>
        <v>2</v>
      </c>
      <c r="AX112" s="101">
        <f t="shared" si="18"/>
        <v>2.9411764705882353E-2</v>
      </c>
      <c r="AZ112" t="str">
        <v>Mobility Project</v>
      </c>
      <c r="BA112">
        <f t="shared" si="19"/>
        <v>1</v>
      </c>
      <c r="BB112" s="101">
        <f t="shared" si="20"/>
        <v>0.04</v>
      </c>
      <c r="BD112" s="55"/>
      <c r="BE112" s="55"/>
      <c r="BF112" s="55"/>
    </row>
    <row r="113" spans="1:58" x14ac:dyDescent="0.35">
      <c r="A113" s="60" t="str">
        <v>https://oxa.tech/news-and-insights/oxbotica-partners-with-nevs-to-reshape-the-future-of-urban-mobility-with-fleet-of-shared-self-driving-all-electric-vehicles/</v>
      </c>
      <c r="B113" s="60" t="str">
        <v>2022, 5, 11</v>
      </c>
      <c r="C113" s="105">
        <v>44692</v>
      </c>
      <c r="D113" s="60" t="str">
        <v>Oxbotica partners with NEVS to reshape the future of urban mobility with fleet of shared, self-driving, all-electric vehicles</v>
      </c>
      <c r="E113" s="60" t="str">
        <v>Oxa</v>
      </c>
      <c r="F113" s="60" t="str">
        <v>L1</v>
      </c>
      <c r="G113" s="60" t="str">
        <v>Oxa-SAV</v>
      </c>
      <c r="H113" s="60" t="str">
        <v>SAV</v>
      </c>
      <c r="I113" s="60" t="str">
        <v>Ridepooling</v>
      </c>
      <c r="J113" s="60" t="str">
        <v>Ridepooling</v>
      </c>
      <c r="K113" s="60" t="str">
        <v>NEVS</v>
      </c>
      <c r="L113" s="60" t="str">
        <v>NEVS</v>
      </c>
      <c r="M113" s="60">
        <v>0</v>
      </c>
      <c r="N113" s="60">
        <v>0</v>
      </c>
      <c r="O113"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113"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113" s="60" t="str">
        <v>Strategic Alliance</v>
      </c>
      <c r="R113" s="60" t="str">
        <v>Yes</v>
      </c>
      <c r="S113" s="60" t="str">
        <v>Product cooperation</v>
      </c>
      <c r="T113" s="60" t="str">
        <v>Long term - Min 2025 (&gt;2 years)</v>
      </c>
      <c r="U113" s="60" t="str">
        <v>-</v>
      </c>
      <c r="V113" s="60" t="str">
        <v>-</v>
      </c>
      <c r="W113" s="60" t="str">
        <v>2.3. Long term Alliance</v>
      </c>
      <c r="X113" s="60">
        <v>0</v>
      </c>
      <c r="Y113"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113" s="60" t="str">
        <v>Joint D&amp;D</v>
      </c>
      <c r="AA113"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113" s="60">
        <v>0</v>
      </c>
      <c r="AC113" s="60">
        <v>0</v>
      </c>
      <c r="AD113" s="60">
        <v>0</v>
      </c>
      <c r="AE113" s="60">
        <v>0</v>
      </c>
      <c r="AF113" s="60" t="str">
        <v>Oxbotica partners with NEVS to reshape the future of urban mobility with fleet of shared, self-driving, all-electric vehicles</v>
      </c>
      <c r="AG113" s="60">
        <v>0</v>
      </c>
      <c r="AO113" t="b">
        <f t="shared" si="16"/>
        <v>1</v>
      </c>
      <c r="AQ113" t="str">
        <v>City Architecture</v>
      </c>
      <c r="AR113" s="100">
        <f t="shared" si="14"/>
        <v>1</v>
      </c>
      <c r="AS113" s="101">
        <f t="shared" si="17"/>
        <v>1.0752688172043012E-2</v>
      </c>
      <c r="AV113" t="str">
        <v>City Architecture</v>
      </c>
      <c r="AW113">
        <f t="shared" si="15"/>
        <v>0</v>
      </c>
      <c r="AX113" s="101">
        <f t="shared" si="18"/>
        <v>0</v>
      </c>
      <c r="AZ113" t="str">
        <v>City Architecture</v>
      </c>
      <c r="BA113">
        <f t="shared" si="19"/>
        <v>1</v>
      </c>
      <c r="BB113" s="101">
        <f t="shared" si="20"/>
        <v>0.04</v>
      </c>
      <c r="BD113" s="55"/>
      <c r="BE113" s="55"/>
      <c r="BF113" s="55"/>
    </row>
    <row r="114" spans="1:58" x14ac:dyDescent="0.35">
      <c r="A114" s="60" t="str">
        <v>https://www.perronerobotics.com/news/perrone-robotics-and-global-finance-group-partner-to-bring-turnkey-autonomous-vehicle-program-to-university-and-college-campuses</v>
      </c>
      <c r="B114" s="60" t="str">
        <v>2023, 5, 10</v>
      </c>
      <c r="C114" s="105">
        <v>45056</v>
      </c>
      <c r="D114" s="60" t="str">
        <v>Perrone Robotics and Global Finance Group Partner to Bring Turnkey Autonomous Vehicle Program to University and College Campuses</v>
      </c>
      <c r="E114" s="60" t="str">
        <v>Perrone Robotics</v>
      </c>
      <c r="F114" s="60" t="str">
        <v>L1</v>
      </c>
      <c r="G114" s="60" t="str">
        <v>Perrone Robotics-SAV</v>
      </c>
      <c r="H114" s="60" t="str">
        <v>SAV</v>
      </c>
      <c r="I114" s="60" t="str">
        <v>Ridepooling</v>
      </c>
      <c r="J114" s="60" t="str">
        <v>Ridepooling</v>
      </c>
      <c r="K114" s="60" t="str">
        <v>Global Finance Group</v>
      </c>
      <c r="L114" s="60" t="str">
        <v>Global Finance Group</v>
      </c>
      <c r="M114" s="60">
        <v>0</v>
      </c>
      <c r="N114" s="60">
        <v>0</v>
      </c>
      <c r="O114"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114"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114" s="60" t="str">
        <v>Strategic Alliance</v>
      </c>
      <c r="R114" s="60" t="str">
        <v>n.a.</v>
      </c>
      <c r="S114" s="60" t="str">
        <v>Financing</v>
      </c>
      <c r="T114" s="60" t="str">
        <v>-</v>
      </c>
      <c r="U114" s="60" t="str">
        <v>-</v>
      </c>
      <c r="V114" s="60" t="str">
        <v>-</v>
      </c>
      <c r="W114" s="60" t="str">
        <v>2.1. Short term Alliance (no exclusivity / previous experience)</v>
      </c>
      <c r="X114" s="60">
        <v>0</v>
      </c>
      <c r="Y114"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114" s="60" t="str">
        <v>Other</v>
      </c>
      <c r="AA114" s="60" t="str">
        <v>By lowering the financial barriers to this technology, Perrone and GFG open the doors for universities and colleges to bring fully functional autonomy to their communities for safe, reliable, and affordable transportation.</v>
      </c>
      <c r="AB114" s="60">
        <v>0</v>
      </c>
      <c r="AC114" s="60">
        <v>0</v>
      </c>
      <c r="AD114" s="60">
        <v>0</v>
      </c>
      <c r="AE114" s="60">
        <v>0</v>
      </c>
      <c r="AF114" s="60" t="str">
        <v xml:space="preserve">Perrone Robotics and Global Finance Group Partner to Bring </v>
      </c>
      <c r="AG114" s="60" t="str">
        <v>Turnkey Autonomous Vehicle Program to University and College Campuses</v>
      </c>
      <c r="AO114" t="b">
        <f t="shared" si="16"/>
        <v>1</v>
      </c>
      <c r="AQ114" t="str">
        <v>Mobility Analytics</v>
      </c>
      <c r="AR114" s="100">
        <f t="shared" si="14"/>
        <v>1</v>
      </c>
      <c r="AS114" s="101">
        <f t="shared" si="17"/>
        <v>1.0752688172043012E-2</v>
      </c>
      <c r="AV114" t="str">
        <v>Mobility Analytics</v>
      </c>
      <c r="AW114">
        <f t="shared" si="15"/>
        <v>0</v>
      </c>
      <c r="AX114" s="101">
        <f t="shared" si="18"/>
        <v>0</v>
      </c>
      <c r="AZ114" t="str">
        <v>Mobility Analytics</v>
      </c>
      <c r="BA114">
        <f t="shared" si="19"/>
        <v>1</v>
      </c>
      <c r="BB114" s="101">
        <f t="shared" si="20"/>
        <v>0.04</v>
      </c>
      <c r="BD114" s="55"/>
      <c r="BE114" s="55"/>
      <c r="BF114" s="55"/>
    </row>
    <row r="115" spans="1:58" x14ac:dyDescent="0.35">
      <c r="A115" s="60" t="str">
        <v>https://www.perronerobotics.com/news/western-reserve-transit-authority-selects-first-transit-in-partnership-with-perrone-robotics-and-greenpower-motor-company-for-autonomous-vehicle-pilot</v>
      </c>
      <c r="B115" s="60" t="str">
        <v>2022, 10, 5</v>
      </c>
      <c r="C115" s="105">
        <v>44566</v>
      </c>
      <c r="D115" s="60" t="str">
        <v>Western Reserve Transit Authority Selects First Transit, in Partnership with Perrone Robotics and GreenPower for Autonomous Vehicle Pilot</v>
      </c>
      <c r="E115" s="60" t="str">
        <v>Perrone Robotics</v>
      </c>
      <c r="F115" s="60" t="str">
        <v>L1</v>
      </c>
      <c r="G115" s="60" t="str">
        <v>Perrone Robotics-SAV</v>
      </c>
      <c r="H115" s="60" t="str">
        <v>SAV</v>
      </c>
      <c r="I115" s="60" t="str">
        <v>Ridepooling</v>
      </c>
      <c r="J115" s="60" t="str">
        <v>Ridepooling</v>
      </c>
      <c r="K115" s="60" t="str">
        <v>Western Reserve Transit Authority;GreenPower</v>
      </c>
      <c r="L115" s="60" t="str">
        <v>Western Reserve Transit Authority</v>
      </c>
      <c r="M115" s="60" t="str">
        <v>GreenPower</v>
      </c>
      <c r="N115" s="60">
        <v>0</v>
      </c>
      <c r="O115"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115"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115" s="60" t="str">
        <v>Strategic Alliance</v>
      </c>
      <c r="R115" s="60" t="str">
        <v>n.a.</v>
      </c>
      <c r="S115" s="60" t="str">
        <v>One time - pilot</v>
      </c>
      <c r="T115" s="60" t="str">
        <v>-</v>
      </c>
      <c r="U115" s="60" t="str">
        <v>-</v>
      </c>
      <c r="V115" s="60" t="str">
        <v>-</v>
      </c>
      <c r="W115" s="60" t="str">
        <v>2.1. Short term Alliance (no exclusivity / previous experience)</v>
      </c>
      <c r="X115" s="60">
        <v>0</v>
      </c>
      <c r="Y115" s="60" t="str">
        <v>First Transit, the leader in mobility solutions, announces that it will operate the Western Reserve Transit Authority (WRTA) autonomous vehicle (AV) pilot, in partnership with Perrone Robotics and GreenPower.</v>
      </c>
      <c r="Z115" s="60" t="str">
        <v>Joint Service Agreement</v>
      </c>
      <c r="AA115" s="60" t="str">
        <v>First Transit, the leader in mobility solutions, announces that it will operate the Western Reserve Transit Authority (WRTA) autonomous vehicle (AV) pilot, in partnership with Perrone Robotics and GreenPower.</v>
      </c>
      <c r="AB115" s="60">
        <v>0</v>
      </c>
      <c r="AC115" s="60">
        <v>0</v>
      </c>
      <c r="AD115" s="60">
        <v>0</v>
      </c>
      <c r="AE115" s="60">
        <v>0</v>
      </c>
      <c r="AF115" s="60" t="str">
        <v xml:space="preserve">Western Reserve Transit Authority Selects First Transit, in Partnership with Perrone Robotics and GreenPower </v>
      </c>
      <c r="AG115" s="60" t="str">
        <v>for Autonomous Vehicle Pilot</v>
      </c>
      <c r="AO115" t="b">
        <f t="shared" si="16"/>
        <v>1</v>
      </c>
      <c r="AQ115" t="str">
        <v>Mobility Services Booking</v>
      </c>
      <c r="AR115" s="100">
        <f t="shared" si="14"/>
        <v>3</v>
      </c>
      <c r="AS115" s="101">
        <f t="shared" si="17"/>
        <v>3.2258064516129031E-2</v>
      </c>
      <c r="AV115" t="str">
        <v>Mobility Services Booking</v>
      </c>
      <c r="AW115">
        <f t="shared" si="15"/>
        <v>0</v>
      </c>
      <c r="AX115" s="101">
        <f t="shared" si="18"/>
        <v>0</v>
      </c>
      <c r="AZ115" t="str">
        <v>Mobility Services Booking</v>
      </c>
      <c r="BA115">
        <f t="shared" si="19"/>
        <v>3</v>
      </c>
      <c r="BB115" s="101">
        <f t="shared" si="20"/>
        <v>0.12</v>
      </c>
      <c r="BD115" s="55"/>
      <c r="BE115" s="55"/>
      <c r="BF115" s="55"/>
    </row>
    <row r="116" spans="1:58" x14ac:dyDescent="0.35">
      <c r="A116" s="60" t="str">
        <v>https://www.perronerobotics.com/news/pri-partners-sae-tampa</v>
      </c>
      <c r="B116" s="60" t="str">
        <v>2018, 5, 1</v>
      </c>
      <c r="C116" s="105">
        <v>43221</v>
      </c>
      <c r="D116" s="60" t="str">
        <v>PRI Partners with SAE in Tampa</v>
      </c>
      <c r="E116" s="60" t="str">
        <v>Perrone Robotics</v>
      </c>
      <c r="F116" s="60" t="str">
        <v>L1</v>
      </c>
      <c r="G116" s="60" t="str">
        <v>Perrone Robotics-SAV</v>
      </c>
      <c r="H116" s="60" t="str">
        <v>SAV</v>
      </c>
      <c r="I116" s="60" t="str">
        <v>Ridepooling</v>
      </c>
      <c r="J116" s="60" t="str">
        <v>Ridepooling</v>
      </c>
      <c r="K116" s="60" t="str">
        <v>SAE</v>
      </c>
      <c r="L116" s="60" t="str">
        <v>SAE</v>
      </c>
      <c r="M116" s="60">
        <v>0</v>
      </c>
      <c r="N116" s="60">
        <v>0</v>
      </c>
      <c r="O116"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116"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116" s="60" t="str">
        <v>Strategic Alliance</v>
      </c>
      <c r="R116" s="60" t="str">
        <v>n.a.</v>
      </c>
      <c r="S116" s="60" t="str">
        <v>One time - Pilot</v>
      </c>
      <c r="T116" s="60" t="str">
        <v>Short term - 3 days</v>
      </c>
      <c r="U116" s="60" t="str">
        <v>-</v>
      </c>
      <c r="V116" s="60" t="str">
        <v>-</v>
      </c>
      <c r="W116" s="60" t="str">
        <v>2.1. Short term Alliance (no exclusivity / previous experience)</v>
      </c>
      <c r="X116" s="60">
        <v>0</v>
      </c>
      <c r="Y116"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116" s="60" t="str">
        <v>Research &amp; Collaboration</v>
      </c>
      <c r="AA116"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116" s="60">
        <v>0</v>
      </c>
      <c r="AC116" s="60">
        <v>0</v>
      </c>
      <c r="AD116" s="60">
        <v>0</v>
      </c>
      <c r="AE116" s="60">
        <v>0</v>
      </c>
      <c r="AF116" s="60" t="str">
        <v xml:space="preserve">PRI Partners with SAE </v>
      </c>
      <c r="AG116" s="60" t="str">
        <v>in Tampa</v>
      </c>
      <c r="AO116" t="b">
        <f t="shared" si="16"/>
        <v>1</v>
      </c>
      <c r="AQ116" t="str">
        <v>Mobility Services</v>
      </c>
      <c r="AR116" s="100">
        <f t="shared" si="14"/>
        <v>5</v>
      </c>
      <c r="AS116" s="101">
        <f t="shared" si="17"/>
        <v>5.3763440860215055E-2</v>
      </c>
      <c r="AV116" t="str">
        <v>Mobility Services</v>
      </c>
      <c r="AW116">
        <f t="shared" si="15"/>
        <v>4</v>
      </c>
      <c r="AX116" s="101">
        <f t="shared" si="18"/>
        <v>5.8823529411764705E-2</v>
      </c>
      <c r="AZ116" t="str">
        <v>Mobility Services</v>
      </c>
      <c r="BA116">
        <f t="shared" si="19"/>
        <v>1</v>
      </c>
      <c r="BB116" s="101">
        <f t="shared" si="20"/>
        <v>0.04</v>
      </c>
      <c r="BD116" s="55"/>
      <c r="BE116" s="55"/>
      <c r="BF116" s="55"/>
    </row>
    <row r="117" spans="1:58" x14ac:dyDescent="0.35">
      <c r="A117" s="60" t="str">
        <v>https://www.perronerobotics.com/news/perrone-robotics-and-tropos-team-up-to-develop-autonomous-electric-compact-utility-vehicles</v>
      </c>
      <c r="B117" s="60" t="str">
        <v>2021, 8, 18</v>
      </c>
      <c r="C117" s="105">
        <v>44426</v>
      </c>
      <c r="D117" s="60" t="str">
        <v>Perrone Robotics and Tropos Team up to Develop Autonomous Electric Compact Utility Vehicles</v>
      </c>
      <c r="E117" s="60" t="str">
        <v>Perrone Robotics</v>
      </c>
      <c r="F117" s="60" t="str">
        <v>L1</v>
      </c>
      <c r="G117" s="60" t="str">
        <v>Perrone Robotics-SAV</v>
      </c>
      <c r="H117" s="60" t="str">
        <v>SAV</v>
      </c>
      <c r="I117" s="60" t="str">
        <v>Ridepooling</v>
      </c>
      <c r="J117" s="60" t="str">
        <v>Ridepooling</v>
      </c>
      <c r="K117" s="60" t="str">
        <v>Tropos Technologies</v>
      </c>
      <c r="L117" s="60" t="str">
        <v>Tropos Technologies</v>
      </c>
      <c r="M117" s="60">
        <v>0</v>
      </c>
      <c r="N117" s="60">
        <v>0</v>
      </c>
      <c r="O117"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117" s="60" t="str">
        <v>Autonomous vehicle technology provider Perrone Robotics  and cleantech vehicle manufacturer Tropos Motors yesterday announced a partnership to produce a series of fully autonomous, electric low-speed vehicles (e-LSVs) and trucks.</v>
      </c>
      <c r="Q117" s="60" t="str">
        <v>Strategic Alliance</v>
      </c>
      <c r="R117" s="60" t="str">
        <v>n.a.</v>
      </c>
      <c r="S117" s="60" t="str">
        <v>Product cooperation</v>
      </c>
      <c r="T117" s="60" t="str">
        <v>-</v>
      </c>
      <c r="U117" s="60" t="str">
        <v>-</v>
      </c>
      <c r="V117" s="60" t="str">
        <v>-</v>
      </c>
      <c r="W117" s="60" t="str">
        <v>2.1. Short term Alliance (no exclusivity / previous experience)</v>
      </c>
      <c r="X117" s="60">
        <v>0</v>
      </c>
      <c r="Y117"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117" s="60" t="str">
        <v>Joint D&amp;D</v>
      </c>
      <c r="AA117"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117" s="60">
        <v>0</v>
      </c>
      <c r="AC117" s="60">
        <v>0</v>
      </c>
      <c r="AD117" s="60">
        <v>0</v>
      </c>
      <c r="AE117" s="60">
        <v>0</v>
      </c>
      <c r="AF117" s="60" t="str">
        <v xml:space="preserve">Perrone Robotics and Tropos Team up to Develop </v>
      </c>
      <c r="AG117" s="60" t="str">
        <v>Autonomous Electric Compact Utility Vehicles</v>
      </c>
      <c r="AO117" t="b">
        <f t="shared" si="16"/>
        <v>1</v>
      </c>
      <c r="AQ117" t="str">
        <v>Artificial Intelligence (AI)</v>
      </c>
      <c r="AR117" s="100">
        <f t="shared" si="14"/>
        <v>1</v>
      </c>
      <c r="AS117" s="101">
        <f t="shared" si="17"/>
        <v>1.0752688172043012E-2</v>
      </c>
      <c r="AV117" t="str">
        <v>Artificial Intelligence (AI)</v>
      </c>
      <c r="AW117">
        <f t="shared" si="15"/>
        <v>0</v>
      </c>
      <c r="AX117" s="101">
        <f t="shared" si="18"/>
        <v>0</v>
      </c>
      <c r="AZ117" t="str">
        <v>Artificial Intelligence (AI)</v>
      </c>
      <c r="BA117">
        <f t="shared" si="19"/>
        <v>1</v>
      </c>
      <c r="BB117" s="101">
        <f t="shared" si="20"/>
        <v>0.04</v>
      </c>
      <c r="BD117" s="55"/>
      <c r="BE117" s="55"/>
      <c r="BF117" s="55"/>
    </row>
    <row r="118" spans="1:58" x14ac:dyDescent="0.35">
      <c r="A118" s="60" t="str">
        <v>https://www.perronerobotics.com/news/perrone-robotics-partners-with-tropos-on-self-driving-trucks</v>
      </c>
      <c r="B118" s="60" t="str">
        <v>2021, 8, 18</v>
      </c>
      <c r="C118" s="105">
        <v>44426</v>
      </c>
      <c r="D118" s="60" t="str">
        <v>Perrone Robotics Partners With Tropos on Self-Driving Trucks</v>
      </c>
      <c r="E118" s="60" t="str">
        <v>Perrone Robotics</v>
      </c>
      <c r="F118" s="60" t="str">
        <v>L1</v>
      </c>
      <c r="G118" s="60" t="str">
        <v>Perrone Robotics-SAV</v>
      </c>
      <c r="H118" s="60" t="str">
        <v>SAV</v>
      </c>
      <c r="I118" s="60" t="str">
        <v>Ridepooling</v>
      </c>
      <c r="J118" s="60" t="str">
        <v>Ridepooling</v>
      </c>
      <c r="K118" s="60" t="str">
        <v>Tropos Technologies</v>
      </c>
      <c r="L118" s="60" t="str">
        <v>Tropos Technologies</v>
      </c>
      <c r="M118" s="60">
        <v>0</v>
      </c>
      <c r="N118" s="60">
        <v>0</v>
      </c>
      <c r="O118"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118" s="60" t="str">
        <v>Future platforms in development will include a series of emergency and first-responder solutions that will be available later this year.</v>
      </c>
      <c r="Q118" s="60" t="str">
        <v>Strategic Alliance</v>
      </c>
      <c r="R118" s="60" t="str">
        <v>n.a.</v>
      </c>
      <c r="S118" s="60" t="str">
        <v>Service cooperation</v>
      </c>
      <c r="T118" s="60" t="str">
        <v>-</v>
      </c>
      <c r="U118" s="60" t="str">
        <v>-</v>
      </c>
      <c r="V118" s="60" t="str">
        <v>-</v>
      </c>
      <c r="W118" s="60" t="str">
        <v>2.1. Short term Alliance (no exclusivity / previous experience)</v>
      </c>
      <c r="X118" s="60">
        <v>0</v>
      </c>
      <c r="Y118"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118" s="60" t="str">
        <v>Joint D&amp;D</v>
      </c>
      <c r="AA118"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118" s="60">
        <v>0</v>
      </c>
      <c r="AC118" s="60">
        <v>0</v>
      </c>
      <c r="AD118" s="60">
        <v>0</v>
      </c>
      <c r="AE118" s="60">
        <v>0</v>
      </c>
      <c r="AF118" s="60" t="str">
        <v>Perrone Robotics Partners With Tropos on Self-Driving Trucks</v>
      </c>
      <c r="AG118" s="60">
        <v>0</v>
      </c>
      <c r="AO118" t="b">
        <f t="shared" si="16"/>
        <v>1</v>
      </c>
      <c r="AQ118" t="str">
        <v>University</v>
      </c>
      <c r="AR118" s="100">
        <f t="shared" si="14"/>
        <v>2</v>
      </c>
      <c r="AS118" s="101">
        <f t="shared" si="17"/>
        <v>2.1505376344086023E-2</v>
      </c>
      <c r="AV118" t="str">
        <v>University</v>
      </c>
      <c r="AW118">
        <f t="shared" si="15"/>
        <v>1</v>
      </c>
      <c r="AX118" s="101">
        <f t="shared" si="18"/>
        <v>1.4705882352941176E-2</v>
      </c>
      <c r="AZ118" t="str">
        <v>University</v>
      </c>
      <c r="BA118">
        <f t="shared" si="19"/>
        <v>1</v>
      </c>
      <c r="BB118" s="101">
        <f t="shared" si="20"/>
        <v>0.04</v>
      </c>
      <c r="BD118" s="55"/>
      <c r="BE118" s="55"/>
      <c r="BF118" s="55"/>
    </row>
    <row r="119" spans="1:58" x14ac:dyDescent="0.35">
      <c r="A119" s="60" t="str">
        <v>https://www.perronerobotics.com/news/autonomous-ev-bus-collaboration-announced</v>
      </c>
      <c r="B119" s="60" t="str">
        <v>2020, 3, 2</v>
      </c>
      <c r="C119" s="105">
        <v>43892</v>
      </c>
      <c r="D119" s="60" t="str">
        <v>Autonomous EV Bus Collaboration Announced</v>
      </c>
      <c r="E119" s="60" t="str">
        <v>Perrone Robotics</v>
      </c>
      <c r="F119" s="60" t="str">
        <v>L1</v>
      </c>
      <c r="G119" s="60" t="str">
        <v>Perrone Robotics-SAV</v>
      </c>
      <c r="H119" s="60" t="str">
        <v>SAV</v>
      </c>
      <c r="I119" s="60" t="str">
        <v>Ridepooling</v>
      </c>
      <c r="J119" s="60" t="str">
        <v>Ridepooling</v>
      </c>
      <c r="K119" s="60" t="str">
        <v>Greenpower</v>
      </c>
      <c r="L119" s="60" t="str">
        <v>Greenpower</v>
      </c>
      <c r="M119" s="60">
        <v>0</v>
      </c>
      <c r="N119" s="60">
        <v>0</v>
      </c>
      <c r="O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119" s="60" t="str">
        <v>Strategic Alliance</v>
      </c>
      <c r="R119" s="60" t="str">
        <v>n.a.</v>
      </c>
      <c r="S119" s="60" t="str">
        <v>Product cooperation</v>
      </c>
      <c r="T119" s="60" t="str">
        <v>-</v>
      </c>
      <c r="U119" s="60" t="str">
        <v>-</v>
      </c>
      <c r="V119" s="60" t="str">
        <v>-</v>
      </c>
      <c r="W119" s="60" t="str">
        <v>2.1. Short term Alliance (no exclusivity / previous experience)</v>
      </c>
      <c r="X119" s="60">
        <v>0</v>
      </c>
      <c r="Y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119" s="60" t="str">
        <v>Joint D&amp;D</v>
      </c>
      <c r="AA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119" s="60">
        <v>0</v>
      </c>
      <c r="AC119" s="60">
        <v>0</v>
      </c>
      <c r="AD119" s="60">
        <v>0</v>
      </c>
      <c r="AE119" s="60">
        <v>0</v>
      </c>
      <c r="AF119" s="60" t="str">
        <v>Autonomous EV Bus Collaboration Announced</v>
      </c>
      <c r="AG119" s="60">
        <v>0</v>
      </c>
      <c r="AO119" t="b">
        <f t="shared" si="16"/>
        <v>1</v>
      </c>
      <c r="AQ119" t="str">
        <v>Sensor</v>
      </c>
      <c r="AR119" s="100">
        <f t="shared" si="14"/>
        <v>3</v>
      </c>
      <c r="AS119" s="101">
        <f t="shared" si="17"/>
        <v>3.2258064516129031E-2</v>
      </c>
      <c r="AV119" t="str">
        <v>Sensor</v>
      </c>
      <c r="AW119">
        <f t="shared" si="15"/>
        <v>2</v>
      </c>
      <c r="AX119" s="101">
        <f t="shared" si="18"/>
        <v>2.9411764705882353E-2</v>
      </c>
      <c r="AZ119" t="str">
        <v>Sensor</v>
      </c>
      <c r="BA119">
        <f t="shared" si="19"/>
        <v>1</v>
      </c>
      <c r="BB119" s="101">
        <f t="shared" si="20"/>
        <v>0.04</v>
      </c>
      <c r="BD119" s="55"/>
      <c r="BE119" s="55"/>
      <c r="BF119" s="55"/>
    </row>
    <row r="120" spans="1:58" x14ac:dyDescent="0.35">
      <c r="A120" s="60" t="str">
        <v>https://www.perronerobotics.com/news/perrone-robotics-inc-and-guident-corp-sign-strategic-alliance</v>
      </c>
      <c r="B120" s="60" t="str">
        <v>2022, 4, 19</v>
      </c>
      <c r="C120" s="105">
        <v>44670</v>
      </c>
      <c r="D120" s="60" t="str">
        <v>Perrone Robotics,  and Guident Corp. Sign Strategic Alliance</v>
      </c>
      <c r="E120" s="60" t="str">
        <v>Perrone Robotics</v>
      </c>
      <c r="F120" s="60" t="str">
        <v>L1</v>
      </c>
      <c r="G120" s="60" t="str">
        <v>Perrone Robotics-SAV</v>
      </c>
      <c r="H120" s="60" t="str">
        <v>SAV</v>
      </c>
      <c r="I120" s="60" t="str">
        <v>Ridepooling</v>
      </c>
      <c r="J120" s="60" t="str">
        <v>Ridepooling</v>
      </c>
      <c r="K120" s="60" t="str">
        <v>Guident</v>
      </c>
      <c r="L120" s="60" t="str">
        <v>Guident</v>
      </c>
      <c r="M120" s="60">
        <v>0</v>
      </c>
      <c r="N120" s="60">
        <v>0</v>
      </c>
      <c r="O120"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120"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120" s="60" t="str">
        <v>Strategic Alliance</v>
      </c>
      <c r="R120" s="60" t="str">
        <v>Yes</v>
      </c>
      <c r="S120" s="60" t="str">
        <v>Product cooperation</v>
      </c>
      <c r="T120" s="60" t="str">
        <v>-</v>
      </c>
      <c r="U120" s="60" t="str">
        <v>-</v>
      </c>
      <c r="V120" s="60" t="str">
        <v>-</v>
      </c>
      <c r="W120" s="60" t="str">
        <v>2.1. Short term Alliance (no exclusivity / previous experience)</v>
      </c>
      <c r="X120" s="60">
        <v>0</v>
      </c>
      <c r="Y120"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120" s="60" t="str">
        <v>Joint D&amp;D</v>
      </c>
      <c r="AA120"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120" s="60">
        <v>0</v>
      </c>
      <c r="AC120" s="60">
        <v>0</v>
      </c>
      <c r="AD120" s="60">
        <v>0</v>
      </c>
      <c r="AE120" s="60">
        <v>0</v>
      </c>
      <c r="AF120" s="60" t="str">
        <v>Perrone Robotics,  and Guident Corp. Sign Strategic Alliance</v>
      </c>
      <c r="AG120" s="60">
        <v>0</v>
      </c>
      <c r="AO120" t="b">
        <f t="shared" si="16"/>
        <v>1</v>
      </c>
      <c r="AQ120" t="str">
        <v>Financial Services</v>
      </c>
      <c r="AR120" s="100">
        <f t="shared" si="14"/>
        <v>3</v>
      </c>
      <c r="AS120" s="101">
        <f t="shared" si="17"/>
        <v>3.2258064516129031E-2</v>
      </c>
      <c r="AV120" t="str">
        <v>Financial Services</v>
      </c>
      <c r="AW120">
        <f t="shared" si="15"/>
        <v>3</v>
      </c>
      <c r="AX120" s="101">
        <f t="shared" si="18"/>
        <v>4.4117647058823532E-2</v>
      </c>
      <c r="AZ120" t="str">
        <v>Financial Services</v>
      </c>
      <c r="BA120">
        <f t="shared" si="19"/>
        <v>0</v>
      </c>
      <c r="BB120" s="101">
        <f t="shared" si="20"/>
        <v>0</v>
      </c>
      <c r="BD120" s="55"/>
      <c r="BE120" s="55"/>
      <c r="BF120" s="55"/>
    </row>
    <row r="121" spans="1:58" x14ac:dyDescent="0.35">
      <c r="A121" s="60" t="str">
        <v>https://www.perronerobotics.com/news/lightning-emotors-partners-with-perrone-robotics-to-offer-fully-autonomous-vehicle-option-to-zero-emission-fleet-customers</v>
      </c>
      <c r="B121" s="60" t="str">
        <v>2022, 5, 9</v>
      </c>
      <c r="C121" s="105">
        <v>44690</v>
      </c>
      <c r="D121" s="60" t="str">
        <v>Lightning eMotors Partners with Perrone Robotics to Offer Fully Autonomous Vehicle Option to Zero-Emission Fleet Customers</v>
      </c>
      <c r="E121" s="60" t="str">
        <v>Perrone Robotics</v>
      </c>
      <c r="F121" s="60" t="str">
        <v>L1</v>
      </c>
      <c r="G121" s="60" t="str">
        <v>Perrone Robotics-SAV</v>
      </c>
      <c r="H121" s="60" t="str">
        <v>SAV</v>
      </c>
      <c r="I121" s="60" t="str">
        <v>Ridepooling</v>
      </c>
      <c r="J121" s="60" t="str">
        <v>Ridepooling</v>
      </c>
      <c r="K121" s="60" t="str">
        <v>Lightning eMotors</v>
      </c>
      <c r="L121" s="60" t="str">
        <v>Lightning eMotors</v>
      </c>
      <c r="M121" s="60">
        <v>0</v>
      </c>
      <c r="N121" s="60">
        <v>0</v>
      </c>
      <c r="O121"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121"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121" s="60" t="str">
        <v>Strategic Alliance</v>
      </c>
      <c r="R121" s="60" t="str">
        <v>n.a.</v>
      </c>
      <c r="S121" s="60" t="str">
        <v>Product cooperation</v>
      </c>
      <c r="T121" s="60" t="str">
        <v>-</v>
      </c>
      <c r="U121" s="60" t="str">
        <v>-</v>
      </c>
      <c r="V121" s="60" t="str">
        <v>-</v>
      </c>
      <c r="W121" s="60" t="str">
        <v>2.1. Short term Alliance (no exclusivity / previous experience)</v>
      </c>
      <c r="X121" s="60">
        <v>0</v>
      </c>
      <c r="Y121"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121" s="60" t="str">
        <v>Joint D&amp;D</v>
      </c>
      <c r="AA121"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121" s="60">
        <v>0</v>
      </c>
      <c r="AC121" s="60">
        <v>0</v>
      </c>
      <c r="AD121" s="60">
        <v>0</v>
      </c>
      <c r="AE121" s="60">
        <v>0</v>
      </c>
      <c r="AF121" s="60" t="str">
        <v>Lightning eMotors Partners with Perrone Robotics to Offer Fully Autonomous Vehicle Option to Zero-Emission Fleet Customers</v>
      </c>
      <c r="AG121" s="60">
        <v>0</v>
      </c>
      <c r="AO121" t="b">
        <f t="shared" si="16"/>
        <v>1</v>
      </c>
      <c r="AQ121" t="str">
        <v>NPO</v>
      </c>
      <c r="AR121" s="100">
        <f t="shared" si="14"/>
        <v>1</v>
      </c>
      <c r="AS121" s="101">
        <f t="shared" si="17"/>
        <v>1.0752688172043012E-2</v>
      </c>
      <c r="AV121" t="str">
        <v>NPO</v>
      </c>
      <c r="AW121">
        <f t="shared" si="15"/>
        <v>1</v>
      </c>
      <c r="AX121" s="101">
        <f t="shared" si="18"/>
        <v>1.4705882352941176E-2</v>
      </c>
      <c r="AZ121" t="str">
        <v>NPO</v>
      </c>
      <c r="BA121">
        <f t="shared" si="19"/>
        <v>0</v>
      </c>
      <c r="BB121" s="101">
        <f t="shared" si="20"/>
        <v>0</v>
      </c>
      <c r="BD121" s="55"/>
      <c r="BE121" s="55"/>
      <c r="BF121" s="55"/>
    </row>
    <row r="122" spans="1:58" x14ac:dyDescent="0.35">
      <c r="A122" s="60" t="str">
        <v>https://www.perronerobotics.com/news/perrone-robotics-collaborates-machine-learning-pioneer</v>
      </c>
      <c r="B122" s="60" t="str">
        <v>2021, 2, 8</v>
      </c>
      <c r="C122" s="105">
        <v>44235</v>
      </c>
      <c r="D122" s="60" t="str">
        <v>Perrone Robotics Collaborates with Machine Learning Pioneer</v>
      </c>
      <c r="E122" s="60" t="str">
        <v>Perrone Robotics</v>
      </c>
      <c r="F122" s="60" t="str">
        <v>L1</v>
      </c>
      <c r="G122" s="60" t="str">
        <v>Perrone Robotics-SAV</v>
      </c>
      <c r="H122" s="60" t="str">
        <v>SAV</v>
      </c>
      <c r="I122" s="60" t="str">
        <v>Ridepooling</v>
      </c>
      <c r="J122" s="60" t="str">
        <v>Ridepooling</v>
      </c>
      <c r="K122" s="60" t="str">
        <v>University of California</v>
      </c>
      <c r="L122" s="60" t="str">
        <v>University of California</v>
      </c>
      <c r="M122" s="60">
        <v>0</v>
      </c>
      <c r="N122" s="60">
        <v>0</v>
      </c>
      <c r="O122"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122" s="60" t="str">
        <v>Perrone Robotics has signed a memorandum of understanding for a collaboration with Professor Robert Hecht-Nielsen of the University of California (San Diego), San Diego's Vertebrate Movement Laboratory and its research team on advanced machine learning methods</v>
      </c>
      <c r="Q122" s="60" t="str">
        <v>Strategic Alliance</v>
      </c>
      <c r="R122" s="60" t="str">
        <v>Yes</v>
      </c>
      <c r="S122" s="60" t="str">
        <v>Research cooperation</v>
      </c>
      <c r="T122" s="60" t="str">
        <v>-</v>
      </c>
      <c r="U122" s="60" t="str">
        <v>-</v>
      </c>
      <c r="V122" s="60" t="str">
        <v>-</v>
      </c>
      <c r="W122" s="60" t="str">
        <v>2.1. Short term Alliance (no exclusivity / previous experience)</v>
      </c>
      <c r="X122" s="60">
        <v>0</v>
      </c>
      <c r="Y122" s="60" t="str">
        <v>Perrone Robotics has signed a memorandum of understanding for a collaboration with Professor Robert Hecht-Nielsen of the University of California (San Diego), San Diego's Vertebrate Movement Laboratory and its research team on advanced machine learning methods</v>
      </c>
      <c r="Z122" s="60" t="str">
        <v>Research &amp; Collaboration</v>
      </c>
      <c r="AA122" s="60" t="str">
        <v>Perrone Robotics has signed a memorandum of understanding for a collaboration with Professor Robert Hecht-Nielsen of the University of California (San Diego), San Diego's Vertebrate Movement Laboratory and its research team on advanced machine learning methods</v>
      </c>
      <c r="AB122" s="60">
        <v>0</v>
      </c>
      <c r="AC122" s="60">
        <v>0</v>
      </c>
      <c r="AD122" s="60">
        <v>0</v>
      </c>
      <c r="AE122" s="60">
        <v>0</v>
      </c>
      <c r="AF122" s="60" t="str">
        <v>Perrone Robotics Collaborates with Machine Learning Pioneer</v>
      </c>
      <c r="AG122" s="60">
        <v>0</v>
      </c>
      <c r="AO122" t="b">
        <f t="shared" si="16"/>
        <v>1</v>
      </c>
      <c r="AQ122" t="str">
        <v>Environmental Engineering</v>
      </c>
      <c r="AR122" s="100">
        <f t="shared" si="14"/>
        <v>1</v>
      </c>
      <c r="AS122" s="101">
        <f t="shared" si="17"/>
        <v>1.0752688172043012E-2</v>
      </c>
      <c r="AV122" t="str">
        <v>Environmental Engineering</v>
      </c>
      <c r="AW122">
        <f t="shared" si="15"/>
        <v>1</v>
      </c>
      <c r="AX122" s="101">
        <f t="shared" si="18"/>
        <v>1.4705882352941176E-2</v>
      </c>
      <c r="AZ122" t="str">
        <v>Environmental Engineering</v>
      </c>
      <c r="BA122">
        <f t="shared" si="19"/>
        <v>0</v>
      </c>
      <c r="BB122" s="101">
        <f t="shared" si="20"/>
        <v>0</v>
      </c>
      <c r="BD122" s="55"/>
      <c r="BE122" s="55"/>
      <c r="BF122" s="55"/>
    </row>
    <row r="123" spans="1:58" x14ac:dyDescent="0.35">
      <c r="A123" s="60" t="str">
        <v>https://www.perronerobotics.com/news/perrone-robotics-enters-into-agreement-with-sustainability-partners-bringing-autonomous-vehicles-to-the-state-of-hawaii</v>
      </c>
      <c r="B123" s="60" t="str">
        <v>2023, 2, 17</v>
      </c>
      <c r="C123" s="105">
        <v>44974</v>
      </c>
      <c r="D123" s="60" t="str">
        <v>Perrone Robotics Enters into Agreement with Sustainability Partners Bringing Autonomous Vehicles to the State of Hawaii</v>
      </c>
      <c r="E123" s="60" t="str">
        <v>Perrone Robotics</v>
      </c>
      <c r="F123" s="60" t="str">
        <v>L1</v>
      </c>
      <c r="G123" s="60" t="str">
        <v>Perrone Robotics-SAV</v>
      </c>
      <c r="H123" s="60" t="str">
        <v>SAV</v>
      </c>
      <c r="I123" s="60" t="str">
        <v>Ridepooling</v>
      </c>
      <c r="J123" s="60" t="str">
        <v>Ridepooling</v>
      </c>
      <c r="K123" s="60" t="str">
        <v>Sustainability Partners</v>
      </c>
      <c r="L123" s="60" t="str">
        <v>Sustainability Partners</v>
      </c>
      <c r="M123" s="60">
        <v>0</v>
      </c>
      <c r="N123" s="60">
        <v>0</v>
      </c>
      <c r="O123"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123"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123" s="60" t="str">
        <v>Strategic Alliance</v>
      </c>
      <c r="R123" s="60" t="str">
        <v>n.a.</v>
      </c>
      <c r="S123" s="60" t="str">
        <v>Financing</v>
      </c>
      <c r="T123" s="60" t="str">
        <v>-</v>
      </c>
      <c r="U123" s="60" t="str">
        <v>-</v>
      </c>
      <c r="V123" s="60" t="str">
        <v>-</v>
      </c>
      <c r="W123" s="60" t="str">
        <v>2.1. Short term Alliance (no exclusivity / previous experience)</v>
      </c>
      <c r="X123" s="60">
        <v>0</v>
      </c>
      <c r="Y123"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123" s="60" t="str">
        <v>Other</v>
      </c>
      <c r="AA123"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123" s="60">
        <v>0</v>
      </c>
      <c r="AC123" s="60">
        <v>0</v>
      </c>
      <c r="AD123" s="60">
        <v>0</v>
      </c>
      <c r="AE123" s="60">
        <v>0</v>
      </c>
      <c r="AF123" s="60" t="str">
        <v>Perrone Robotics Enters into Agreement with Sustainability Partners Bringing Autonomous Vehicles to the State of Hawaii</v>
      </c>
      <c r="AG123" s="60">
        <v>0</v>
      </c>
      <c r="AO123" t="b">
        <f t="shared" si="16"/>
        <v>1</v>
      </c>
      <c r="AQ123" t="str">
        <v>Construction</v>
      </c>
      <c r="AR123" s="100">
        <f t="shared" si="14"/>
        <v>1</v>
      </c>
      <c r="AS123" s="101">
        <f t="shared" si="17"/>
        <v>1.0752688172043012E-2</v>
      </c>
      <c r="AV123" t="str">
        <v>Construction</v>
      </c>
      <c r="AW123">
        <f t="shared" si="15"/>
        <v>1</v>
      </c>
      <c r="AX123" s="101">
        <f t="shared" si="18"/>
        <v>1.4705882352941176E-2</v>
      </c>
      <c r="AZ123" t="str">
        <v>Construction</v>
      </c>
      <c r="BA123">
        <f t="shared" si="19"/>
        <v>0</v>
      </c>
      <c r="BB123" s="101">
        <f t="shared" si="20"/>
        <v>0</v>
      </c>
      <c r="BD123" s="55"/>
      <c r="BE123" s="55"/>
      <c r="BF123" s="55"/>
    </row>
    <row r="124" spans="1:58" x14ac:dyDescent="0.35">
      <c r="A124" s="60" t="str">
        <v>https://www.perronerobotics.com/news/perrone-robotics-and-rampini-announce-partnership-to-provide-automated-6-meter-electric-buses</v>
      </c>
      <c r="B124" s="60" t="str">
        <v>2022, 12, 10</v>
      </c>
      <c r="C124" s="105">
        <v>44571</v>
      </c>
      <c r="D124" s="60" t="str">
        <v>Perrone Robotics and Rampini announce Partnership to Provide Automated 6-meter Electric Buses</v>
      </c>
      <c r="E124" s="60" t="str">
        <v>Perrone Robotics</v>
      </c>
      <c r="F124" s="60" t="str">
        <v>L1</v>
      </c>
      <c r="G124" s="60" t="str">
        <v>Perrone Robotics-SAV</v>
      </c>
      <c r="H124" s="60" t="str">
        <v>SAV</v>
      </c>
      <c r="I124" s="60" t="str">
        <v>Ridepooling</v>
      </c>
      <c r="J124" s="60" t="str">
        <v>Ridepooling</v>
      </c>
      <c r="K124" s="60" t="str">
        <v>Rampini</v>
      </c>
      <c r="L124" s="60" t="str">
        <v>Rampini</v>
      </c>
      <c r="M124" s="60">
        <v>0</v>
      </c>
      <c r="N124" s="60">
        <v>0</v>
      </c>
      <c r="O124"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124"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124" s="60" t="str">
        <v>Strategic Alliance</v>
      </c>
      <c r="R124" s="60" t="str">
        <v>n.a.</v>
      </c>
      <c r="S124" s="60" t="str">
        <v>Product cooperation</v>
      </c>
      <c r="T124" s="60" t="str">
        <v>-</v>
      </c>
      <c r="U124" s="60" t="str">
        <v>-</v>
      </c>
      <c r="V124" s="60" t="str">
        <v>-</v>
      </c>
      <c r="W124" s="60" t="str">
        <v>2.1. Short term Alliance (no exclusivity / previous experience)</v>
      </c>
      <c r="X124" s="60">
        <v>0</v>
      </c>
      <c r="Y124"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124" s="60" t="str">
        <v>Joint D&amp;D</v>
      </c>
      <c r="AA124"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124" s="60">
        <v>0</v>
      </c>
      <c r="AC124" s="60">
        <v>0</v>
      </c>
      <c r="AD124" s="60">
        <v>0</v>
      </c>
      <c r="AE124" s="60">
        <v>0</v>
      </c>
      <c r="AF124" s="60" t="str">
        <v>Perrone Robotics and Rampini announce Partnership to Provide Automated 6-meter Electric Buses</v>
      </c>
      <c r="AG124" s="60">
        <v>0</v>
      </c>
      <c r="AO124" t="b">
        <f t="shared" si="16"/>
        <v>1</v>
      </c>
      <c r="AQ124" t="str">
        <v>Charging System</v>
      </c>
      <c r="AR124" s="100">
        <f t="shared" si="14"/>
        <v>1</v>
      </c>
      <c r="AS124" s="101">
        <f t="shared" si="17"/>
        <v>1.0752688172043012E-2</v>
      </c>
      <c r="AV124" t="str">
        <v>Charging System</v>
      </c>
      <c r="AW124">
        <f t="shared" si="15"/>
        <v>1</v>
      </c>
      <c r="AX124" s="101">
        <f t="shared" si="18"/>
        <v>1.4705882352941176E-2</v>
      </c>
      <c r="AZ124" t="str">
        <v>Charging System</v>
      </c>
      <c r="BA124">
        <f t="shared" si="19"/>
        <v>0</v>
      </c>
      <c r="BB124" s="101">
        <f t="shared" si="20"/>
        <v>0</v>
      </c>
      <c r="BD124" s="55"/>
      <c r="BE124" s="55"/>
      <c r="BF124" s="55"/>
    </row>
    <row r="125" spans="1:58" x14ac:dyDescent="0.35">
      <c r="A125" s="60" t="str">
        <v>https://www.perronerobotics.com/news/perrone-robotics-and-tropos-technologies-announce-partnership-to-develop-fully-autonomous-electric-compact-utility-vehicles</v>
      </c>
      <c r="B125" s="60" t="str">
        <v>2021, 8, 17</v>
      </c>
      <c r="C125" s="105">
        <v>44425</v>
      </c>
      <c r="D125" s="60" t="str">
        <v>Perrone Robotics and Tropos Technologies Announce Partnership to Develop Fully Autonomous Electric Compact Utility Vehicles</v>
      </c>
      <c r="E125" s="60" t="str">
        <v>Perrone Robotics</v>
      </c>
      <c r="F125" s="60" t="str">
        <v>L1</v>
      </c>
      <c r="G125" s="60" t="str">
        <v>Perrone Robotics-SAV</v>
      </c>
      <c r="H125" s="60" t="str">
        <v>SAV</v>
      </c>
      <c r="I125" s="60" t="str">
        <v>Ridepooling</v>
      </c>
      <c r="J125" s="60" t="str">
        <v>Ridepooling</v>
      </c>
      <c r="K125" s="60" t="str">
        <v>Tropos Technologies</v>
      </c>
      <c r="L125" s="60" t="str">
        <v>Tropos Technologies</v>
      </c>
      <c r="M125" s="60">
        <v>0</v>
      </c>
      <c r="N125" s="60">
        <v>0</v>
      </c>
      <c r="O125"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125" s="60" t="str">
        <v>today announced a partnership to produce a series of fully autonomous, electric low speed vehicles (e-LSVs) and trucks.
Future platforms in development will include a series of emergency and first-responder solutions that will be available later this year.</v>
      </c>
      <c r="Q125" s="60" t="str">
        <v>Strategic Alliance</v>
      </c>
      <c r="R125" s="60" t="str">
        <v>n.a.</v>
      </c>
      <c r="S125" s="60" t="str">
        <v>Product cooperation</v>
      </c>
      <c r="T125" s="60" t="str">
        <v>-</v>
      </c>
      <c r="U125" s="60" t="str">
        <v>-</v>
      </c>
      <c r="V125" s="60" t="str">
        <v>-</v>
      </c>
      <c r="W125" s="60" t="str">
        <v>2.1. Short term Alliance (no exclusivity / previous experience)</v>
      </c>
      <c r="X125" s="60">
        <v>0</v>
      </c>
      <c r="Y125"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125" s="60" t="str">
        <v>Joint D&amp;D</v>
      </c>
      <c r="AA125"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125" s="60" t="str">
        <v>Licensing</v>
      </c>
      <c r="AC125" s="60" t="str">
        <v>The partnership will include the delivery of Perrone's reliable core TONY autonomous vehicle driverless system, the licensing of software, and the provision of related services.</v>
      </c>
      <c r="AD125" s="60">
        <v>0</v>
      </c>
      <c r="AE125" s="60">
        <v>0</v>
      </c>
      <c r="AF125" s="60" t="str">
        <v>Perrone Robotics and Tropos Technologies Announce Partnership to Develop Fully Autonomous Electric Compact Utility Vehicles</v>
      </c>
      <c r="AG125" s="60">
        <v>0</v>
      </c>
      <c r="AO125" t="b">
        <f t="shared" si="16"/>
        <v>1</v>
      </c>
      <c r="AQ125" t="str">
        <v>Logistics</v>
      </c>
      <c r="AR125" s="100">
        <f t="shared" si="14"/>
        <v>1</v>
      </c>
      <c r="AS125" s="101">
        <f t="shared" si="17"/>
        <v>1.0752688172043012E-2</v>
      </c>
      <c r="AV125" t="str">
        <v>Logistics</v>
      </c>
      <c r="AW125">
        <f t="shared" si="15"/>
        <v>0</v>
      </c>
      <c r="AX125" s="101">
        <f t="shared" si="18"/>
        <v>0</v>
      </c>
      <c r="AZ125" t="str">
        <v>Logistics</v>
      </c>
      <c r="BA125">
        <f t="shared" si="19"/>
        <v>1</v>
      </c>
      <c r="BB125" s="101">
        <f t="shared" si="20"/>
        <v>0.04</v>
      </c>
      <c r="BD125" s="55"/>
      <c r="BE125" s="55"/>
      <c r="BF125" s="55"/>
    </row>
    <row r="126" spans="1:58" x14ac:dyDescent="0.35">
      <c r="A126" s="60" t="str">
        <v>https://www.perronerobotics.com/news/greenpower-partners-with-perrone-robotics-jta-to-win-innovative-solutions-award-for-autonomous-vehicles</v>
      </c>
      <c r="B126" s="60" t="str">
        <v>2021, 11, 9</v>
      </c>
      <c r="C126" s="105">
        <v>44205</v>
      </c>
      <c r="D126" s="60" t="str">
        <v>GreenPower Partners with Perrone Robotics, JTA to Win Innovative Solutions Award for Autonomous Vehicles</v>
      </c>
      <c r="E126" s="60" t="str">
        <v>Perrone Robotics</v>
      </c>
      <c r="F126" s="60" t="str">
        <v>L1</v>
      </c>
      <c r="G126" s="60" t="str">
        <v>Perrone Robotics-SAV</v>
      </c>
      <c r="H126" s="60" t="str">
        <v>SAV</v>
      </c>
      <c r="I126" s="60" t="str">
        <v>Ridepooling</v>
      </c>
      <c r="J126" s="60" t="str">
        <v>Ridepooling</v>
      </c>
      <c r="K126" s="60" t="str">
        <v>GreenPower;JTA</v>
      </c>
      <c r="L126" s="60" t="str">
        <v>GreenPower</v>
      </c>
      <c r="M126" s="60" t="str">
        <v>JTA</v>
      </c>
      <c r="N126" s="60">
        <v>0</v>
      </c>
      <c r="O126"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126"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126" s="60" t="str">
        <v>Strategic Alliance</v>
      </c>
      <c r="R126" s="60" t="str">
        <v>n.a.</v>
      </c>
      <c r="S126" s="60" t="str">
        <v>Financing</v>
      </c>
      <c r="T126" s="60" t="str">
        <v>Short term - 6 months</v>
      </c>
      <c r="U126" s="60" t="str">
        <v>-</v>
      </c>
      <c r="V126" s="60" t="str">
        <v>-</v>
      </c>
      <c r="W126" s="60" t="str">
        <v>2.1. Short term Alliance (no exclusivity / previous experience)</v>
      </c>
      <c r="X126" s="60">
        <v>0</v>
      </c>
      <c r="Y126"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126" s="60" t="str">
        <v>Joint D&amp;D</v>
      </c>
      <c r="AA126"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126" s="60">
        <v>0</v>
      </c>
      <c r="AC126" s="60">
        <v>0</v>
      </c>
      <c r="AD126" s="60">
        <v>0</v>
      </c>
      <c r="AE126" s="60">
        <v>0</v>
      </c>
      <c r="AF126" s="60" t="str">
        <v>GreenPower Partners with Perrone Robotics, JTA to Win Innovative Solutions Award for Autonomous Vehicles</v>
      </c>
      <c r="AG126" s="60">
        <v>0</v>
      </c>
      <c r="AO126" t="b">
        <f t="shared" si="16"/>
        <v>1</v>
      </c>
      <c r="AQ126" t="str">
        <v>Rental Services</v>
      </c>
      <c r="AR126" s="100">
        <f t="shared" si="14"/>
        <v>1</v>
      </c>
      <c r="AS126" s="101">
        <f t="shared" si="17"/>
        <v>1.0752688172043012E-2</v>
      </c>
      <c r="AV126" t="str">
        <v>Rental Services</v>
      </c>
      <c r="AW126">
        <f t="shared" si="15"/>
        <v>0</v>
      </c>
      <c r="AX126" s="101">
        <f t="shared" si="18"/>
        <v>0</v>
      </c>
      <c r="AZ126" t="str">
        <v>Rental Services</v>
      </c>
      <c r="BA126">
        <f t="shared" si="19"/>
        <v>1</v>
      </c>
      <c r="BB126" s="101">
        <f t="shared" si="20"/>
        <v>0.04</v>
      </c>
      <c r="BD126" s="55"/>
      <c r="BE126" s="55"/>
      <c r="BF126" s="55"/>
    </row>
    <row r="127" spans="1:58" x14ac:dyDescent="0.35">
      <c r="A127" s="60" t="str">
        <v>https://www.perronerobotics.com/news/perrone-robotics-collaborates-with-uva-foundation-to-bring-autonomous-shuttle-service-to-north-fork</v>
      </c>
      <c r="B127" s="60" t="str">
        <v>2022, 12, 8</v>
      </c>
      <c r="C127" s="105">
        <v>44569</v>
      </c>
      <c r="D127" s="60" t="str">
        <v>Perrone Robotics Collaborates with UVA Foundation to Bring Autonomous Shuttle Service to North Fork</v>
      </c>
      <c r="E127" s="60" t="str">
        <v>Perrone Robotics</v>
      </c>
      <c r="F127" s="60" t="str">
        <v>L1</v>
      </c>
      <c r="G127" s="60" t="str">
        <v>Perrone Robotics-SAV</v>
      </c>
      <c r="H127" s="60" t="str">
        <v>SAV</v>
      </c>
      <c r="I127" s="60" t="str">
        <v>Ridepooling</v>
      </c>
      <c r="J127" s="60" t="str">
        <v>Ridepooling</v>
      </c>
      <c r="K127" s="60" t="str">
        <v>UVA Foundation</v>
      </c>
      <c r="L127" s="60" t="str">
        <v>UVA Foundation</v>
      </c>
      <c r="M127" s="60">
        <v>0</v>
      </c>
      <c r="N127" s="60">
        <v>0</v>
      </c>
      <c r="O127"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127"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127" s="60" t="str">
        <v>Strategic Alliance</v>
      </c>
      <c r="R127" s="60" t="str">
        <v>n.a.</v>
      </c>
      <c r="S127" s="60" t="str">
        <v>Research cooperation</v>
      </c>
      <c r="T127" s="60" t="str">
        <v>Long term - min 12 months</v>
      </c>
      <c r="U127" s="60" t="str">
        <v>-</v>
      </c>
      <c r="V127" s="60" t="str">
        <v>-</v>
      </c>
      <c r="W127" s="60" t="str">
        <v>2.3. Long term Alliance</v>
      </c>
      <c r="X127" s="60">
        <v>0</v>
      </c>
      <c r="Y127"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127" s="60" t="str">
        <v>Other</v>
      </c>
      <c r="AA127"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127" s="60">
        <v>0</v>
      </c>
      <c r="AC127" s="60">
        <v>0</v>
      </c>
      <c r="AD127" s="60">
        <v>0</v>
      </c>
      <c r="AE127" s="60">
        <v>0</v>
      </c>
      <c r="AF127" s="60" t="str">
        <v>Perrone Robotics Collaborates with UVA Foundation to Bring Autonomous Shuttle Service to North Fork</v>
      </c>
      <c r="AG127" s="60">
        <v>0</v>
      </c>
      <c r="AO127" t="b">
        <f t="shared" si="16"/>
        <v>1</v>
      </c>
      <c r="AQ127" t="str">
        <v>Food &amp; Beverage</v>
      </c>
      <c r="AR127" s="100">
        <f t="shared" si="14"/>
        <v>1</v>
      </c>
      <c r="AS127" s="101">
        <f t="shared" si="17"/>
        <v>1.0752688172043012E-2</v>
      </c>
      <c r="AV127" t="str">
        <v>Food &amp; Beverage</v>
      </c>
      <c r="AW127">
        <f t="shared" si="15"/>
        <v>1</v>
      </c>
      <c r="AX127" s="101">
        <f t="shared" si="18"/>
        <v>1.4705882352941176E-2</v>
      </c>
      <c r="AZ127" t="str">
        <v>Food &amp; Beverage</v>
      </c>
      <c r="BA127">
        <f t="shared" si="19"/>
        <v>0</v>
      </c>
      <c r="BB127" s="101">
        <f t="shared" si="20"/>
        <v>0</v>
      </c>
      <c r="BD127" s="55"/>
      <c r="BE127" s="55"/>
      <c r="BF127" s="55"/>
    </row>
    <row r="128" spans="1:58" x14ac:dyDescent="0.35">
      <c r="A128" s="60" t="str">
        <v>https://www.perronerobotics.com/news/revolutionizing-transportation-perrone-robotics-unveils-historic-collaboration-with-e-charger-systems-revealed-at-sema-2023</v>
      </c>
      <c r="B128" s="60" t="str">
        <v>2023, 11, 1</v>
      </c>
      <c r="C128" s="105">
        <v>44927</v>
      </c>
      <c r="D128" s="60" t="str">
        <v>Revolutionizing Transportation: Perrone Robotics Unveils Historic Collaboration with E Charger Systems - Revealed at SEMA 2023</v>
      </c>
      <c r="E128" s="60" t="str">
        <v>Perrone Robotics</v>
      </c>
      <c r="F128" s="60" t="str">
        <v>L1</v>
      </c>
      <c r="G128" s="60" t="str">
        <v>Perrone Robotics-SAV</v>
      </c>
      <c r="H128" s="60" t="str">
        <v>SAV</v>
      </c>
      <c r="I128" s="60" t="str">
        <v>Ridepooling</v>
      </c>
      <c r="J128" s="60" t="str">
        <v>Ridepooling</v>
      </c>
      <c r="K128" s="60" t="str">
        <v>E Charger Systems</v>
      </c>
      <c r="L128" s="60" t="str">
        <v>E Charger Systems</v>
      </c>
      <c r="M128" s="60">
        <v>0</v>
      </c>
      <c r="N128" s="60">
        <v>0</v>
      </c>
      <c r="O128"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128"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128" s="60" t="str">
        <v>Strategic Alliance</v>
      </c>
      <c r="R128" s="60" t="str">
        <v>n.a.</v>
      </c>
      <c r="S128" s="60" t="str">
        <v>Product cooperation</v>
      </c>
      <c r="T128" s="60" t="str">
        <v>-</v>
      </c>
      <c r="U128" s="60" t="str">
        <v>Yes</v>
      </c>
      <c r="V128" s="60" t="str">
        <v>-</v>
      </c>
      <c r="W128" s="60" t="str">
        <v xml:space="preserve">2.2. Renewed Alliance </v>
      </c>
      <c r="X128" s="60">
        <v>0</v>
      </c>
      <c r="Y128"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128" s="60" t="str">
        <v>Joint D&amp;D</v>
      </c>
      <c r="AA128"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128" s="60">
        <v>0</v>
      </c>
      <c r="AC128" s="60">
        <v>0</v>
      </c>
      <c r="AD128" s="60">
        <v>0</v>
      </c>
      <c r="AE128" s="60">
        <v>0</v>
      </c>
      <c r="AF128" s="60" t="str">
        <v>Revolutionizing Transportation: Perrone Robotics Unveils Historic Collaboration with E Charger Systems - Revealed at SEMA 2023</v>
      </c>
      <c r="AG128" s="60">
        <v>0</v>
      </c>
      <c r="AO128" t="b">
        <f t="shared" si="16"/>
        <v>1</v>
      </c>
      <c r="AR128" s="100">
        <f t="shared" si="14"/>
        <v>0</v>
      </c>
      <c r="AS128" s="101">
        <f t="shared" si="17"/>
        <v>0</v>
      </c>
      <c r="AW128">
        <f t="shared" si="15"/>
        <v>0</v>
      </c>
      <c r="AX128" s="101">
        <f t="shared" si="18"/>
        <v>0</v>
      </c>
      <c r="BA128">
        <f t="shared" si="19"/>
        <v>0</v>
      </c>
      <c r="BB128" s="101">
        <f t="shared" si="20"/>
        <v>0</v>
      </c>
      <c r="BD128" s="55"/>
      <c r="BE128" s="55"/>
      <c r="BF128" s="55"/>
    </row>
    <row r="129" spans="1:58" x14ac:dyDescent="0.35">
      <c r="A129" s="60" t="str">
        <v>https://www.businesswire.com/news/home/20230804774136/en/Pony.ai-and-Toyota-to-Form-Joint-Venture-to-Advance-Mass-Production-of-L4-Autonomous-Vehicles</v>
      </c>
      <c r="B129" s="60" t="str">
        <v>2023, 8, 4</v>
      </c>
      <c r="C129" s="105">
        <v>45142</v>
      </c>
      <c r="D129" s="60" t="str">
        <v>Pony.ai and Toyota to Form Joint Venture to Advance Mass Production of L4 Autonomous Vehicles</v>
      </c>
      <c r="E129" s="60" t="str">
        <v>Pony.ai</v>
      </c>
      <c r="F129" s="60" t="str">
        <v>L1</v>
      </c>
      <c r="G129" s="60" t="str">
        <v>Pony.ai-SAV</v>
      </c>
      <c r="H129" s="60" t="str">
        <v>SAV</v>
      </c>
      <c r="I129" s="60" t="str">
        <v>Ridehailing</v>
      </c>
      <c r="J129" s="60" t="str">
        <v>Ridehailing</v>
      </c>
      <c r="K129" s="60" t="str">
        <v>Toyota</v>
      </c>
      <c r="L129" s="60" t="str">
        <v>Toyota</v>
      </c>
      <c r="M129" s="60">
        <v>0</v>
      </c>
      <c r="N129" s="60">
        <v>0</v>
      </c>
      <c r="O129"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129"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129" s="60" t="str">
        <v>Joint Venture</v>
      </c>
      <c r="R129" s="60" t="str">
        <v>Yes</v>
      </c>
      <c r="S129" s="60" t="str">
        <v>Product cooperation</v>
      </c>
      <c r="T129" s="60" t="str">
        <v>-</v>
      </c>
      <c r="U129" s="60" t="str">
        <v>Yes</v>
      </c>
      <c r="V129" s="60" t="str">
        <v>-</v>
      </c>
      <c r="W129" s="60" t="str">
        <v>4. Joint Venture</v>
      </c>
      <c r="X129" s="60">
        <v>0</v>
      </c>
      <c r="Y129" s="60" t="str">
        <v>It will provide the capacity for scaled-up robotaxi services, encourage the full commercialization of advanced autonomous mobility, and drive the development of the entire industry into a new stage.</v>
      </c>
      <c r="Z129" s="60" t="str">
        <v>Joint D&amp;D</v>
      </c>
      <c r="AA129" s="60" t="str">
        <v>It will provide the capacity for scaled-up robotaxi services, encourage the full commercialization of advanced autonomous mobility, and drive the development of the entire industry into a new stage.</v>
      </c>
      <c r="AB129" s="60" t="str">
        <v>Supply Partnership (traditional)</v>
      </c>
      <c r="AC129"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129" s="60">
        <v>0</v>
      </c>
      <c r="AE129" s="60">
        <v>0</v>
      </c>
      <c r="AF129" s="60" t="str">
        <v xml:space="preserve">Pony.ai and Toyota to Form Joint Venture </v>
      </c>
      <c r="AG129" s="60" t="str">
        <v>to Advance Mass Production of L4 Autonomous Vehicles</v>
      </c>
    </row>
    <row r="130" spans="1:58" x14ac:dyDescent="0.35">
      <c r="A130" s="60" t="str">
        <v>https://www.globenewswire.com/news-release/2020/01/06/1966657/0/en/ON-Semiconductor-and-Pony-ai-Collaboration-on-Next-Gen-Image-Sensing-and-Processing-Technologies-for-Autonomous-Vehicles.html</v>
      </c>
      <c r="B130" s="60" t="str">
        <v>2020, 6, 1</v>
      </c>
      <c r="C130" s="105">
        <v>43983</v>
      </c>
      <c r="D130" s="60" t="str">
        <v>Onsemi and Pony.ai Collaboration on Next-Gen Image Sensing and Processing Technologies for Autonomous Vehicles</v>
      </c>
      <c r="E130" s="60" t="str">
        <v>Pony.ai</v>
      </c>
      <c r="F130" s="60" t="str">
        <v>L1</v>
      </c>
      <c r="G130" s="60" t="str">
        <v>Pony.ai-SAV</v>
      </c>
      <c r="H130" s="60" t="str">
        <v>SAV</v>
      </c>
      <c r="I130" s="60" t="str">
        <v>Ridehailing</v>
      </c>
      <c r="J130" s="60" t="str">
        <v>Ridehailing</v>
      </c>
      <c r="K130" s="60" t="str">
        <v>Onsemi</v>
      </c>
      <c r="L130" s="60" t="str">
        <v>Onsemi</v>
      </c>
      <c r="M130" s="60">
        <v>0</v>
      </c>
      <c r="N130" s="60">
        <v>0</v>
      </c>
      <c r="O130"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130"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130" s="60" t="str">
        <v>Strategic Alliance</v>
      </c>
      <c r="R130" s="60" t="str">
        <v>n.a.</v>
      </c>
      <c r="S130" s="60" t="str">
        <v>Product cooperation</v>
      </c>
      <c r="T130" s="60" t="str">
        <v>-</v>
      </c>
      <c r="U130" s="60" t="str">
        <v>-</v>
      </c>
      <c r="V130" s="60" t="str">
        <v>-</v>
      </c>
      <c r="W130" s="60" t="str">
        <v>2.1. Short term Alliance (no exclusivity / previous experience)</v>
      </c>
      <c r="X130" s="60">
        <v>0</v>
      </c>
      <c r="Y130"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130" s="60" t="str">
        <v>Supply Partnership (traditional)</v>
      </c>
      <c r="AA130"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130" s="60" t="str">
        <v>Joint D&amp;D</v>
      </c>
      <c r="AC130" s="60" t="str">
        <v>announced today that they will collaborate on developing next-generation image sensing and processing technologies for machine vision to enhance the reliability and scalability of mass-produced autonomous vehicles.</v>
      </c>
      <c r="AD130" s="60">
        <v>0</v>
      </c>
      <c r="AE130" s="60">
        <v>0</v>
      </c>
      <c r="AF130" s="60" t="str">
        <v xml:space="preserve">Onsemi and Pony.ai Collaboration on </v>
      </c>
      <c r="AG130" s="60" t="str">
        <v>Next-Gen Image Sensing and Processing Technologies for Autonomous Vehicles</v>
      </c>
    </row>
    <row r="131" spans="1:58" x14ac:dyDescent="0.35">
      <c r="A131" s="60" t="str">
        <v>https://www.businesswire.com/news/home/20230109005725/en/Pony.ai-and-Horizon-Robotics-Partner-to-Create-a-Comprehensive-Smart-Driving-Solution-for-OEMs</v>
      </c>
      <c r="B131" s="60" t="str">
        <v>2023, 1, 9</v>
      </c>
      <c r="C131" s="105">
        <v>44935</v>
      </c>
      <c r="D131" s="60" t="str">
        <v>Pony.ai and Horizon Robotics Partner to Create a Comprehensive Smart Driving Solution for OEMs</v>
      </c>
      <c r="E131" s="60" t="str">
        <v>Pony.ai</v>
      </c>
      <c r="F131" s="60" t="str">
        <v>L1</v>
      </c>
      <c r="G131" s="60" t="str">
        <v>Pony.ai-SAV</v>
      </c>
      <c r="H131" s="60" t="str">
        <v>SAV</v>
      </c>
      <c r="I131" s="60" t="str">
        <v>Ridehailing</v>
      </c>
      <c r="J131" s="60" t="str">
        <v>Ridehailing</v>
      </c>
      <c r="K131" s="60" t="str">
        <v>Horizon Robotics</v>
      </c>
      <c r="L131" s="60" t="str">
        <v>Horizon Robotics</v>
      </c>
      <c r="M131" s="60">
        <v>0</v>
      </c>
      <c r="N131" s="60">
        <v>0</v>
      </c>
      <c r="O131"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131" s="60" t="str">
        <v xml:space="preserve">The partnership combines Pony.ai's industry-leading L2++ smart driving solution with Horizon Robotics' Journey series auto-grade processors to provide smart driving solutions for series production vehicles. </v>
      </c>
      <c r="Q131" s="60" t="str">
        <v>Strategic Alliance</v>
      </c>
      <c r="R131" s="60" t="str">
        <v>n.a.</v>
      </c>
      <c r="S131" s="60" t="str">
        <v>Product cooperation</v>
      </c>
      <c r="T131" s="60" t="str">
        <v>-</v>
      </c>
      <c r="U131" s="60" t="str">
        <v>-</v>
      </c>
      <c r="V131" s="60" t="str">
        <v>-</v>
      </c>
      <c r="W131" s="60" t="str">
        <v>2.1. Short term Alliance (no exclusivity / previous experience)</v>
      </c>
      <c r="X131" s="60">
        <v>0</v>
      </c>
      <c r="Y131"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131" s="60" t="str">
        <v>Joint D&amp;D</v>
      </c>
      <c r="AA131" s="60" t="str">
        <v xml:space="preserve">The partnership combines Pony.ai's industry-leading L2++ smart driving solution with Horizon Robotics' Journey series auto-grade processors to provide smart driving solutions for series production vehicles. </v>
      </c>
      <c r="AB131" s="60" t="str">
        <v>Supply Partnership (traditional)</v>
      </c>
      <c r="AC131"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131" s="60">
        <v>0</v>
      </c>
      <c r="AE131" s="60">
        <v>0</v>
      </c>
      <c r="AF131" s="60" t="str">
        <v xml:space="preserve">Pony.ai and Horizon Robotics Partner to </v>
      </c>
      <c r="AG131" s="60" t="str">
        <v>Create a Comprehensive Smart Driving Solution for OEMs</v>
      </c>
      <c r="BD131" s="55"/>
      <c r="BE131" s="55"/>
      <c r="BF131" s="55"/>
    </row>
    <row r="132" spans="1:58" x14ac:dyDescent="0.35">
      <c r="A132" s="60" t="str">
        <v>https://www.globenewswire.com/news-release/2019/08/26/1906248/0/en/Pony-ai-collaborates-with-Toyota-for-future-of-autonomous-mobility.html</v>
      </c>
      <c r="B132" s="60" t="str">
        <v>2019, 8, 26</v>
      </c>
      <c r="C132" s="105">
        <v>43703</v>
      </c>
      <c r="D132" s="60" t="str">
        <v>Pony.ai collaborates with Toyota for future of autonomous mobility</v>
      </c>
      <c r="E132" s="60" t="str">
        <v>Pony.ai</v>
      </c>
      <c r="F132" s="60" t="str">
        <v>L1</v>
      </c>
      <c r="G132" s="60" t="str">
        <v>Pony.ai-SAV</v>
      </c>
      <c r="H132" s="60" t="str">
        <v>SAV</v>
      </c>
      <c r="I132" s="60" t="str">
        <v>Ridehailing</v>
      </c>
      <c r="J132" s="60" t="str">
        <v>Ridehailing</v>
      </c>
      <c r="K132" s="60" t="str">
        <v>Toyota</v>
      </c>
      <c r="L132" s="60" t="str">
        <v>Toyota</v>
      </c>
      <c r="M132" s="60">
        <v>0</v>
      </c>
      <c r="N132" s="60">
        <v>0</v>
      </c>
      <c r="O132"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132" s="60" t="str">
        <v>Pony.ai and Toyota are teaming up on an autonomous driving pilot to accelerate the development and deployment of autonomous vehicles. Together, the companies will explore a variety of possibilities to provide safe mobility services for all.</v>
      </c>
      <c r="Q132" s="60" t="str">
        <v>Strategic Alliance</v>
      </c>
      <c r="R132" s="60" t="str">
        <v>n.a.</v>
      </c>
      <c r="S132" s="60" t="str">
        <v>Product cooperation</v>
      </c>
      <c r="T132" s="60" t="str">
        <v>-</v>
      </c>
      <c r="U132" s="60" t="str">
        <v>-</v>
      </c>
      <c r="V132" s="60" t="str">
        <v>-</v>
      </c>
      <c r="W132" s="60" t="str">
        <v>2.1. Short term Alliance (no exclusivity / previous experience)</v>
      </c>
      <c r="X132" s="60">
        <v>0</v>
      </c>
      <c r="Y132" s="60" t="str">
        <v>Pony.ai and Toyota are teaming up on an autonomous driving pilot to accelerate the development and deployment of autonomous vehicles. Together, the companies will explore a variety of possibilities to provide safe mobility services for all.</v>
      </c>
      <c r="Z132" s="60" t="str">
        <v>Research &amp; Collaboration</v>
      </c>
      <c r="AA132" s="60" t="str">
        <v>Pony.ai and Toyota are teaming up on an autonomous driving pilot to accelerate the development and deployment of autonomous vehicles. Together, the companies will explore a variety of possibilities to provide safe mobility services for all</v>
      </c>
      <c r="AB132" s="60">
        <v>0</v>
      </c>
      <c r="AC132" s="60">
        <v>0</v>
      </c>
      <c r="AD132" s="60">
        <v>0</v>
      </c>
      <c r="AE132" s="60">
        <v>0</v>
      </c>
      <c r="AF132" s="60" t="str">
        <v>Pony.ai collaborates with Toyota for future of autonomous mobility</v>
      </c>
      <c r="AG132" s="60">
        <v>0</v>
      </c>
      <c r="AP132" s="59" t="s">
        <v>3</v>
      </c>
      <c r="AT132" s="59" t="s">
        <v>3</v>
      </c>
      <c r="AX132" s="59" t="s">
        <v>3</v>
      </c>
      <c r="BD132" s="55"/>
      <c r="BE132" s="55"/>
      <c r="BF132" s="55"/>
    </row>
    <row r="133" spans="1:58" x14ac:dyDescent="0.35">
      <c r="A133" s="60" t="str">
        <v>https://www.reuters.com/article/us-autonomous-luminar-pony-ai/toyota-backed-self-driving-car-pony-ai-partners-with-luminar-idUSKBN2CR0ZY/</v>
      </c>
      <c r="B133" s="60" t="str">
        <v>2021, 5, 10</v>
      </c>
      <c r="C133" s="105">
        <v>44326</v>
      </c>
      <c r="D133" s="60" t="str">
        <v>Toyota-backed self-driving car Pony.ai partners with Luminar</v>
      </c>
      <c r="E133" s="60" t="str">
        <v>Pony.ai</v>
      </c>
      <c r="F133" s="60" t="str">
        <v>L1</v>
      </c>
      <c r="G133" s="60" t="str">
        <v>Pony.ai-SAV</v>
      </c>
      <c r="H133" s="60" t="str">
        <v>SAV</v>
      </c>
      <c r="I133" s="60" t="str">
        <v>Ridehailing</v>
      </c>
      <c r="J133" s="60" t="str">
        <v>Ridehailing</v>
      </c>
      <c r="K133" s="60" t="str">
        <v>Luminar</v>
      </c>
      <c r="L133" s="60" t="str">
        <v>Luminar</v>
      </c>
      <c r="M133" s="60">
        <v>0</v>
      </c>
      <c r="N133" s="60">
        <v>0</v>
      </c>
      <c r="O133"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133"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133" s="60" t="str">
        <v>Strategic Alliance</v>
      </c>
      <c r="R133" s="60" t="str">
        <v>n.a.</v>
      </c>
      <c r="S133" s="60" t="str">
        <v>Product integration</v>
      </c>
      <c r="T133" s="60" t="str">
        <v>Long term - min 2023</v>
      </c>
      <c r="U133" s="60" t="str">
        <v>-</v>
      </c>
      <c r="V133" s="60" t="str">
        <v>-</v>
      </c>
      <c r="W133" s="60" t="str">
        <v>2.3. Long term Alliance</v>
      </c>
      <c r="X133" s="60">
        <v>0</v>
      </c>
      <c r="Y133" s="60" t="str">
        <v>James Peng, Pony.ai CEO said the startup chose Luminar's Iris lidar for its performance but also as it can be integrated into the car better than traditional lidars.</v>
      </c>
      <c r="Z133" s="60" t="str">
        <v>Supply Partnership (traditional)</v>
      </c>
      <c r="AA133" s="60" t="str">
        <v>James Peng, Pony.ai CEO said the startup chose Luminar's Iris lidar for its performance but also as it can be integrated into the car better than traditional lidars.</v>
      </c>
      <c r="AB133" s="60">
        <v>0</v>
      </c>
      <c r="AC133" s="60">
        <v>0</v>
      </c>
      <c r="AD133" s="60">
        <v>0</v>
      </c>
      <c r="AE133" s="60">
        <v>0</v>
      </c>
      <c r="AF133" s="60" t="str">
        <v>Toyota-backed self-driving car Pony.ai partners with Luminar</v>
      </c>
      <c r="AG133" s="60">
        <v>0</v>
      </c>
      <c r="AO133" t="b">
        <f>EXACT(AQ133,SUM(AU133,AY133))</f>
        <v>1</v>
      </c>
      <c r="AP133" t="str" cm="1">
        <f t="array" ref="AP133:AP139">_xlfn.UNIQUE(W73:W153)</f>
        <v xml:space="preserve">2.2. Renewed Alliance </v>
      </c>
      <c r="AQ133">
        <f>COUNTIF($W$73:$W$155,$AP133)</f>
        <v>11</v>
      </c>
      <c r="AR133" s="58">
        <f t="shared" ref="AR133:AR139" si="21">AQ133/SUM($AQ$133:$AQ$140)</f>
        <v>0.13253012048192772</v>
      </c>
      <c r="AT133" s="58" t="str" cm="1">
        <f t="array" ref="AT133:AT139">_xlfn.UNIQUE(W73:W153)</f>
        <v xml:space="preserve">2.2. Renewed Alliance </v>
      </c>
      <c r="AU133">
        <f>COUNTIFS($J$73:$J$155,$E$8,$W$73:$W$155,$AT133)</f>
        <v>10</v>
      </c>
      <c r="AV133" s="58">
        <f t="shared" ref="AV133:AV139" si="22">AU133/SUM($AU$133:$AU$140)</f>
        <v>0.16949152542372881</v>
      </c>
      <c r="AX133" s="58" t="str" cm="1">
        <f t="array" ref="AX133:AX139">_xlfn.UNIQUE(W73:W153)</f>
        <v xml:space="preserve">2.2. Renewed Alliance </v>
      </c>
      <c r="AY133">
        <f>COUNTIFS($J$73:$J$155,$I$8,$W$73:$W$155,$AX133)</f>
        <v>1</v>
      </c>
      <c r="AZ133" s="58">
        <f t="shared" ref="AZ133:AZ139" si="23">AY133/SUM($AY$133:$AY$140)</f>
        <v>4.1666666666666664E-2</v>
      </c>
      <c r="BD133" s="55"/>
      <c r="BE133" s="55"/>
      <c r="BF133" s="55"/>
    </row>
    <row r="134" spans="1:58" x14ac:dyDescent="0.35">
      <c r="A134" s="60" t="str">
        <v>https://www.businesswire.com/news/home/20220104005793/en/Autonomous-Trucking-Milestone-Pony.ai-Forms-Joint-Venture-with-Sinotrans-One-of-China%E2%80%99s-Leading-Logistics-Firms-to-Further-Deployment-of-Autonomous-Driving-Technologies</v>
      </c>
      <c r="B134" s="60" t="str">
        <v>2022, 1, 4</v>
      </c>
      <c r="C134" s="105">
        <v>44565</v>
      </c>
      <c r="D134" s="60" t="str">
        <v>Autonomous Trucking Milestone: Pony.ai Forms Joint Venture with Sinotrans, One of China's Leading Logistics Firms, to Further Deployment of Autonomous Driving Technologies</v>
      </c>
      <c r="E134" s="60" t="str">
        <v>Pony.ai</v>
      </c>
      <c r="F134" s="60" t="str">
        <v>L1</v>
      </c>
      <c r="G134" s="60" t="str">
        <v>Pony.ai-SAV</v>
      </c>
      <c r="H134" s="60" t="str">
        <v>SAV</v>
      </c>
      <c r="I134" s="60" t="str">
        <v>Ridehailing</v>
      </c>
      <c r="J134" s="60" t="str">
        <v>Ridehailing</v>
      </c>
      <c r="K134" s="60" t="str">
        <v>Sinotrans</v>
      </c>
      <c r="L134" s="60" t="str">
        <v>Sinotrans</v>
      </c>
      <c r="M134" s="60">
        <v>0</v>
      </c>
      <c r="N134" s="60">
        <v>0</v>
      </c>
      <c r="O134"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134"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134" s="60" t="str">
        <v>Joint Venture</v>
      </c>
      <c r="R134" s="60" t="str">
        <v>n.a.</v>
      </c>
      <c r="S134" s="60" t="str">
        <v>Product cooperation</v>
      </c>
      <c r="T134" s="60" t="str">
        <v>-</v>
      </c>
      <c r="U134" s="60" t="str">
        <v>Yes</v>
      </c>
      <c r="V134" s="60" t="str">
        <v>-</v>
      </c>
      <c r="W134" s="60" t="str">
        <v>4. Joint Venture</v>
      </c>
      <c r="X134" s="60">
        <v>0</v>
      </c>
      <c r="Y134" s="60" t="str">
        <v>The two companies will work together to build a smart logistics network featuring autonomous driving trucking technologies.</v>
      </c>
      <c r="Z134" s="60" t="str">
        <v>Joint D&amp;D</v>
      </c>
      <c r="AA134" s="60" t="str">
        <v>The two companies will work together to build a smart logistics network featuring autonomous driving trucking technologies.</v>
      </c>
      <c r="AB134" s="60">
        <v>0</v>
      </c>
      <c r="AC134" s="60">
        <v>0</v>
      </c>
      <c r="AD134" s="60">
        <v>0</v>
      </c>
      <c r="AE134" s="60">
        <v>0</v>
      </c>
      <c r="AF134" s="60" t="str">
        <v>Autonomous Trucking Milestone: Pony.ai Forms Joint Venture with Sinotrans, One of China's Leading Logistics Firms, to Further Deployment of Autonomous Driving Technologies</v>
      </c>
      <c r="AG134" s="60">
        <v>0</v>
      </c>
      <c r="AO134" t="b">
        <f t="shared" ref="AO134:AO139" si="24">EXACT(AQ134,SUM(AU134,AY134))</f>
        <v>1</v>
      </c>
      <c r="AP134" t="str">
        <v>2.4. Exclusive Alliance</v>
      </c>
      <c r="AQ134">
        <f t="shared" ref="AQ134:AQ139" si="25">COUNTIF($W$73:$W$155,$AP134)</f>
        <v>4</v>
      </c>
      <c r="AR134" s="58">
        <f t="shared" si="21"/>
        <v>4.8192771084337352E-2</v>
      </c>
      <c r="AT134" s="58" t="str">
        <v>2.4. Exclusive Alliance</v>
      </c>
      <c r="AU134">
        <f t="shared" ref="AU134:AU139" si="26">COUNTIFS($J$73:$J$155,$E$8,$W$73:$W$155,$AT134)</f>
        <v>1</v>
      </c>
      <c r="AV134" s="58">
        <f t="shared" si="22"/>
        <v>1.6949152542372881E-2</v>
      </c>
      <c r="AX134" t="str">
        <v>2.4. Exclusive Alliance</v>
      </c>
      <c r="AY134">
        <f t="shared" ref="AY134:AY139" si="27">COUNTIFS($J$73:$J$155,$I$8,$W$73:$W$155,$AX134)</f>
        <v>3</v>
      </c>
      <c r="AZ134" s="58">
        <f t="shared" si="23"/>
        <v>0.125</v>
      </c>
      <c r="BD134" s="55"/>
      <c r="BE134" s="55"/>
      <c r="BF134" s="55"/>
    </row>
    <row r="135" spans="1:58" x14ac:dyDescent="0.35">
      <c r="A135" s="60" t="str">
        <v>https://www.transdev.com/en/press-release/partnership-torc-autonomous-shuttle/</v>
      </c>
      <c r="B135" s="60" t="str">
        <v>2019, 1, 7</v>
      </c>
      <c r="C135" s="105">
        <v>43472</v>
      </c>
      <c r="D135" s="60" t="str">
        <v>Torc and Transdev partner to develop technology for i-Cristal, a shared and fully autonomous shuttle</v>
      </c>
      <c r="E135" s="60" t="str">
        <v>Transdev</v>
      </c>
      <c r="F135" s="60" t="str">
        <v>L3</v>
      </c>
      <c r="G135" s="60" t="str">
        <v>Transdev-SAV</v>
      </c>
      <c r="H135" s="60" t="str">
        <v>SAV</v>
      </c>
      <c r="I135" s="60" t="str">
        <v>Ridepooling</v>
      </c>
      <c r="J135" s="60" t="str">
        <v>Ridepooling</v>
      </c>
      <c r="K135" s="60" t="str">
        <v>Torc</v>
      </c>
      <c r="L135" s="60" t="str">
        <v>Torc</v>
      </c>
      <c r="M135" s="60">
        <v>0</v>
      </c>
      <c r="N135" s="60">
        <v>0</v>
      </c>
      <c r="O135"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35"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35" s="60" t="str">
        <v>Strategic Alliance</v>
      </c>
      <c r="R135" s="60" t="str">
        <v>n.a.</v>
      </c>
      <c r="S135" s="60" t="str">
        <v>Service integration</v>
      </c>
      <c r="T135" s="60" t="str">
        <v>-</v>
      </c>
      <c r="U135" s="60" t="str">
        <v>Yes</v>
      </c>
      <c r="V135" s="60" t="str">
        <v>-</v>
      </c>
      <c r="W135" s="60" t="str">
        <v xml:space="preserve">2.2. Renewed Alliance </v>
      </c>
      <c r="X135" s="60">
        <v>0</v>
      </c>
      <c r="Y135"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35" s="60" t="str">
        <v>Joint Service Agreement</v>
      </c>
      <c r="AA135"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35" s="60" t="str">
        <v>Research &amp; Collaboration</v>
      </c>
      <c r="AC135" s="60" t="str">
        <v>The partners have already begun testing on closed courses, while testing on public roads will proceed after obtaining successive safety authorizations and before providing public service trials in two locations in France: Paris-Saclay and Rouen.</v>
      </c>
      <c r="AD135" s="60">
        <v>0</v>
      </c>
      <c r="AE135" s="60">
        <v>0</v>
      </c>
      <c r="AF135" s="60" t="str">
        <v xml:space="preserve">Torc and Transdev partner to develop </v>
      </c>
      <c r="AG135" s="60" t="str">
        <v>technology for i-Cristal, a shared and fully autonomous shuttle</v>
      </c>
      <c r="AO135" t="b">
        <f t="shared" si="24"/>
        <v>1</v>
      </c>
      <c r="AP135" t="str">
        <v>3. Strategic Partnership</v>
      </c>
      <c r="AQ135">
        <f t="shared" si="25"/>
        <v>3</v>
      </c>
      <c r="AR135" s="58">
        <f t="shared" si="21"/>
        <v>3.614457831325301E-2</v>
      </c>
      <c r="AT135" t="str">
        <v>3. Strategic Partnership</v>
      </c>
      <c r="AU135">
        <f t="shared" si="26"/>
        <v>1</v>
      </c>
      <c r="AV135" s="58">
        <f t="shared" si="22"/>
        <v>1.6949152542372881E-2</v>
      </c>
      <c r="AX135" t="str">
        <v>3. Strategic Partnership</v>
      </c>
      <c r="AY135">
        <f t="shared" si="27"/>
        <v>2</v>
      </c>
      <c r="AZ135" s="58">
        <f t="shared" si="23"/>
        <v>8.3333333333333329E-2</v>
      </c>
      <c r="BD135" s="55"/>
      <c r="BE135" s="55"/>
      <c r="BF135" s="55"/>
    </row>
    <row r="136" spans="1:58" x14ac:dyDescent="0.35">
      <c r="A136" s="60" t="str">
        <v>https://www.transdev.com/en/sustainable-mobility/transdev-usa-partners-lavta-begin-testing-shared-autonomous-vehicle/</v>
      </c>
      <c r="B136" s="60" t="str">
        <v>2020, 7, 31</v>
      </c>
      <c r="C136" s="105">
        <v>44043</v>
      </c>
      <c r="D136" s="60" t="str">
        <v>Transdev USA partners with LAVTA to begin testing of its shared autonomous vehicle</v>
      </c>
      <c r="E136" s="60" t="str">
        <v>Transdev</v>
      </c>
      <c r="F136" s="60" t="str">
        <v>L3</v>
      </c>
      <c r="G136" s="60" t="str">
        <v>Transdev-SAV</v>
      </c>
      <c r="H136" s="60" t="str">
        <v>SAV</v>
      </c>
      <c r="I136" s="60" t="str">
        <v>Ridepooling</v>
      </c>
      <c r="J136" s="60" t="str">
        <v>Ridepooling</v>
      </c>
      <c r="K136" s="60" t="str">
        <v>LAVTA</v>
      </c>
      <c r="L136" s="60" t="str">
        <v>LAVTA</v>
      </c>
      <c r="M136" s="60">
        <v>0</v>
      </c>
      <c r="N136" s="60">
        <v>0</v>
      </c>
      <c r="O136"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136"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136" s="60" t="str">
        <v>Strategic Alliance</v>
      </c>
      <c r="R136" s="60" t="str">
        <v>n.a.</v>
      </c>
      <c r="S136" s="60" t="str">
        <v>One time - pilot</v>
      </c>
      <c r="T136" s="60" t="str">
        <v>-</v>
      </c>
      <c r="U136" s="60" t="str">
        <v>-</v>
      </c>
      <c r="V136" s="60" t="str">
        <v>-</v>
      </c>
      <c r="W136" s="60" t="str">
        <v>2.1. Short term Alliance (no exclusivity / previous experience)</v>
      </c>
      <c r="X136" s="60">
        <v>0</v>
      </c>
      <c r="Y136"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136" s="60" t="str">
        <v>Research &amp; Collaboration</v>
      </c>
      <c r="AA136" s="60" t="str">
        <v>When testing is complete, the SAV will improve mobility for riders by providing first- and last-mile solutions for passengers by connecting them between the Dublin/Pleasanton Bay Area Rapid Transit (BART) station and nearby locations.</v>
      </c>
      <c r="AB136" s="60">
        <v>0</v>
      </c>
      <c r="AC136" s="60">
        <v>0</v>
      </c>
      <c r="AD136" s="60">
        <v>0</v>
      </c>
      <c r="AE136" s="60">
        <v>0</v>
      </c>
      <c r="AF136" s="60" t="str">
        <v xml:space="preserve">Transdev USA partners with LAVTA to begin </v>
      </c>
      <c r="AG136" s="60" t="str">
        <v>testing of its shared autonomous vehicle</v>
      </c>
      <c r="AO136" t="b">
        <f t="shared" si="24"/>
        <v>1</v>
      </c>
      <c r="AP136" t="str">
        <v>4. Joint Venture</v>
      </c>
      <c r="AQ136">
        <f t="shared" si="25"/>
        <v>3</v>
      </c>
      <c r="AR136" s="58">
        <f t="shared" si="21"/>
        <v>3.614457831325301E-2</v>
      </c>
      <c r="AT136" t="str">
        <v>4. Joint Venture</v>
      </c>
      <c r="AU136">
        <f t="shared" si="26"/>
        <v>1</v>
      </c>
      <c r="AV136" s="58">
        <f t="shared" si="22"/>
        <v>1.6949152542372881E-2</v>
      </c>
      <c r="AX136" t="str">
        <v>4. Joint Venture</v>
      </c>
      <c r="AY136">
        <f t="shared" si="27"/>
        <v>2</v>
      </c>
      <c r="AZ136" s="58">
        <f t="shared" si="23"/>
        <v>8.3333333333333329E-2</v>
      </c>
      <c r="BD136" s="55"/>
      <c r="BE136" s="55"/>
      <c r="BF136" s="55"/>
    </row>
    <row r="137" spans="1:58" x14ac:dyDescent="0.35">
      <c r="A137" s="60" t="str">
        <v>https://www.transdev.com/en/press-release/transdev-and-delphi-announce-commercial-partnership-for-autonomous-transportation/</v>
      </c>
      <c r="B137" s="60" t="str">
        <v>2017, 6, 7</v>
      </c>
      <c r="C137" s="105">
        <v>42893</v>
      </c>
      <c r="D137" s="60" t="str">
        <v>Transdev and Delphi Announce Commercial Partnership for Autonomous Transportation</v>
      </c>
      <c r="E137" s="60" t="str">
        <v>Transdev</v>
      </c>
      <c r="F137" s="60" t="str">
        <v>L3</v>
      </c>
      <c r="G137" s="60" t="str">
        <v>Transdev-SAV</v>
      </c>
      <c r="H137" s="60" t="str">
        <v>SAV</v>
      </c>
      <c r="I137" s="60" t="str">
        <v>Ridepooling</v>
      </c>
      <c r="J137" s="60" t="str">
        <v>Ridepooling</v>
      </c>
      <c r="K137" s="60" t="str">
        <v>Delphi</v>
      </c>
      <c r="L137" s="60" t="str">
        <v>Delphi</v>
      </c>
      <c r="M137" s="60">
        <v>0</v>
      </c>
      <c r="N137" s="60">
        <v>0</v>
      </c>
      <c r="O137"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137"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137" s="60" t="str">
        <v>Strategic Alliance</v>
      </c>
      <c r="R137" s="60" t="str">
        <v>n.a.</v>
      </c>
      <c r="S137" s="60" t="str">
        <v>Product cooperation</v>
      </c>
      <c r="T137" s="60" t="str">
        <v>-</v>
      </c>
      <c r="U137" s="60" t="str">
        <v>-</v>
      </c>
      <c r="V137" s="60" t="str">
        <v>-</v>
      </c>
      <c r="W137" s="60" t="str">
        <v>2.1. Short term Alliance (no exclusivity / previous experience)</v>
      </c>
      <c r="X137" s="60">
        <v>0</v>
      </c>
      <c r="Y137" s="60" t="str">
        <v>"With Transdev's deep understanding of mobility operations, this collaboration will further strengthen our AMoD and data management capabilities, while expanding our automated driving platform to include a variety of different vehicle types.</v>
      </c>
      <c r="Z137" s="60" t="str">
        <v>Joint Service Agreement</v>
      </c>
      <c r="AA137" s="60" t="str">
        <v>"With Transdev's deep understanding of mobility operations, this collaboration will further strengthen our AMoD and data management capabilities, while expanding our automated driving platform to include a variety of different vehicle types.</v>
      </c>
      <c r="AB137" s="60">
        <v>0</v>
      </c>
      <c r="AC137" s="60">
        <v>0</v>
      </c>
      <c r="AD137" s="60">
        <v>0</v>
      </c>
      <c r="AE137" s="60">
        <v>0</v>
      </c>
      <c r="AF137" s="60" t="str">
        <v xml:space="preserve">Transdev and Delphi Announce Commercial Partnership </v>
      </c>
      <c r="AG137" s="60" t="str">
        <v>for Autonomous Transportation</v>
      </c>
      <c r="AO137" t="b">
        <f t="shared" si="24"/>
        <v>1</v>
      </c>
      <c r="AP137" t="str">
        <v>2.1. Short term Alliance (no exclusivity / previous experience)</v>
      </c>
      <c r="AQ137">
        <f t="shared" si="25"/>
        <v>44</v>
      </c>
      <c r="AR137" s="58">
        <f t="shared" si="21"/>
        <v>0.53012048192771088</v>
      </c>
      <c r="AT137" t="str">
        <v>2.1. Short term Alliance (no exclusivity / previous experience)</v>
      </c>
      <c r="AU137">
        <f t="shared" si="26"/>
        <v>30</v>
      </c>
      <c r="AV137" s="58">
        <f t="shared" si="22"/>
        <v>0.50847457627118642</v>
      </c>
      <c r="AX137" t="str">
        <v>2.1. Short term Alliance (no exclusivity / previous experience)</v>
      </c>
      <c r="AY137">
        <f t="shared" si="27"/>
        <v>14</v>
      </c>
      <c r="AZ137" s="58">
        <f t="shared" si="23"/>
        <v>0.58333333333333337</v>
      </c>
      <c r="BD137" s="55"/>
      <c r="BE137" s="55"/>
      <c r="BF137" s="55"/>
    </row>
    <row r="138" spans="1:58" x14ac:dyDescent="0.35">
      <c r="A138" s="60" t="str">
        <v>https://www.transdev.com/en/press-release/zf-partnership/</v>
      </c>
      <c r="B138" s="60" t="str">
        <v>2019, 1, 8</v>
      </c>
      <c r="C138" s="105">
        <v>43473</v>
      </c>
      <c r="D138" s="60" t="str">
        <v>Transdev, ZF and e.GO announce partnership to develop shared autonomous mobility</v>
      </c>
      <c r="E138" s="60" t="str">
        <v>Transdev</v>
      </c>
      <c r="F138" s="60" t="str">
        <v>L3</v>
      </c>
      <c r="G138" s="60" t="str">
        <v>Transdev-SAV</v>
      </c>
      <c r="H138" s="60" t="str">
        <v>SAV</v>
      </c>
      <c r="I138" s="60" t="str">
        <v>Ridepooling</v>
      </c>
      <c r="J138" s="60" t="str">
        <v>Ridepooling</v>
      </c>
      <c r="K138" s="60" t="str">
        <v>ZF;e.GO</v>
      </c>
      <c r="L138" s="60" t="str">
        <v>ZF</v>
      </c>
      <c r="M138" s="60" t="str">
        <v>e.GO</v>
      </c>
      <c r="N138" s="60">
        <v>0</v>
      </c>
      <c r="O138"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38" s="60" t="str">
        <v>The partners will start working together immediately to provide a fully functional solution by 2020, with priority markets in France and Germany.</v>
      </c>
      <c r="Q138" s="60" t="str">
        <v>Strategic Alliance</v>
      </c>
      <c r="R138" s="60" t="str">
        <v>n.a.</v>
      </c>
      <c r="S138" s="60" t="str">
        <v>Product cooperation</v>
      </c>
      <c r="T138" s="60" t="str">
        <v>Long term - &gt;1 year</v>
      </c>
      <c r="U138" s="60" t="str">
        <v>-</v>
      </c>
      <c r="V138" s="60" t="str">
        <v>-</v>
      </c>
      <c r="W138" s="60" t="str">
        <v>2.3. Long term Alliance</v>
      </c>
      <c r="X138" s="60">
        <v>0</v>
      </c>
      <c r="Y13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38" s="60" t="str">
        <v>Joint D&amp;D</v>
      </c>
      <c r="AA13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38" s="60">
        <v>0</v>
      </c>
      <c r="AC138" s="60">
        <v>0</v>
      </c>
      <c r="AD138" s="60">
        <v>0</v>
      </c>
      <c r="AE138" s="60">
        <v>0</v>
      </c>
      <c r="AF138" s="60" t="str">
        <v>Transdev, ZF and e.GO announce partnership to develop shared autonomous mobility</v>
      </c>
      <c r="AG138" s="60">
        <v>0</v>
      </c>
      <c r="AO138" t="b">
        <f t="shared" si="24"/>
        <v>1</v>
      </c>
      <c r="AP138" t="str">
        <v>2.3. Long term Alliance</v>
      </c>
      <c r="AQ138">
        <f t="shared" si="25"/>
        <v>16</v>
      </c>
      <c r="AR138" s="58">
        <f t="shared" si="21"/>
        <v>0.19277108433734941</v>
      </c>
      <c r="AT138" t="str">
        <v>2.3. Long term Alliance</v>
      </c>
      <c r="AU138">
        <f t="shared" si="26"/>
        <v>14</v>
      </c>
      <c r="AV138" s="58">
        <f t="shared" si="22"/>
        <v>0.23728813559322035</v>
      </c>
      <c r="AX138" t="str">
        <v>2.3. Long term Alliance</v>
      </c>
      <c r="AY138">
        <f t="shared" si="27"/>
        <v>2</v>
      </c>
      <c r="AZ138" s="58">
        <f t="shared" si="23"/>
        <v>8.3333333333333329E-2</v>
      </c>
      <c r="BD138" s="55"/>
      <c r="BE138" s="55"/>
      <c r="BF138" s="55"/>
    </row>
    <row r="139" spans="1:58" x14ac:dyDescent="0.35">
      <c r="A139" s="60" t="str">
        <v>https://www.uber.com/newsroom/uber-toyota-team-self-driving-cars/</v>
      </c>
      <c r="B139" s="60" t="str">
        <v>2018, 8, 27</v>
      </c>
      <c r="C139" s="105">
        <v>43339</v>
      </c>
      <c r="D139" s="60" t="str">
        <v>Uber and Toyota Team Up on Self-Driving Cars</v>
      </c>
      <c r="E139" s="60" t="str">
        <v>Uber</v>
      </c>
      <c r="F139" s="60" t="str">
        <v>L4</v>
      </c>
      <c r="G139" s="60" t="str">
        <v>Uber-SAV</v>
      </c>
      <c r="H139" s="60" t="str">
        <v>SAV</v>
      </c>
      <c r="I139" s="60" t="str">
        <v>Ridehailing</v>
      </c>
      <c r="J139" s="60" t="str">
        <v>Ridehailing</v>
      </c>
      <c r="K139" s="60" t="str">
        <v>Toyota</v>
      </c>
      <c r="L139" s="60" t="str">
        <v>Toyota</v>
      </c>
      <c r="M139" s="60">
        <v>0</v>
      </c>
      <c r="N139" s="60">
        <v>0</v>
      </c>
      <c r="O139"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139" s="60" t="str">
        <v>Our expanded partnership with Toyota signals our commitment to deploying self-driving technology at scale for our riders around the globe. We look forward to making progress in the years ahead with another strong partner by our side.</v>
      </c>
      <c r="Q139" s="60" t="str">
        <v>Strategic Alliance</v>
      </c>
      <c r="R139" s="60" t="str">
        <v>n.a.</v>
      </c>
      <c r="S139" s="60" t="str">
        <v>Product cooperation</v>
      </c>
      <c r="T139" s="60" t="str">
        <v>-</v>
      </c>
      <c r="U139" s="60" t="str">
        <v>Yes</v>
      </c>
      <c r="V139" s="60" t="str">
        <v>-</v>
      </c>
      <c r="W139" s="60" t="str">
        <v xml:space="preserve">2.2. Renewed Alliance </v>
      </c>
      <c r="X139" s="60">
        <v>0</v>
      </c>
      <c r="Y139"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139" s="60" t="str">
        <v>Supply Partnership (traditional)</v>
      </c>
      <c r="AA139"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139" s="60">
        <v>0</v>
      </c>
      <c r="AC139" s="60">
        <v>0</v>
      </c>
      <c r="AD139" s="60">
        <v>0</v>
      </c>
      <c r="AE139" s="60">
        <v>0</v>
      </c>
      <c r="AF139" s="60" t="str">
        <v>Uber and Toyota Team Up on Self-Driving Cars</v>
      </c>
      <c r="AG139" s="60">
        <v>0</v>
      </c>
      <c r="AO139" t="b">
        <f t="shared" si="24"/>
        <v>1</v>
      </c>
      <c r="AP139" t="str">
        <v>1. Informal Agreement</v>
      </c>
      <c r="AQ139">
        <f t="shared" si="25"/>
        <v>2</v>
      </c>
      <c r="AR139" s="58">
        <f t="shared" si="21"/>
        <v>2.4096385542168676E-2</v>
      </c>
      <c r="AT139" t="str">
        <v>1. Informal Agreement</v>
      </c>
      <c r="AU139">
        <f t="shared" si="26"/>
        <v>2</v>
      </c>
      <c r="AV139" s="58">
        <f t="shared" si="22"/>
        <v>3.3898305084745763E-2</v>
      </c>
      <c r="AX139" t="str">
        <v>1. Informal Agreement</v>
      </c>
      <c r="AY139">
        <f t="shared" si="27"/>
        <v>0</v>
      </c>
      <c r="AZ139" s="58">
        <f t="shared" si="23"/>
        <v>0</v>
      </c>
      <c r="BD139" s="55"/>
      <c r="BE139" s="55"/>
      <c r="BF139" s="55"/>
    </row>
    <row r="140" spans="1:58" x14ac:dyDescent="0.35">
      <c r="A140" s="60" t="str">
        <v>https://waymo.com/blog/2020/07/waymo-and-fiat-chrysler-automobiles-fca-expand-partnership/</v>
      </c>
      <c r="B140" s="60" t="str">
        <v>2020, 7, 22</v>
      </c>
      <c r="C140" s="105">
        <v>44034</v>
      </c>
      <c r="D140" s="60" t="str">
        <v>Waymo and Fiat Chrysler Automobiles (FCA) expand autonomous driving technology partnership</v>
      </c>
      <c r="E140" s="60" t="str">
        <v>Waymo</v>
      </c>
      <c r="F140" s="60" t="str">
        <v>L1</v>
      </c>
      <c r="G140" s="60" t="str">
        <v>Waymo-SAV</v>
      </c>
      <c r="H140" s="60" t="str">
        <v>SAV</v>
      </c>
      <c r="I140" s="60" t="str">
        <v>Ridehailing</v>
      </c>
      <c r="J140" s="60" t="str">
        <v>Ridehailing</v>
      </c>
      <c r="K140" s="60" t="str">
        <v>Fiat Chrysler Automobiles</v>
      </c>
      <c r="L140" s="60" t="str">
        <v>Fiat Chrysler Automobiles</v>
      </c>
      <c r="M140" s="60">
        <v>0</v>
      </c>
      <c r="N140" s="60">
        <v>0</v>
      </c>
      <c r="O140"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140" s="60" t="str">
        <v xml:space="preserve">Now, we're pleased to share that we've strengthened our partnership with FCA in several important ways.
FCA has selected Waymo as its exclusive, strategic technology partner for L4 fully self-driving technology across FCA's full product portfolio. </v>
      </c>
      <c r="Q140" s="60" t="str">
        <v>Strategic Alliance</v>
      </c>
      <c r="R140" s="60" t="str">
        <v>n.a.</v>
      </c>
      <c r="S140" s="60" t="str">
        <v>Product cooperation</v>
      </c>
      <c r="T140" s="60" t="str">
        <v>-</v>
      </c>
      <c r="U140" s="60" t="str">
        <v>Yes</v>
      </c>
      <c r="V140" s="60" t="str">
        <v>Yes</v>
      </c>
      <c r="W140" s="60" t="str">
        <v>2.4. Exclusive Alliance</v>
      </c>
      <c r="X140" s="60">
        <v>0</v>
      </c>
      <c r="Y140"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140" s="60" t="str">
        <v>Joint D&amp;D</v>
      </c>
      <c r="AA140"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140" s="60" t="str">
        <v>Research &amp; Collaboration</v>
      </c>
      <c r="AC140"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140" s="60">
        <v>0</v>
      </c>
      <c r="AE140" s="60">
        <v>0</v>
      </c>
      <c r="AF140" s="60" t="str">
        <v xml:space="preserve">Waymo and Fiat Chrysler Automobiles (FCA) expand </v>
      </c>
      <c r="AG140" s="60" t="str">
        <v>autonomous driving technology partnership</v>
      </c>
      <c r="AR140" s="58"/>
      <c r="AV140" s="58"/>
      <c r="AZ140" s="58"/>
      <c r="BD140" s="55"/>
      <c r="BE140" s="55"/>
      <c r="BF140" s="55"/>
    </row>
    <row r="141" spans="1:58" s="55" customFormat="1" x14ac:dyDescent="0.35">
      <c r="A141" s="60" t="str">
        <v>https://waymo.com/blog/2017/06/well-oiled-and-squeaky-clean-partnering/</v>
      </c>
      <c r="B141" s="60" t="str">
        <v>2017, 6, 27</v>
      </c>
      <c r="C141" s="105">
        <v>42913</v>
      </c>
      <c r="D141" s="60" t="str">
        <v>Well-oiled and squeaky-clean: Partnering with Avis to maintain our self-driving fleet</v>
      </c>
      <c r="E141" s="60" t="str">
        <v>Waymo</v>
      </c>
      <c r="F141" s="60" t="str">
        <v>L1</v>
      </c>
      <c r="G141" s="60" t="str">
        <v>Waymo-SAV</v>
      </c>
      <c r="H141" s="60" t="str">
        <v>SAV</v>
      </c>
      <c r="I141" s="60" t="str">
        <v>Ridehailing</v>
      </c>
      <c r="J141" s="60" t="str">
        <v>Ridehailing</v>
      </c>
      <c r="K141" s="60" t="str">
        <v>Avis</v>
      </c>
      <c r="L141" s="60" t="str">
        <v>Avis</v>
      </c>
      <c r="M141" s="60">
        <v>0</v>
      </c>
      <c r="N141" s="60">
        <v>0</v>
      </c>
      <c r="O141"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141"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141" s="60" t="str">
        <v>Strategic Alliance</v>
      </c>
      <c r="R141" s="60" t="str">
        <v>n.a.</v>
      </c>
      <c r="S141" s="60" t="str">
        <v>Service cooperation</v>
      </c>
      <c r="T141" s="60" t="str">
        <v>-</v>
      </c>
      <c r="U141" s="60" t="str">
        <v>-</v>
      </c>
      <c r="V141" s="60" t="str">
        <v>-</v>
      </c>
      <c r="W141" s="60" t="str">
        <v>2.1. Short term Alliance (no exclusivity / previous experience)</v>
      </c>
      <c r="X141" s="60">
        <v>0</v>
      </c>
      <c r="Y141"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141" s="60" t="str">
        <v>Joint Service Agreement</v>
      </c>
      <c r="AA141"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141" s="60">
        <v>0</v>
      </c>
      <c r="AC141" s="60">
        <v>0</v>
      </c>
      <c r="AD141" s="60">
        <v>0</v>
      </c>
      <c r="AE141" s="60">
        <v>0</v>
      </c>
      <c r="AF141" s="60" t="str">
        <v>Well-oiled and squeaky-clean: Partnering with Avis to maintain our self-driving fleet</v>
      </c>
      <c r="AG141" s="60">
        <v>0</v>
      </c>
      <c r="AH141"/>
      <c r="AI141"/>
      <c r="AJ141"/>
      <c r="AK141"/>
      <c r="AL141"/>
      <c r="AM141"/>
      <c r="AN141"/>
      <c r="AO141"/>
      <c r="AP141"/>
      <c r="AQ141"/>
      <c r="AR141"/>
      <c r="AS141"/>
      <c r="AT141"/>
      <c r="AU141"/>
      <c r="AV141"/>
      <c r="AW141"/>
      <c r="AX141"/>
      <c r="AY141"/>
      <c r="AZ141"/>
      <c r="BA141"/>
      <c r="BB141"/>
      <c r="BC141"/>
    </row>
    <row r="142" spans="1:58" s="55" customFormat="1" x14ac:dyDescent="0.35">
      <c r="A142" s="60" t="str">
        <v>https://waymo.com/blog/2018/07/partnering-with-valley-metro-to-explore-public-transport-solutions/</v>
      </c>
      <c r="B142" s="60" t="str">
        <v>2018, 7, 31</v>
      </c>
      <c r="C142" s="105">
        <v>43312</v>
      </c>
      <c r="D142" s="60" t="str">
        <v>Partnering with Valley Metro to explore public transportation solutions</v>
      </c>
      <c r="E142" s="60" t="str">
        <v>Waymo</v>
      </c>
      <c r="F142" s="60" t="str">
        <v>L1</v>
      </c>
      <c r="G142" s="60" t="str">
        <v>Waymo-SAV</v>
      </c>
      <c r="H142" s="60" t="str">
        <v>SAV</v>
      </c>
      <c r="I142" s="60" t="str">
        <v>Ridehailing</v>
      </c>
      <c r="J142" s="60" t="str">
        <v>Ridehailing</v>
      </c>
      <c r="K142" s="60" t="str">
        <v>Valley Metro</v>
      </c>
      <c r="L142" s="60" t="str">
        <v>Valley Metro</v>
      </c>
      <c r="M142" s="60">
        <v>0</v>
      </c>
      <c r="N142" s="60">
        <v>0</v>
      </c>
      <c r="O142"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142"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142" s="60" t="str">
        <v>Strategic Alliance</v>
      </c>
      <c r="R142" s="60" t="str">
        <v>n.a.</v>
      </c>
      <c r="S142" s="60" t="str">
        <v>Research cooperation</v>
      </c>
      <c r="T142" s="60" t="str">
        <v>-</v>
      </c>
      <c r="U142" s="60" t="str">
        <v>-</v>
      </c>
      <c r="V142" s="60" t="str">
        <v>-</v>
      </c>
      <c r="W142" s="60" t="str">
        <v>2.1. Short term Alliance (no exclusivity / previous experience)</v>
      </c>
      <c r="X142" s="60">
        <v>0</v>
      </c>
      <c r="Y142"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142" s="60" t="str">
        <v>Research &amp; Collaboration</v>
      </c>
      <c r="AA142" s="60" t="str">
        <v>Waymo is partnering with Valley Metro, the Phoenix area's regional public transportation authority, to explore mobility solutions that use self-driving technology to better connect travelers with the city's existing buses and light rail.</v>
      </c>
      <c r="AB142" s="60">
        <v>0</v>
      </c>
      <c r="AC142" s="60">
        <v>0</v>
      </c>
      <c r="AD142" s="60">
        <v>0</v>
      </c>
      <c r="AE142" s="60">
        <v>0</v>
      </c>
      <c r="AF142" s="60" t="str">
        <v>Partnering with Valley Metro to explore public transportation solutions</v>
      </c>
      <c r="AG142" s="60">
        <v>0</v>
      </c>
      <c r="AH142"/>
      <c r="AI142"/>
      <c r="AJ142"/>
      <c r="AK142"/>
      <c r="AL142"/>
      <c r="AM142"/>
      <c r="AN142"/>
      <c r="AO142"/>
      <c r="AP142"/>
      <c r="AQ142"/>
      <c r="AR142"/>
      <c r="AS142"/>
      <c r="AT142"/>
      <c r="AU142"/>
      <c r="AV142"/>
      <c r="AW142"/>
      <c r="AX142"/>
      <c r="AY142"/>
      <c r="AZ142"/>
      <c r="BA142"/>
      <c r="BB142"/>
      <c r="BC142"/>
    </row>
    <row r="143" spans="1:58" s="107" customFormat="1" x14ac:dyDescent="0.35">
      <c r="A143" s="60" t="str">
        <v>https://waymo.com/blog/2019/05/partnering-with-lyft-to-serve-more-riders/</v>
      </c>
      <c r="B143" s="60" t="str">
        <v>2019, 5, 7</v>
      </c>
      <c r="C143" s="105">
        <v>43592</v>
      </c>
      <c r="D143" s="60" t="str">
        <v>Partnering with Lyft to serve more riders in Metro Phoenix</v>
      </c>
      <c r="E143" s="60" t="str">
        <v>Waymo</v>
      </c>
      <c r="F143" s="60" t="str">
        <v>L1</v>
      </c>
      <c r="G143" s="60" t="str">
        <v>Waymo-SAV</v>
      </c>
      <c r="H143" s="60" t="str">
        <v>SAV</v>
      </c>
      <c r="I143" s="60" t="str">
        <v>Ridehailing</v>
      </c>
      <c r="J143" s="60" t="str">
        <v>Ridehailing</v>
      </c>
      <c r="K143" s="60" t="str">
        <v>Lyft</v>
      </c>
      <c r="L143" s="60" t="str">
        <v>Lyft</v>
      </c>
      <c r="M143" s="60">
        <v>0</v>
      </c>
      <c r="N143" s="60">
        <v>0</v>
      </c>
      <c r="O143"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43"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43" s="60" t="str">
        <v>Strategic Alliance</v>
      </c>
      <c r="R143" s="60" t="str">
        <v>n.a.</v>
      </c>
      <c r="S143" s="60" t="str">
        <v>Service integration</v>
      </c>
      <c r="T143" s="60" t="str">
        <v>Short term - months</v>
      </c>
      <c r="U143" s="60" t="str">
        <v>-</v>
      </c>
      <c r="V143" s="60" t="str">
        <v>-</v>
      </c>
      <c r="W143" s="60" t="str">
        <v>2.1. Short term Alliance (no exclusivity / previous experience)</v>
      </c>
      <c r="X143" s="60">
        <v>0</v>
      </c>
      <c r="Y143" s="60" t="str">
        <v>As a first step, we'll deploy 10 Waymo vehicles on Lyft over the next few months. Once Waymo vehicles are on the platform, Lyft users in the area will have the option to select a Waymo directly from the Lyft app for eligible rides.</v>
      </c>
      <c r="Z143" s="60" t="str">
        <v>Supply Partnership (extended)</v>
      </c>
      <c r="AA143" s="60" t="str">
        <v>As a first step, we'll deploy 10 Waymo vehicles on Lyft over the next few months. Once Waymo vehicles are on the platform, Lyft users in the area will have the option to select a Waymo directly from the Lyft app for eligible rides.</v>
      </c>
      <c r="AB143" s="60">
        <v>0</v>
      </c>
      <c r="AC143" s="60">
        <v>0</v>
      </c>
      <c r="AD143" s="60">
        <v>0</v>
      </c>
      <c r="AE143" s="60">
        <v>0</v>
      </c>
      <c r="AF143" s="60" t="str">
        <v>Partnering with Lyft to serve more riders in Metro Phoenix</v>
      </c>
      <c r="AG143" s="60">
        <v>0</v>
      </c>
      <c r="AH143"/>
      <c r="AI143"/>
      <c r="AJ143"/>
      <c r="AK143"/>
      <c r="AL143"/>
      <c r="AM143"/>
      <c r="AN143"/>
      <c r="AO143"/>
      <c r="AP143"/>
      <c r="AQ143"/>
      <c r="AR143"/>
      <c r="AS143"/>
      <c r="AT143"/>
      <c r="AU143"/>
      <c r="AV143"/>
      <c r="AW143"/>
      <c r="AX143"/>
      <c r="AY143"/>
      <c r="AZ143"/>
      <c r="BA143"/>
      <c r="BB143"/>
      <c r="BC143"/>
      <c r="BD143" s="144"/>
      <c r="BE143" s="144"/>
      <c r="BF143" s="144"/>
    </row>
    <row r="144" spans="1:58" x14ac:dyDescent="0.35">
      <c r="A144" s="60" t="str">
        <v>https://waymo.com/blog/2019/06/partnering-with-alliance-in-france-japan-and-beyond/</v>
      </c>
      <c r="B144" s="60" t="str">
        <v>2019, 6, 19</v>
      </c>
      <c r="C144" s="105">
        <v>43635</v>
      </c>
      <c r="D144" s="60" t="str">
        <v>Partnering with The Alliance in France, Japan, and beyond</v>
      </c>
      <c r="E144" s="60" t="str">
        <v>Waymo</v>
      </c>
      <c r="F144" s="60" t="str">
        <v>L1</v>
      </c>
      <c r="G144" s="60" t="str">
        <v>Waymo-SAV</v>
      </c>
      <c r="H144" s="60" t="str">
        <v>SAV</v>
      </c>
      <c r="I144" s="60" t="str">
        <v>Ridehailing; Last-Mile</v>
      </c>
      <c r="J144" s="60" t="str">
        <v>Ridehailing</v>
      </c>
      <c r="K144" s="60" t="str">
        <v>Alliance Ventures (Renault, Nissan, Mitsubishi)</v>
      </c>
      <c r="L144" s="60" t="str">
        <v>Alliance Ventures (Renault, Nissan, Mitsubishi)</v>
      </c>
      <c r="M144" s="60">
        <v>0</v>
      </c>
      <c r="N144" s="60">
        <v>0</v>
      </c>
      <c r="O144"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144" s="60" t="str">
        <v>Today we're announcing that Waymo has entered into an exclusive partnership with Renault and Nissan on behalf of The Alliance to explore driverless mobility services for passengers and deliveries in France and Japan.</v>
      </c>
      <c r="Q144" s="60" t="str">
        <v>Strategic Alliance</v>
      </c>
      <c r="R144" s="60" t="str">
        <v>n.a.</v>
      </c>
      <c r="S144" s="60" t="str">
        <v>Research cooperation</v>
      </c>
      <c r="T144" s="60" t="str">
        <v>-</v>
      </c>
      <c r="U144" s="60" t="str">
        <v>-</v>
      </c>
      <c r="V144" s="60" t="str">
        <v>Yes</v>
      </c>
      <c r="W144" s="60" t="str">
        <v>2.4. Exclusive Alliance</v>
      </c>
      <c r="X144" s="60">
        <v>0</v>
      </c>
      <c r="Y144"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144" s="60" t="str">
        <v>Research &amp; Collaboration</v>
      </c>
      <c r="AA144" s="60" t="str">
        <v>By teaming up with Renault and Nissan initially to research commercial, legal, and regulatory issues related to transportation-as-a-service in France and Japan, we're on the path to creating long-term driverless solutions hand-in-hand with the world's largest automaker.</v>
      </c>
      <c r="AB144" s="60">
        <v>0</v>
      </c>
      <c r="AC144" s="60">
        <v>0</v>
      </c>
      <c r="AD144" s="60">
        <v>0</v>
      </c>
      <c r="AE144" s="60">
        <v>0</v>
      </c>
      <c r="AF144" s="60" t="str">
        <v>Partnering with The Alliance in France, Japan, and beyond</v>
      </c>
      <c r="AG144" s="60">
        <v>0</v>
      </c>
      <c r="BD144" s="55"/>
      <c r="BE144" s="55"/>
      <c r="BF144" s="55"/>
    </row>
    <row r="145" spans="1:86" x14ac:dyDescent="0.35">
      <c r="A145" s="60" t="str">
        <v>https://waymo.com/blog/2020/06/partnering-with-volvo-car-group-to-scale-the-waymo-driver/</v>
      </c>
      <c r="B145" s="60" t="str">
        <v>2020, 6, 25</v>
      </c>
      <c r="C145" s="105">
        <v>44007</v>
      </c>
      <c r="D145" s="60" t="str">
        <v>Partnering with Volvo Car Group to scale the Waymo Driver</v>
      </c>
      <c r="E145" s="60" t="str">
        <v>Waymo</v>
      </c>
      <c r="F145" s="60" t="str">
        <v>L1</v>
      </c>
      <c r="G145" s="60" t="str">
        <v>Waymo-SAV</v>
      </c>
      <c r="H145" s="60" t="str">
        <v>SAV</v>
      </c>
      <c r="I145" s="60" t="str">
        <v>Ridehailing</v>
      </c>
      <c r="J145" s="60" t="str">
        <v>Ridehailing</v>
      </c>
      <c r="K145" s="60" t="str">
        <v>Volvo Car Group</v>
      </c>
      <c r="L145" s="60" t="str">
        <v>Volvo Car Group</v>
      </c>
      <c r="M145" s="60">
        <v>0</v>
      </c>
      <c r="N145" s="60">
        <v>0</v>
      </c>
      <c r="O145"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145"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145" s="60" t="str">
        <v>Strategic Alliance</v>
      </c>
      <c r="R145" s="60" t="str">
        <v>n.a.</v>
      </c>
      <c r="S145" s="60" t="str">
        <v>Product cooperation</v>
      </c>
      <c r="T145" s="60" t="str">
        <v>-</v>
      </c>
      <c r="U145" s="60" t="str">
        <v>-</v>
      </c>
      <c r="V145" s="60" t="str">
        <v>Yes</v>
      </c>
      <c r="W145" s="60" t="str">
        <v>2.4. Exclusive Alliance</v>
      </c>
      <c r="X145" s="60">
        <v>0</v>
      </c>
      <c r="Y145"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145" s="60" t="str">
        <v>Joint D&amp;D</v>
      </c>
      <c r="AA145"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145" s="60">
        <v>0</v>
      </c>
      <c r="AC145" s="60">
        <v>0</v>
      </c>
      <c r="AD145" s="60">
        <v>0</v>
      </c>
      <c r="AE145" s="60">
        <v>0</v>
      </c>
      <c r="AF145" s="60" t="str">
        <v>Partnering with Volvo Car Group to scale the Waymo Driver</v>
      </c>
      <c r="AG145" s="60">
        <v>0</v>
      </c>
    </row>
    <row r="146" spans="1:86" x14ac:dyDescent="0.35">
      <c r="A146" s="60" t="str">
        <v>https://press.zf.com/press/en/releases/release_14913.html</v>
      </c>
      <c r="B146" s="60" t="str">
        <v>2020, 2, 19</v>
      </c>
      <c r="C146" s="105">
        <v>43880</v>
      </c>
      <c r="D146" s="60" t="str">
        <v>Open Manufacturing Platform expands: Anheuser-Busch InBev, BMW Group, Bosch, Microsoft and ZF team up to accelerate manufacturing innovation at scale</v>
      </c>
      <c r="E146" s="60" t="str">
        <v>ZF</v>
      </c>
      <c r="F146" s="60" t="str">
        <v>L2</v>
      </c>
      <c r="G146" s="60" t="str">
        <v>ZF-SAV</v>
      </c>
      <c r="H146" s="60" t="str">
        <v>SAV</v>
      </c>
      <c r="I146" s="60" t="str">
        <v>Ridepooling</v>
      </c>
      <c r="J146" s="60" t="str">
        <v>Ridepooling</v>
      </c>
      <c r="K146" s="60" t="str">
        <v>Anheuser - Busch InBev;Bosch;Microsoft</v>
      </c>
      <c r="L146" s="60" t="str">
        <v>Anheuser - Busch InBev</v>
      </c>
      <c r="M146" s="60" t="str">
        <v>Bosch</v>
      </c>
      <c r="N146" s="60" t="str">
        <v>Microsoft</v>
      </c>
      <c r="O146"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14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146" s="60" t="str">
        <v>Strategic Alliance</v>
      </c>
      <c r="R146" s="60" t="str">
        <v>n.a.</v>
      </c>
      <c r="S146" s="60" t="str">
        <v>Membership</v>
      </c>
      <c r="T146" s="60" t="str">
        <v>-</v>
      </c>
      <c r="U146" s="60" t="str">
        <v>-</v>
      </c>
      <c r="V146" s="60" t="str">
        <v>-</v>
      </c>
      <c r="W146" s="60" t="str">
        <v>2.1. Short term Alliance (no exclusivity / previous experience)</v>
      </c>
      <c r="X146" s="60">
        <v>0</v>
      </c>
      <c r="Y14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146" s="60" t="str">
        <v>Research &amp; Collaboration</v>
      </c>
      <c r="AA14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146" s="60">
        <v>0</v>
      </c>
      <c r="AC146" s="60">
        <v>0</v>
      </c>
      <c r="AD146" s="60">
        <v>0</v>
      </c>
      <c r="AE146" s="60">
        <v>0</v>
      </c>
      <c r="AF146" s="60" t="str">
        <v xml:space="preserve">Open Manufacturing Platform expands: Anheuser-Busch InBev, BMW Group, Bosch, Microsoft and ZF team up to accelerate </v>
      </c>
      <c r="AG146" s="60" t="str">
        <v>manufacturing innovation at scale</v>
      </c>
    </row>
    <row r="147" spans="1:86" x14ac:dyDescent="0.35">
      <c r="A147" s="60" t="str">
        <v>https://press.zf.com/press/en/releases/release_31362.html</v>
      </c>
      <c r="B147" s="60" t="str">
        <v>2021, 10, 7</v>
      </c>
      <c r="C147" s="105">
        <v>44203</v>
      </c>
      <c r="D147" s="60" t="str">
        <v>ZF and DB Regio agree on strategic partnership for autonomous transport systems</v>
      </c>
      <c r="E147" s="60" t="str">
        <v>ZF</v>
      </c>
      <c r="F147" s="60" t="str">
        <v>L2</v>
      </c>
      <c r="G147" s="60" t="str">
        <v>ZF-SAV</v>
      </c>
      <c r="H147" s="60" t="str">
        <v>SAV</v>
      </c>
      <c r="I147" s="60" t="str">
        <v>Ridepooling</v>
      </c>
      <c r="J147" s="60" t="str">
        <v>Ridepooling</v>
      </c>
      <c r="K147" s="60" t="str">
        <v>DB Regio</v>
      </c>
      <c r="L147" s="60" t="str">
        <v>DB Regio</v>
      </c>
      <c r="M147" s="60">
        <v>0</v>
      </c>
      <c r="N147" s="60">
        <v>0</v>
      </c>
      <c r="O147"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147"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147" s="60" t="str">
        <v>Strategic Alliance</v>
      </c>
      <c r="R147" s="60" t="str">
        <v>Yes</v>
      </c>
      <c r="S147" s="60" t="str">
        <v>Service cooperation</v>
      </c>
      <c r="T147" s="60" t="str">
        <v>-</v>
      </c>
      <c r="U147" s="60" t="str">
        <v>-</v>
      </c>
      <c r="V147" s="60" t="str">
        <v>-</v>
      </c>
      <c r="W147" s="60" t="str">
        <v>2.1. Short term Alliance (no exclusivity / previous experience)</v>
      </c>
      <c r="X147" s="60">
        <v>0</v>
      </c>
      <c r="Y14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147" s="60" t="str">
        <v>Joint Service Agreement</v>
      </c>
      <c r="AA14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147" s="60">
        <v>0</v>
      </c>
      <c r="AC147" s="60">
        <v>0</v>
      </c>
      <c r="AD147" s="60">
        <v>0</v>
      </c>
      <c r="AE147" s="60">
        <v>0</v>
      </c>
      <c r="AF147" s="60" t="str">
        <v>ZF and DB Regio agree on strategic partnership for autonomous transport systems</v>
      </c>
      <c r="AG147" s="60">
        <v>0</v>
      </c>
    </row>
    <row r="148" spans="1:86" x14ac:dyDescent="0.35">
      <c r="A148" s="60" t="str">
        <v>https://ridebeep.com/press-releases/zf-announces-partnership-with-beep-unveils-next-generation-autonomous-shuttle</v>
      </c>
      <c r="B148" s="60" t="str">
        <v>2023, 1, 4</v>
      </c>
      <c r="C148" s="105">
        <v>44930</v>
      </c>
      <c r="D148" s="60" t="str">
        <v>ZF announces partnership with Beep, unveils next-generation autonomous shuttle</v>
      </c>
      <c r="E148" s="60" t="str">
        <v>ZF</v>
      </c>
      <c r="F148" s="60" t="str">
        <v>L2</v>
      </c>
      <c r="G148" s="60" t="str">
        <v>ZF-SAV</v>
      </c>
      <c r="H148" s="60" t="str">
        <v>SAV</v>
      </c>
      <c r="I148" s="60" t="str">
        <v>Ridepooling</v>
      </c>
      <c r="J148" s="60" t="str">
        <v>Ridepooling</v>
      </c>
      <c r="K148" s="60" t="str">
        <v>Beep</v>
      </c>
      <c r="L148" s="60" t="str">
        <v>Beep</v>
      </c>
      <c r="M148" s="60">
        <v>0</v>
      </c>
      <c r="N148" s="60">
        <v>0</v>
      </c>
      <c r="O148"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148"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148" s="60" t="str">
        <v>Strategic Alliance</v>
      </c>
      <c r="R148" s="60" t="str">
        <v>Yes</v>
      </c>
      <c r="S148" s="60" t="str">
        <v>Service Integration</v>
      </c>
      <c r="T148" s="60" t="str">
        <v>Long term - coming years</v>
      </c>
      <c r="U148" s="60" t="str">
        <v>-</v>
      </c>
      <c r="V148" s="60" t="str">
        <v>-</v>
      </c>
      <c r="W148" s="60" t="str">
        <v>2.3. Long term Alliance</v>
      </c>
      <c r="X148" s="60">
        <v>0</v>
      </c>
      <c r="Y148" s="60" t="str">
        <v>"Our offer of clean, efficient and affordable mobility is convincing, and has found a partner and major customer in Beep"</v>
      </c>
      <c r="Z148" s="60" t="str">
        <v>Joint Service Agreement</v>
      </c>
      <c r="AA148" s="60" t="str">
        <v>"Our offer of clean, efficient and affordable mobility is convincing, and has found a partner and major customer in Beep"</v>
      </c>
      <c r="AB148" s="60">
        <v>0</v>
      </c>
      <c r="AC148" s="60">
        <v>0</v>
      </c>
      <c r="AD148" s="60">
        <v>0</v>
      </c>
      <c r="AE148" s="60">
        <v>0</v>
      </c>
      <c r="AF148" s="60" t="str">
        <v>ZF announces partnership with Beep, unveils next-generation autonomous shuttle</v>
      </c>
      <c r="AG148" s="60">
        <v>0</v>
      </c>
    </row>
    <row r="149" spans="1:86" x14ac:dyDescent="0.35">
      <c r="A149" s="60" t="str">
        <v>https://www.ridebeep.com/press-releases/beep-and-oxa-announce-partnership-to-deploy-autonomous-vehicles-driven-by-oxa-in-united-states</v>
      </c>
      <c r="B149" s="60" t="str">
        <v>2023, 8, 24</v>
      </c>
      <c r="C149" s="105">
        <v>45162</v>
      </c>
      <c r="D149" s="60" t="str">
        <v>Beep and Oxa Announce Partnership to Deploy Autonomous Vehicles Driven by Oxa in United States</v>
      </c>
      <c r="E149" s="60" t="str">
        <v>Oxa</v>
      </c>
      <c r="F149" s="60" t="str">
        <v>L1</v>
      </c>
      <c r="G149" s="60" t="str">
        <v>Oxa-SAV</v>
      </c>
      <c r="H149" s="60" t="str">
        <v>SAV</v>
      </c>
      <c r="I149" s="60" t="str">
        <v>Ridepooling</v>
      </c>
      <c r="J149" s="60" t="str">
        <v>Ridepooling</v>
      </c>
      <c r="K149" s="60" t="str">
        <v>Beep</v>
      </c>
      <c r="L149" s="60" t="str">
        <v>Beep</v>
      </c>
      <c r="M149" s="60">
        <v>0</v>
      </c>
      <c r="N149" s="60">
        <v>0</v>
      </c>
      <c r="O149"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149"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149" s="60" t="str">
        <v>Strategic Alliance</v>
      </c>
      <c r="R149" s="60" t="str">
        <v>n.a.</v>
      </c>
      <c r="S149" s="60" t="str">
        <v>Service Integration</v>
      </c>
      <c r="T149" s="60" t="str">
        <v>Long term - Future years mentioned</v>
      </c>
      <c r="U149" s="60" t="str">
        <v>Yes</v>
      </c>
      <c r="V149" s="60" t="str">
        <v>-</v>
      </c>
      <c r="W149" s="60" t="str">
        <v>2.3. Long term Alliance</v>
      </c>
      <c r="X149" s="60">
        <v>0</v>
      </c>
      <c r="Y149" s="60" t="str">
        <v>the strategic partnership will see Oxa's autonomy software installed in a variety of vehicle types operated by Beep, from current passenger shuttles to future vehicle platforms</v>
      </c>
      <c r="Z149" s="60" t="str">
        <v>Joint Service Agreement</v>
      </c>
      <c r="AA149" s="60" t="str">
        <v>the strategic partnership will see Oxa's autonomy software installed in a variety of vehicle types operated by Beep, from current passenger shuttles to future vehicle platforms</v>
      </c>
      <c r="AB149" s="60">
        <v>0</v>
      </c>
      <c r="AC149" s="60">
        <v>0</v>
      </c>
      <c r="AD149" s="60">
        <v>0</v>
      </c>
      <c r="AE149" s="60">
        <v>0</v>
      </c>
      <c r="AF149" s="60" t="str">
        <v>Beep and Oxa Announce Partnership to Deploy Autonomous Vehicles Driven by Oxa in United States</v>
      </c>
      <c r="AG149" s="60">
        <v>0</v>
      </c>
    </row>
    <row r="150" spans="1:86" x14ac:dyDescent="0.35">
      <c r="A150" s="60" t="str">
        <v>Ridepooling</v>
      </c>
      <c r="B150" s="60" t="str">
        <v>2020, 11, 18</v>
      </c>
      <c r="C150" s="105">
        <v>43848</v>
      </c>
      <c r="D150" s="60" t="str">
        <v>May Mobility and Via announce partnership that will integrate on-demand AVs into public transit</v>
      </c>
      <c r="E150" s="60" t="str">
        <v>Via</v>
      </c>
      <c r="F150" s="60" t="str">
        <v>L3</v>
      </c>
      <c r="G150" s="60" t="str">
        <v>Via-SAV</v>
      </c>
      <c r="H150" s="60" t="str">
        <v>SAV</v>
      </c>
      <c r="I150" s="60" t="str">
        <v>Ridepooling</v>
      </c>
      <c r="J150" s="60" t="str">
        <v>Ridepooling</v>
      </c>
      <c r="K150" s="60" t="str">
        <v>May Mobility</v>
      </c>
      <c r="L150" s="60" t="str">
        <v>May Mobility</v>
      </c>
      <c r="M150" s="60">
        <v>0</v>
      </c>
      <c r="N150" s="60">
        <v>0</v>
      </c>
      <c r="O150"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150"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150" s="60" t="str">
        <v>Strategic Alliance</v>
      </c>
      <c r="R150" s="60" t="str">
        <v>n.a.</v>
      </c>
      <c r="S150" s="60" t="str">
        <v>Service Integration</v>
      </c>
      <c r="T150" s="60" t="str">
        <v>Long term - -</v>
      </c>
      <c r="U150" s="60" t="str">
        <v>-</v>
      </c>
      <c r="V150" s="60" t="str">
        <v>-</v>
      </c>
      <c r="W150" s="60" t="str">
        <v>2.3. Long term Alliance</v>
      </c>
      <c r="X150" s="60">
        <v>0</v>
      </c>
      <c r="Y150"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150" s="60" t="str">
        <v>Joint Service Agreement</v>
      </c>
      <c r="AA150" s="60" t="str">
        <v>May Mobility will adopt Via's autonomous fleet platform to power booking, routing, passenger and vehicle assignment and identification, customer experience, and fleet management as part of their new transit solution for future autonomous vehicle deployments.</v>
      </c>
      <c r="AB150" s="60">
        <v>0</v>
      </c>
      <c r="AC150" s="60">
        <v>0</v>
      </c>
      <c r="AD150" s="60">
        <v>0</v>
      </c>
      <c r="AE150" s="60">
        <v>0</v>
      </c>
      <c r="AF150" s="60" t="str">
        <v>May Mobility and Via announce partnership that will integrate on-demand AVs into public transit</v>
      </c>
      <c r="AG150" s="60">
        <v>0</v>
      </c>
      <c r="AO150" s="55"/>
      <c r="AP150" s="55"/>
      <c r="AQ150" s="55"/>
      <c r="AR150" s="55"/>
      <c r="AS150" s="55"/>
      <c r="AT150" s="55"/>
      <c r="AU150" s="55"/>
      <c r="AV150" s="55"/>
      <c r="AW150" s="55"/>
      <c r="AX150" s="55"/>
      <c r="AY150" s="55"/>
      <c r="AZ150" s="55"/>
      <c r="BA150" s="55"/>
      <c r="BB150" s="55"/>
      <c r="BC150" s="55"/>
      <c r="BD150" s="55"/>
      <c r="BE150" s="55"/>
      <c r="BF150" s="55"/>
      <c r="BG150" s="55"/>
      <c r="BH150" s="55"/>
    </row>
    <row r="151" spans="1:86" x14ac:dyDescent="0.35">
      <c r="A151" s="60" t="str">
        <v>https://www.navya.tech/en/navya-and-lohr-form-a-strategic-alliance-to-speed-up-their-technological-industrial-and-commercial-development-in-the-field-of-autonomous-mobility/</v>
      </c>
      <c r="B151" s="60" t="str">
        <v>2022, 9, 22</v>
      </c>
      <c r="C151" s="60">
        <v>44826</v>
      </c>
      <c r="D151" s="60" t="str">
        <v>Navya and Lohr form a strategic alliance to speed up their technological, industrial and commercial development in the field of autonomous mobility</v>
      </c>
      <c r="E151" s="60" t="str">
        <v>Lohr</v>
      </c>
      <c r="F151" s="60" t="str">
        <v>L2</v>
      </c>
      <c r="G151" s="60" t="str">
        <v>Lohr-SAV</v>
      </c>
      <c r="H151" s="60" t="str">
        <v>SAV</v>
      </c>
      <c r="I151" s="60" t="str">
        <v>Ridepooling</v>
      </c>
      <c r="J151" s="60" t="str">
        <v>Ridepooling</v>
      </c>
      <c r="K151" s="60" t="str">
        <v>Navya</v>
      </c>
      <c r="L151" s="60" t="str">
        <v>Navya</v>
      </c>
      <c r="M151" s="60">
        <v>0</v>
      </c>
      <c r="N151" s="60">
        <v>0</v>
      </c>
      <c r="O151"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51" s="60" t="str">
        <v>NAVYA (FR0013018041- Navya), an autonomous mobility systems leader, signs a strategic alliance with Lohr, an industrial group known worldwide for its expertise in the engineering, production and marketing of systems for the transportation of people and goods.</v>
      </c>
      <c r="Q151" s="60" t="str">
        <v>Strategic Alliance</v>
      </c>
      <c r="R151" s="60" t="str">
        <v>Yes</v>
      </c>
      <c r="S151" s="60" t="str">
        <v>Product cooperation</v>
      </c>
      <c r="T151" s="60" t="str">
        <v>-</v>
      </c>
      <c r="U151" s="60" t="str">
        <v>-</v>
      </c>
      <c r="V151" s="60" t="str">
        <v>-</v>
      </c>
      <c r="W151" s="60" t="str">
        <v>2.1. Short term Alliance (no exclusivity / previous experience)</v>
      </c>
      <c r="X151" s="60">
        <v>0</v>
      </c>
      <c r="Y15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51" s="60" t="str">
        <v>Joint Production</v>
      </c>
      <c r="AA15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51" s="60">
        <v>0</v>
      </c>
      <c r="AC151" s="60">
        <v>0</v>
      </c>
      <c r="AD151" s="60">
        <v>0</v>
      </c>
      <c r="AE151" s="60">
        <v>0</v>
      </c>
      <c r="AF151" s="60" t="str">
        <v>Navya and Lohr form a strategic alliance to speed up their technological, industrial and commercial development in the field of autonomous mobility</v>
      </c>
      <c r="AG151" s="60">
        <v>0</v>
      </c>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row>
    <row r="152" spans="1:86" x14ac:dyDescent="0.35">
      <c r="A152" s="60" t="str">
        <v>https://www.transdev.com/en/press-release/partnership-torc-autonomous-shuttle/</v>
      </c>
      <c r="B152" s="60" t="str">
        <v>2019, 1, 7</v>
      </c>
      <c r="C152" s="60">
        <v>43472</v>
      </c>
      <c r="D152" s="60" t="str">
        <v>Torc and Transdev partner to develop technology for i-Cristal, a shared and fully autonomous shuttle</v>
      </c>
      <c r="E152" s="60" t="str">
        <v>Torc</v>
      </c>
      <c r="F152" s="60" t="str">
        <v>L1</v>
      </c>
      <c r="G152" s="60" t="str">
        <v>Torc-SAV</v>
      </c>
      <c r="H152" s="60" t="str">
        <v>SAV</v>
      </c>
      <c r="I152" s="60" t="str">
        <v>Ridepooling</v>
      </c>
      <c r="J152" s="60" t="str">
        <v>Ridepooling</v>
      </c>
      <c r="K152" s="60" t="str">
        <v>Transdev</v>
      </c>
      <c r="L152" s="60" t="str">
        <v>Transdev</v>
      </c>
      <c r="M152" s="60">
        <v>0</v>
      </c>
      <c r="N152" s="60">
        <v>0</v>
      </c>
      <c r="O152"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52"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52" s="60" t="str">
        <v>Strategic Alliance</v>
      </c>
      <c r="R152" s="60" t="str">
        <v>n.a.</v>
      </c>
      <c r="S152" s="60" t="str">
        <v>Service integration</v>
      </c>
      <c r="T152" s="60" t="str">
        <v>-</v>
      </c>
      <c r="U152" s="60" t="str">
        <v>Yes</v>
      </c>
      <c r="V152" s="60" t="str">
        <v>-</v>
      </c>
      <c r="W152" s="60" t="str">
        <v xml:space="preserve">2.2. Renewed Alliance </v>
      </c>
      <c r="X152" s="60">
        <v>0</v>
      </c>
      <c r="Y152"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52" s="60" t="str">
        <v>Joint Service Agreement</v>
      </c>
      <c r="AA152"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52" s="60" t="str">
        <v>Research &amp; Collaboration</v>
      </c>
      <c r="AC152" s="60" t="str">
        <v>The partners have already begun testing on closed courses, while testing on public roads will proceed after obtaining successive safety authorizations and before providing public service trials in two locations in France: Paris-Saclay and Rouen.</v>
      </c>
      <c r="AD152" s="60">
        <v>0</v>
      </c>
      <c r="AE152" s="60">
        <v>0</v>
      </c>
      <c r="AF152" s="60" t="str">
        <v xml:space="preserve">Torc and Transdev partner to develop </v>
      </c>
      <c r="AG152" s="60" t="str">
        <v>technology for i-Cristal, a shared and fully autonomous shuttle</v>
      </c>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107"/>
    </row>
    <row r="153" spans="1:86" x14ac:dyDescent="0.35">
      <c r="A153" s="60" t="str">
        <v>https://www.transdev.com/en/press-release/zf-partnership/</v>
      </c>
      <c r="B153" s="60" t="str">
        <v>2019, 1, 8</v>
      </c>
      <c r="C153" s="60">
        <v>43473</v>
      </c>
      <c r="D153" s="60" t="str">
        <v>Transdev, ZF and e.GO announce partnership to develop shared autonomous mobility</v>
      </c>
      <c r="E153" s="60" t="str">
        <v>ZF</v>
      </c>
      <c r="F153" s="60" t="str">
        <v>L2</v>
      </c>
      <c r="G153" s="60" t="str">
        <v>ZF-SAV</v>
      </c>
      <c r="H153" s="60" t="str">
        <v>SAV</v>
      </c>
      <c r="I153" s="60" t="str">
        <v>Ridepooling</v>
      </c>
      <c r="J153" s="60" t="str">
        <v>Ridepooling</v>
      </c>
      <c r="K153" s="60" t="str">
        <v>Transdev;e.GO</v>
      </c>
      <c r="L153" s="60" t="str">
        <v>Transdev</v>
      </c>
      <c r="M153" s="60" t="str">
        <v>e.GO</v>
      </c>
      <c r="N153" s="60">
        <v>0</v>
      </c>
      <c r="O153"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53" s="60" t="str">
        <v>The partners will start working together immediately to provide a fully functional solution by 2020, with priority markets in France and Germany.</v>
      </c>
      <c r="Q153" s="60" t="str">
        <v>Strategic Alliance</v>
      </c>
      <c r="R153" s="60" t="str">
        <v>n.a.</v>
      </c>
      <c r="S153" s="60" t="str">
        <v>Product cooperation</v>
      </c>
      <c r="T153" s="60" t="str">
        <v>Long term - &gt;1 year</v>
      </c>
      <c r="U153" s="60" t="str">
        <v>-</v>
      </c>
      <c r="V153" s="60" t="str">
        <v>-</v>
      </c>
      <c r="W153" s="60" t="str">
        <v>2.3. Long term Alliance</v>
      </c>
      <c r="X153" s="60">
        <v>0</v>
      </c>
      <c r="Y15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53" s="60" t="str">
        <v>Joint D&amp;D</v>
      </c>
      <c r="AA15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53" s="60">
        <v>0</v>
      </c>
      <c r="AC153" s="60">
        <v>0</v>
      </c>
      <c r="AD153" s="60">
        <v>0</v>
      </c>
      <c r="AE153" s="60">
        <v>0</v>
      </c>
      <c r="AF153" s="60" t="str">
        <v>Transdev, ZF and e.GO announce partnership to develop shared autonomous mobility</v>
      </c>
      <c r="AG153" s="60">
        <v>0</v>
      </c>
    </row>
    <row r="154" spans="1:86" x14ac:dyDescent="0.35">
      <c r="A154" t="str">
        <v>https://waymo.com/blog/2019/05/partnering-with-lyft-to-serve-more-riders/</v>
      </c>
      <c r="B154" t="str">
        <v>2019, 5, 7</v>
      </c>
      <c r="C154">
        <v>43592</v>
      </c>
      <c r="D154" t="str">
        <v>Partnering with Lyft to serve more riders in Metro Phoenix</v>
      </c>
      <c r="E154" t="str">
        <v>Lyft</v>
      </c>
      <c r="F154" t="str">
        <v>L4</v>
      </c>
      <c r="G154" t="str">
        <v>Lyft-SAV</v>
      </c>
      <c r="H154" t="str">
        <v>SAV</v>
      </c>
      <c r="I154" t="str">
        <v>Ridehailing</v>
      </c>
      <c r="J154" t="str">
        <v>Ridehailing</v>
      </c>
      <c r="K154" t="str">
        <v>Waymo</v>
      </c>
      <c r="L154" t="str">
        <v>Waymo</v>
      </c>
      <c r="M154">
        <v>0</v>
      </c>
      <c r="N154">
        <v>0</v>
      </c>
      <c r="O154"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54"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54" t="str">
        <v>Strategic Alliance</v>
      </c>
      <c r="R154" t="str">
        <v>n.a.</v>
      </c>
      <c r="S154" t="str">
        <v>Service integration</v>
      </c>
      <c r="T154" t="str">
        <v>Short term - months</v>
      </c>
      <c r="U154" t="str">
        <v>-</v>
      </c>
      <c r="V154" t="str">
        <v>-</v>
      </c>
      <c r="W154" t="str">
        <v>2.1. Short term Alliance (no exclusivity / previous experience)</v>
      </c>
      <c r="X154">
        <v>0</v>
      </c>
      <c r="Y154" t="str">
        <v>As a first step, we'll deploy 10 Waymo vehicles on Lyft over the next few months. Once Waymo vehicles are on the platform, Lyft users in the area will have the option to select a Waymo directly from the Lyft app for eligible rides.</v>
      </c>
      <c r="Z154" t="str">
        <v>Supply Partnership (extended)</v>
      </c>
      <c r="AA154" t="str">
        <v>As a first step, we'll deploy 10 Waymo vehicles on Lyft over the next few months. Once Waymo vehicles are on the platform, Lyft users in the area will have the option to select a Waymo directly from the Lyft app for eligible rides.</v>
      </c>
      <c r="AB154">
        <v>0</v>
      </c>
      <c r="AC154">
        <v>0</v>
      </c>
      <c r="AD154">
        <v>0</v>
      </c>
      <c r="AE154">
        <v>0</v>
      </c>
      <c r="AF154" t="str">
        <v>Partnering with Lyft to serve more riders in Metro Phoenix</v>
      </c>
      <c r="AG154">
        <v>0</v>
      </c>
    </row>
    <row r="155" spans="1:86" x14ac:dyDescent="0.35">
      <c r="A155" t="str">
        <v>https://www.mobileye.com/news/mobileye-willer-self-driving-mobility-solutions/</v>
      </c>
      <c r="B155" t="str">
        <v>2020, 7, 7</v>
      </c>
      <c r="C155">
        <v>44019</v>
      </c>
      <c r="D155" t="str">
        <v>Mobileye and WILLER Partner on Self-Driving Mobility Solutions for Japan, Southeast Asia</v>
      </c>
      <c r="E155" t="str">
        <v>Mobileye</v>
      </c>
      <c r="F155" t="str">
        <v>L1</v>
      </c>
      <c r="G155" t="str">
        <v>Mobileye-SAV</v>
      </c>
      <c r="H155" t="str">
        <v>SAV</v>
      </c>
      <c r="I155" t="str">
        <v>Ridepooling</v>
      </c>
      <c r="J155" t="str">
        <v>Ridepooling</v>
      </c>
      <c r="K155" t="str">
        <v>WILLER</v>
      </c>
      <c r="L155" t="str">
        <v>WILLER</v>
      </c>
      <c r="M155">
        <v>0</v>
      </c>
      <c r="N155">
        <v>0</v>
      </c>
      <c r="O155"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55"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55" t="str">
        <v>Strategic Alliance</v>
      </c>
      <c r="R155" t="str">
        <v>n.a.</v>
      </c>
      <c r="S155" t="str">
        <v>Service integration</v>
      </c>
      <c r="T155" t="str">
        <v>Long term - 2023 (&gt;2 years)</v>
      </c>
      <c r="U155" t="str">
        <v>-</v>
      </c>
      <c r="V155" t="str">
        <v>-</v>
      </c>
      <c r="W155" t="str">
        <v>2.3. Long term Alliance</v>
      </c>
      <c r="X155">
        <v>0</v>
      </c>
      <c r="Y155"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55" t="str">
        <v>Supply Partnership (extended)</v>
      </c>
      <c r="AA155"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55">
        <v>0</v>
      </c>
      <c r="AC155">
        <v>0</v>
      </c>
      <c r="AD155">
        <v>0</v>
      </c>
      <c r="AE155">
        <v>0</v>
      </c>
      <c r="AF155">
        <v>0</v>
      </c>
      <c r="AG155">
        <v>0</v>
      </c>
    </row>
    <row r="156" spans="1:86" x14ac:dyDescent="0.35">
      <c r="L156" s="152"/>
      <c r="M156" s="152"/>
      <c r="N156" s="152"/>
      <c r="O156" s="152"/>
      <c r="P156" s="152"/>
      <c r="Q156" s="152"/>
      <c r="R156" s="152"/>
      <c r="S156" s="152"/>
      <c r="T156" s="152"/>
      <c r="U156" s="152"/>
      <c r="V156" s="152"/>
      <c r="BA156" s="152"/>
      <c r="BB156" s="152"/>
      <c r="BC156" s="152"/>
      <c r="BD156" s="152"/>
      <c r="BE156" s="152"/>
      <c r="BF156" s="152"/>
      <c r="BG156" s="152"/>
      <c r="BH156" s="152"/>
      <c r="BI156" s="152"/>
      <c r="BJ156" s="152"/>
      <c r="BK156" s="152"/>
    </row>
    <row r="157" spans="1:86" x14ac:dyDescent="0.35">
      <c r="O157" s="58"/>
      <c r="P157" s="58"/>
      <c r="Q157" s="58"/>
      <c r="R157" s="58"/>
      <c r="S157" s="58"/>
      <c r="W157" s="89"/>
      <c r="AV157" s="154"/>
      <c r="AW157" s="154"/>
      <c r="AX157" s="154"/>
      <c r="AY157" s="154"/>
      <c r="AZ157" s="154"/>
      <c r="BA157" s="154"/>
      <c r="BB157" s="154"/>
      <c r="BC157" s="118"/>
      <c r="BD157" s="118"/>
      <c r="BE157" s="118"/>
      <c r="BF157" s="118"/>
      <c r="BG157" s="118"/>
      <c r="BH157" s="118"/>
      <c r="BI157" s="118"/>
      <c r="BJ157" s="118"/>
      <c r="CE157" s="55"/>
      <c r="CH157"/>
    </row>
    <row r="158" spans="1:86" x14ac:dyDescent="0.35">
      <c r="O158" s="58"/>
      <c r="P158" s="58"/>
      <c r="Q158" s="58"/>
      <c r="R158" s="58"/>
      <c r="S158" s="58"/>
      <c r="W158" s="89"/>
      <c r="AV158" s="154"/>
      <c r="AW158" s="154"/>
      <c r="AX158" s="154"/>
      <c r="AY158" s="154"/>
      <c r="AZ158" s="154"/>
      <c r="BA158" s="154"/>
      <c r="BB158" s="154"/>
      <c r="BC158" s="118"/>
      <c r="BD158" s="118"/>
      <c r="BE158" s="118"/>
      <c r="BF158" s="118"/>
      <c r="BG158" s="118"/>
      <c r="BH158" s="118"/>
      <c r="BI158" s="118"/>
      <c r="BJ158" s="118"/>
      <c r="CE158" s="55"/>
      <c r="CH158"/>
    </row>
    <row r="159" spans="1:86" x14ac:dyDescent="0.35">
      <c r="O159" s="58"/>
      <c r="P159" s="58"/>
      <c r="Q159" s="58"/>
      <c r="R159" s="58"/>
      <c r="S159" s="58"/>
      <c r="W159" s="89"/>
      <c r="AV159" s="154"/>
      <c r="AW159" s="154"/>
      <c r="AX159" s="154"/>
      <c r="AY159" s="154"/>
      <c r="AZ159" s="154"/>
      <c r="BA159" s="154"/>
      <c r="BB159" s="154"/>
      <c r="BC159" s="118"/>
      <c r="BD159" s="118"/>
      <c r="BE159" s="118"/>
      <c r="BF159" s="118"/>
      <c r="BG159" s="118"/>
      <c r="BH159" s="118"/>
      <c r="BI159" s="118"/>
      <c r="BJ159" s="118"/>
      <c r="CE159" s="55"/>
      <c r="CH159"/>
    </row>
    <row r="160" spans="1:86" x14ac:dyDescent="0.35">
      <c r="O160" s="58"/>
      <c r="P160" s="58"/>
      <c r="Q160" s="58"/>
      <c r="R160" s="58"/>
      <c r="S160" s="58"/>
      <c r="W160" s="89"/>
      <c r="AV160" s="154"/>
      <c r="AW160" s="154"/>
      <c r="AX160" s="154"/>
      <c r="AY160" s="154"/>
      <c r="AZ160" s="154"/>
      <c r="BA160" s="154"/>
      <c r="BB160" s="154"/>
      <c r="BC160" s="118"/>
      <c r="BD160" s="118"/>
      <c r="BE160" s="118"/>
      <c r="BF160" s="118"/>
      <c r="BG160" s="118"/>
      <c r="BH160" s="118"/>
      <c r="BI160" s="118"/>
      <c r="BJ160" s="118"/>
      <c r="CE160" s="55"/>
      <c r="CH160"/>
    </row>
    <row r="161" spans="2:86" x14ac:dyDescent="0.35">
      <c r="O161" s="58"/>
      <c r="P161" s="58"/>
      <c r="Q161" s="58"/>
      <c r="R161" s="58"/>
      <c r="S161" s="58"/>
      <c r="W161" s="89"/>
      <c r="AV161" s="154"/>
      <c r="AW161" s="154"/>
      <c r="AX161" s="154"/>
      <c r="AY161" s="154"/>
      <c r="AZ161" s="154"/>
      <c r="BA161" s="154"/>
      <c r="BB161" s="154"/>
      <c r="BC161" s="118"/>
      <c r="BD161" s="118"/>
      <c r="BE161" s="118"/>
      <c r="BF161" s="118"/>
      <c r="BG161" s="118"/>
      <c r="BH161" s="118"/>
      <c r="BI161" s="118"/>
      <c r="BJ161" s="118"/>
      <c r="CE161" s="55"/>
      <c r="CH161"/>
    </row>
    <row r="162" spans="2:86" x14ac:dyDescent="0.35">
      <c r="O162" s="58"/>
      <c r="P162" s="58"/>
      <c r="Q162" s="58"/>
      <c r="R162" s="58"/>
      <c r="S162" s="58"/>
      <c r="W162" s="89"/>
      <c r="AV162" s="154"/>
      <c r="AW162" s="154"/>
      <c r="AX162" s="154"/>
      <c r="AY162" s="154"/>
      <c r="AZ162" s="154"/>
      <c r="BA162" s="154"/>
      <c r="BB162" s="154"/>
      <c r="BC162" s="118"/>
      <c r="BD162" s="118"/>
      <c r="BE162" s="118"/>
      <c r="BF162" s="118"/>
      <c r="BG162" s="118"/>
      <c r="BH162" s="118"/>
      <c r="BI162" s="118"/>
      <c r="BJ162" s="118"/>
      <c r="CE162" s="55"/>
      <c r="CH162"/>
    </row>
    <row r="163" spans="2:86" x14ac:dyDescent="0.35">
      <c r="O163" s="58"/>
      <c r="P163" s="58"/>
      <c r="Q163" s="58"/>
      <c r="R163" s="58"/>
      <c r="S163" s="58"/>
      <c r="W163" s="89"/>
      <c r="AV163" s="154"/>
      <c r="AW163" s="154"/>
      <c r="AX163" s="154"/>
      <c r="AY163" s="154"/>
      <c r="AZ163" s="154"/>
      <c r="BA163" s="154"/>
      <c r="BB163" s="154"/>
      <c r="BC163" s="118"/>
      <c r="BD163" s="118"/>
      <c r="BE163" s="118"/>
      <c r="BF163" s="118"/>
      <c r="BG163" s="118"/>
      <c r="BH163" s="118"/>
      <c r="BI163" s="118"/>
      <c r="BJ163" s="118"/>
      <c r="CE163" s="55"/>
      <c r="CH163"/>
    </row>
    <row r="164" spans="2:86" x14ac:dyDescent="0.35">
      <c r="O164" s="58"/>
      <c r="P164" s="58"/>
      <c r="Q164" s="58"/>
      <c r="R164" s="58"/>
      <c r="S164" s="58"/>
      <c r="W164" s="89"/>
      <c r="AV164" s="154"/>
      <c r="AW164" s="154"/>
      <c r="AX164" s="154"/>
      <c r="AY164" s="154"/>
      <c r="AZ164" s="154"/>
      <c r="BA164" s="154"/>
      <c r="BB164" s="154"/>
      <c r="BC164" s="118"/>
      <c r="BD164" s="118"/>
      <c r="BE164" s="118"/>
      <c r="BF164" s="118"/>
      <c r="BG164" s="118"/>
      <c r="BH164" s="118"/>
      <c r="BI164" s="118"/>
      <c r="BJ164" s="118"/>
      <c r="CE164" s="55"/>
      <c r="CH164"/>
    </row>
    <row r="165" spans="2:86" x14ac:dyDescent="0.35">
      <c r="O165" s="58"/>
      <c r="P165" s="58"/>
      <c r="Q165" s="58"/>
      <c r="R165" s="58"/>
      <c r="S165" s="58"/>
      <c r="W165" s="89"/>
      <c r="AV165" s="154"/>
      <c r="AW165" s="154"/>
      <c r="AX165" s="154"/>
      <c r="AY165" s="154"/>
      <c r="AZ165" s="154"/>
      <c r="BA165" s="154"/>
      <c r="BB165" s="154"/>
      <c r="BC165" s="118"/>
      <c r="BD165" s="118"/>
      <c r="BE165" s="118"/>
      <c r="BF165" s="118"/>
      <c r="BG165" s="118"/>
      <c r="BH165" s="118"/>
      <c r="BI165" s="118"/>
      <c r="BJ165" s="118"/>
      <c r="CE165" s="55"/>
      <c r="CH165"/>
    </row>
    <row r="166" spans="2:86" x14ac:dyDescent="0.35">
      <c r="O166" s="58"/>
      <c r="P166" s="58"/>
      <c r="Q166" s="58"/>
      <c r="R166" s="58"/>
      <c r="S166" s="58"/>
      <c r="W166" s="89"/>
      <c r="AV166" s="154"/>
      <c r="AW166" s="154"/>
      <c r="AX166" s="154"/>
      <c r="AY166" s="154"/>
      <c r="AZ166" s="154"/>
      <c r="BA166" s="154"/>
      <c r="BB166" s="154"/>
      <c r="BC166" s="118"/>
      <c r="BD166" s="118"/>
      <c r="BE166" s="118"/>
      <c r="BF166" s="118"/>
      <c r="BG166" s="118"/>
      <c r="BH166" s="118"/>
      <c r="BI166" s="118"/>
      <c r="BJ166" s="118"/>
      <c r="CE166" s="55"/>
      <c r="CH166"/>
    </row>
    <row r="167" spans="2:86" x14ac:dyDescent="0.35">
      <c r="O167" s="58"/>
      <c r="P167" s="58"/>
      <c r="Q167" s="58"/>
      <c r="R167" s="58"/>
      <c r="S167" s="58"/>
      <c r="W167" s="89"/>
      <c r="AV167" s="154"/>
      <c r="AW167" s="154"/>
      <c r="AX167" s="154"/>
      <c r="AY167" s="154"/>
      <c r="AZ167" s="154"/>
      <c r="BA167" s="154"/>
      <c r="BB167" s="154"/>
      <c r="BC167" s="118"/>
      <c r="BD167" s="118"/>
      <c r="BE167" s="118"/>
      <c r="BF167" s="118"/>
      <c r="BG167" s="118"/>
      <c r="BH167" s="118"/>
      <c r="BI167" s="118"/>
      <c r="BJ167" s="118"/>
      <c r="CE167" s="55"/>
      <c r="CH167"/>
    </row>
    <row r="168" spans="2:86" x14ac:dyDescent="0.35">
      <c r="O168" s="58"/>
      <c r="P168" s="58"/>
      <c r="Q168" s="58"/>
      <c r="R168" s="58"/>
      <c r="S168" s="58"/>
      <c r="W168" s="89"/>
      <c r="AV168" s="154"/>
      <c r="AW168" s="154"/>
      <c r="AX168" s="154"/>
      <c r="AY168" s="154"/>
      <c r="AZ168" s="154"/>
      <c r="BA168" s="154"/>
      <c r="BB168" s="154"/>
      <c r="BC168" s="118"/>
      <c r="BD168" s="118"/>
      <c r="BE168" s="118"/>
      <c r="BF168" s="118"/>
      <c r="BG168" s="118"/>
      <c r="BH168" s="118"/>
      <c r="BI168" s="118"/>
      <c r="BJ168" s="118"/>
      <c r="CE168" s="55"/>
      <c r="CH168"/>
    </row>
    <row r="169" spans="2:86" x14ac:dyDescent="0.35">
      <c r="O169" s="58"/>
      <c r="P169" s="58"/>
      <c r="Q169" s="58"/>
      <c r="R169" s="58"/>
      <c r="S169" s="58"/>
      <c r="W169" s="89"/>
      <c r="AV169" s="154"/>
      <c r="AW169" s="154"/>
      <c r="AX169" s="154"/>
      <c r="AY169" s="154"/>
      <c r="AZ169" s="154"/>
      <c r="BA169" s="154"/>
      <c r="BB169" s="154"/>
      <c r="BC169" s="118"/>
      <c r="BD169" s="118"/>
      <c r="BE169" s="118"/>
      <c r="BF169" s="118"/>
      <c r="BG169" s="118"/>
      <c r="BH169" s="118"/>
      <c r="BI169" s="118"/>
      <c r="BJ169" s="118"/>
      <c r="CE169" s="55"/>
      <c r="CH169"/>
    </row>
    <row r="170" spans="2:86" x14ac:dyDescent="0.35">
      <c r="O170" s="58"/>
      <c r="P170" s="58"/>
      <c r="Q170" s="58"/>
      <c r="R170" s="58"/>
      <c r="S170" s="58"/>
      <c r="W170" s="89"/>
      <c r="AV170" s="154"/>
      <c r="AW170" s="154"/>
      <c r="AX170" s="154"/>
      <c r="AY170" s="154"/>
      <c r="AZ170" s="154"/>
      <c r="BA170" s="154"/>
      <c r="BB170" s="154"/>
      <c r="BC170" s="118"/>
      <c r="BD170" s="118"/>
      <c r="BE170" s="118"/>
      <c r="BF170" s="118"/>
      <c r="BG170" s="118"/>
      <c r="BH170" s="118"/>
      <c r="BI170" s="118"/>
      <c r="BJ170" s="118"/>
      <c r="CE170" s="55"/>
      <c r="CH170"/>
    </row>
    <row r="171" spans="2:86" x14ac:dyDescent="0.35">
      <c r="O171" s="58"/>
      <c r="P171" s="58"/>
      <c r="Q171" s="58"/>
      <c r="R171" s="58"/>
      <c r="S171" s="58"/>
      <c r="W171" s="89"/>
      <c r="AV171" s="154"/>
      <c r="AW171" s="154"/>
      <c r="AX171" s="154"/>
      <c r="AY171" s="154"/>
      <c r="AZ171" s="154"/>
      <c r="BA171" s="154"/>
      <c r="BB171" s="154"/>
      <c r="BC171" s="118"/>
      <c r="BD171" s="118"/>
      <c r="BE171" s="118"/>
      <c r="BF171" s="118"/>
      <c r="BG171" s="118"/>
      <c r="BH171" s="118"/>
      <c r="BI171" s="118"/>
      <c r="BJ171" s="118"/>
      <c r="CE171" s="55"/>
      <c r="CH171"/>
    </row>
    <row r="172" spans="2:86" x14ac:dyDescent="0.35">
      <c r="O172" s="58"/>
      <c r="P172" s="58"/>
      <c r="Q172" s="58"/>
      <c r="R172" s="58"/>
      <c r="S172" s="58"/>
      <c r="W172" s="89"/>
      <c r="AV172" s="154"/>
      <c r="AW172" s="154"/>
      <c r="AX172" s="154"/>
      <c r="AY172" s="154"/>
      <c r="AZ172" s="154"/>
      <c r="BA172" s="154"/>
      <c r="BB172" s="154"/>
      <c r="BC172" s="118"/>
      <c r="BD172" s="118"/>
      <c r="BE172" s="118"/>
      <c r="BF172" s="118"/>
      <c r="BG172" s="118"/>
      <c r="BH172" s="118"/>
      <c r="BI172" s="118"/>
      <c r="BJ172" s="118"/>
      <c r="CE172" s="55"/>
      <c r="CH172"/>
    </row>
    <row r="173" spans="2:86" x14ac:dyDescent="0.35">
      <c r="O173" s="58"/>
      <c r="P173" s="58"/>
      <c r="Q173" s="58"/>
      <c r="R173" s="58"/>
      <c r="S173" s="58"/>
      <c r="W173" s="89"/>
      <c r="AV173" s="154"/>
      <c r="AW173" s="154"/>
      <c r="AX173" s="154"/>
      <c r="AY173" s="154"/>
      <c r="AZ173" s="154"/>
      <c r="BA173" s="154"/>
      <c r="BB173" s="154"/>
      <c r="BC173" s="118"/>
      <c r="BD173" s="118"/>
      <c r="BE173" s="118"/>
      <c r="BF173" s="118"/>
      <c r="BG173" s="118"/>
      <c r="BH173" s="118"/>
      <c r="BI173" s="118"/>
      <c r="BJ173" s="118"/>
      <c r="CE173" s="55"/>
      <c r="CH173"/>
    </row>
    <row r="174" spans="2:86" x14ac:dyDescent="0.35">
      <c r="O174" s="58"/>
      <c r="P174" s="58"/>
      <c r="Q174" s="58"/>
      <c r="R174" s="58"/>
      <c r="S174" s="58"/>
      <c r="W174" s="89"/>
      <c r="AV174" s="154"/>
      <c r="AW174" s="154"/>
      <c r="AX174" s="154"/>
      <c r="AY174" s="154"/>
      <c r="AZ174" s="154"/>
      <c r="BA174" s="154"/>
      <c r="BB174" s="154"/>
      <c r="BC174" s="118"/>
      <c r="BD174" s="118"/>
      <c r="BE174" s="118"/>
      <c r="BF174" s="118"/>
      <c r="BG174" s="118"/>
      <c r="BH174" s="118"/>
      <c r="BI174" s="118"/>
      <c r="BJ174" s="118"/>
      <c r="CF174"/>
      <c r="CG174"/>
      <c r="CH174"/>
    </row>
    <row r="175" spans="2:86" x14ac:dyDescent="0.35">
      <c r="B175" s="41"/>
      <c r="C175" s="41"/>
      <c r="D175" s="41"/>
      <c r="E175" s="41"/>
      <c r="F175" s="41"/>
      <c r="G175" s="41"/>
      <c r="H175" s="41"/>
      <c r="I175" s="41"/>
      <c r="J175" s="41"/>
      <c r="K175" s="41"/>
      <c r="L175" s="41"/>
      <c r="M175" s="41"/>
      <c r="N175" s="41"/>
      <c r="O175" s="94"/>
      <c r="P175" s="94"/>
      <c r="Q175" s="94"/>
      <c r="R175" s="94"/>
      <c r="S175" s="94"/>
      <c r="T175" s="41"/>
      <c r="U175" s="41"/>
      <c r="V175" s="41"/>
      <c r="W175" s="89"/>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147"/>
      <c r="AW175" s="147"/>
      <c r="AX175" s="147"/>
      <c r="AY175" s="147"/>
      <c r="AZ175" s="147"/>
      <c r="BA175" s="154"/>
      <c r="BB175" s="154"/>
      <c r="BC175" s="118"/>
      <c r="BD175" s="118"/>
      <c r="BE175" s="118"/>
      <c r="BF175" s="118"/>
      <c r="BG175" s="118"/>
      <c r="BH175" s="118"/>
      <c r="BI175" s="121"/>
      <c r="BJ175" s="121"/>
      <c r="CF175"/>
      <c r="CG175"/>
      <c r="CH175"/>
    </row>
    <row r="176" spans="2:86" x14ac:dyDescent="0.35">
      <c r="CE176" s="55"/>
      <c r="CH176"/>
    </row>
  </sheetData>
  <conditionalFormatting sqref="N45:V51">
    <cfRule type="colorScale" priority="1">
      <colorScale>
        <cfvo type="min"/>
        <cfvo type="max"/>
        <color rgb="FFFFF5C1"/>
        <color rgb="FF44A25D"/>
      </colorScale>
    </cfRule>
    <cfRule type="colorScale" priority="2">
      <colorScale>
        <cfvo type="min"/>
        <cfvo type="percentile" val="50"/>
        <cfvo type="max"/>
        <color rgb="FFF8696B"/>
        <color rgb="FFFFEB84"/>
        <color rgb="FF63BE7B"/>
      </colorScale>
    </cfRule>
  </conditionalFormatting>
  <conditionalFormatting sqref="B157:B175">
    <cfRule type="duplicateValues" dxfId="71" priority="383"/>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B5571-4EF7-4BC9-9AEB-08A0480C0A3F}">
  <sheetPr>
    <tabColor theme="4" tint="0.39997558519241921"/>
  </sheetPr>
  <dimension ref="A1:CT185"/>
  <sheetViews>
    <sheetView topLeftCell="K1" zoomScale="70" zoomScaleNormal="70" workbookViewId="0">
      <selection activeCell="I17" sqref="I17"/>
    </sheetView>
  </sheetViews>
  <sheetFormatPr defaultColWidth="15.6328125" defaultRowHeight="14.5" x14ac:dyDescent="0.35"/>
  <cols>
    <col min="1" max="1" width="29.08984375" customWidth="1"/>
    <col min="4" max="4" width="15.6328125" customWidth="1"/>
    <col min="5" max="5" width="25.36328125" customWidth="1"/>
    <col min="9" max="9" width="23.26953125" customWidth="1"/>
    <col min="12" max="12" width="31.6328125" customWidth="1"/>
    <col min="13" max="23" width="15.6328125" customWidth="1"/>
    <col min="30" max="30" width="38.90625" customWidth="1"/>
    <col min="32" max="32" width="32" customWidth="1"/>
    <col min="43" max="43" width="55.6328125" customWidth="1"/>
    <col min="44" max="44" width="38.6328125" customWidth="1"/>
    <col min="61" max="61" width="27.6328125" bestFit="1" customWidth="1"/>
    <col min="67" max="67" width="15.6328125" customWidth="1"/>
    <col min="69" max="69" width="15.6328125" customWidth="1"/>
    <col min="70" max="70" width="58.1796875" customWidth="1"/>
    <col min="71" max="98" width="15.6328125" customWidth="1"/>
  </cols>
  <sheetData>
    <row r="1" spans="1:98" ht="29" x14ac:dyDescent="0.35">
      <c r="A1" s="131" t="s">
        <v>1950</v>
      </c>
      <c r="H1" s="92"/>
      <c r="AM1" s="102" t="s">
        <v>2105</v>
      </c>
      <c r="AN1" s="102"/>
      <c r="AO1" s="102" t="s">
        <v>2107</v>
      </c>
      <c r="AP1" s="102"/>
      <c r="AQ1" s="102"/>
      <c r="AR1" s="103"/>
      <c r="AS1" s="102" t="s">
        <v>2109</v>
      </c>
      <c r="AT1" s="102" t="s">
        <v>2104</v>
      </c>
      <c r="AU1" s="103"/>
      <c r="AV1" s="102"/>
      <c r="AW1" s="102" t="s">
        <v>2108</v>
      </c>
      <c r="AX1" s="102" t="s">
        <v>2104</v>
      </c>
      <c r="AY1" s="64"/>
      <c r="BA1" s="55"/>
      <c r="BL1" s="55"/>
      <c r="CH1" s="55"/>
      <c r="CI1" s="55"/>
      <c r="CJ1" s="55"/>
      <c r="CK1" s="55"/>
      <c r="CL1" s="55"/>
      <c r="CM1" s="55"/>
      <c r="CN1" s="55"/>
      <c r="CO1" s="55"/>
      <c r="CP1" s="55"/>
      <c r="CQ1" s="55"/>
      <c r="CR1" s="55"/>
      <c r="CS1" s="55"/>
      <c r="CT1" s="55"/>
    </row>
    <row r="2" spans="1:98" x14ac:dyDescent="0.35">
      <c r="A2" s="92" t="s">
        <v>2055</v>
      </c>
      <c r="B2" s="114" t="s">
        <v>405</v>
      </c>
      <c r="AM2" t="str" cm="1">
        <f t="array" ref="AM2:AM82">_xlfn._xlws.FILTER(L73:L156,L73:L156&lt;&gt;0)</f>
        <v>Continental</v>
      </c>
      <c r="AO2" t="str">
        <f>VLOOKUP(AM2,CBIMPORT!$A$1:$B$171,2,FALSE)</f>
        <v>Automotive Supplier</v>
      </c>
      <c r="AS2" t="str" cm="1">
        <f t="array" ref="AS2:AS55">_xlfn._xlws.FILTER(
CHOOSE(
{1},
$L$72:$L$156),
(($J$72:$J$156=E8)*($L$72:$L$156&lt;&gt;0)))</f>
        <v>Continental</v>
      </c>
      <c r="AT2" t="str">
        <f>VLOOKUP(AS2,CBIMPORT!$A$1:$B$171,2,FALSE)</f>
        <v>Automotive Supplier</v>
      </c>
      <c r="AW2" t="str" cm="1">
        <f t="array" ref="AW2:AW28">_xlfn._xlws.FILTER(
CHOOSE(
{1},
$L$72:$L$156),
(($J$72:$J$156=I8)*($L$72:$L$156&lt;&gt;0)))</f>
        <v>Starship Technologies</v>
      </c>
      <c r="AX2" t="str">
        <f>VLOOKUP(AW2,CBIMPORT!$A$1:$B$171,2,FALSE)</f>
        <v>Autonomous Vehicles</v>
      </c>
      <c r="AY2" s="55"/>
      <c r="BA2" s="55"/>
      <c r="BL2" s="55"/>
      <c r="CH2" s="55"/>
      <c r="CI2" s="55"/>
      <c r="CJ2" s="55"/>
      <c r="CK2" s="55"/>
      <c r="CL2" s="55"/>
      <c r="CM2" s="55"/>
      <c r="CN2" s="55"/>
      <c r="CO2" s="55"/>
      <c r="CP2" s="55"/>
      <c r="CQ2" s="55"/>
      <c r="CR2" s="55"/>
      <c r="CS2" s="55"/>
      <c r="CT2" s="55"/>
    </row>
    <row r="3" spans="1:98" x14ac:dyDescent="0.35">
      <c r="B3" s="114" t="s">
        <v>273</v>
      </c>
      <c r="AM3" t="str">
        <v>Hirschbach</v>
      </c>
      <c r="AO3" t="str">
        <f>VLOOKUP(AM3,CBIMPORT!$A$1:$B$171,2,FALSE)</f>
        <v>Logistics</v>
      </c>
      <c r="AS3" t="str">
        <v>Hirschbach</v>
      </c>
      <c r="AT3" t="str">
        <f>VLOOKUP(AS3,CBIMPORT!$A$1:$B$171,2,FALSE)</f>
        <v>Logistics</v>
      </c>
      <c r="AW3" t="str">
        <v>Mitsubishi</v>
      </c>
      <c r="AX3" t="str">
        <f>VLOOKUP(AW3,CBIMPORT!$A$1:$B$171,2,FALSE)</f>
        <v>OEM</v>
      </c>
      <c r="AY3" s="55"/>
      <c r="BA3" s="55"/>
      <c r="BL3" s="55"/>
      <c r="CH3" s="55"/>
      <c r="CI3" s="55"/>
      <c r="CJ3" s="55"/>
      <c r="CK3" s="55"/>
      <c r="CL3" s="55"/>
      <c r="CM3" s="55"/>
      <c r="CN3" s="55"/>
      <c r="CO3" s="55"/>
      <c r="CP3" s="55"/>
      <c r="CQ3" s="55"/>
      <c r="CR3" s="55"/>
      <c r="CS3" s="55"/>
      <c r="CT3" s="55"/>
    </row>
    <row r="4" spans="1:98" x14ac:dyDescent="0.35">
      <c r="A4" s="92" t="s">
        <v>2058</v>
      </c>
      <c r="B4" s="92">
        <f>COUNTA(A73:A156)</f>
        <v>81</v>
      </c>
      <c r="AM4" t="str">
        <v>Covenant</v>
      </c>
      <c r="AO4" t="str">
        <f>VLOOKUP(AM4,CBIMPORT!$A$1:$B$171,2,FALSE)</f>
        <v>Logistics</v>
      </c>
      <c r="AS4" t="str">
        <v>Covenant</v>
      </c>
      <c r="AT4" t="str">
        <f>VLOOKUP(AS4,CBIMPORT!$A$1:$B$171,2,FALSE)</f>
        <v>Logistics</v>
      </c>
      <c r="AW4" t="str">
        <v>Grubhub</v>
      </c>
      <c r="AX4" t="str">
        <f>VLOOKUP(AW4,CBIMPORT!$A$1:$B$171,2,FALSE)</f>
        <v>Delivery Service</v>
      </c>
      <c r="AY4" s="55"/>
      <c r="BA4" s="55"/>
      <c r="BL4" s="55"/>
      <c r="CH4" s="55"/>
      <c r="CI4" s="55"/>
      <c r="CJ4" s="55"/>
      <c r="CK4" s="55"/>
      <c r="CL4" s="55"/>
      <c r="CM4" s="55"/>
      <c r="CN4" s="55"/>
      <c r="CO4" s="55"/>
      <c r="CP4" s="55"/>
      <c r="CQ4" s="55"/>
      <c r="CR4" s="55"/>
      <c r="CS4" s="55"/>
      <c r="CT4" s="55"/>
    </row>
    <row r="5" spans="1:98" x14ac:dyDescent="0.35">
      <c r="A5" s="114" t="s">
        <v>2110</v>
      </c>
      <c r="B5">
        <f>COUNTA(_xlfn.UNIQUE(E73:E156))</f>
        <v>26</v>
      </c>
      <c r="AM5" t="str">
        <v>U.S. Xpress</v>
      </c>
      <c r="AO5" t="str">
        <f>VLOOKUP(AM5,CBIMPORT!$A$1:$B$171,2,FALSE)</f>
        <v>Logistics</v>
      </c>
      <c r="AS5" t="str">
        <v>U.S. Xpress</v>
      </c>
      <c r="AT5" t="str">
        <f>VLOOKUP(AS5,CBIMPORT!$A$1:$B$171,2,FALSE)</f>
        <v>Logistics</v>
      </c>
      <c r="AW5" t="str">
        <v>Walmart</v>
      </c>
      <c r="AX5" t="str">
        <f>VLOOKUP(AW5,CBIMPORT!$A$1:$B$171,2,FALSE)</f>
        <v>Retail</v>
      </c>
      <c r="AY5" s="55"/>
      <c r="BA5" s="55"/>
      <c r="BL5" s="55"/>
      <c r="CH5" s="55"/>
      <c r="CI5" s="55"/>
      <c r="CJ5" s="55"/>
      <c r="CK5" s="55"/>
      <c r="CL5" s="55"/>
      <c r="CM5" s="55"/>
      <c r="CN5" s="55"/>
      <c r="CO5" s="55"/>
      <c r="CP5" s="55"/>
      <c r="CQ5" s="55"/>
      <c r="CR5" s="55"/>
      <c r="CS5" s="55"/>
      <c r="CT5" s="55"/>
    </row>
    <row r="6" spans="1:98" x14ac:dyDescent="0.35">
      <c r="A6" s="98"/>
      <c r="AM6" t="str">
        <v>Starship Technologies</v>
      </c>
      <c r="AO6" t="str">
        <f>VLOOKUP(AM6,CBIMPORT!$A$1:$B$171,2,FALSE)</f>
        <v>Autonomous Vehicles</v>
      </c>
      <c r="AS6" t="str">
        <v>Bridgestone</v>
      </c>
      <c r="AT6" t="str">
        <f>VLOOKUP(AS6,CBIMPORT!$A$1:$B$171,2,FALSE)</f>
        <v>Automotive Supplier</v>
      </c>
      <c r="AW6" t="str">
        <v>Replate</v>
      </c>
      <c r="AX6" t="str">
        <f>VLOOKUP(AW6,CBIMPORT!$A$1:$B$171,2,FALSE)</f>
        <v>NPO</v>
      </c>
      <c r="AY6" s="55"/>
      <c r="BA6" s="55"/>
      <c r="BL6" s="55"/>
      <c r="CH6" s="55"/>
      <c r="CI6" s="55"/>
      <c r="CJ6" s="55"/>
      <c r="CK6" s="55"/>
      <c r="CL6" s="55"/>
      <c r="CM6" s="55"/>
      <c r="CN6" s="55"/>
      <c r="CO6" s="55"/>
      <c r="CP6" s="55"/>
      <c r="CQ6" s="55"/>
      <c r="CR6" s="55"/>
      <c r="CS6" s="55"/>
      <c r="CT6" s="55"/>
    </row>
    <row r="7" spans="1:98" x14ac:dyDescent="0.35">
      <c r="A7" s="41">
        <f>COUNTA(H73:H156)</f>
        <v>81</v>
      </c>
      <c r="E7" s="41">
        <f>COUNTIF(J73:J156,E8)</f>
        <v>54</v>
      </c>
      <c r="I7" s="41">
        <f>COUNTIF(J73:J156,I8)</f>
        <v>27</v>
      </c>
      <c r="J7" s="41"/>
      <c r="AM7" t="str">
        <v>Mitsubishi</v>
      </c>
      <c r="AO7" t="str">
        <f>VLOOKUP(AM7,CBIMPORT!$A$1:$B$171,2,FALSE)</f>
        <v>OEM</v>
      </c>
      <c r="AS7" t="str">
        <v>Ericsson</v>
      </c>
      <c r="AT7" t="str">
        <f>VLOOKUP(AS7,CBIMPORT!$A$1:$B$171,2,FALSE)</f>
        <v>Telecommunications</v>
      </c>
      <c r="AW7" t="str">
        <v>Aramex</v>
      </c>
      <c r="AX7" t="str">
        <f>VLOOKUP(AW7,CBIMPORT!$A$1:$B$171,2,FALSE)</f>
        <v>Logistics</v>
      </c>
      <c r="AY7" s="55"/>
      <c r="BA7" s="55"/>
      <c r="BL7" s="55"/>
      <c r="CH7" s="55"/>
      <c r="CI7" s="55"/>
      <c r="CJ7" s="55"/>
      <c r="CK7" s="55"/>
      <c r="CL7" s="55"/>
      <c r="CM7" s="55"/>
      <c r="CN7" s="55"/>
      <c r="CO7" s="55"/>
      <c r="CP7" s="55"/>
      <c r="CQ7" s="55"/>
      <c r="CR7" s="55"/>
      <c r="CS7" s="55"/>
      <c r="CT7" s="55"/>
    </row>
    <row r="8" spans="1:98" x14ac:dyDescent="0.35">
      <c r="A8" s="128" t="s">
        <v>1950</v>
      </c>
      <c r="E8" s="128" t="s">
        <v>405</v>
      </c>
      <c r="G8">
        <f>COUNTA(F10:F34)-COUNTIF(F10:F34,0)</f>
        <v>17</v>
      </c>
      <c r="I8" s="128" t="s">
        <v>273</v>
      </c>
      <c r="J8" s="41"/>
      <c r="K8">
        <f>COUNTA(J10:J34)-COUNTIF(J10:J34,0)</f>
        <v>11</v>
      </c>
      <c r="AM8" t="str">
        <v>Grubhub</v>
      </c>
      <c r="AO8" t="str">
        <f>VLOOKUP(AM8,CBIMPORT!$A$1:$B$171,2,FALSE)</f>
        <v>Delivery Service</v>
      </c>
      <c r="AS8" t="str">
        <v>SKF</v>
      </c>
      <c r="AT8" t="str">
        <f>VLOOKUP(AS8,CBIMPORT!$A$1:$B$171,2,FALSE)</f>
        <v>Industrial</v>
      </c>
      <c r="AW8" t="str">
        <v>Grubhub</v>
      </c>
      <c r="AX8" t="str">
        <f>VLOOKUP(AW8,CBIMPORT!$A$1:$B$171,2,FALSE)</f>
        <v>Delivery Service</v>
      </c>
      <c r="AY8" s="55"/>
      <c r="BA8" s="55"/>
      <c r="BL8" s="55"/>
      <c r="CH8" s="55"/>
      <c r="CI8" s="55"/>
      <c r="CJ8" s="55"/>
      <c r="CK8" s="55"/>
      <c r="CL8" s="55"/>
      <c r="CM8" s="55"/>
      <c r="CN8" s="55"/>
      <c r="CO8" s="55"/>
      <c r="CP8" s="55"/>
      <c r="CQ8" s="55"/>
      <c r="CR8" s="55"/>
      <c r="CS8" s="55"/>
      <c r="CT8" s="55"/>
    </row>
    <row r="9" spans="1:98" x14ac:dyDescent="0.35">
      <c r="A9" s="129" t="s">
        <v>2056</v>
      </c>
      <c r="AM9" t="str">
        <v>Walmart</v>
      </c>
      <c r="AO9" t="str">
        <f>VLOOKUP(AM9,CBIMPORT!$A$1:$B$171,2,FALSE)</f>
        <v>Retail</v>
      </c>
      <c r="AS9" t="str">
        <v>Svenska Retursystem</v>
      </c>
      <c r="AT9" t="str">
        <f>VLOOKUP(AS9,CBIMPORT!$A$1:$B$171,2,FALSE)</f>
        <v>Logistics</v>
      </c>
      <c r="AW9" t="str">
        <v>kineo</v>
      </c>
      <c r="AX9" t="str">
        <f>VLOOKUP(AW9,CBIMPORT!$A$1:$B$171,2,FALSE)</f>
        <v>Financial Services</v>
      </c>
      <c r="AY9" s="55"/>
      <c r="BA9" s="55"/>
      <c r="BL9" s="55"/>
      <c r="CH9" s="55"/>
      <c r="CI9" s="55"/>
      <c r="CJ9" s="55"/>
      <c r="CK9" s="55"/>
      <c r="CL9" s="55"/>
      <c r="CM9" s="55"/>
      <c r="CN9" s="55"/>
      <c r="CO9" s="55"/>
      <c r="CP9" s="55"/>
      <c r="CQ9" s="55"/>
      <c r="CR9" s="55"/>
      <c r="CS9" s="55"/>
      <c r="CT9" s="55"/>
    </row>
    <row r="10" spans="1:98" x14ac:dyDescent="0.35">
      <c r="A10" s="114" t="str" cm="1">
        <f t="array" ref="A10:C32">_xlfn._xlws.SORT(AN97:AP119,1,1)</f>
        <v>Advertising</v>
      </c>
      <c r="B10">
        <v>2</v>
      </c>
      <c r="C10" s="58">
        <v>2.3529411764705882E-2</v>
      </c>
      <c r="D10" t="b">
        <f>F10+J10=B10</f>
        <v>1</v>
      </c>
      <c r="E10" s="114" t="str" cm="1">
        <f t="array" ref="E10:G32">_xlfn._xlws.SORT(AS97:AU119,1,1)</f>
        <v>Advertising</v>
      </c>
      <c r="F10">
        <v>0</v>
      </c>
      <c r="G10" s="58">
        <v>0</v>
      </c>
      <c r="H10" s="114" t="str">
        <f>IF(AND(J10=0,F10&gt;0),E10,"")</f>
        <v/>
      </c>
      <c r="I10" s="114" t="str" cm="1">
        <f t="array" ref="I10:K32">_xlfn._xlws.SORT(AW97:AY119,1,1)</f>
        <v>Advertising</v>
      </c>
      <c r="J10">
        <v>2</v>
      </c>
      <c r="K10" s="58">
        <v>7.1428571428571425E-2</v>
      </c>
      <c r="L10" s="114" t="str">
        <f>IF(AND(F10=0,J10&gt;0),I10,"")</f>
        <v>Advertising</v>
      </c>
      <c r="AM10" t="str">
        <v>Replate</v>
      </c>
      <c r="AO10" t="str">
        <f>VLOOKUP(AM10,CBIMPORT!$A$1:$B$171,2,FALSE)</f>
        <v>NPO</v>
      </c>
      <c r="AS10" t="str">
        <v>Polarrenen</v>
      </c>
      <c r="AT10" t="str">
        <f>VLOOKUP(AS10,CBIMPORT!$A$1:$B$171,2,FALSE)</f>
        <v>Real estate</v>
      </c>
      <c r="AW10" t="str">
        <v>Goggo Network</v>
      </c>
      <c r="AX10" t="str">
        <f>VLOOKUP(AW10,CBIMPORT!$A$1:$B$171,2,FALSE)</f>
        <v>Autonomous mobility network</v>
      </c>
      <c r="AY10" s="55"/>
      <c r="BA10" s="55"/>
      <c r="BL10" s="55"/>
      <c r="CH10" s="55"/>
      <c r="CI10" s="55"/>
      <c r="CJ10" s="55"/>
      <c r="CK10" s="55"/>
      <c r="CL10" s="55"/>
      <c r="CM10" s="55"/>
      <c r="CN10" s="55"/>
      <c r="CO10" s="55"/>
      <c r="CP10" s="55"/>
      <c r="CQ10" s="55"/>
      <c r="CR10" s="55"/>
      <c r="CS10" s="55"/>
      <c r="CT10" s="55"/>
    </row>
    <row r="11" spans="1:98" x14ac:dyDescent="0.35">
      <c r="A11" t="str">
        <v>Automotive Supplier</v>
      </c>
      <c r="B11">
        <v>8</v>
      </c>
      <c r="C11" s="58">
        <v>9.4117647058823528E-2</v>
      </c>
      <c r="D11" t="b">
        <f t="shared" ref="D11:D33" si="0">F11+J11=B11</f>
        <v>1</v>
      </c>
      <c r="E11" t="str">
        <v>Automotive Supplier</v>
      </c>
      <c r="F11">
        <v>8</v>
      </c>
      <c r="G11" s="58">
        <v>0.14035087719298245</v>
      </c>
      <c r="H11" s="114" t="str">
        <f t="shared" ref="H11:H34" si="1">IF(AND(J11=0,F11&gt;0),E11,"")</f>
        <v>Automotive Supplier</v>
      </c>
      <c r="I11" t="str">
        <v>Automotive Supplier</v>
      </c>
      <c r="J11">
        <v>0</v>
      </c>
      <c r="K11" s="58">
        <v>0</v>
      </c>
      <c r="L11" s="114" t="str">
        <f t="shared" ref="L11:L34" si="2">IF(AND(F11=0,J11&gt;0),I11,"")</f>
        <v/>
      </c>
      <c r="AM11" t="str">
        <v>Bridgestone</v>
      </c>
      <c r="AO11" t="str">
        <f>VLOOKUP(AM11,CBIMPORT!$A$1:$B$171,2,FALSE)</f>
        <v>Automotive Supplier</v>
      </c>
      <c r="AS11" t="str">
        <v>Ericsson</v>
      </c>
      <c r="AT11" t="str">
        <f>VLOOKUP(AS11,CBIMPORT!$A$1:$B$171,2,FALSE)</f>
        <v>Telecommunications</v>
      </c>
      <c r="AW11" t="str">
        <v>Uber</v>
      </c>
      <c r="AX11" t="str">
        <f>VLOOKUP(AW11,CBIMPORT!$A$1:$B$171,2,FALSE)</f>
        <v>Mobility Services Booking</v>
      </c>
      <c r="AY11" s="55"/>
      <c r="BA11" s="55"/>
      <c r="BL11" s="55"/>
      <c r="CH11" s="55"/>
      <c r="CI11" s="55"/>
      <c r="CJ11" s="55"/>
      <c r="CK11" s="55"/>
      <c r="CL11" s="55"/>
      <c r="CM11" s="55"/>
      <c r="CN11" s="55"/>
      <c r="CO11" s="55"/>
      <c r="CP11" s="55"/>
      <c r="CQ11" s="55"/>
      <c r="CR11" s="55"/>
      <c r="CS11" s="55"/>
      <c r="CT11" s="55"/>
    </row>
    <row r="12" spans="1:98" x14ac:dyDescent="0.35">
      <c r="A12" t="str">
        <v>Autonomous mobility network</v>
      </c>
      <c r="B12">
        <v>2</v>
      </c>
      <c r="C12" s="58">
        <v>2.3529411764705882E-2</v>
      </c>
      <c r="D12" t="b">
        <f t="shared" si="0"/>
        <v>1</v>
      </c>
      <c r="E12" t="str">
        <v>Autonomous mobility network</v>
      </c>
      <c r="F12">
        <v>0</v>
      </c>
      <c r="G12" s="58">
        <v>0</v>
      </c>
      <c r="H12" s="114" t="str">
        <f t="shared" si="1"/>
        <v/>
      </c>
      <c r="I12" t="str">
        <v>Autonomous mobility network</v>
      </c>
      <c r="J12">
        <v>2</v>
      </c>
      <c r="K12" s="58">
        <v>7.1428571428571425E-2</v>
      </c>
      <c r="L12" s="114" t="str">
        <f t="shared" si="2"/>
        <v>Autonomous mobility network</v>
      </c>
      <c r="AM12" t="str">
        <v>Ericsson</v>
      </c>
      <c r="AO12" t="str">
        <f>VLOOKUP(AM12,CBIMPORT!$A$1:$B$171,2,FALSE)</f>
        <v>Telecommunications</v>
      </c>
      <c r="AS12" t="str">
        <v>Oatly</v>
      </c>
      <c r="AT12" t="str">
        <f>VLOOKUP(AS12,CBIMPORT!$A$1:$B$171,2,FALSE)</f>
        <v>Food &amp; Beverage</v>
      </c>
      <c r="AW12" t="str">
        <v>Uber Eats</v>
      </c>
      <c r="AX12" t="str">
        <f>VLOOKUP(AW12,CBIMPORT!$A$1:$B$171,2,FALSE)</f>
        <v>Delivery Service</v>
      </c>
      <c r="AY12" s="55"/>
      <c r="BA12" s="55"/>
      <c r="BL12" s="55"/>
      <c r="CH12" s="55"/>
      <c r="CI12" s="55"/>
      <c r="CJ12" s="55"/>
      <c r="CK12" s="55"/>
      <c r="CL12" s="55"/>
      <c r="CM12" s="55"/>
      <c r="CN12" s="55"/>
      <c r="CO12" s="55"/>
      <c r="CP12" s="55"/>
      <c r="CQ12" s="55"/>
      <c r="CR12" s="55"/>
      <c r="CS12" s="55"/>
      <c r="CT12" s="55"/>
    </row>
    <row r="13" spans="1:98" x14ac:dyDescent="0.35">
      <c r="A13" t="str">
        <v>Autonomous Vehicles</v>
      </c>
      <c r="B13">
        <v>9</v>
      </c>
      <c r="C13" s="58">
        <v>0.10588235294117647</v>
      </c>
      <c r="D13" t="b">
        <f t="shared" si="0"/>
        <v>1</v>
      </c>
      <c r="E13" t="str">
        <v>Autonomous Vehicles</v>
      </c>
      <c r="F13">
        <v>5</v>
      </c>
      <c r="G13" s="58">
        <v>8.771929824561403E-2</v>
      </c>
      <c r="H13" s="114" t="str">
        <f t="shared" si="1"/>
        <v/>
      </c>
      <c r="I13" t="str">
        <v>Autonomous Vehicles</v>
      </c>
      <c r="J13">
        <v>4</v>
      </c>
      <c r="K13" s="58">
        <v>0.14285714285714285</v>
      </c>
      <c r="L13" s="114" t="str">
        <f t="shared" si="2"/>
        <v/>
      </c>
      <c r="AM13" t="str">
        <v>SKF</v>
      </c>
      <c r="AO13" t="str">
        <f>VLOOKUP(AM13,CBIMPORT!$A$1:$B$171,2,FALSE)</f>
        <v>Industrial</v>
      </c>
      <c r="AS13" t="str">
        <v>Electrolux</v>
      </c>
      <c r="AT13" t="str">
        <f>VLOOKUP(AS13,CBIMPORT!$A$1:$B$171,2,FALSE)</f>
        <v>Consumer Electronics</v>
      </c>
      <c r="AW13" t="str">
        <v>Goggo Network</v>
      </c>
      <c r="AX13" t="str">
        <f>VLOOKUP(AW13,CBIMPORT!$A$1:$B$171,2,FALSE)</f>
        <v>Autonomous mobility network</v>
      </c>
      <c r="AY13" s="55"/>
      <c r="BA13" s="55"/>
      <c r="BL13" s="55"/>
      <c r="CH13" s="55"/>
      <c r="CI13" s="55"/>
      <c r="CJ13" s="55"/>
      <c r="CK13" s="55"/>
      <c r="CL13" s="55"/>
      <c r="CM13" s="55"/>
      <c r="CN13" s="55"/>
      <c r="CO13" s="55"/>
      <c r="CP13" s="55"/>
      <c r="CQ13" s="55"/>
      <c r="CR13" s="55"/>
      <c r="CS13" s="55"/>
      <c r="CT13" s="55"/>
    </row>
    <row r="14" spans="1:98" x14ac:dyDescent="0.35">
      <c r="A14" t="str">
        <v>Charging System</v>
      </c>
      <c r="B14">
        <v>1</v>
      </c>
      <c r="C14" s="58">
        <v>1.1764705882352941E-2</v>
      </c>
      <c r="D14" t="b">
        <f t="shared" si="0"/>
        <v>1</v>
      </c>
      <c r="E14" t="str">
        <v>Charging System</v>
      </c>
      <c r="F14">
        <v>1</v>
      </c>
      <c r="G14" s="58">
        <v>1.7543859649122806E-2</v>
      </c>
      <c r="H14" s="114" t="str">
        <f t="shared" si="1"/>
        <v>Charging System</v>
      </c>
      <c r="I14" t="str">
        <v>Charging System</v>
      </c>
      <c r="J14">
        <v>0</v>
      </c>
      <c r="K14" s="58">
        <v>0</v>
      </c>
      <c r="L14" s="114" t="str">
        <f t="shared" si="2"/>
        <v/>
      </c>
      <c r="AM14" t="str">
        <v>Svenska Retursystem</v>
      </c>
      <c r="AO14" t="str">
        <f>VLOOKUP(AM14,CBIMPORT!$A$1:$B$171,2,FALSE)</f>
        <v>Logistics</v>
      </c>
      <c r="AS14" t="str">
        <v>Beyond Meat</v>
      </c>
      <c r="AT14" t="str">
        <f>VLOOKUP(AS14,CBIMPORT!$A$1:$B$171,2,FALSE)</f>
        <v>Food &amp; Beverage</v>
      </c>
      <c r="AW14" t="str">
        <v>Ocado Group</v>
      </c>
      <c r="AX14" t="str">
        <f>VLOOKUP(AW14,CBIMPORT!$A$1:$B$171,2,FALSE)</f>
        <v>Retail</v>
      </c>
      <c r="AY14" s="55"/>
      <c r="BA14" s="55"/>
      <c r="BL14" s="55"/>
      <c r="CH14" s="55"/>
      <c r="CI14" s="55"/>
      <c r="CJ14" s="55"/>
      <c r="CK14" s="55"/>
      <c r="CL14" s="55"/>
      <c r="CM14" s="55"/>
      <c r="CN14" s="55"/>
      <c r="CO14" s="55"/>
      <c r="CP14" s="55"/>
      <c r="CQ14" s="55"/>
      <c r="CR14" s="55"/>
      <c r="CS14" s="55"/>
      <c r="CT14" s="55"/>
    </row>
    <row r="15" spans="1:98" x14ac:dyDescent="0.35">
      <c r="A15" t="str">
        <v>Consumer Electronics</v>
      </c>
      <c r="B15">
        <v>2</v>
      </c>
      <c r="C15" s="58">
        <v>2.3529411764705882E-2</v>
      </c>
      <c r="D15" t="b">
        <f t="shared" si="0"/>
        <v>1</v>
      </c>
      <c r="E15" t="str">
        <v>Consumer Electronics</v>
      </c>
      <c r="F15">
        <v>2</v>
      </c>
      <c r="G15" s="58">
        <v>3.5087719298245612E-2</v>
      </c>
      <c r="H15" s="114" t="str">
        <f t="shared" si="1"/>
        <v>Consumer Electronics</v>
      </c>
      <c r="I15" t="str">
        <v>Consumer Electronics</v>
      </c>
      <c r="J15">
        <v>0</v>
      </c>
      <c r="K15" s="58">
        <v>0</v>
      </c>
      <c r="L15" s="114" t="str">
        <f t="shared" si="2"/>
        <v/>
      </c>
      <c r="AM15" t="str">
        <v>Polarrenen</v>
      </c>
      <c r="AO15" t="str">
        <f>VLOOKUP(AM15,CBIMPORT!$A$1:$B$171,2,FALSE)</f>
        <v>Real estate</v>
      </c>
      <c r="AS15" t="str">
        <v>Coca - Cola</v>
      </c>
      <c r="AT15" t="str">
        <f>VLOOKUP(AS15,CBIMPORT!$A$1:$B$171,2,FALSE)</f>
        <v>Food &amp; Beverage</v>
      </c>
      <c r="AW15" t="str">
        <v>Nickelytics</v>
      </c>
      <c r="AX15" t="str">
        <f>VLOOKUP(AW15,CBIMPORT!$A$1:$B$171,2,FALSE)</f>
        <v>Advertising</v>
      </c>
      <c r="AY15" s="55"/>
      <c r="BA15" s="55"/>
      <c r="BL15" s="55"/>
      <c r="CH15" s="55"/>
      <c r="CI15" s="55"/>
      <c r="CJ15" s="55"/>
      <c r="CK15" s="55"/>
      <c r="CL15" s="55"/>
      <c r="CM15" s="55"/>
      <c r="CN15" s="55"/>
      <c r="CO15" s="55"/>
      <c r="CP15" s="55"/>
      <c r="CQ15" s="55"/>
      <c r="CR15" s="55"/>
      <c r="CS15" s="55"/>
      <c r="CT15" s="55"/>
    </row>
    <row r="16" spans="1:98" x14ac:dyDescent="0.35">
      <c r="A16" t="str">
        <v>Delivery Service</v>
      </c>
      <c r="B16">
        <v>5</v>
      </c>
      <c r="C16" s="58">
        <v>5.8823529411764705E-2</v>
      </c>
      <c r="D16" t="b">
        <f t="shared" si="0"/>
        <v>1</v>
      </c>
      <c r="E16" t="str">
        <v>Delivery Service</v>
      </c>
      <c r="F16">
        <v>0</v>
      </c>
      <c r="G16" s="58">
        <v>0</v>
      </c>
      <c r="H16" s="114" t="str">
        <f t="shared" si="1"/>
        <v/>
      </c>
      <c r="I16" t="str">
        <v>Delivery Service</v>
      </c>
      <c r="J16">
        <v>5</v>
      </c>
      <c r="K16" s="58">
        <v>0.17857142857142858</v>
      </c>
      <c r="L16" s="114" t="str">
        <f t="shared" si="2"/>
        <v>Delivery Service</v>
      </c>
      <c r="AM16" t="str">
        <v>Ericsson</v>
      </c>
      <c r="AO16" t="str">
        <f>VLOOKUP(AM16,CBIMPORT!$A$1:$B$171,2,FALSE)</f>
        <v>Telecommunications</v>
      </c>
      <c r="AS16" t="str">
        <v>UAE Ministry of Energy and Infrastructure</v>
      </c>
      <c r="AT16" t="str">
        <f>VLOOKUP(AS16,CBIMPORT!$A$1:$B$171,2,FALSE)</f>
        <v>Transportation Authority</v>
      </c>
      <c r="AW16" t="str">
        <v>Pizza Hut</v>
      </c>
      <c r="AX16" t="str">
        <f>VLOOKUP(AW16,CBIMPORT!$A$1:$B$171,2,FALSE)</f>
        <v>Food &amp; Beverage</v>
      </c>
      <c r="AY16" s="55"/>
      <c r="BA16" s="55"/>
      <c r="BL16" s="55"/>
      <c r="CH16" s="55"/>
      <c r="CI16" s="55"/>
      <c r="CJ16" s="55"/>
      <c r="CK16" s="55"/>
      <c r="CL16" s="55"/>
      <c r="CM16" s="55"/>
      <c r="CN16" s="55"/>
      <c r="CO16" s="55"/>
      <c r="CP16" s="55"/>
      <c r="CQ16" s="55"/>
      <c r="CR16" s="55"/>
      <c r="CS16" s="55"/>
      <c r="CT16" s="55"/>
    </row>
    <row r="17" spans="1:98" x14ac:dyDescent="0.35">
      <c r="A17" t="str">
        <v>Financial Services</v>
      </c>
      <c r="B17">
        <v>1</v>
      </c>
      <c r="C17" s="58">
        <v>1.1764705882352941E-2</v>
      </c>
      <c r="D17" t="b">
        <f t="shared" si="0"/>
        <v>1</v>
      </c>
      <c r="E17" t="str">
        <v>Financial Services</v>
      </c>
      <c r="F17">
        <v>0</v>
      </c>
      <c r="G17" s="58">
        <v>0</v>
      </c>
      <c r="H17" s="114" t="str">
        <f t="shared" si="1"/>
        <v/>
      </c>
      <c r="I17" t="str">
        <v>Financial Services</v>
      </c>
      <c r="J17">
        <v>1</v>
      </c>
      <c r="K17" s="58">
        <v>3.5714285714285712E-2</v>
      </c>
      <c r="L17" s="114" t="str">
        <f t="shared" si="2"/>
        <v>Financial Services</v>
      </c>
      <c r="AM17" t="str">
        <v>Oatly</v>
      </c>
      <c r="AO17" t="str">
        <f>VLOOKUP(AM17,CBIMPORT!$A$1:$B$171,2,FALSE)</f>
        <v>Food &amp; Beverage</v>
      </c>
      <c r="AS17" t="str">
        <v>Oatly</v>
      </c>
      <c r="AT17" t="str">
        <f>VLOOKUP(AS17,CBIMPORT!$A$1:$B$171,2,FALSE)</f>
        <v>Food &amp; Beverage</v>
      </c>
      <c r="AW17" t="str">
        <v>Uber Eats</v>
      </c>
      <c r="AX17" t="str">
        <f>VLOOKUP(AW17,CBIMPORT!$A$1:$B$171,2,FALSE)</f>
        <v>Delivery Service</v>
      </c>
      <c r="AY17" s="55"/>
      <c r="BA17" s="55"/>
      <c r="BL17" s="55"/>
      <c r="CH17" s="55"/>
      <c r="CI17" s="55"/>
      <c r="CJ17" s="55"/>
      <c r="CK17" s="55"/>
      <c r="CL17" s="55"/>
      <c r="CM17" s="55"/>
      <c r="CN17" s="55"/>
      <c r="CO17" s="55"/>
      <c r="CP17" s="55"/>
      <c r="CQ17" s="55"/>
      <c r="CR17" s="55"/>
      <c r="CS17" s="55"/>
      <c r="CT17" s="55"/>
    </row>
    <row r="18" spans="1:98" x14ac:dyDescent="0.35">
      <c r="A18" t="str">
        <v>Food &amp; Beverage</v>
      </c>
      <c r="B18">
        <v>6</v>
      </c>
      <c r="C18" s="58">
        <v>7.0588235294117646E-2</v>
      </c>
      <c r="D18" t="b">
        <f t="shared" si="0"/>
        <v>1</v>
      </c>
      <c r="E18" t="str">
        <v>Food &amp; Beverage</v>
      </c>
      <c r="F18">
        <v>4</v>
      </c>
      <c r="G18" s="58">
        <v>7.0175438596491224E-2</v>
      </c>
      <c r="H18" s="114" t="str">
        <f t="shared" si="1"/>
        <v/>
      </c>
      <c r="I18" t="str">
        <v>Food &amp; Beverage</v>
      </c>
      <c r="J18">
        <v>2</v>
      </c>
      <c r="K18" s="58">
        <v>7.1428571428571425E-2</v>
      </c>
      <c r="L18" s="114" t="str">
        <f t="shared" si="2"/>
        <v/>
      </c>
      <c r="AM18" t="str">
        <v>Electrolux</v>
      </c>
      <c r="AO18" t="str">
        <f>VLOOKUP(AM18,CBIMPORT!$A$1:$B$171,2,FALSE)</f>
        <v>Consumer Electronics</v>
      </c>
      <c r="AS18" t="str">
        <v>GE Appliances</v>
      </c>
      <c r="AT18" t="str">
        <f>VLOOKUP(AS18,CBIMPORT!$A$1:$B$171,2,FALSE)</f>
        <v>Consumer Electronics</v>
      </c>
      <c r="AW18" t="str">
        <v>Piestro</v>
      </c>
      <c r="AX18" t="str">
        <f>VLOOKUP(AW18,CBIMPORT!$A$1:$B$171,2,FALSE)</f>
        <v>Food &amp; Beverage</v>
      </c>
      <c r="AY18" s="55"/>
      <c r="BA18" s="55"/>
      <c r="BL18" s="55"/>
      <c r="CH18" s="55"/>
      <c r="CI18" s="55"/>
      <c r="CJ18" s="55"/>
      <c r="CK18" s="55"/>
      <c r="CL18" s="55"/>
      <c r="CM18" s="55"/>
      <c r="CN18" s="55"/>
      <c r="CO18" s="55"/>
      <c r="CP18" s="55"/>
      <c r="CQ18" s="55"/>
      <c r="CR18" s="55"/>
      <c r="CS18" s="55"/>
      <c r="CT18" s="55"/>
    </row>
    <row r="19" spans="1:98" x14ac:dyDescent="0.35">
      <c r="A19" t="str">
        <v>Industrial</v>
      </c>
      <c r="B19">
        <v>1</v>
      </c>
      <c r="C19" s="58">
        <v>1.1764705882352941E-2</v>
      </c>
      <c r="D19" t="b">
        <f t="shared" si="0"/>
        <v>1</v>
      </c>
      <c r="E19" t="str">
        <v>Industrial</v>
      </c>
      <c r="F19">
        <v>1</v>
      </c>
      <c r="G19" s="58">
        <v>1.7543859649122806E-2</v>
      </c>
      <c r="H19" s="114" t="str">
        <f t="shared" si="1"/>
        <v>Industrial</v>
      </c>
      <c r="I19" t="str">
        <v>Industrial</v>
      </c>
      <c r="J19">
        <v>0</v>
      </c>
      <c r="K19" s="58">
        <v>0</v>
      </c>
      <c r="L19" s="114" t="str">
        <f t="shared" si="2"/>
        <v/>
      </c>
      <c r="AM19" t="str">
        <v>Beyond Meat</v>
      </c>
      <c r="AO19" t="str">
        <f>VLOOKUP(AM19,CBIMPORT!$A$1:$B$171,2,FALSE)</f>
        <v>Food &amp; Beverage</v>
      </c>
      <c r="AS19" t="str">
        <v>Lidl</v>
      </c>
      <c r="AT19" t="str">
        <f>VLOOKUP(AS19,CBIMPORT!$A$1:$B$171,2,FALSE)</f>
        <v>Retail</v>
      </c>
      <c r="AW19" t="str">
        <v>Walmart</v>
      </c>
      <c r="AX19" t="str">
        <f>VLOOKUP(AW19,CBIMPORT!$A$1:$B$171,2,FALSE)</f>
        <v>Retail</v>
      </c>
      <c r="AY19" s="55"/>
      <c r="BA19" s="55"/>
      <c r="BL19" s="55"/>
      <c r="CH19" s="55"/>
      <c r="CI19" s="55"/>
      <c r="CJ19" s="55"/>
      <c r="CK19" s="55"/>
      <c r="CL19" s="55"/>
      <c r="CM19" s="55"/>
      <c r="CN19" s="55"/>
      <c r="CO19" s="55"/>
      <c r="CP19" s="55"/>
      <c r="CQ19" s="55"/>
      <c r="CR19" s="55"/>
      <c r="CS19" s="55"/>
      <c r="CT19" s="55"/>
    </row>
    <row r="20" spans="1:98" x14ac:dyDescent="0.35">
      <c r="A20" t="str">
        <v>Insurance</v>
      </c>
      <c r="B20">
        <v>1</v>
      </c>
      <c r="C20" s="58">
        <v>1.1764705882352941E-2</v>
      </c>
      <c r="D20" t="b">
        <f t="shared" si="0"/>
        <v>1</v>
      </c>
      <c r="E20" t="str">
        <v>Insurance</v>
      </c>
      <c r="F20">
        <v>1</v>
      </c>
      <c r="G20" s="58">
        <v>1.7543859649122806E-2</v>
      </c>
      <c r="H20" s="114" t="str">
        <f t="shared" si="1"/>
        <v>Insurance</v>
      </c>
      <c r="I20" t="str">
        <v>Insurance</v>
      </c>
      <c r="J20">
        <v>0</v>
      </c>
      <c r="K20" s="58">
        <v>0</v>
      </c>
      <c r="L20" s="114" t="str">
        <f t="shared" si="2"/>
        <v/>
      </c>
      <c r="AM20" t="str">
        <v>Coca - Cola</v>
      </c>
      <c r="AO20" t="str">
        <f>VLOOKUP(AM20,CBIMPORT!$A$1:$B$171,2,FALSE)</f>
        <v>Food &amp; Beverage</v>
      </c>
      <c r="AS20" t="str">
        <v>Goodyear</v>
      </c>
      <c r="AT20" t="str">
        <f>VLOOKUP(AS20,CBIMPORT!$A$1:$B$171,2,FALSE)</f>
        <v>Automotive Supplier</v>
      </c>
      <c r="AW20" t="str">
        <v>Farmstead</v>
      </c>
      <c r="AX20" t="str">
        <f>VLOOKUP(AW20,CBIMPORT!$A$1:$B$171,2,FALSE)</f>
        <v>Delivery Service</v>
      </c>
      <c r="AY20" s="55"/>
      <c r="BA20" s="55"/>
      <c r="BL20" s="55"/>
      <c r="CH20" s="55"/>
      <c r="CI20" s="55"/>
      <c r="CJ20" s="55"/>
      <c r="CK20" s="55"/>
      <c r="CL20" s="55"/>
      <c r="CM20" s="55"/>
      <c r="CN20" s="55"/>
      <c r="CO20" s="55"/>
      <c r="CP20" s="55"/>
      <c r="CQ20" s="55"/>
      <c r="CR20" s="55"/>
      <c r="CS20" s="55"/>
      <c r="CT20" s="55"/>
    </row>
    <row r="21" spans="1:98" x14ac:dyDescent="0.35">
      <c r="A21" t="str">
        <v>Logistics</v>
      </c>
      <c r="B21">
        <v>13</v>
      </c>
      <c r="C21" s="58">
        <v>0.15294117647058825</v>
      </c>
      <c r="D21" t="b">
        <f t="shared" si="0"/>
        <v>1</v>
      </c>
      <c r="E21" t="str">
        <v>Logistics</v>
      </c>
      <c r="F21">
        <v>12</v>
      </c>
      <c r="G21" s="58">
        <v>0.21052631578947367</v>
      </c>
      <c r="H21" s="114" t="str">
        <f t="shared" si="1"/>
        <v/>
      </c>
      <c r="I21" t="str">
        <v>Logistics</v>
      </c>
      <c r="J21">
        <v>1</v>
      </c>
      <c r="K21" s="58">
        <v>3.5714285714285712E-2</v>
      </c>
      <c r="L21" s="114" t="str">
        <f t="shared" si="2"/>
        <v/>
      </c>
      <c r="AM21" t="str">
        <v>UAE Ministry of Energy and Infrastructure</v>
      </c>
      <c r="AO21" t="str">
        <f>VLOOKUP(AM21,CBIMPORT!$A$1:$B$171,2,FALSE)</f>
        <v>Transportation Authority</v>
      </c>
      <c r="AS21" t="str">
        <v>Ryder</v>
      </c>
      <c r="AT21" t="str">
        <f>VLOOKUP(AS21,CBIMPORT!$A$1:$B$171,2,FALSE)</f>
        <v>Logistics</v>
      </c>
      <c r="AW21" t="str">
        <v>H-E-B</v>
      </c>
      <c r="AX21" t="str">
        <f>VLOOKUP(AW21,CBIMPORT!$A$1:$B$171,2,FALSE)</f>
        <v>Retail</v>
      </c>
      <c r="AY21" s="55"/>
      <c r="BA21" s="55"/>
      <c r="BL21" s="55"/>
      <c r="CH21" s="55"/>
      <c r="CI21" s="55"/>
      <c r="CJ21" s="55"/>
      <c r="CK21" s="55"/>
      <c r="CL21" s="55"/>
      <c r="CM21" s="55"/>
      <c r="CN21" s="55"/>
      <c r="CO21" s="55"/>
      <c r="CP21" s="55"/>
      <c r="CQ21" s="55"/>
      <c r="CR21" s="55"/>
      <c r="CS21" s="55"/>
      <c r="CT21" s="55"/>
    </row>
    <row r="22" spans="1:98" x14ac:dyDescent="0.35">
      <c r="A22" t="str">
        <v>Mobility Services Booking</v>
      </c>
      <c r="B22">
        <v>4</v>
      </c>
      <c r="C22" s="58">
        <v>4.7058823529411764E-2</v>
      </c>
      <c r="D22" t="b">
        <f t="shared" si="0"/>
        <v>1</v>
      </c>
      <c r="E22" t="str">
        <v>Mobility Services Booking</v>
      </c>
      <c r="F22">
        <v>2</v>
      </c>
      <c r="G22" s="58">
        <v>3.5087719298245612E-2</v>
      </c>
      <c r="H22" s="114" t="str">
        <f t="shared" si="1"/>
        <v/>
      </c>
      <c r="I22" t="str">
        <v>Mobility Services Booking</v>
      </c>
      <c r="J22">
        <v>2</v>
      </c>
      <c r="K22" s="58">
        <v>7.1428571428571425E-2</v>
      </c>
      <c r="L22" s="114" t="str">
        <f t="shared" si="2"/>
        <v/>
      </c>
      <c r="AM22" t="str">
        <v>Oatly</v>
      </c>
      <c r="AO22" t="str">
        <f>VLOOKUP(AM22,CBIMPORT!$A$1:$B$171,2,FALSE)</f>
        <v>Food &amp; Beverage</v>
      </c>
      <c r="AS22" t="str">
        <v>Walmart</v>
      </c>
      <c r="AT22" t="str">
        <f>VLOOKUP(AS22,CBIMPORT!$A$1:$B$171,2,FALSE)</f>
        <v>Retail</v>
      </c>
      <c r="AW22" t="str">
        <v>Mobileye</v>
      </c>
      <c r="AX22" t="str">
        <f>VLOOKUP(AW22,CBIMPORT!$A$1:$B$171,2,FALSE)</f>
        <v>Autonomous Vehicles</v>
      </c>
      <c r="AY22" s="55"/>
      <c r="BA22" s="55"/>
      <c r="BL22" s="55"/>
      <c r="CH22" s="55"/>
      <c r="CI22" s="55"/>
      <c r="CJ22" s="55"/>
      <c r="CK22" s="55"/>
      <c r="CL22" s="55"/>
      <c r="CM22" s="55"/>
      <c r="CN22" s="55"/>
      <c r="CO22" s="55"/>
      <c r="CP22" s="55"/>
      <c r="CQ22" s="55"/>
      <c r="CR22" s="55"/>
      <c r="CS22" s="55"/>
      <c r="CT22" s="55"/>
    </row>
    <row r="23" spans="1:98" x14ac:dyDescent="0.35">
      <c r="A23" t="str">
        <v>NPO</v>
      </c>
      <c r="B23">
        <v>1</v>
      </c>
      <c r="C23" s="58">
        <v>1.1764705882352941E-2</v>
      </c>
      <c r="D23" t="b">
        <f t="shared" si="0"/>
        <v>1</v>
      </c>
      <c r="E23" t="str">
        <v>NPO</v>
      </c>
      <c r="F23">
        <v>0</v>
      </c>
      <c r="G23" s="58">
        <v>0</v>
      </c>
      <c r="H23" s="114" t="str">
        <f t="shared" si="1"/>
        <v/>
      </c>
      <c r="I23" t="str">
        <v>NPO</v>
      </c>
      <c r="J23">
        <v>1</v>
      </c>
      <c r="K23" s="58">
        <v>3.5714285714285712E-2</v>
      </c>
      <c r="L23" s="114" t="str">
        <f t="shared" si="2"/>
        <v>NPO</v>
      </c>
      <c r="AM23" t="str">
        <v>GE Appliances</v>
      </c>
      <c r="AO23" t="str">
        <f>VLOOKUP(AM23,CBIMPORT!$A$1:$B$171,2,FALSE)</f>
        <v>Consumer Electronics</v>
      </c>
      <c r="AS23" t="str">
        <v>ChargePoint</v>
      </c>
      <c r="AT23" t="str">
        <f>VLOOKUP(AS23,CBIMPORT!$A$1:$B$171,2,FALSE)</f>
        <v>Charging System</v>
      </c>
      <c r="AW23" t="str">
        <v>Asda</v>
      </c>
      <c r="AX23" t="str">
        <f>VLOOKUP(AW23,CBIMPORT!$A$1:$B$171,2,FALSE)</f>
        <v>Retail</v>
      </c>
      <c r="AY23" s="55"/>
      <c r="BA23" s="55"/>
      <c r="BL23" s="55"/>
      <c r="CH23" s="55"/>
      <c r="CI23" s="55"/>
      <c r="CJ23" s="55"/>
      <c r="CK23" s="55"/>
      <c r="CL23" s="55"/>
      <c r="CM23" s="55"/>
      <c r="CN23" s="55"/>
      <c r="CO23" s="55"/>
      <c r="CP23" s="55"/>
      <c r="CQ23" s="55"/>
      <c r="CR23" s="55"/>
      <c r="CS23" s="55"/>
      <c r="CT23" s="55"/>
    </row>
    <row r="24" spans="1:98" x14ac:dyDescent="0.35">
      <c r="A24" t="str">
        <v>OEM</v>
      </c>
      <c r="B24">
        <v>1</v>
      </c>
      <c r="C24" s="58">
        <v>1.1764705882352941E-2</v>
      </c>
      <c r="D24" t="b">
        <f t="shared" si="0"/>
        <v>1</v>
      </c>
      <c r="E24" t="str">
        <v>OEM</v>
      </c>
      <c r="F24">
        <v>0</v>
      </c>
      <c r="G24" s="58">
        <v>0</v>
      </c>
      <c r="H24" s="114" t="str">
        <f t="shared" si="1"/>
        <v/>
      </c>
      <c r="I24" t="str">
        <v>OEM</v>
      </c>
      <c r="J24">
        <v>1</v>
      </c>
      <c r="K24" s="58">
        <v>3.5714285714285712E-2</v>
      </c>
      <c r="L24" s="114" t="str">
        <f t="shared" si="2"/>
        <v>OEM</v>
      </c>
      <c r="AM24" t="str">
        <v>Lidl</v>
      </c>
      <c r="AO24" t="str">
        <f>VLOOKUP(AM24,CBIMPORT!$A$1:$B$171,2,FALSE)</f>
        <v>Retail</v>
      </c>
      <c r="AS24" t="str">
        <v>Isuzu North America</v>
      </c>
      <c r="AT24" t="str">
        <f>VLOOKUP(AS24,CBIMPORT!$A$1:$B$171,2,FALSE)</f>
        <v>OEM Commercial Vehicles</v>
      </c>
      <c r="AW24" t="str">
        <v>Ocado Group</v>
      </c>
      <c r="AX24" t="str">
        <f>VLOOKUP(AW24,CBIMPORT!$A$1:$B$171,2,FALSE)</f>
        <v>Retail</v>
      </c>
      <c r="AY24" s="55"/>
      <c r="BA24" s="55"/>
      <c r="BL24" s="55"/>
      <c r="CH24" s="55"/>
      <c r="CI24" s="55"/>
      <c r="CJ24" s="55"/>
      <c r="CK24" s="55"/>
      <c r="CL24" s="55"/>
      <c r="CM24" s="55"/>
      <c r="CN24" s="55"/>
      <c r="CO24" s="55"/>
      <c r="CP24" s="55"/>
      <c r="CQ24" s="55"/>
      <c r="CR24" s="55"/>
      <c r="CS24" s="55"/>
      <c r="CT24" s="55"/>
    </row>
    <row r="25" spans="1:98" x14ac:dyDescent="0.35">
      <c r="A25" t="str">
        <v>OEM Commercial Vehicles</v>
      </c>
      <c r="B25">
        <v>7</v>
      </c>
      <c r="C25" s="58">
        <v>8.2352941176470587E-2</v>
      </c>
      <c r="D25" t="b">
        <f t="shared" si="0"/>
        <v>1</v>
      </c>
      <c r="E25" t="str">
        <v>OEM Commercial Vehicles</v>
      </c>
      <c r="F25">
        <v>7</v>
      </c>
      <c r="G25" s="58">
        <v>0.12280701754385964</v>
      </c>
      <c r="H25" s="114" t="str">
        <f t="shared" si="1"/>
        <v>OEM Commercial Vehicles</v>
      </c>
      <c r="I25" t="str">
        <v>OEM Commercial Vehicles</v>
      </c>
      <c r="J25">
        <v>0</v>
      </c>
      <c r="K25" s="58">
        <v>0</v>
      </c>
      <c r="L25" s="114" t="str">
        <f t="shared" si="2"/>
        <v/>
      </c>
      <c r="AM25" t="str">
        <v>Goodyear</v>
      </c>
      <c r="AO25" t="str">
        <f>VLOOKUP(AM25,CBIMPORT!$A$1:$B$171,2,FALSE)</f>
        <v>Automotive Supplier</v>
      </c>
      <c r="AS25" t="str">
        <v>Pitney Bowes</v>
      </c>
      <c r="AT25" t="str">
        <f>VLOOKUP(AS25,CBIMPORT!$A$1:$B$171,2,FALSE)</f>
        <v>Logistics</v>
      </c>
      <c r="AW25" t="str">
        <v>Bolt</v>
      </c>
      <c r="AX25" t="str">
        <f>VLOOKUP(AW25,CBIMPORT!$A$1:$B$171,2,FALSE)</f>
        <v>Mobility Services Booking</v>
      </c>
      <c r="AY25" s="55"/>
      <c r="BA25" s="55"/>
      <c r="BL25" s="55"/>
      <c r="CH25" s="55"/>
      <c r="CI25" s="55"/>
      <c r="CJ25" s="55"/>
      <c r="CK25" s="55"/>
      <c r="CL25" s="55"/>
      <c r="CM25" s="55"/>
      <c r="CN25" s="55"/>
      <c r="CO25" s="55"/>
      <c r="CP25" s="55"/>
      <c r="CQ25" s="55"/>
      <c r="CR25" s="55"/>
      <c r="CS25" s="55"/>
      <c r="CT25" s="55"/>
    </row>
    <row r="26" spans="1:98" x14ac:dyDescent="0.35">
      <c r="A26" t="str">
        <v>Real estate</v>
      </c>
      <c r="B26">
        <v>1</v>
      </c>
      <c r="C26" s="58">
        <v>1.1764705882352941E-2</v>
      </c>
      <c r="D26" t="b">
        <f t="shared" si="0"/>
        <v>1</v>
      </c>
      <c r="E26" t="str">
        <v>Real estate</v>
      </c>
      <c r="F26">
        <v>1</v>
      </c>
      <c r="G26" s="58">
        <v>1.7543859649122806E-2</v>
      </c>
      <c r="H26" s="114" t="str">
        <f t="shared" si="1"/>
        <v>Real estate</v>
      </c>
      <c r="I26" t="str">
        <v>Real estate</v>
      </c>
      <c r="J26">
        <v>0</v>
      </c>
      <c r="K26" s="58">
        <v>0</v>
      </c>
      <c r="L26" s="114" t="str">
        <f t="shared" si="2"/>
        <v/>
      </c>
      <c r="AM26" t="str">
        <v>Ryder</v>
      </c>
      <c r="AO26" t="str">
        <f>VLOOKUP(AM26,CBIMPORT!$A$1:$B$171,2,FALSE)</f>
        <v>Logistics</v>
      </c>
      <c r="AS26" t="str">
        <v>Kroger</v>
      </c>
      <c r="AT26" t="str">
        <f>VLOOKUP(AS26,CBIMPORT!$A$1:$B$171,2,FALSE)</f>
        <v>Retail</v>
      </c>
      <c r="AW26" t="str">
        <v>Nuro</v>
      </c>
      <c r="AX26" t="str">
        <f>VLOOKUP(AW26,CBIMPORT!$A$1:$B$171,2,FALSE)</f>
        <v>Autonomous Vehicles</v>
      </c>
      <c r="AY26" s="55"/>
      <c r="BA26" s="55"/>
      <c r="BL26" s="55"/>
      <c r="CH26" s="55"/>
      <c r="CI26" s="55"/>
      <c r="CJ26" s="55"/>
      <c r="CK26" s="55"/>
      <c r="CL26" s="55"/>
      <c r="CM26" s="55"/>
      <c r="CN26" s="55"/>
      <c r="CO26" s="55"/>
      <c r="CP26" s="55"/>
      <c r="CQ26" s="55"/>
      <c r="CR26" s="55"/>
      <c r="CS26" s="55"/>
      <c r="CT26" s="55"/>
    </row>
    <row r="27" spans="1:98" x14ac:dyDescent="0.35">
      <c r="A27" t="str">
        <v>Retail</v>
      </c>
      <c r="B27">
        <v>9</v>
      </c>
      <c r="C27" s="58">
        <v>0.10588235294117647</v>
      </c>
      <c r="D27" t="b">
        <f t="shared" si="0"/>
        <v>1</v>
      </c>
      <c r="E27" t="str">
        <v>Retail</v>
      </c>
      <c r="F27">
        <v>3</v>
      </c>
      <c r="G27" s="58">
        <v>5.2631578947368418E-2</v>
      </c>
      <c r="H27" s="114" t="str">
        <f t="shared" si="1"/>
        <v/>
      </c>
      <c r="I27" t="str">
        <v>Retail</v>
      </c>
      <c r="J27">
        <v>6</v>
      </c>
      <c r="K27" s="58">
        <v>0.21428571428571427</v>
      </c>
      <c r="L27" s="114" t="str">
        <f t="shared" si="2"/>
        <v/>
      </c>
      <c r="AM27" t="str">
        <v>Walmart</v>
      </c>
      <c r="AO27" t="str">
        <f>VLOOKUP(AM27,CBIMPORT!$A$1:$B$171,2,FALSE)</f>
        <v>Retail</v>
      </c>
      <c r="AS27" t="str">
        <v>Ten Roads Express</v>
      </c>
      <c r="AT27" t="str">
        <f>VLOOKUP(AS27,CBIMPORT!$A$1:$B$171,2,FALSE)</f>
        <v>Logistics</v>
      </c>
      <c r="AW27" t="str">
        <v>ServeRobotics</v>
      </c>
      <c r="AX27" t="str">
        <f>VLOOKUP(AW27,CBIMPORT!$A$1:$B$171,2,FALSE)</f>
        <v>Autonomous Vehicles</v>
      </c>
      <c r="AY27" s="55"/>
      <c r="BA27" s="55"/>
      <c r="BL27" s="55"/>
      <c r="CH27" s="55"/>
      <c r="CI27" s="55"/>
      <c r="CJ27" s="55"/>
      <c r="CK27" s="55"/>
      <c r="CL27" s="55"/>
      <c r="CM27" s="55"/>
      <c r="CN27" s="55"/>
      <c r="CO27" s="55"/>
      <c r="CP27" s="55"/>
      <c r="CQ27" s="55"/>
      <c r="CR27" s="55"/>
      <c r="CS27" s="55"/>
      <c r="CT27" s="55"/>
    </row>
    <row r="28" spans="1:98" x14ac:dyDescent="0.35">
      <c r="A28" t="str">
        <v>Sensor</v>
      </c>
      <c r="B28">
        <v>2</v>
      </c>
      <c r="C28" s="58">
        <v>2.3529411764705882E-2</v>
      </c>
      <c r="D28" t="b">
        <f t="shared" si="0"/>
        <v>1</v>
      </c>
      <c r="E28" t="str">
        <v>Sensor</v>
      </c>
      <c r="F28">
        <v>2</v>
      </c>
      <c r="G28" s="58">
        <v>3.5087719298245612E-2</v>
      </c>
      <c r="H28" s="114" t="str">
        <f t="shared" si="1"/>
        <v>Sensor</v>
      </c>
      <c r="I28" t="str">
        <v>Sensor</v>
      </c>
      <c r="J28">
        <v>0</v>
      </c>
      <c r="K28" s="58">
        <v>0</v>
      </c>
      <c r="L28" s="114" t="str">
        <f t="shared" si="2"/>
        <v/>
      </c>
      <c r="AM28" t="str">
        <v>ChargePoint</v>
      </c>
      <c r="AO28" t="str">
        <f>VLOOKUP(AM28,CBIMPORT!$A$1:$B$171,2,FALSE)</f>
        <v>Charging System</v>
      </c>
      <c r="AS28" t="str">
        <v>Werner</v>
      </c>
      <c r="AT28" t="str">
        <f>VLOOKUP(AS28,CBIMPORT!$A$1:$B$171,2,FALSE)</f>
        <v>Logistics</v>
      </c>
      <c r="AW28" t="str">
        <v>Alliance Ventures (Renault, Nissan, Mitsubishi)</v>
      </c>
      <c r="AX28" t="str">
        <f>VLOOKUP(AW28,CBIMPORT!$A$1:$B$171,2,FALSE)</f>
        <v>Mobility Project</v>
      </c>
      <c r="AY28" s="55"/>
      <c r="BA28" s="55"/>
      <c r="BL28" s="55"/>
      <c r="CH28" s="55"/>
      <c r="CI28" s="55"/>
      <c r="CJ28" s="55"/>
      <c r="CK28" s="55"/>
      <c r="CL28" s="55"/>
      <c r="CM28" s="55"/>
      <c r="CN28" s="55"/>
      <c r="CO28" s="55"/>
      <c r="CP28" s="55"/>
      <c r="CQ28" s="55"/>
      <c r="CR28" s="55"/>
      <c r="CS28" s="55"/>
      <c r="CT28" s="55"/>
    </row>
    <row r="29" spans="1:98" x14ac:dyDescent="0.35">
      <c r="A29" t="str">
        <v>Telecommunications</v>
      </c>
      <c r="B29">
        <v>3</v>
      </c>
      <c r="C29" s="58">
        <v>3.5294117647058823E-2</v>
      </c>
      <c r="D29" t="b">
        <f t="shared" si="0"/>
        <v>1</v>
      </c>
      <c r="E29" t="str">
        <v>Telecommunications</v>
      </c>
      <c r="F29">
        <v>3</v>
      </c>
      <c r="G29" s="58">
        <v>5.2631578947368418E-2</v>
      </c>
      <c r="H29" s="114" t="str">
        <f t="shared" si="1"/>
        <v>Telecommunications</v>
      </c>
      <c r="I29" t="str">
        <v>Telecommunications</v>
      </c>
      <c r="J29">
        <v>0</v>
      </c>
      <c r="K29" s="58">
        <v>0</v>
      </c>
      <c r="L29" s="114" t="str">
        <f t="shared" si="2"/>
        <v/>
      </c>
      <c r="AM29" t="str">
        <v>Isuzu North America</v>
      </c>
      <c r="AO29" t="str">
        <f>VLOOKUP(AM29,CBIMPORT!$A$1:$B$171,2,FALSE)</f>
        <v>OEM Commercial Vehicles</v>
      </c>
      <c r="AS29" t="str">
        <v>Bosch</v>
      </c>
      <c r="AT29" t="str">
        <f>VLOOKUP(AS29,CBIMPORT!$A$1:$B$171,2,FALSE)</f>
        <v>Automotive Supplier</v>
      </c>
      <c r="AW29" t="str" cm="1">
        <f t="array" ref="AW29">_xlfn._xlws.FILTER(
CHOOSE(
{1},
$M$72:$M$153),
(($J$72:$J$153=I8)*($M$72:$M$153&lt;&gt;0)))</f>
        <v>The Ad Council</v>
      </c>
      <c r="AX29" t="str">
        <f>VLOOKUP(AW29,CBIMPORT!$A$1:$B$171,2,FALSE)</f>
        <v>Advertising</v>
      </c>
      <c r="AY29" s="55"/>
      <c r="BA29" s="55"/>
      <c r="BL29" s="55"/>
      <c r="CH29" s="55"/>
      <c r="CI29" s="55"/>
      <c r="CJ29" s="55"/>
      <c r="CK29" s="55"/>
      <c r="CL29" s="55"/>
      <c r="CM29" s="55"/>
      <c r="CN29" s="55"/>
      <c r="CO29" s="55"/>
      <c r="CP29" s="55"/>
      <c r="CQ29" s="55"/>
      <c r="CR29" s="55"/>
      <c r="CS29" s="55"/>
      <c r="CT29" s="55"/>
    </row>
    <row r="30" spans="1:98" x14ac:dyDescent="0.35">
      <c r="A30" t="str">
        <v>Transport Operator</v>
      </c>
      <c r="B30">
        <v>2</v>
      </c>
      <c r="C30" s="58">
        <v>2.3529411764705882E-2</v>
      </c>
      <c r="D30" t="b">
        <f t="shared" si="0"/>
        <v>1</v>
      </c>
      <c r="E30" t="str">
        <v>Transport Operator</v>
      </c>
      <c r="F30">
        <v>2</v>
      </c>
      <c r="G30" s="58">
        <v>3.5087719298245612E-2</v>
      </c>
      <c r="H30" s="114" t="str">
        <f t="shared" si="1"/>
        <v>Transport Operator</v>
      </c>
      <c r="I30" t="str">
        <v>Transport Operator</v>
      </c>
      <c r="J30">
        <v>0</v>
      </c>
      <c r="K30" s="58">
        <v>0</v>
      </c>
      <c r="L30" s="114" t="str">
        <f t="shared" si="2"/>
        <v/>
      </c>
      <c r="AM30" t="str">
        <v>Pitney Bowes</v>
      </c>
      <c r="AO30" t="str">
        <f>VLOOKUP(AM30,CBIMPORT!$A$1:$B$171,2,FALSE)</f>
        <v>Logistics</v>
      </c>
      <c r="AS30" t="str">
        <v>Minnesota Department of Transportation</v>
      </c>
      <c r="AT30" t="str">
        <f>VLOOKUP(AS30,CBIMPORT!$A$1:$B$171,2,FALSE)</f>
        <v>Transport Operator</v>
      </c>
      <c r="AY30" s="55"/>
      <c r="BA30" s="55"/>
      <c r="BL30" s="55"/>
      <c r="CH30" s="55"/>
      <c r="CI30" s="55"/>
      <c r="CJ30" s="55"/>
      <c r="CK30" s="55"/>
      <c r="CL30" s="55"/>
      <c r="CM30" s="55"/>
      <c r="CN30" s="55"/>
      <c r="CO30" s="55"/>
      <c r="CP30" s="55"/>
      <c r="CQ30" s="55"/>
      <c r="CR30" s="55"/>
      <c r="CS30" s="55"/>
      <c r="CT30" s="55"/>
    </row>
    <row r="31" spans="1:98" x14ac:dyDescent="0.35">
      <c r="A31" t="str">
        <v>Transportation Authority</v>
      </c>
      <c r="B31">
        <v>1</v>
      </c>
      <c r="C31" s="58">
        <v>1.1764705882352941E-2</v>
      </c>
      <c r="D31" t="b">
        <f t="shared" si="0"/>
        <v>1</v>
      </c>
      <c r="E31" t="str">
        <v>Transportation Authority</v>
      </c>
      <c r="F31">
        <v>1</v>
      </c>
      <c r="G31" s="58">
        <v>1.7543859649122806E-2</v>
      </c>
      <c r="H31" s="114" t="str">
        <f t="shared" si="1"/>
        <v>Transportation Authority</v>
      </c>
      <c r="I31" t="str">
        <v>Transportation Authority</v>
      </c>
      <c r="J31">
        <v>0</v>
      </c>
      <c r="K31" s="58">
        <v>0</v>
      </c>
      <c r="L31" s="114" t="str">
        <f t="shared" si="2"/>
        <v/>
      </c>
      <c r="AM31" t="str">
        <v>Kroger</v>
      </c>
      <c r="AO31" t="str">
        <f>VLOOKUP(AM31,CBIMPORT!$A$1:$B$171,2,FALSE)</f>
        <v>Retail</v>
      </c>
      <c r="AS31" t="str">
        <v>Transurban</v>
      </c>
      <c r="AT31" t="str">
        <f>VLOOKUP(AS31,CBIMPORT!$A$1:$B$171,2,FALSE)</f>
        <v>Transport Operator</v>
      </c>
      <c r="AY31" s="55"/>
      <c r="BA31" s="55"/>
      <c r="BL31" s="55"/>
      <c r="CH31" s="55"/>
      <c r="CI31" s="55"/>
      <c r="CJ31" s="55"/>
      <c r="CK31" s="55"/>
      <c r="CL31" s="55"/>
      <c r="CM31" s="55"/>
      <c r="CN31" s="55"/>
      <c r="CO31" s="55"/>
      <c r="CP31" s="55"/>
      <c r="CQ31" s="55"/>
      <c r="CR31" s="55"/>
      <c r="CS31" s="55"/>
      <c r="CT31" s="55"/>
    </row>
    <row r="32" spans="1:98" x14ac:dyDescent="0.35">
      <c r="A32" t="str">
        <v>V&amp;V</v>
      </c>
      <c r="B32">
        <v>1</v>
      </c>
      <c r="C32" s="58">
        <v>1.1764705882352941E-2</v>
      </c>
      <c r="D32" t="b">
        <f t="shared" si="0"/>
        <v>1</v>
      </c>
      <c r="E32" t="str">
        <v>V&amp;V</v>
      </c>
      <c r="F32">
        <v>1</v>
      </c>
      <c r="G32" s="58">
        <v>1.7543859649122806E-2</v>
      </c>
      <c r="H32" s="114" t="str">
        <f t="shared" si="1"/>
        <v>V&amp;V</v>
      </c>
      <c r="I32" t="str">
        <v>V&amp;V</v>
      </c>
      <c r="J32">
        <v>0</v>
      </c>
      <c r="K32" s="58">
        <v>0</v>
      </c>
      <c r="L32" s="114" t="str">
        <f t="shared" si="2"/>
        <v/>
      </c>
      <c r="AM32" t="str">
        <v>Aramex</v>
      </c>
      <c r="AO32" t="str">
        <f>VLOOKUP(AM32,CBIMPORT!$A$1:$B$171,2,FALSE)</f>
        <v>Logistics</v>
      </c>
      <c r="AS32" t="str">
        <v>Goodyear</v>
      </c>
      <c r="AT32" t="str">
        <f>VLOOKUP(AS32,CBIMPORT!$A$1:$B$171,2,FALSE)</f>
        <v>Automotive Supplier</v>
      </c>
      <c r="AY32" s="55"/>
      <c r="BA32" s="55"/>
      <c r="BL32" s="55"/>
      <c r="CH32" s="55"/>
      <c r="CI32" s="55"/>
      <c r="CJ32" s="55"/>
      <c r="CK32" s="55"/>
      <c r="CL32" s="55"/>
      <c r="CM32" s="55"/>
      <c r="CN32" s="55"/>
      <c r="CO32" s="55"/>
      <c r="CP32" s="55"/>
      <c r="CQ32" s="55"/>
      <c r="CR32" s="55"/>
      <c r="CS32" s="55"/>
      <c r="CT32" s="55"/>
    </row>
    <row r="33" spans="1:98" x14ac:dyDescent="0.35">
      <c r="C33" s="58"/>
      <c r="D33" t="b">
        <f t="shared" si="0"/>
        <v>1</v>
      </c>
      <c r="G33" s="58"/>
      <c r="H33" s="114" t="str">
        <f t="shared" si="1"/>
        <v/>
      </c>
      <c r="K33" s="58"/>
      <c r="L33" s="114" t="str">
        <f t="shared" si="2"/>
        <v/>
      </c>
      <c r="AM33" t="str">
        <v>Grubhub</v>
      </c>
      <c r="AO33" t="str">
        <f>VLOOKUP(AM33,CBIMPORT!$A$1:$B$171,2,FALSE)</f>
        <v>Delivery Service</v>
      </c>
      <c r="AS33" t="str">
        <v>IVECO</v>
      </c>
      <c r="AT33" t="str">
        <f>VLOOKUP(AS33,CBIMPORT!$A$1:$B$171,2,FALSE)</f>
        <v>OEM Commercial Vehicles</v>
      </c>
      <c r="AY33" s="55"/>
      <c r="BA33" s="55"/>
      <c r="BL33" s="55"/>
      <c r="CH33" s="55"/>
      <c r="CI33" s="55"/>
      <c r="CJ33" s="55"/>
      <c r="CK33" s="55"/>
      <c r="CL33" s="55"/>
      <c r="CM33" s="55"/>
      <c r="CN33" s="55"/>
      <c r="CO33" s="55"/>
      <c r="CP33" s="55"/>
      <c r="CQ33" s="55"/>
      <c r="CR33" s="55"/>
      <c r="CS33" s="55"/>
      <c r="CT33" s="55"/>
    </row>
    <row r="34" spans="1:98" x14ac:dyDescent="0.35">
      <c r="C34" s="58"/>
      <c r="H34" s="114" t="str">
        <f t="shared" si="1"/>
        <v/>
      </c>
      <c r="K34" s="58"/>
      <c r="L34" s="114" t="str">
        <f t="shared" si="2"/>
        <v/>
      </c>
      <c r="AM34" t="str">
        <v>kineo</v>
      </c>
      <c r="AO34" t="str">
        <f>VLOOKUP(AM34,CBIMPORT!$A$1:$B$171,2,FALSE)</f>
        <v>Financial Services</v>
      </c>
      <c r="AS34" t="str">
        <v>Cummins</v>
      </c>
      <c r="AT34" t="str">
        <f>VLOOKUP(AS34,CBIMPORT!$A$1:$B$171,2,FALSE)</f>
        <v>Automotive Supplier</v>
      </c>
      <c r="AY34" s="55"/>
      <c r="BA34" s="55"/>
      <c r="BL34" s="55"/>
      <c r="CH34" s="55"/>
      <c r="CI34" s="55"/>
      <c r="CJ34" s="55"/>
      <c r="CK34" s="55"/>
      <c r="CL34" s="55"/>
      <c r="CM34" s="55"/>
      <c r="CN34" s="55"/>
      <c r="CO34" s="55"/>
      <c r="CP34" s="55"/>
      <c r="CQ34" s="55"/>
      <c r="CR34" s="55"/>
      <c r="CS34" s="55"/>
      <c r="CT34" s="55"/>
    </row>
    <row r="35" spans="1:98" x14ac:dyDescent="0.35">
      <c r="AM35" t="str">
        <v>Ten Roads Express</v>
      </c>
      <c r="AO35" t="str">
        <f>VLOOKUP(AM35,CBIMPORT!$A$1:$B$171,2,FALSE)</f>
        <v>Logistics</v>
      </c>
      <c r="AS35" t="str">
        <v>Luminar</v>
      </c>
      <c r="AT35" t="str">
        <f>VLOOKUP(AS35,CBIMPORT!$A$1:$B$171,2,FALSE)</f>
        <v>Sensor</v>
      </c>
      <c r="AY35" s="55"/>
      <c r="BA35" s="55"/>
      <c r="BL35" s="55"/>
      <c r="CH35" s="55"/>
      <c r="CI35" s="55"/>
      <c r="CJ35" s="55"/>
      <c r="CK35" s="55"/>
      <c r="CL35" s="55"/>
      <c r="CM35" s="55"/>
      <c r="CN35" s="55"/>
      <c r="CO35" s="55"/>
      <c r="CP35" s="55"/>
      <c r="CQ35" s="55"/>
      <c r="CR35" s="55"/>
      <c r="CS35" s="55"/>
      <c r="CT35" s="55"/>
    </row>
    <row r="36" spans="1:98" x14ac:dyDescent="0.35">
      <c r="I36" s="94"/>
      <c r="K36" s="58"/>
      <c r="AM36" t="str">
        <v>Werner</v>
      </c>
      <c r="AO36" t="str">
        <f>VLOOKUP(AM36,CBIMPORT!$A$1:$B$171,2,FALSE)</f>
        <v>Logistics</v>
      </c>
      <c r="AS36" t="str">
        <v>SANY Heavy Truck</v>
      </c>
      <c r="AT36" t="str">
        <f>VLOOKUP(AS36,CBIMPORT!$A$1:$B$171,2,FALSE)</f>
        <v>OEM Commercial Vehicles</v>
      </c>
      <c r="AY36" s="55"/>
      <c r="BA36" s="55"/>
      <c r="BL36" s="55"/>
      <c r="CH36" s="55"/>
      <c r="CI36" s="55"/>
      <c r="CJ36" s="55"/>
      <c r="CK36" s="55"/>
      <c r="CL36" s="55"/>
      <c r="CM36" s="55"/>
      <c r="CN36" s="55"/>
      <c r="CO36" s="55"/>
      <c r="CP36" s="55"/>
      <c r="CQ36" s="55"/>
      <c r="CR36" s="55"/>
      <c r="CS36" s="55"/>
      <c r="CT36" s="55"/>
    </row>
    <row r="37" spans="1:98" x14ac:dyDescent="0.35">
      <c r="A37" s="59" t="s">
        <v>2057</v>
      </c>
      <c r="E37" s="59" t="s">
        <v>2057</v>
      </c>
      <c r="I37" s="59" t="s">
        <v>2057</v>
      </c>
      <c r="AM37" t="str">
        <v>Goggo Network</v>
      </c>
      <c r="AO37" t="str">
        <f>VLOOKUP(AM37,CBIMPORT!$A$1:$B$171,2,FALSE)</f>
        <v>Autonomous mobility network</v>
      </c>
      <c r="AS37" t="str">
        <v>Daimler Truck</v>
      </c>
      <c r="AT37" t="str">
        <f>VLOOKUP(AS37,CBIMPORT!$A$1:$B$171,2,FALSE)</f>
        <v>OEM Commercial Vehicles</v>
      </c>
      <c r="AY37" s="55"/>
      <c r="BA37" s="55"/>
      <c r="BL37" s="55"/>
      <c r="CH37" s="55"/>
      <c r="CI37" s="55"/>
      <c r="CJ37" s="55"/>
      <c r="CK37" s="55"/>
      <c r="CL37" s="55"/>
      <c r="CM37" s="55"/>
      <c r="CN37" s="55"/>
      <c r="CO37" s="55"/>
      <c r="CP37" s="55"/>
      <c r="CQ37" s="55"/>
      <c r="CR37" s="55"/>
      <c r="CS37" s="55"/>
      <c r="CT37" s="55"/>
    </row>
    <row r="38" spans="1:98" x14ac:dyDescent="0.35">
      <c r="A38" t="str" cm="1">
        <f t="array" ref="A38:A45">_xlfn.UNIQUE(Z73:Z156)</f>
        <v>Joint D&amp;D</v>
      </c>
      <c r="B38">
        <f t="shared" ref="B38:B44" si="3">COUNTIF($Z$73:$Z$155,A38)+COUNTIF($AB$73:$AB$155,A38)+COUNTIF($AD$73:$AD$155,A38)</f>
        <v>20</v>
      </c>
      <c r="C38" s="58">
        <f>B38/SUM($B$38:$B$46)</f>
        <v>0.21739130434782608</v>
      </c>
      <c r="D38" t="b">
        <f t="shared" ref="D38:D44" si="4">F38+J38=B38</f>
        <v>1</v>
      </c>
      <c r="E38" s="94" t="str" cm="1">
        <f t="array" ref="E38:E45">_xlfn.UNIQUE(Z73:Z156)</f>
        <v>Joint D&amp;D</v>
      </c>
      <c r="F38">
        <f t="shared" ref="F38:F44" si="5">COUNTIFS($J$73:$J$156,$E$8,$AB$73:$AB$156,E38)+
COUNTIFS($J$73:$J$156,$E$8,$Z$73:$Z$156,E38)+
COUNTIFS($J$73:$J$156,$E$8,$AD$73:$AD$156,E38)</f>
        <v>18</v>
      </c>
      <c r="G38" s="58">
        <f>F38/SUM($F$38:$F$46)</f>
        <v>0.2857142857142857</v>
      </c>
      <c r="I38" s="94" t="str" cm="1">
        <f t="array" ref="I38:I45">_xlfn.UNIQUE(Z73:Z156)</f>
        <v>Joint D&amp;D</v>
      </c>
      <c r="J38">
        <f t="shared" ref="J38:J44" si="6">COUNTIFS($J$73:$J$156,$I$8,$AB$73:$AB$156,I38)+
COUNTIFS($J$73:$J$156,$I$8,$Z$73:$Z$156,I38)+
COUNTIFS($J$73:$J$156,$I$8,$AD$73:$AD$156,I38)</f>
        <v>2</v>
      </c>
      <c r="K38" s="58">
        <f t="shared" ref="K38:K44" si="7">J38/SUM($J$38:$J$46)</f>
        <v>6.8965517241379309E-2</v>
      </c>
      <c r="AM38" t="str">
        <v>Uber</v>
      </c>
      <c r="AO38" t="str">
        <f>VLOOKUP(AM38,CBIMPORT!$A$1:$B$171,2,FALSE)</f>
        <v>Mobility Services Booking</v>
      </c>
      <c r="AS38" t="str">
        <v>Applied Intuition</v>
      </c>
      <c r="AT38" t="str">
        <f>VLOOKUP(AS38,CBIMPORT!$A$1:$B$171,2,FALSE)</f>
        <v>V&amp;V</v>
      </c>
      <c r="AY38" s="55"/>
      <c r="BA38" s="55"/>
      <c r="BL38" s="55"/>
      <c r="CH38" s="55"/>
      <c r="CI38" s="55"/>
      <c r="CJ38" s="55"/>
      <c r="CK38" s="55"/>
      <c r="CL38" s="55"/>
      <c r="CM38" s="55"/>
      <c r="CN38" s="55"/>
      <c r="CO38" s="55"/>
      <c r="CP38" s="55"/>
      <c r="CQ38" s="55"/>
      <c r="CR38" s="55"/>
      <c r="CS38" s="55"/>
      <c r="CT38" s="55"/>
    </row>
    <row r="39" spans="1:98" x14ac:dyDescent="0.35">
      <c r="A39" t="str">
        <v>Supply Partnership (extended)</v>
      </c>
      <c r="B39">
        <f t="shared" si="3"/>
        <v>20</v>
      </c>
      <c r="C39" s="58">
        <f t="shared" ref="C39:C44" si="8">B39/SUM($B$38:$B$46)</f>
        <v>0.21739130434782608</v>
      </c>
      <c r="D39" t="b">
        <f t="shared" si="4"/>
        <v>1</v>
      </c>
      <c r="E39" t="str">
        <v>Supply Partnership (extended)</v>
      </c>
      <c r="F39">
        <f t="shared" si="5"/>
        <v>19</v>
      </c>
      <c r="G39" s="58">
        <f t="shared" ref="G39:G44" si="9">F39/SUM($F$38:$F$46)</f>
        <v>0.30158730158730157</v>
      </c>
      <c r="I39" t="str">
        <v>Supply Partnership (extended)</v>
      </c>
      <c r="J39">
        <f t="shared" si="6"/>
        <v>1</v>
      </c>
      <c r="K39" s="58">
        <f t="shared" si="7"/>
        <v>3.4482758620689655E-2</v>
      </c>
      <c r="AM39" t="str">
        <v>Uber Eats</v>
      </c>
      <c r="AO39" t="str">
        <f>VLOOKUP(AM39,CBIMPORT!$A$1:$B$171,2,FALSE)</f>
        <v>Delivery Service</v>
      </c>
      <c r="AS39" t="str">
        <v>Daimler Truck</v>
      </c>
      <c r="AT39" t="str">
        <f>VLOOKUP(AS39,CBIMPORT!$A$1:$B$171,2,FALSE)</f>
        <v>OEM Commercial Vehicles</v>
      </c>
      <c r="AY39" s="55"/>
      <c r="BA39" s="55"/>
      <c r="BL39" s="55"/>
      <c r="CH39" s="55"/>
      <c r="CI39" s="55"/>
      <c r="CJ39" s="55"/>
      <c r="CK39" s="55"/>
      <c r="CL39" s="55"/>
      <c r="CM39" s="55"/>
      <c r="CN39" s="55"/>
      <c r="CO39" s="55"/>
      <c r="CP39" s="55"/>
      <c r="CQ39" s="55"/>
      <c r="CR39" s="55"/>
      <c r="CS39" s="55"/>
      <c r="CT39" s="55"/>
    </row>
    <row r="40" spans="1:98" x14ac:dyDescent="0.35">
      <c r="A40" t="str">
        <v>Joint Service Agreement</v>
      </c>
      <c r="B40">
        <f t="shared" si="3"/>
        <v>27</v>
      </c>
      <c r="C40" s="58">
        <f t="shared" si="8"/>
        <v>0.29347826086956524</v>
      </c>
      <c r="D40" t="b">
        <f t="shared" si="4"/>
        <v>1</v>
      </c>
      <c r="E40" t="str">
        <v>Joint Service Agreement</v>
      </c>
      <c r="F40">
        <f t="shared" si="5"/>
        <v>7</v>
      </c>
      <c r="G40" s="58">
        <f t="shared" si="9"/>
        <v>0.1111111111111111</v>
      </c>
      <c r="I40" t="str">
        <v>Joint Service Agreement</v>
      </c>
      <c r="J40">
        <f t="shared" si="6"/>
        <v>20</v>
      </c>
      <c r="K40" s="58">
        <f t="shared" si="7"/>
        <v>0.68965517241379315</v>
      </c>
      <c r="AM40" t="str">
        <v>Goggo Network</v>
      </c>
      <c r="AO40" t="str">
        <f>VLOOKUP(AM40,CBIMPORT!$A$1:$B$171,2,FALSE)</f>
        <v>Autonomous mobility network</v>
      </c>
      <c r="AS40" t="str">
        <v>ZF</v>
      </c>
      <c r="AT40" t="str">
        <f>VLOOKUP(AS40,CBIMPORT!$A$1:$B$171,2,FALSE)</f>
        <v>Autonomous Vehicles</v>
      </c>
      <c r="AY40" s="55"/>
      <c r="BA40" s="55"/>
      <c r="BL40" s="55"/>
      <c r="CH40" s="55"/>
      <c r="CI40" s="55"/>
      <c r="CJ40" s="55"/>
      <c r="CK40" s="55"/>
      <c r="CL40" s="55"/>
      <c r="CM40" s="55"/>
      <c r="CN40" s="55"/>
      <c r="CO40" s="55"/>
      <c r="CP40" s="55"/>
      <c r="CQ40" s="55"/>
      <c r="CR40" s="55"/>
      <c r="CS40" s="55"/>
      <c r="CT40" s="55"/>
    </row>
    <row r="41" spans="1:98" x14ac:dyDescent="0.35">
      <c r="A41" t="str">
        <v>Research &amp; Collaboration</v>
      </c>
      <c r="B41">
        <f>COUNTIF($Z$73:$Z$155,A41)+COUNTIF($AB$73:$AB$155,A41)+COUNTIF($AD$73:$AD$155,A41)</f>
        <v>11</v>
      </c>
      <c r="C41" s="58">
        <f t="shared" si="8"/>
        <v>0.11956521739130435</v>
      </c>
      <c r="D41" t="b">
        <f t="shared" si="4"/>
        <v>1</v>
      </c>
      <c r="E41" t="str">
        <v>Research &amp; Collaboration</v>
      </c>
      <c r="F41">
        <f t="shared" si="5"/>
        <v>7</v>
      </c>
      <c r="G41" s="58">
        <f t="shared" si="9"/>
        <v>0.1111111111111111</v>
      </c>
      <c r="I41" t="str">
        <v>Research &amp; Collaboration</v>
      </c>
      <c r="J41">
        <f t="shared" si="6"/>
        <v>4</v>
      </c>
      <c r="K41" s="58">
        <f t="shared" si="7"/>
        <v>0.13793103448275862</v>
      </c>
      <c r="AM41" t="str">
        <v>Ocado Group</v>
      </c>
      <c r="AO41" t="str">
        <f>VLOOKUP(AM41,CBIMPORT!$A$1:$B$171,2,FALSE)</f>
        <v>Retail</v>
      </c>
      <c r="AS41" t="str">
        <v>Navistar</v>
      </c>
      <c r="AT41" t="str">
        <f>VLOOKUP(AS41,CBIMPORT!$A$1:$B$171,2,FALSE)</f>
        <v>OEM Commercial Vehicles</v>
      </c>
      <c r="AY41" s="55"/>
      <c r="BA41" s="55"/>
      <c r="BL41" s="55"/>
      <c r="CH41" s="55"/>
      <c r="CI41" s="55"/>
      <c r="CJ41" s="55"/>
      <c r="CK41" s="55"/>
      <c r="CL41" s="55"/>
      <c r="CM41" s="55"/>
      <c r="CN41" s="55"/>
      <c r="CO41" s="55"/>
      <c r="CP41" s="55"/>
      <c r="CQ41" s="55"/>
      <c r="CR41" s="55"/>
      <c r="CS41" s="55"/>
      <c r="CT41" s="55"/>
    </row>
    <row r="42" spans="1:98" x14ac:dyDescent="0.35">
      <c r="A42" t="str">
        <v>Marketing Agreement</v>
      </c>
      <c r="B42">
        <f t="shared" si="3"/>
        <v>2</v>
      </c>
      <c r="C42" s="58">
        <f t="shared" si="8"/>
        <v>2.1739130434782608E-2</v>
      </c>
      <c r="D42" t="b">
        <f t="shared" si="4"/>
        <v>1</v>
      </c>
      <c r="E42" t="str">
        <v>Marketing Agreement</v>
      </c>
      <c r="F42">
        <f t="shared" si="5"/>
        <v>1</v>
      </c>
      <c r="G42" s="58">
        <f t="shared" si="9"/>
        <v>1.5873015873015872E-2</v>
      </c>
      <c r="I42" t="str">
        <v>Marketing Agreement</v>
      </c>
      <c r="J42">
        <f t="shared" si="6"/>
        <v>1</v>
      </c>
      <c r="K42" s="58">
        <f t="shared" si="7"/>
        <v>3.4482758620689655E-2</v>
      </c>
      <c r="AM42" t="str">
        <v>Bosch</v>
      </c>
      <c r="AO42" t="str">
        <f>VLOOKUP(AM42,CBIMPORT!$A$1:$B$171,2,FALSE)</f>
        <v>Automotive Supplier</v>
      </c>
      <c r="AS42" t="str">
        <v>Traton</v>
      </c>
      <c r="AT42" t="str">
        <f>VLOOKUP(AS42,CBIMPORT!$A$1:$B$171,2,FALSE)</f>
        <v>OEM Commercial Vehicles</v>
      </c>
      <c r="AY42" s="55"/>
      <c r="BA42" s="55"/>
      <c r="BL42" s="55"/>
      <c r="CH42" s="55"/>
      <c r="CI42" s="55"/>
      <c r="CJ42" s="55"/>
      <c r="CK42" s="55"/>
      <c r="CL42" s="55"/>
      <c r="CM42" s="55"/>
      <c r="CN42" s="55"/>
      <c r="CO42" s="55"/>
      <c r="CP42" s="55"/>
      <c r="CQ42" s="55"/>
      <c r="CR42" s="55"/>
      <c r="CS42" s="55"/>
      <c r="CT42" s="55"/>
    </row>
    <row r="43" spans="1:98" x14ac:dyDescent="0.35">
      <c r="A43" t="str">
        <v>Other</v>
      </c>
      <c r="B43">
        <f t="shared" si="3"/>
        <v>4</v>
      </c>
      <c r="C43" s="58">
        <f t="shared" si="8"/>
        <v>4.3478260869565216E-2</v>
      </c>
      <c r="D43" t="b">
        <f t="shared" si="4"/>
        <v>1</v>
      </c>
      <c r="E43" t="str">
        <v>Other</v>
      </c>
      <c r="F43">
        <f t="shared" si="5"/>
        <v>3</v>
      </c>
      <c r="G43" s="58">
        <f t="shared" si="9"/>
        <v>4.7619047619047616E-2</v>
      </c>
      <c r="I43" t="str">
        <v>Other</v>
      </c>
      <c r="J43">
        <f t="shared" si="6"/>
        <v>1</v>
      </c>
      <c r="K43" s="58">
        <f t="shared" si="7"/>
        <v>3.4482758620689655E-2</v>
      </c>
      <c r="AM43" t="str">
        <v>Minnesota Department of Transportation</v>
      </c>
      <c r="AO43" t="str">
        <f>VLOOKUP(AM43,CBIMPORT!$A$1:$B$171,2,FALSE)</f>
        <v>Transport Operator</v>
      </c>
      <c r="AS43" t="str">
        <v>Goodyear</v>
      </c>
      <c r="AT43" t="str">
        <f>VLOOKUP(AS43,CBIMPORT!$A$1:$B$171,2,FALSE)</f>
        <v>Automotive Supplier</v>
      </c>
      <c r="AY43" s="55"/>
      <c r="BA43" s="55"/>
      <c r="BL43" s="55"/>
      <c r="CH43" s="55"/>
      <c r="CI43" s="55"/>
      <c r="CJ43" s="55"/>
      <c r="CK43" s="55"/>
      <c r="CL43" s="55"/>
      <c r="CM43" s="55"/>
      <c r="CN43" s="55"/>
      <c r="CO43" s="55"/>
      <c r="CP43" s="55"/>
      <c r="CQ43" s="55"/>
      <c r="CR43" s="55"/>
      <c r="CS43" s="55"/>
      <c r="CT43" s="55"/>
    </row>
    <row r="44" spans="1:98" x14ac:dyDescent="0.35">
      <c r="A44" t="str">
        <v>Supply Partnership (traditional)</v>
      </c>
      <c r="B44">
        <f t="shared" si="3"/>
        <v>8</v>
      </c>
      <c r="C44" s="58">
        <f t="shared" si="8"/>
        <v>8.6956521739130432E-2</v>
      </c>
      <c r="D44" t="b">
        <f t="shared" si="4"/>
        <v>1</v>
      </c>
      <c r="E44" t="str">
        <v>Supply Partnership (traditional)</v>
      </c>
      <c r="F44">
        <f t="shared" si="5"/>
        <v>8</v>
      </c>
      <c r="G44" s="58">
        <f t="shared" si="9"/>
        <v>0.12698412698412698</v>
      </c>
      <c r="I44" t="str">
        <v>Supply Partnership (traditional)</v>
      </c>
      <c r="J44">
        <f t="shared" si="6"/>
        <v>0</v>
      </c>
      <c r="K44" s="58">
        <f t="shared" si="7"/>
        <v>0</v>
      </c>
      <c r="AM44" t="str">
        <v>Transurban</v>
      </c>
      <c r="AO44" t="str">
        <f>VLOOKUP(AM44,CBIMPORT!$A$1:$B$171,2,FALSE)</f>
        <v>Transport Operator</v>
      </c>
      <c r="AS44" t="str">
        <v>Liberty Mutual Insurance</v>
      </c>
      <c r="AT44" t="str">
        <f>VLOOKUP(AS44,CBIMPORT!$A$1:$B$171,2,FALSE)</f>
        <v>Insurance</v>
      </c>
      <c r="AY44" s="55"/>
      <c r="BA44" s="55"/>
      <c r="BL44" s="55"/>
      <c r="CH44" s="55"/>
      <c r="CI44" s="55"/>
      <c r="CJ44" s="55"/>
      <c r="CK44" s="55"/>
      <c r="CL44" s="55"/>
      <c r="CM44" s="55"/>
      <c r="CN44" s="55"/>
      <c r="CO44" s="55"/>
      <c r="CP44" s="55"/>
      <c r="CQ44" s="55"/>
      <c r="CR44" s="55"/>
      <c r="CS44" s="55"/>
      <c r="CT44" s="55"/>
    </row>
    <row r="45" spans="1:98" x14ac:dyDescent="0.35">
      <c r="A45">
        <v>0</v>
      </c>
      <c r="C45" s="58"/>
      <c r="E45">
        <v>0</v>
      </c>
      <c r="G45" s="58"/>
      <c r="I45">
        <v>0</v>
      </c>
      <c r="K45" s="58"/>
      <c r="N45" s="114"/>
      <c r="AM45" t="str">
        <v>Goodyear</v>
      </c>
      <c r="AO45" t="str">
        <f>VLOOKUP(AM45,CBIMPORT!$A$1:$B$171,2,FALSE)</f>
        <v>Automotive Supplier</v>
      </c>
      <c r="AS45" t="str">
        <v>Ryder</v>
      </c>
      <c r="AT45" t="str">
        <f>VLOOKUP(AS45,CBIMPORT!$A$1:$B$171,2,FALSE)</f>
        <v>Logistics</v>
      </c>
      <c r="AY45" s="55"/>
      <c r="BA45" s="55"/>
      <c r="BL45" s="55"/>
      <c r="CH45" s="55"/>
      <c r="CI45" s="55"/>
      <c r="CJ45" s="55"/>
      <c r="CK45" s="55"/>
      <c r="CL45" s="55"/>
      <c r="CM45" s="55"/>
      <c r="CN45" s="55"/>
      <c r="CO45" s="55"/>
      <c r="CP45" s="55"/>
      <c r="CQ45" s="55"/>
      <c r="CR45" s="55"/>
      <c r="CS45" s="55"/>
      <c r="CT45" s="55"/>
    </row>
    <row r="46" spans="1:98" x14ac:dyDescent="0.35">
      <c r="C46" s="58"/>
      <c r="G46" s="58"/>
      <c r="K46" s="58"/>
      <c r="AM46" t="str">
        <v>IVECO</v>
      </c>
      <c r="AO46" t="str">
        <f>VLOOKUP(AM46,CBIMPORT!$A$1:$B$171,2,FALSE)</f>
        <v>OEM Commercial Vehicles</v>
      </c>
      <c r="AS46" t="str">
        <v>Loadsmith</v>
      </c>
      <c r="AT46" t="str">
        <f>VLOOKUP(AS46,CBIMPORT!$A$1:$B$171,2,FALSE)</f>
        <v>Logistics</v>
      </c>
      <c r="AY46" s="55"/>
      <c r="BA46" s="55"/>
      <c r="BL46" s="55"/>
      <c r="CH46" s="55"/>
      <c r="CI46" s="55"/>
      <c r="CJ46" s="55"/>
      <c r="CK46" s="55"/>
      <c r="CL46" s="55"/>
      <c r="CM46" s="55"/>
      <c r="CN46" s="55"/>
      <c r="CO46" s="55"/>
      <c r="CP46" s="55"/>
      <c r="CQ46" s="55"/>
      <c r="CR46" s="55"/>
      <c r="CS46" s="55"/>
      <c r="CT46" s="55"/>
    </row>
    <row r="47" spans="1:98" x14ac:dyDescent="0.35">
      <c r="AM47" t="str">
        <v>Cummins</v>
      </c>
      <c r="AO47" t="str">
        <f>VLOOKUP(AM47,CBIMPORT!$A$1:$B$171,2,FALSE)</f>
        <v>Automotive Supplier</v>
      </c>
      <c r="AS47" t="str">
        <v>Hegelmann Group</v>
      </c>
      <c r="AT47" t="str">
        <f>VLOOKUP(AS47,CBIMPORT!$A$1:$B$171,2,FALSE)</f>
        <v>Logistics</v>
      </c>
      <c r="AY47" s="55"/>
      <c r="BA47" s="55"/>
      <c r="BL47" s="55"/>
      <c r="CH47" s="55"/>
      <c r="CI47" s="55"/>
      <c r="CJ47" s="55"/>
      <c r="CK47" s="55"/>
      <c r="CL47" s="55"/>
      <c r="CM47" s="55"/>
      <c r="CN47" s="55"/>
      <c r="CO47" s="55"/>
      <c r="CP47" s="55"/>
      <c r="CQ47" s="55"/>
      <c r="CR47" s="55"/>
      <c r="CS47" s="55"/>
      <c r="CT47" s="55"/>
    </row>
    <row r="48" spans="1:98" x14ac:dyDescent="0.35">
      <c r="AM48" t="str">
        <v>Luminar</v>
      </c>
      <c r="AO48" t="str">
        <f>VLOOKUP(AM48,CBIMPORT!$A$1:$B$171,2,FALSE)</f>
        <v>Sensor</v>
      </c>
      <c r="AS48" t="str">
        <v>DHL</v>
      </c>
      <c r="AT48" t="str">
        <f>VLOOKUP(AS48,CBIMPORT!$A$1:$B$171,2,FALSE)</f>
        <v>Logistics</v>
      </c>
      <c r="AY48" s="55"/>
      <c r="BA48" s="55"/>
      <c r="BL48" s="55"/>
      <c r="CH48" s="55"/>
      <c r="CI48" s="55"/>
      <c r="CJ48" s="55"/>
      <c r="CK48" s="55"/>
      <c r="CL48" s="55"/>
      <c r="CM48" s="55"/>
      <c r="CN48" s="55"/>
      <c r="CO48" s="55"/>
      <c r="CP48" s="55"/>
      <c r="CQ48" s="55"/>
      <c r="CR48" s="55"/>
      <c r="CS48" s="55"/>
      <c r="CT48" s="55"/>
    </row>
    <row r="49" spans="1:98" x14ac:dyDescent="0.35">
      <c r="A49" s="114" t="str" cm="1">
        <f t="array" ref="A49:C55">_xlfn._xlws.SORT(AN124:AP130,1,1)</f>
        <v>1. Informal Agreement</v>
      </c>
      <c r="B49">
        <v>4</v>
      </c>
      <c r="C49" s="58">
        <v>4.9382716049382713E-2</v>
      </c>
      <c r="D49" t="b">
        <f t="shared" ref="D49:D55" si="10">F49+J49=B49</f>
        <v>1</v>
      </c>
      <c r="E49" s="114" t="str" cm="1">
        <f t="array" ref="E49:G55">_xlfn._xlws.SORT(AS124:AU130,1,1)</f>
        <v>1. Informal Agreement</v>
      </c>
      <c r="F49">
        <v>3</v>
      </c>
      <c r="G49" s="58">
        <v>5.5555555555555552E-2</v>
      </c>
      <c r="I49" s="114" t="str" cm="1">
        <f t="array" ref="I49:K55">_xlfn._xlws.SORT(AW124:AY130,1,1)</f>
        <v>1. Informal Agreement</v>
      </c>
      <c r="J49">
        <v>1</v>
      </c>
      <c r="K49" s="130">
        <v>3.7037037037037035E-2</v>
      </c>
      <c r="AM49" t="str">
        <v>SANY Heavy Truck</v>
      </c>
      <c r="AO49" t="str">
        <f>VLOOKUP(AM49,CBIMPORT!$A$1:$B$171,2,FALSE)</f>
        <v>OEM Commercial Vehicles</v>
      </c>
      <c r="AS49" t="str">
        <v>Volvo Autonomous Solutions</v>
      </c>
      <c r="AT49" t="str">
        <f>VLOOKUP(AS49,CBIMPORT!$A$1:$B$171,2,FALSE)</f>
        <v>Autonomous Vehicles</v>
      </c>
      <c r="AY49" s="55"/>
      <c r="BA49" s="55"/>
      <c r="BL49" s="55"/>
      <c r="CH49" s="55"/>
      <c r="CI49" s="55"/>
      <c r="CJ49" s="55"/>
      <c r="CK49" s="55"/>
      <c r="CL49" s="55"/>
      <c r="CM49" s="55"/>
      <c r="CN49" s="55"/>
      <c r="CO49" s="55"/>
      <c r="CP49" s="55"/>
      <c r="CQ49" s="55"/>
      <c r="CR49" s="55"/>
      <c r="CS49" s="55"/>
      <c r="CT49" s="55"/>
    </row>
    <row r="50" spans="1:98" x14ac:dyDescent="0.35">
      <c r="A50" t="str">
        <v>2.1. Short term Alliance (no exclusivity / previous experience)</v>
      </c>
      <c r="B50">
        <v>45</v>
      </c>
      <c r="C50" s="58">
        <v>0.55555555555555558</v>
      </c>
      <c r="D50" t="b">
        <f t="shared" si="10"/>
        <v>1</v>
      </c>
      <c r="E50" t="str">
        <v>2.1. Short term Alliance (no exclusivity / previous experience)</v>
      </c>
      <c r="F50">
        <v>27</v>
      </c>
      <c r="G50" s="58">
        <v>0.5</v>
      </c>
      <c r="I50" t="str">
        <v>2.1. Short term Alliance (no exclusivity / previous experience)</v>
      </c>
      <c r="J50">
        <v>18</v>
      </c>
      <c r="K50" s="130">
        <v>0.66666666666666663</v>
      </c>
      <c r="AM50" t="str">
        <v>Nickelytics</v>
      </c>
      <c r="AO50" t="str">
        <f>VLOOKUP(AM50,CBIMPORT!$A$1:$B$171,2,FALSE)</f>
        <v>Advertising</v>
      </c>
      <c r="AS50" t="str">
        <v>Waymo</v>
      </c>
      <c r="AT50" t="str">
        <f>VLOOKUP(AS50,CBIMPORT!$A$1:$B$171,2,FALSE)</f>
        <v>Autonomous Vehicles</v>
      </c>
      <c r="AY50" s="55"/>
      <c r="BA50" s="55"/>
      <c r="BL50" s="55"/>
      <c r="CH50" s="55"/>
      <c r="CI50" s="55"/>
      <c r="CJ50" s="55"/>
      <c r="CK50" s="55"/>
      <c r="CL50" s="55"/>
      <c r="CM50" s="55"/>
      <c r="CN50" s="55"/>
      <c r="CO50" s="55"/>
      <c r="CP50" s="55"/>
      <c r="CQ50" s="55"/>
      <c r="CR50" s="55"/>
      <c r="CS50" s="55"/>
      <c r="CT50" s="55"/>
    </row>
    <row r="51" spans="1:98" x14ac:dyDescent="0.35">
      <c r="A51" t="str">
        <v xml:space="preserve">2.2. Renewed Alliance </v>
      </c>
      <c r="B51">
        <v>3</v>
      </c>
      <c r="C51" s="58">
        <v>3.7037037037037035E-2</v>
      </c>
      <c r="D51" t="b">
        <f t="shared" si="10"/>
        <v>1</v>
      </c>
      <c r="E51" t="str">
        <v xml:space="preserve">2.2. Renewed Alliance </v>
      </c>
      <c r="F51">
        <v>2</v>
      </c>
      <c r="G51" s="58">
        <v>3.7037037037037035E-2</v>
      </c>
      <c r="I51" t="str">
        <v xml:space="preserve">2.2. Renewed Alliance </v>
      </c>
      <c r="J51">
        <v>1</v>
      </c>
      <c r="K51" s="130">
        <v>3.7037037037037035E-2</v>
      </c>
      <c r="AM51" t="str">
        <v>Pizza Hut</v>
      </c>
      <c r="AO51" t="str">
        <f>VLOOKUP(AM51,CBIMPORT!$A$1:$B$171,2,FALSE)</f>
        <v>Food &amp; Beverage</v>
      </c>
      <c r="AS51" t="str">
        <v>MIT Center for Transportation &amp; Logistics</v>
      </c>
      <c r="AT51" t="str">
        <f>VLOOKUP(AS51,CBIMPORT!$A$1:$B$171,2,FALSE)</f>
        <v>Artificial Intelligence (AI)</v>
      </c>
      <c r="AY51" s="55"/>
      <c r="BA51" s="55"/>
      <c r="BL51" s="55"/>
      <c r="CH51" s="55"/>
      <c r="CI51" s="55"/>
      <c r="CJ51" s="55"/>
      <c r="CK51" s="55"/>
      <c r="CL51" s="55"/>
      <c r="CM51" s="55"/>
      <c r="CN51" s="55"/>
      <c r="CO51" s="55"/>
      <c r="CP51" s="55"/>
      <c r="CQ51" s="55"/>
      <c r="CR51" s="55"/>
      <c r="CS51" s="55"/>
      <c r="CT51" s="55"/>
    </row>
    <row r="52" spans="1:98" x14ac:dyDescent="0.35">
      <c r="A52" t="str">
        <v>2.3. Long term Alliance</v>
      </c>
      <c r="B52">
        <v>19</v>
      </c>
      <c r="C52" s="58">
        <v>0.23456790123456789</v>
      </c>
      <c r="D52" t="b">
        <f t="shared" si="10"/>
        <v>1</v>
      </c>
      <c r="E52" t="str">
        <v>2.3. Long term Alliance</v>
      </c>
      <c r="F52">
        <v>15</v>
      </c>
      <c r="G52" s="58">
        <v>0.27777777777777779</v>
      </c>
      <c r="I52" t="str">
        <v>2.3. Long term Alliance</v>
      </c>
      <c r="J52">
        <v>4</v>
      </c>
      <c r="K52" s="130">
        <v>0.14814814814814814</v>
      </c>
      <c r="AM52" t="str">
        <v>Uber Eats</v>
      </c>
      <c r="AO52" t="str">
        <f>VLOOKUP(AM52,CBIMPORT!$A$1:$B$171,2,FALSE)</f>
        <v>Delivery Service</v>
      </c>
      <c r="AS52" t="str">
        <v>Uber Freight</v>
      </c>
      <c r="AT52" t="str">
        <f>VLOOKUP(AS52,CBIMPORT!$A$1:$B$171,2,FALSE)</f>
        <v>Mobility Services Booking</v>
      </c>
      <c r="AY52" s="55"/>
      <c r="BA52" s="55"/>
      <c r="BL52" s="55"/>
      <c r="CH52" s="55"/>
      <c r="CI52" s="55"/>
      <c r="CJ52" s="55"/>
      <c r="CK52" s="55"/>
      <c r="CL52" s="55"/>
      <c r="CM52" s="55"/>
      <c r="CN52" s="55"/>
      <c r="CO52" s="55"/>
      <c r="CP52" s="55"/>
      <c r="CQ52" s="55"/>
      <c r="CR52" s="55"/>
      <c r="CS52" s="55"/>
      <c r="CT52" s="55"/>
    </row>
    <row r="53" spans="1:98" x14ac:dyDescent="0.35">
      <c r="A53" t="str">
        <v>2.4. Exclusive Alliance</v>
      </c>
      <c r="B53">
        <v>2</v>
      </c>
      <c r="C53" s="58">
        <v>2.4691358024691357E-2</v>
      </c>
      <c r="D53" t="b">
        <f t="shared" si="10"/>
        <v>1</v>
      </c>
      <c r="E53" t="str">
        <v>2.4. Exclusive Alliance</v>
      </c>
      <c r="F53">
        <v>1</v>
      </c>
      <c r="G53" s="58">
        <v>1.8518518518518517E-2</v>
      </c>
      <c r="I53" t="str">
        <v>2.4. Exclusive Alliance</v>
      </c>
      <c r="J53">
        <v>1</v>
      </c>
      <c r="K53" s="130">
        <v>3.7037037037037035E-2</v>
      </c>
      <c r="AM53" t="str">
        <v>Piestro</v>
      </c>
      <c r="AO53" t="str">
        <f>VLOOKUP(AM53,CBIMPORT!$A$1:$B$171,2,FALSE)</f>
        <v>Food &amp; Beverage</v>
      </c>
      <c r="AS53" t="str">
        <v>TuSimple</v>
      </c>
      <c r="AT53" t="str">
        <f>VLOOKUP(AS53,CBIMPORT!$A$1:$B$171,2,FALSE)</f>
        <v>Autonomous Vehicles</v>
      </c>
      <c r="AY53" s="55"/>
      <c r="BA53" s="55"/>
      <c r="BL53" s="55"/>
      <c r="CH53" s="55"/>
      <c r="CI53" s="55"/>
      <c r="CJ53" s="55"/>
      <c r="CK53" s="55"/>
      <c r="CL53" s="55"/>
      <c r="CM53" s="55"/>
      <c r="CN53" s="55"/>
      <c r="CO53" s="55"/>
      <c r="CP53" s="55"/>
      <c r="CQ53" s="55"/>
      <c r="CR53" s="55"/>
      <c r="CS53" s="55"/>
      <c r="CT53" s="55"/>
    </row>
    <row r="54" spans="1:98" x14ac:dyDescent="0.35">
      <c r="A54" t="str">
        <v>3. Strategic Partnership</v>
      </c>
      <c r="B54">
        <v>7</v>
      </c>
      <c r="C54" s="58">
        <v>8.6419753086419748E-2</v>
      </c>
      <c r="D54" t="b">
        <f t="shared" si="10"/>
        <v>1</v>
      </c>
      <c r="E54" t="str">
        <v>3. Strategic Partnership</v>
      </c>
      <c r="F54">
        <v>5</v>
      </c>
      <c r="G54" s="58">
        <v>9.2592592592592587E-2</v>
      </c>
      <c r="I54" t="str">
        <v>3. Strategic Partnership</v>
      </c>
      <c r="J54">
        <v>2</v>
      </c>
      <c r="K54" s="130">
        <v>7.407407407407407E-2</v>
      </c>
      <c r="AM54" t="str">
        <v>Daimler Truck</v>
      </c>
      <c r="AO54" t="str">
        <f>VLOOKUP(AM54,CBIMPORT!$A$1:$B$171,2,FALSE)</f>
        <v>OEM Commercial Vehicles</v>
      </c>
      <c r="AS54" t="str">
        <v>Uber Freight</v>
      </c>
      <c r="AT54" t="str">
        <f>VLOOKUP(AS54,CBIMPORT!$A$1:$B$171,2,FALSE)</f>
        <v>Mobility Services Booking</v>
      </c>
      <c r="AY54" s="55"/>
      <c r="BA54" s="55"/>
      <c r="BL54" s="55"/>
      <c r="CH54" s="55"/>
      <c r="CI54" s="55"/>
      <c r="CJ54" s="55"/>
      <c r="CK54" s="55"/>
      <c r="CL54" s="55"/>
      <c r="CM54" s="55"/>
      <c r="CN54" s="55"/>
      <c r="CO54" s="55"/>
      <c r="CP54" s="55"/>
      <c r="CQ54" s="55"/>
      <c r="CR54" s="55"/>
      <c r="CS54" s="55"/>
      <c r="CT54" s="55"/>
    </row>
    <row r="55" spans="1:98" x14ac:dyDescent="0.35">
      <c r="A55" t="str">
        <v>4. Joint Venture</v>
      </c>
      <c r="B55">
        <v>1</v>
      </c>
      <c r="C55" s="58">
        <v>1.2345679012345678E-2</v>
      </c>
      <c r="D55" t="b">
        <f t="shared" si="10"/>
        <v>1</v>
      </c>
      <c r="E55" t="str">
        <v>4. Joint Venture</v>
      </c>
      <c r="F55">
        <v>1</v>
      </c>
      <c r="G55" s="58">
        <v>1.8518518518518517E-2</v>
      </c>
      <c r="I55" t="str">
        <v>4. Joint Venture</v>
      </c>
      <c r="J55">
        <v>0</v>
      </c>
      <c r="K55" s="130">
        <v>0</v>
      </c>
      <c r="AM55" t="str">
        <v>Applied Intuition</v>
      </c>
      <c r="AO55" t="str">
        <f>VLOOKUP(AM55,CBIMPORT!$A$1:$B$171,2,FALSE)</f>
        <v>V&amp;V</v>
      </c>
      <c r="AS55" t="str">
        <v>Waabi</v>
      </c>
      <c r="AT55" t="str">
        <f>VLOOKUP(AS55,CBIMPORT!$A$1:$B$171,2,FALSE)</f>
        <v>Autonomous Vehicles</v>
      </c>
      <c r="AY55" s="55"/>
      <c r="BA55" s="55"/>
      <c r="BL55" s="55"/>
      <c r="CH55" s="55"/>
      <c r="CI55" s="55"/>
      <c r="CJ55" s="55"/>
      <c r="CK55" s="55"/>
      <c r="CL55" s="55"/>
      <c r="CM55" s="55"/>
      <c r="CN55" s="55"/>
      <c r="CO55" s="55"/>
      <c r="CP55" s="55"/>
      <c r="CQ55" s="55"/>
      <c r="CR55" s="55"/>
      <c r="CS55" s="55"/>
      <c r="CT55" s="55"/>
    </row>
    <row r="56" spans="1:98" x14ac:dyDescent="0.35">
      <c r="C56" s="58"/>
      <c r="G56" s="58"/>
      <c r="K56" s="130"/>
      <c r="AM56" t="str">
        <v>Daimler Truck</v>
      </c>
      <c r="AO56" t="str">
        <f>VLOOKUP(AM56,CBIMPORT!$A$1:$B$171,2,FALSE)</f>
        <v>OEM Commercial Vehicles</v>
      </c>
      <c r="AS56" t="str" cm="1">
        <f t="array" ref="AS56:AS58">_xlfn._xlws.FILTER(
CHOOSE(
{1},
$M$72:$M$156),
(($J$72:$J$156=E8)*($M$72:$M$156&lt;&gt;0)))</f>
        <v>Bridgestone</v>
      </c>
      <c r="AT56" t="str">
        <f>VLOOKUP(AS56,CBIMPORT!$A$1:$B$171,2,FALSE)</f>
        <v>Automotive Supplier</v>
      </c>
      <c r="AY56" s="55"/>
      <c r="BA56" s="55"/>
      <c r="BL56" s="55"/>
      <c r="CH56" s="55"/>
      <c r="CI56" s="55"/>
      <c r="CJ56" s="55"/>
      <c r="CK56" s="55"/>
      <c r="CL56" s="55"/>
      <c r="CM56" s="55"/>
      <c r="CN56" s="55"/>
      <c r="CO56" s="55"/>
      <c r="CP56" s="55"/>
      <c r="CQ56" s="55"/>
      <c r="CR56" s="55"/>
      <c r="CS56" s="55"/>
      <c r="CT56" s="55"/>
    </row>
    <row r="57" spans="1:98" x14ac:dyDescent="0.35">
      <c r="C57" s="58"/>
      <c r="G57" s="58"/>
      <c r="K57" s="130"/>
      <c r="AM57" t="str">
        <v>ZF</v>
      </c>
      <c r="AO57" t="str">
        <f>VLOOKUP(AM57,CBIMPORT!$A$1:$B$171,2,FALSE)</f>
        <v>Autonomous Vehicles</v>
      </c>
      <c r="AS57" t="str">
        <v>Telia</v>
      </c>
      <c r="AT57" t="str">
        <f>VLOOKUP(AS57,CBIMPORT!$A$1:$B$171,2,FALSE)</f>
        <v>Telecommunications</v>
      </c>
      <c r="AY57" s="55"/>
      <c r="BA57" s="55"/>
      <c r="BL57" s="55"/>
      <c r="CH57" s="55"/>
      <c r="CI57" s="55"/>
      <c r="CJ57" s="55"/>
      <c r="CK57" s="55"/>
      <c r="CL57" s="55"/>
      <c r="CM57" s="55"/>
      <c r="CN57" s="55"/>
      <c r="CO57" s="55"/>
      <c r="CP57" s="55"/>
      <c r="CQ57" s="55"/>
      <c r="CR57" s="55"/>
      <c r="CS57" s="55"/>
      <c r="CT57" s="55"/>
    </row>
    <row r="58" spans="1:98" x14ac:dyDescent="0.35">
      <c r="C58" s="58"/>
      <c r="G58" s="58"/>
      <c r="K58" s="130"/>
      <c r="AM58" t="str">
        <v>Navistar</v>
      </c>
      <c r="AO58" t="str">
        <f>VLOOKUP(AM58,CBIMPORT!$A$1:$B$171,2,FALSE)</f>
        <v>OEM Commercial Vehicles</v>
      </c>
      <c r="AS58" t="str">
        <v>Luminar</v>
      </c>
      <c r="AT58" t="str">
        <f>VLOOKUP(AS58,CBIMPORT!$A$1:$B$171,2,FALSE)</f>
        <v>Sensor</v>
      </c>
      <c r="AY58" s="55"/>
      <c r="BA58" s="55"/>
      <c r="BL58" s="55"/>
      <c r="CH58" s="55"/>
      <c r="CI58" s="55"/>
      <c r="CJ58" s="55"/>
      <c r="CK58" s="55"/>
      <c r="CL58" s="55"/>
      <c r="CM58" s="55"/>
      <c r="CN58" s="55"/>
      <c r="CO58" s="55"/>
      <c r="CP58" s="55"/>
      <c r="CQ58" s="55"/>
      <c r="CR58" s="55"/>
      <c r="CS58" s="55"/>
      <c r="CT58" s="55"/>
    </row>
    <row r="59" spans="1:98" x14ac:dyDescent="0.35">
      <c r="AM59" t="str">
        <v>Traton</v>
      </c>
      <c r="AO59" t="str">
        <f>VLOOKUP(AM59,CBIMPORT!$A$1:$B$171,2,FALSE)</f>
        <v>OEM Commercial Vehicles</v>
      </c>
      <c r="AY59" s="55"/>
      <c r="BA59" s="55"/>
      <c r="BL59" s="55"/>
      <c r="CH59" s="55"/>
      <c r="CI59" s="55"/>
      <c r="CJ59" s="55"/>
      <c r="CK59" s="55"/>
      <c r="CL59" s="55"/>
      <c r="CM59" s="55"/>
      <c r="CN59" s="55"/>
      <c r="CO59" s="55"/>
      <c r="CP59" s="55"/>
      <c r="CQ59" s="55"/>
      <c r="CR59" s="55"/>
      <c r="CS59" s="55"/>
      <c r="CT59" s="55"/>
    </row>
    <row r="60" spans="1:98" x14ac:dyDescent="0.35">
      <c r="AM60" t="str">
        <v>Goodyear</v>
      </c>
      <c r="AO60" t="str">
        <f>VLOOKUP(AM60,CBIMPORT!$A$1:$B$171,2,FALSE)</f>
        <v>Automotive Supplier</v>
      </c>
      <c r="AY60" s="55"/>
      <c r="BA60" s="55"/>
      <c r="BL60" s="55"/>
      <c r="CH60" s="55"/>
      <c r="CI60" s="55"/>
      <c r="CJ60" s="55"/>
      <c r="CK60" s="55"/>
      <c r="CL60" s="55"/>
      <c r="CM60" s="55"/>
      <c r="CN60" s="55"/>
      <c r="CO60" s="55"/>
      <c r="CP60" s="55"/>
      <c r="CQ60" s="55"/>
      <c r="CR60" s="55"/>
      <c r="CS60" s="55"/>
      <c r="CT60" s="55"/>
    </row>
    <row r="61" spans="1:98" x14ac:dyDescent="0.35">
      <c r="AM61" t="str">
        <v>Liberty Mutual Insurance</v>
      </c>
      <c r="AO61" t="str">
        <f>VLOOKUP(AM61,CBIMPORT!$A$1:$B$171,2,FALSE)</f>
        <v>Insurance</v>
      </c>
      <c r="AY61" s="55"/>
      <c r="BA61" s="55"/>
      <c r="BL61" s="55"/>
      <c r="CH61" s="55"/>
      <c r="CI61" s="55"/>
      <c r="CJ61" s="55"/>
      <c r="CK61" s="55"/>
      <c r="CL61" s="55"/>
      <c r="CM61" s="55"/>
      <c r="CN61" s="55"/>
      <c r="CO61" s="55"/>
      <c r="CP61" s="55"/>
      <c r="CQ61" s="55"/>
      <c r="CR61" s="55"/>
      <c r="CS61" s="55"/>
      <c r="CT61" s="55"/>
    </row>
    <row r="62" spans="1:98" x14ac:dyDescent="0.35">
      <c r="AM62" t="str">
        <v>Ryder</v>
      </c>
      <c r="AO62" t="str">
        <f>VLOOKUP(AM62,CBIMPORT!$A$1:$B$171,2,FALSE)</f>
        <v>Logistics</v>
      </c>
      <c r="BA62" s="55"/>
      <c r="BL62" s="55"/>
      <c r="CH62" s="55"/>
      <c r="CI62" s="55"/>
      <c r="CJ62" s="55"/>
      <c r="CK62" s="55"/>
      <c r="CL62" s="55"/>
      <c r="CM62" s="55"/>
      <c r="CN62" s="55"/>
      <c r="CO62" s="55"/>
      <c r="CP62" s="55"/>
      <c r="CQ62" s="55"/>
      <c r="CR62" s="55"/>
      <c r="CS62" s="55"/>
      <c r="CT62" s="55"/>
    </row>
    <row r="63" spans="1:98" x14ac:dyDescent="0.35">
      <c r="AM63" t="str">
        <v>Loadsmith</v>
      </c>
      <c r="AO63" t="str">
        <f>VLOOKUP(AM63,CBIMPORT!$A$1:$B$171,2,FALSE)</f>
        <v>Logistics</v>
      </c>
      <c r="BA63" s="55"/>
      <c r="BL63" s="55"/>
      <c r="CH63" s="55"/>
      <c r="CI63" s="55"/>
      <c r="CJ63" s="55"/>
      <c r="CK63" s="55"/>
      <c r="CL63" s="55"/>
      <c r="CM63" s="55"/>
      <c r="CN63" s="55"/>
      <c r="CO63" s="55"/>
      <c r="CP63" s="55"/>
      <c r="CQ63" s="55"/>
      <c r="CR63" s="55"/>
      <c r="CS63" s="55"/>
      <c r="CT63" s="55"/>
    </row>
    <row r="64" spans="1:98" x14ac:dyDescent="0.35">
      <c r="AM64" t="str">
        <v>Hegelmann Group</v>
      </c>
      <c r="AO64" t="str">
        <f>VLOOKUP(AM64,CBIMPORT!$A$1:$B$171,2,FALSE)</f>
        <v>Logistics</v>
      </c>
      <c r="BA64" s="55"/>
      <c r="BL64" s="55"/>
      <c r="CH64" s="55"/>
      <c r="CI64" s="55"/>
      <c r="CJ64" s="55"/>
      <c r="CK64" s="55"/>
      <c r="CL64" s="55"/>
      <c r="CM64" s="55"/>
      <c r="CN64" s="55"/>
      <c r="CO64" s="55"/>
      <c r="CP64" s="55"/>
      <c r="CQ64" s="55"/>
      <c r="CR64" s="55"/>
      <c r="CS64" s="55"/>
      <c r="CT64" s="55"/>
    </row>
    <row r="65" spans="1:98" x14ac:dyDescent="0.35">
      <c r="AM65" t="str">
        <v>DHL</v>
      </c>
      <c r="AO65" t="str">
        <f>VLOOKUP(AM65,CBIMPORT!$A$1:$B$171,2,FALSE)</f>
        <v>Logistics</v>
      </c>
      <c r="BA65" s="55"/>
      <c r="BL65" s="55"/>
      <c r="CH65" s="55"/>
      <c r="CI65" s="55"/>
      <c r="CJ65" s="55"/>
      <c r="CK65" s="55"/>
      <c r="CL65" s="55"/>
      <c r="CM65" s="55"/>
      <c r="CN65" s="55"/>
      <c r="CO65" s="55"/>
      <c r="CP65" s="55"/>
      <c r="CQ65" s="55"/>
      <c r="CR65" s="55"/>
      <c r="CS65" s="55"/>
      <c r="CT65" s="55"/>
    </row>
    <row r="66" spans="1:98" x14ac:dyDescent="0.35">
      <c r="B66" s="55"/>
      <c r="C66" s="55"/>
      <c r="D66" s="55"/>
      <c r="E66" s="55"/>
      <c r="F66" s="55"/>
      <c r="G66" s="55"/>
      <c r="AM66" t="str">
        <v>Volvo Autonomous Solutions</v>
      </c>
      <c r="AO66" t="str">
        <f>VLOOKUP(AM66,CBIMPORT!$A$1:$B$171,2,FALSE)</f>
        <v>Autonomous Vehicles</v>
      </c>
      <c r="BA66" s="55"/>
      <c r="BL66" s="55"/>
      <c r="CH66" s="55"/>
      <c r="CI66" s="55"/>
      <c r="CJ66" s="55"/>
      <c r="CK66" s="55"/>
      <c r="CL66" s="55"/>
      <c r="CM66" s="55"/>
      <c r="CN66" s="55"/>
      <c r="CO66" s="55"/>
      <c r="CP66" s="55"/>
      <c r="CQ66" s="55"/>
      <c r="CR66" s="55"/>
      <c r="CS66" s="55"/>
      <c r="CT66" s="55"/>
    </row>
    <row r="67" spans="1:98" x14ac:dyDescent="0.35">
      <c r="A67" s="92"/>
      <c r="AM67" t="str">
        <v>Waymo</v>
      </c>
      <c r="AO67" t="str">
        <f>VLOOKUP(AM67,CBIMPORT!$A$1:$B$171,2,FALSE)</f>
        <v>Autonomous Vehicles</v>
      </c>
      <c r="BA67" s="55"/>
      <c r="BL67" s="55"/>
      <c r="CH67" s="55"/>
      <c r="CI67" s="55"/>
      <c r="CJ67" s="55"/>
      <c r="CK67" s="55"/>
      <c r="CL67" s="55"/>
      <c r="CM67" s="55"/>
      <c r="CN67" s="55"/>
      <c r="CO67" s="55"/>
      <c r="CP67" s="55"/>
      <c r="CQ67" s="55"/>
      <c r="CR67" s="55"/>
      <c r="CS67" s="55"/>
      <c r="CT67" s="55"/>
    </row>
    <row r="68" spans="1:98" x14ac:dyDescent="0.35">
      <c r="AM68" t="str">
        <v>Walmart</v>
      </c>
      <c r="AO68" t="str">
        <f>VLOOKUP(AM68,CBIMPORT!$A$1:$B$171,2,FALSE)</f>
        <v>Retail</v>
      </c>
      <c r="BA68" s="55"/>
      <c r="BL68" s="55"/>
      <c r="CH68" s="55"/>
      <c r="CI68" s="55"/>
      <c r="CJ68" s="55"/>
      <c r="CK68" s="55"/>
      <c r="CL68" s="55"/>
      <c r="CM68" s="55"/>
      <c r="CN68" s="55"/>
      <c r="CO68" s="55"/>
      <c r="CP68" s="55"/>
      <c r="CQ68" s="55"/>
      <c r="CR68" s="55"/>
      <c r="CS68" s="55"/>
      <c r="CT68" s="55"/>
    </row>
    <row r="69" spans="1:98" x14ac:dyDescent="0.35">
      <c r="B69" s="55"/>
      <c r="C69" s="55"/>
      <c r="D69" s="55"/>
      <c r="E69" s="55"/>
      <c r="F69" s="55"/>
      <c r="G69" s="55"/>
      <c r="AM69" t="str">
        <v>Farmstead</v>
      </c>
      <c r="AO69" t="str">
        <f>VLOOKUP(AM69,CBIMPORT!$A$1:$B$171,2,FALSE)</f>
        <v>Delivery Service</v>
      </c>
      <c r="BA69" s="55"/>
      <c r="BL69" s="55"/>
      <c r="CH69" s="55"/>
      <c r="CI69" s="55"/>
      <c r="CJ69" s="55"/>
      <c r="CK69" s="55"/>
      <c r="CL69" s="55"/>
      <c r="CM69" s="55"/>
      <c r="CN69" s="55"/>
      <c r="CO69" s="55"/>
      <c r="CP69" s="55"/>
      <c r="CQ69" s="55"/>
      <c r="CR69" s="55"/>
      <c r="CS69" s="55"/>
      <c r="CT69" s="55"/>
    </row>
    <row r="70" spans="1:98" x14ac:dyDescent="0.35">
      <c r="A70" s="92"/>
      <c r="AM70" t="str">
        <v>H-E-B</v>
      </c>
      <c r="AO70" t="str">
        <f>VLOOKUP(AM70,CBIMPORT!$A$1:$B$171,2,FALSE)</f>
        <v>Retail</v>
      </c>
      <c r="BA70" s="55"/>
      <c r="BL70" s="55"/>
      <c r="CH70" s="55"/>
      <c r="CI70" s="55"/>
      <c r="CJ70" s="55"/>
      <c r="CK70" s="55"/>
      <c r="CL70" s="55"/>
      <c r="CM70" s="55"/>
      <c r="CN70" s="55"/>
      <c r="CO70" s="55"/>
      <c r="CP70" s="55"/>
      <c r="CQ70" s="55"/>
      <c r="CR70" s="55"/>
      <c r="CS70" s="55"/>
      <c r="CT70" s="55"/>
    </row>
    <row r="71" spans="1:98" x14ac:dyDescent="0.35">
      <c r="J71" t="s">
        <v>1950</v>
      </c>
      <c r="K71" t="s">
        <v>1931</v>
      </c>
      <c r="L71" t="s">
        <v>1931</v>
      </c>
      <c r="M71" t="s">
        <v>1931</v>
      </c>
      <c r="N71" t="s">
        <v>1931</v>
      </c>
      <c r="Q71" t="s">
        <v>372</v>
      </c>
      <c r="R71" t="s">
        <v>372</v>
      </c>
      <c r="W71" s="114" t="s">
        <v>341</v>
      </c>
      <c r="X71" s="114" t="s">
        <v>341</v>
      </c>
      <c r="AI71" s="103"/>
      <c r="AJ71" s="103"/>
      <c r="AK71" s="103"/>
      <c r="AM71" t="str">
        <v>Mobileye</v>
      </c>
      <c r="AO71" t="str">
        <f>VLOOKUP(AM71,CBIMPORT!$A$1:$B$171,2,FALSE)</f>
        <v>Autonomous Vehicles</v>
      </c>
      <c r="BA71" s="55"/>
      <c r="BL71" s="55"/>
      <c r="CH71" s="55"/>
      <c r="CI71" s="55"/>
      <c r="CJ71" s="55"/>
      <c r="CK71" s="55"/>
      <c r="CL71" s="55"/>
      <c r="CM71" s="55"/>
      <c r="CN71" s="55"/>
      <c r="CO71" s="55"/>
      <c r="CP71" s="55"/>
      <c r="CQ71" s="55"/>
      <c r="CR71" s="55"/>
      <c r="CS71" s="55"/>
      <c r="CT71" s="55"/>
    </row>
    <row r="72" spans="1:98" ht="29" x14ac:dyDescent="0.35">
      <c r="A72" s="23" t="s">
        <v>1422</v>
      </c>
      <c r="B72" s="23" t="s">
        <v>1026</v>
      </c>
      <c r="C72" s="23"/>
      <c r="D72" s="23" t="s">
        <v>0</v>
      </c>
      <c r="E72" s="23" t="s">
        <v>1943</v>
      </c>
      <c r="F72" s="23" t="s">
        <v>1946</v>
      </c>
      <c r="G72" s="23" t="s">
        <v>2052</v>
      </c>
      <c r="H72" s="23" t="s">
        <v>1949</v>
      </c>
      <c r="I72" s="23" t="s">
        <v>1947</v>
      </c>
      <c r="J72" s="23" t="s">
        <v>1948</v>
      </c>
      <c r="K72" s="23" t="s">
        <v>2001</v>
      </c>
      <c r="L72" s="23" t="s">
        <v>1993</v>
      </c>
      <c r="M72" s="23" t="s">
        <v>1994</v>
      </c>
      <c r="N72" s="23" t="s">
        <v>1995</v>
      </c>
      <c r="O72" s="23" t="s">
        <v>1</v>
      </c>
      <c r="P72" s="23" t="s">
        <v>2</v>
      </c>
      <c r="Q72" s="23" t="s">
        <v>3</v>
      </c>
      <c r="R72" s="24" t="s">
        <v>976</v>
      </c>
      <c r="S72" s="24" t="s">
        <v>1193</v>
      </c>
      <c r="T72" s="24" t="s">
        <v>982</v>
      </c>
      <c r="U72" s="24" t="s">
        <v>975</v>
      </c>
      <c r="V72" s="24" t="s">
        <v>956</v>
      </c>
      <c r="W72" s="24" t="s">
        <v>1194</v>
      </c>
      <c r="X72" s="23" t="s">
        <v>2050</v>
      </c>
      <c r="Y72" s="10" t="s">
        <v>4</v>
      </c>
      <c r="Z72" s="23" t="s">
        <v>5</v>
      </c>
      <c r="AA72" s="10" t="s">
        <v>1638</v>
      </c>
      <c r="AB72" s="23" t="s">
        <v>1939</v>
      </c>
      <c r="AC72" s="23" t="s">
        <v>1942</v>
      </c>
      <c r="AD72" s="23" t="s">
        <v>1940</v>
      </c>
      <c r="AE72" s="23" t="s">
        <v>1941</v>
      </c>
      <c r="AF72" s="104" t="s">
        <v>1761</v>
      </c>
      <c r="AG72" s="104" t="s">
        <v>1762</v>
      </c>
      <c r="AH72" s="103"/>
      <c r="AM72" t="str">
        <v>MIT Center for Transportation &amp; Logistics</v>
      </c>
      <c r="AO72" t="str">
        <f>VLOOKUP(AM72,CBIMPORT!$A$1:$B$171,2,FALSE)</f>
        <v>Artificial Intelligence (AI)</v>
      </c>
      <c r="BA72" s="55"/>
      <c r="BL72" s="55"/>
      <c r="CH72" s="55"/>
      <c r="CI72" s="55"/>
      <c r="CJ72" s="55"/>
      <c r="CK72" s="55"/>
      <c r="CL72" s="55"/>
      <c r="CM72" s="55"/>
      <c r="CN72" s="55"/>
      <c r="CO72" s="55"/>
      <c r="CP72" s="55"/>
      <c r="CQ72" s="55"/>
      <c r="CR72" s="55"/>
      <c r="CS72" s="55"/>
      <c r="CT72" s="55"/>
    </row>
    <row r="73" spans="1:98" x14ac:dyDescent="0.35">
      <c r="A73" s="60" t="str" cm="1">
        <f t="array" ref="A73:AG153">_xlfn._xlws.FILTER(ANNOUNCEMENTS!A2:AG180,(ANNOUNCEMENTS!J2:J180=B2)+(ANNOUNCEMENTS!J2:J180=B3))</f>
        <v>https://ir.aurora.tech/news-events/press-releases/detail/68/continental-and-aurora-partner-to-realize-commercially</v>
      </c>
      <c r="B73" s="60" t="str">
        <v>2023, 4, 27</v>
      </c>
      <c r="C73" s="105">
        <v>45043</v>
      </c>
      <c r="D73" s="60" t="str">
        <v>Continental and Aurora Partner to Realize Commercially Scalable Autonomous Trucking Systems</v>
      </c>
      <c r="E73" s="60" t="str">
        <v>Aurora</v>
      </c>
      <c r="F73" s="60" t="str">
        <v>L1</v>
      </c>
      <c r="G73" s="60" t="str">
        <v>Aurora-ATV</v>
      </c>
      <c r="H73" s="60" t="str">
        <v>ATV</v>
      </c>
      <c r="I73" s="60" t="str">
        <v>Trucking</v>
      </c>
      <c r="J73" s="60" t="str">
        <v>Trucking</v>
      </c>
      <c r="K73" s="60" t="str">
        <v>Continental</v>
      </c>
      <c r="L73" s="60" t="str">
        <v>Continental</v>
      </c>
      <c r="M73" s="60">
        <v>0</v>
      </c>
      <c r="N73" s="60">
        <v>0</v>
      </c>
      <c r="O73" s="60" t="str">
        <v>The technology companies Continental and Aurora Innovation,  have entered into an exclusive partnership to deliver the first commercially scalable generation of Aurora's flagship integrated hardware and software system, the Aurora Driver. 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 The first start of production is expected in 2027, following the expected launch of Aurora Horizon, Aurora's subscription trucking service underpinned by the Aurora Driver, in 2024.
"At Continental, we are proud to demonstrate our leading technology expertise by being responsible for the development, manufacturing and implementation of the autonomous driving system kits and the fallback path for Aurora's autonomy system," said Nikolai Setzer, CEO of Continental. "In this exclusive partnership, we bundle our systems competence with Aurora's industry-leading autonomous technology for our common goal to jointly realize the first commercially scalable autonomous trucking systems. A crucial step towards autonomous mobility."
"Delivering autonomous vehicles at scale has the potential to dramatically transform modern transportation, bringing new accessibility, safety and efficiency to the movement of goods and people," said Chris Urmson, co-founder and CEO at Aurora. "Continental's legacy in development and industrialization of automated driving systems, combined with its commitment to transform transportation make it an ideal partner for Aurora. Their depth of expertise will be pivotal to scaling Aurora's autonomous trucking service, Aurora Horizon."
Increased safety, reduced fuel consumption and quicker delivery times
Given the continued strain on the global Supply Partnership, autonomous trucking solutions have the potential to help meet today's growing demand and ease the strain currently experienced worldwide. Autonomously powered trucks have the ability to operate around the clock opening up the possibility for cargo between Dallas and Los Angeles (comparable to Berlin to Madrid) to be delivered within less than 24 hours. As a result, fuel consumption can potentially be reduced by around ten percent, while the delivery time can be shortened up to three times compared to that of a human driver. With more than 1.35 million annual global deaths on roadways according to the World Health Organization, autonomous vehicles represent an opportunity to transform travel safety for millions of individuals and the transportation of millions of goods. Through this joint work, Continental and Aurora are committed to improving safety, delivering scalable and predictable driving capacities via the Aurora Driver, as well as enhancing efficiency with higher utilization.
Autonomous trucking system "the implementation
In this first-of-its-kind partnership, Continental will be responsible for the autonomous driving system kits which will leverage a wide spectrum of Continental's extensive automotive product portfolio from sensors, automated driving control units (ADCU), high performance computers (HPC), telematics units, and more, to the complete fallback system which covers the full chain of effects. Continental will integrate these hardware components into pods which will be supplied to Aurora's vehicle manufacturing partners. This will advance the product offering for autonomous trucking customers.
Frank Petznick, head of the Autonomous Mobility Business Area, which will implement Continental's contributions to the partnership with Aurora: "Continental and Aurora will bring the commercial freight market, limited by Supply Partnership constraints in many markets of the world, to a new service level. The first commercially scalable autonomous trucking system provides exciting opportunities for passenger transportation in the coming years and paves the way for broad adoption of autonomous mobility."
Industry's first hardware-as-a-service business model
Continental and Aurora have agreed upon a hardware-as-a-service business relationship, based on mileage driven, to deliver safe, reliable, uptime-optimized and commercially scalable autonomous driving systems to customers through the Aurora Horizon platform. Aurora Horizon was developed to offer a safer, more reliable, predictable, and cost-efficient driver service to supplement human driver supply. Using this service, carriers and fleet operators will be able to better utilize the potential of their vehicle fleets, scale business on demand and help address today's driver shortage.
Continental and Aurora plan to provide this scalable solution to Aurora's vehicle manufacturing partners. Continental parts are expected to be produced and assembled in its newly built manufacturing facility in New Braunfels, Texas, as well as others across the company's global footprint.</v>
      </c>
      <c r="P73" s="60" t="str">
        <v>The technology companies Continental and Aurora Innovation,  have entered into an exclusive partnership to deliver the first commercially scalable generation of Aurora's flagship integrated hardware and software system, the Aurora Driver. 
Continental and Aurora have signed an exclusive partnership to realize autonomous trucking systems.</v>
      </c>
      <c r="Q73" s="60" t="str">
        <v>Strategic Alliance</v>
      </c>
      <c r="R73" s="60" t="str">
        <v xml:space="preserve">Yes </v>
      </c>
      <c r="S73" s="60" t="str">
        <v>Product cooperation</v>
      </c>
      <c r="T73" s="60" t="str">
        <v>Long term - Min 2027 (&gt;4 years)</v>
      </c>
      <c r="U73" s="60" t="str">
        <v>-</v>
      </c>
      <c r="V73" s="60" t="str">
        <v>Yes</v>
      </c>
      <c r="W73" s="60" t="str">
        <v>2.3. Long term Alliance</v>
      </c>
      <c r="X73" s="60">
        <v>0</v>
      </c>
      <c r="Y73" s="60" t="str">
        <v>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v>
      </c>
      <c r="Z73" s="60" t="str">
        <v>Joint D&amp;D</v>
      </c>
      <c r="AA73" s="60" t="str">
        <v>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v>
      </c>
      <c r="AB73" s="60" t="str">
        <v>Joint Production</v>
      </c>
      <c r="AC73" s="60" t="str">
        <v>Additionally, Continental will manage the complete lifecycle of its supplied autonomous hardware kits for the Aurora Driver, from the manufacturing line to decommissioning.</v>
      </c>
      <c r="AD73" s="60">
        <v>0</v>
      </c>
      <c r="AE73" s="60">
        <v>0</v>
      </c>
      <c r="AF73" s="60" t="str">
        <v xml:space="preserve">Continental and Aurora Partner to Realize </v>
      </c>
      <c r="AG73" s="60" t="str">
        <v>Commercially Scalable Autonomous Trucking Systems</v>
      </c>
      <c r="AM73" t="str">
        <v>Uber Freight</v>
      </c>
      <c r="AO73" t="str">
        <f>VLOOKUP(AM73,CBIMPORT!$A$1:$B$171,2,FALSE)</f>
        <v>Mobility Services Booking</v>
      </c>
      <c r="BA73" s="55"/>
      <c r="BL73" s="55"/>
      <c r="CH73" s="55"/>
      <c r="CI73" s="55"/>
      <c r="CJ73" s="55"/>
      <c r="CK73" s="55"/>
      <c r="CL73" s="55"/>
      <c r="CM73" s="55"/>
      <c r="CN73" s="55"/>
      <c r="CO73" s="55"/>
      <c r="CP73" s="55"/>
      <c r="CQ73" s="55"/>
      <c r="CR73" s="55"/>
      <c r="CS73" s="55"/>
      <c r="CT73" s="55"/>
    </row>
    <row r="74" spans="1:98" x14ac:dyDescent="0.35">
      <c r="A74" s="60" t="str">
        <v>https://ir.aurora.tech/news-events/press-releases/detail/69/aurora-expands-commercial-operations-through-partnership</v>
      </c>
      <c r="B74" s="60" t="str">
        <v>2023, 5, 2</v>
      </c>
      <c r="C74" s="105">
        <v>45048</v>
      </c>
      <c r="D74" s="60" t="str">
        <v>Aurora Expands Commercial Operations Through Partnership with Hirschbach, Refrigerated Trucking Leader</v>
      </c>
      <c r="E74" s="60" t="str">
        <v>Aurora</v>
      </c>
      <c r="F74" s="60" t="str">
        <v>L1</v>
      </c>
      <c r="G74" s="60" t="str">
        <v>Aurora-ATV</v>
      </c>
      <c r="H74" s="60" t="str">
        <v>ATV</v>
      </c>
      <c r="I74" s="60" t="str">
        <v>Trucking</v>
      </c>
      <c r="J74" s="60" t="str">
        <v>Trucking</v>
      </c>
      <c r="K74" s="60" t="str">
        <v>Hirschbach</v>
      </c>
      <c r="L74" s="60" t="str">
        <v>Hirschbach</v>
      </c>
      <c r="M74" s="60">
        <v>0</v>
      </c>
      <c r="N74" s="60">
        <v>0</v>
      </c>
      <c r="O74" s="60" t="str">
        <v>Today, Aurora Innovation, and Hirschbach Motor Lines, , a leader in refrigerated trucking, announced they began a commercial pilot this week to test and safely deploy autonomous trucking for refrigerated cargo between Dallas and Houston. Aurora's ability to support critical, time-sensitive refrigerated goods expands the network of carriers and shippers who can benefit from the advantages of its autonomous trucking service, Aurora Horizon.
"Since joining Aurora's Industry Advisory Council, I have had a front row seat to the positive impact of autonomous technology," said Richard Stocking, co-CEO of Hirschbach. "Autonomous trucks will provide safe and reliable capacity to supplement our existing network of incredible company drivers. We will identify opportunities that will expand autonomous capabilities across Hirschbach's network that will hopefully supplement our drivers from monotonous stretches of highway and allow them to spend more time with their families."
"This new pilot, on the Peterbilt 579 upfit with the Aurora Driver, demonstrates the increasing maturity of our operations as we expand our product support to a wider number of carriers and shippers," said David Maday, Senior Vice President, Business Development &amp; Product Strategy at Aurora. "We are extremely excited that Hirschbach has the confidence in Aurora's technology and our ability to deliver perishable goods safely and on time."
Autonomously delivering perishable goods and preventing spoilage requires mature operations and sophisticated technology. Aurora's new, next-generation trucking terminal in Dallas is designed to support these advanced commercial driverless operations to maximize efficiency for a variety of customers, including refrigerated trailers. Aurora Driver-equipped tractors with Hirschbach refrigerated trailers started to make the 400-mile round-trip along the I-45 corridor between Aurora's Houston and South Dallas terminals this week.
Refrigerated autonomous trucks capable of operating at nearly all hours of the day have the potential to move goods in record time, increase the shelf life of fresh produce, drive down the costs of goods for consumers and ultimately lead to fresher food and less waste. The U.S. Department of Agriculture estimates 30-40 percent of nationwide food supply results in the spoilage of perishable goods, which occurs, among other ways, at various stages of the production and Supply Partnership.
Aurora recently announced the Aurora Driver is Feature Complete and has entered its final phase of refinement and validation ahead of commercial launch in 2024. By the end of the year, Aurora expects to close the Aurora Driver Safety Case for driverless operations on its launch lane between Dallas and Houston. In parallel, the company will continue to mature its operations as pilot load volume is expected to increase to 100 loads per week by the end of 2023.</v>
      </c>
      <c r="P74" s="60" t="str">
        <v xml:space="preserve"> a leader in refrigerated trucking, announced they began a commercial pilot this week to test and safely deploy autonomous trucking for refrigerated cargo between Dallas and Houston.
Aurora Driver-equipped tractors with Hirschbach refrigerated trailers started to make the 400-mile round-trip along the I-45 corridor between Aurora's Houston and South Dallas terminals this week</v>
      </c>
      <c r="Q74" s="60" t="str">
        <v>Strategic Alliance</v>
      </c>
      <c r="R74" s="60" t="str">
        <v>n.a.</v>
      </c>
      <c r="S74" s="60" t="str">
        <v>One time - Pilot</v>
      </c>
      <c r="T74" s="60" t="str">
        <v>-</v>
      </c>
      <c r="U74" s="60" t="str">
        <v>-</v>
      </c>
      <c r="V74" s="60" t="str">
        <v>-</v>
      </c>
      <c r="W74" s="60" t="str">
        <v>2.1. Short term Alliance (no exclusivity / previous experience)</v>
      </c>
      <c r="X74" s="60">
        <v>0</v>
      </c>
      <c r="Y74" s="60" t="str">
        <v>a leader in refrigerated trucking, announced they began a commercial pilot this week to test and safely deploy autonomous trucking for refrigerated cargo between Dallas and Houston.</v>
      </c>
      <c r="Z74" s="60" t="str">
        <v>Supply Partnership (extended)</v>
      </c>
      <c r="AA74" s="60" t="str">
        <v>Aurora recently announced the Aurora Driver is Feature Complete and has entered its final phase of refinement and validation ahead of commercial launch in 2024.</v>
      </c>
      <c r="AB74" s="60">
        <v>0</v>
      </c>
      <c r="AC74" s="60">
        <v>0</v>
      </c>
      <c r="AD74" s="60">
        <v>0</v>
      </c>
      <c r="AE74" s="60">
        <v>0</v>
      </c>
      <c r="AF74" s="60" t="str">
        <v xml:space="preserve">Aurora Expands </v>
      </c>
      <c r="AG74" s="60" t="str">
        <v xml:space="preserve">Commercial Operations </v>
      </c>
      <c r="AM74" t="str">
        <v>Asda</v>
      </c>
      <c r="AO74" t="str">
        <f>VLOOKUP(AM74,CBIMPORT!$A$1:$B$171,2,FALSE)</f>
        <v>Retail</v>
      </c>
      <c r="BA74" s="55"/>
      <c r="BL74" s="55"/>
      <c r="CH74" s="55"/>
      <c r="CI74" s="55"/>
      <c r="CJ74" s="55"/>
      <c r="CK74" s="55"/>
      <c r="CL74" s="55"/>
      <c r="CM74" s="55"/>
      <c r="CN74" s="55"/>
      <c r="CO74" s="55"/>
      <c r="CP74" s="55"/>
      <c r="CQ74" s="55"/>
      <c r="CR74" s="55"/>
      <c r="CS74" s="55"/>
      <c r="CT74" s="55"/>
    </row>
    <row r="75" spans="1:98" x14ac:dyDescent="0.35">
      <c r="A75" s="60" t="str">
        <v>https://ir.aurora.tech/news-events/press-releases/detail/42/covenant-and-aurora-announce-collaboration-to-transform</v>
      </c>
      <c r="B75" s="60" t="str">
        <v>2022, 5, 11</v>
      </c>
      <c r="C75" s="105">
        <v>44692</v>
      </c>
      <c r="D75" s="60" t="str">
        <v>Covenant and Aurora Announce Collaboration to Transform Long-Haul Trucking</v>
      </c>
      <c r="E75" s="60" t="str">
        <v>Aurora</v>
      </c>
      <c r="F75" s="60" t="str">
        <v>L1</v>
      </c>
      <c r="G75" s="60" t="str">
        <v>Aurora-ATV</v>
      </c>
      <c r="H75" s="60" t="str">
        <v>ATV</v>
      </c>
      <c r="I75" s="60" t="str">
        <v>Trucking</v>
      </c>
      <c r="J75" s="60" t="str">
        <v>Trucking</v>
      </c>
      <c r="K75" s="60" t="str">
        <v>Covenant</v>
      </c>
      <c r="L75" s="60" t="str">
        <v>Covenant</v>
      </c>
      <c r="M75" s="60">
        <v>0</v>
      </c>
      <c r="N75" s="60">
        <v>0</v>
      </c>
      <c r="O75" s="60" t="str">
        <v>Today, Aurora Innovation and Covenant Logistics Group, announced a collaboration to explore ways to optimize Covenant's long-haul operations with Aurora's autonomous trucking product.
The two companies will explore the integration and deployment of Aurora Horizon within Covenant's operations. Part of Covenant's diversified services is long-haul trucking, making the benefits of autonomous technology in its network especially attractive. A hybrid model that blends trucks driven by humans with trucks driven autonomously would allow Covenant to realize the best of both and potentially expand its business with a combination of rapid, high-efficiency autonomous transport on long-haul routes and flexible human navigation at the endpoints.
The collaboration will initially focus on driving value, efficiency, and education by:
Identifying the lanes where the Aurora Driver can make the biggest impact while improving driver quality of life.
Optimizing fuel efficiency and maximizing the up-time of Covenant's fleet with Aurora Horizon, built for 24/7/365 operation.
Collaborating on how to effectively educate the transportation and logistics industry on the benefits of autonomous technology, especially on long-haul lanes.
"Covenant is excited to be collaborating with Aurora on autonomous technology to find ways to further improve efficiency within the supply chain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
"Covenant has built an extraordinary business in expedited shipping that will benefit from a product that safely, reliably, and tirelessly hauls goods at all hours of the day," said Sterling Anderson, Aurora's Co-Founder and Chief Product Officer. "We're designing Aurora Horizon to excel in applications like these and we're happy to partner with a leading expedited carrier in Covenant to fine-tune and integrate it with their business."</v>
      </c>
      <c r="P75" s="60" t="str">
        <v>The two companies will explore the integration and deployment of Aurora Horizon within Covenant's operations. 
"Covenant is excited to be collaborating with Aurora on autonomous technology to find ways to further improve efficiency within the Supply Partnership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v>
      </c>
      <c r="Q75" s="60" t="str">
        <v>Strategic Alliance</v>
      </c>
      <c r="R75" s="60" t="str">
        <v>n.a.</v>
      </c>
      <c r="S75" s="60" t="str">
        <v>One time - customer research</v>
      </c>
      <c r="T75" s="60" t="str">
        <v>-</v>
      </c>
      <c r="U75" s="60" t="str">
        <v>-</v>
      </c>
      <c r="V75" s="60" t="str">
        <v>-</v>
      </c>
      <c r="W75" s="60" t="str">
        <v>2.1. Short term Alliance (no exclusivity / previous experience)</v>
      </c>
      <c r="X75" s="60">
        <v>0</v>
      </c>
      <c r="Y75" s="60" t="str">
        <v>The two companies will explore the integration and deployment of Aurora Horizon within Covenant's operations.</v>
      </c>
      <c r="Z75" s="60" t="str">
        <v>Supply Partnership (extended)</v>
      </c>
      <c r="AA75" s="60" t="str">
        <v>The two companies will explore the integration and deployment of Aurora Horizon within Covenant's operations.</v>
      </c>
      <c r="AB75" s="60">
        <v>0</v>
      </c>
      <c r="AC75" s="60">
        <v>0</v>
      </c>
      <c r="AD75" s="60">
        <v>0</v>
      </c>
      <c r="AE75" s="60">
        <v>0</v>
      </c>
      <c r="AF75" s="60" t="str">
        <v xml:space="preserve">Covenant and Aurora Announce Collaboration to Transform </v>
      </c>
      <c r="AG75" s="60" t="str">
        <v>Long-Haul Trucking</v>
      </c>
      <c r="AM75" t="str">
        <v>Ocado Group</v>
      </c>
      <c r="AO75" t="str">
        <f>VLOOKUP(AM75,CBIMPORT!$A$1:$B$171,2,FALSE)</f>
        <v>Retail</v>
      </c>
      <c r="BA75" s="55"/>
      <c r="BL75" s="55"/>
      <c r="CH75" s="55"/>
      <c r="CI75" s="55"/>
      <c r="CJ75" s="55"/>
      <c r="CK75" s="55"/>
      <c r="CL75" s="55"/>
      <c r="CM75" s="55"/>
      <c r="CN75" s="55"/>
      <c r="CO75" s="55"/>
      <c r="CP75" s="55"/>
      <c r="CQ75" s="55"/>
      <c r="CR75" s="55"/>
      <c r="CS75" s="55"/>
      <c r="CT75" s="55"/>
    </row>
    <row r="76" spans="1:98" x14ac:dyDescent="0.35">
      <c r="A76" s="60" t="str">
        <v>https://ir.aurora.tech/news-events/press-releases/detail/31/u-s-xpress-and-aurora-announce-collaboration-for-the</v>
      </c>
      <c r="B76" s="60" t="str">
        <v>2022, 2, 14</v>
      </c>
      <c r="C76" s="105">
        <v>44606</v>
      </c>
      <c r="D76" s="60" t="str">
        <v>U.S. Xpress and Aurora Announce Collaboration for the Intelligent Deployment of Autonomous Trucks</v>
      </c>
      <c r="E76" s="60" t="str">
        <v>Aurora</v>
      </c>
      <c r="F76" s="60" t="str">
        <v>L1</v>
      </c>
      <c r="G76" s="60" t="str">
        <v>Aurora-ATV</v>
      </c>
      <c r="H76" s="60" t="str">
        <v>ATV</v>
      </c>
      <c r="I76" s="60" t="str">
        <v>Trucking</v>
      </c>
      <c r="J76" s="60" t="str">
        <v>Trucking</v>
      </c>
      <c r="K76" s="60" t="str">
        <v>U.S. Xpress</v>
      </c>
      <c r="L76" s="60" t="str">
        <v>U.S. Xpress</v>
      </c>
      <c r="M76" s="60">
        <v>0</v>
      </c>
      <c r="N76" s="60">
        <v>0</v>
      </c>
      <c r="O76" s="60" t="str">
        <v>Aurora plans to leverage the intelligence of Variant, U.S. Xpress's digitally enabled fleet, to identify where autonomous technology can have the greatest impact. The companies plan to identify optimal deployment strategies of Aurora Driver-powered trucks so they're strategically positioned to address unmet demand and improve operational efficiency and productivity. Aurora and U.S. Xpress also will explore application programming interface (API) integrations into Variant's platform to enhance dispatching and dynamic routing upon the launch of Aurora Horizon.
Through this collaboration, the companies plan to build a future where goods are transported by both human drivers and autonomous trucks. Aurora and U.S. Xpress have committed to exploring how autonomous technology can create a positive impact on the labor market by investing in programs that provide opportunities for new jobs.
"The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
"Aurora carefully designs its industry collaborations to enhance the value and maximize the impact our product can deliver for our partners' businesses," said Sterling Anderson, Aurora's Co-Founder and Chief Product Officer. "U.S. Xpress not only shares our commitment to safety, efficiency, and realizing the benefits of technology for good, but has leaned into it in a big way. We're excited to partner with them to deliver the benefits of this transformative technology for their business, their people, and the people they serve."</v>
      </c>
      <c r="P76" s="60" t="str">
        <v>Today, Aurora Innovation,   and U.S. Xpress Enterprises  (NYSE: USX), one of the largest asset-based truckload carriers in the U.S., announced a collaboration to explore the deployment of the Aurora Driver within U.S. Xpress operations. This strategic collaboration is designed to fine-tune Aurora's autonomous Driver-as-a-Service product, Aurora Horizon, for efficient deployment at commercial scale.
The companies plan to identify optimal deployment strategies of Aurora Driver-powered trucks so they're strategically positioned to address unmet demand and improve operational efficiency and productivity.</v>
      </c>
      <c r="Q76" s="60" t="str">
        <v>Strategic Alliance</v>
      </c>
      <c r="R76" s="60" t="str">
        <v>n.a.</v>
      </c>
      <c r="S76" s="60" t="str">
        <v>One time - customer research</v>
      </c>
      <c r="T76" s="60" t="str">
        <v>-</v>
      </c>
      <c r="U76" s="60" t="str">
        <v>-</v>
      </c>
      <c r="V76" s="60" t="str">
        <v>-</v>
      </c>
      <c r="W76" s="60" t="str">
        <v>2.1. Short term Alliance (no exclusivity / previous experience)</v>
      </c>
      <c r="X76" s="60">
        <v>0</v>
      </c>
      <c r="Y76" s="60" t="str">
        <v>"The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v>
      </c>
      <c r="Z76" s="60" t="str">
        <v>Supply Partnership (extended)</v>
      </c>
      <c r="AA76" s="60" t="str">
        <v>This strategic collaboration is designed to fine-tune Aurora's autonomous Driver-as-a-Service product, Aurora Horizon, for efficient deployment at commercial scale.</v>
      </c>
      <c r="AB76" s="60">
        <v>0</v>
      </c>
      <c r="AC76" s="60">
        <v>0</v>
      </c>
      <c r="AD76" s="60">
        <v>0</v>
      </c>
      <c r="AE76" s="60">
        <v>0</v>
      </c>
      <c r="AF76" s="60" t="str">
        <v xml:space="preserve">U.S. Xpress and Aurora Announce Collaboration for the Intelligent Deployment </v>
      </c>
      <c r="AG76" s="60" t="str">
        <v>of Autonomous Trucks</v>
      </c>
      <c r="AM76" t="str">
        <v>Bolt</v>
      </c>
      <c r="AO76" t="str">
        <f>VLOOKUP(AM76,CBIMPORT!$A$1:$B$171,2,FALSE)</f>
        <v>Mobility Services Booking</v>
      </c>
      <c r="BA76" s="55"/>
      <c r="BL76" s="55"/>
      <c r="CH76" s="55"/>
      <c r="CI76" s="55"/>
      <c r="CJ76" s="55"/>
      <c r="CK76" s="55"/>
      <c r="CL76" s="55"/>
      <c r="CM76" s="55"/>
      <c r="CN76" s="55"/>
      <c r="CO76" s="55"/>
      <c r="CP76" s="55"/>
      <c r="CQ76" s="55"/>
      <c r="CR76" s="55"/>
      <c r="CS76" s="55"/>
      <c r="CT76" s="55"/>
    </row>
    <row r="77" spans="1:98" x14ac:dyDescent="0.35">
      <c r="A77" s="60" t="str">
        <v>https://bolt.eu/en/blog/bolt-starship-technologies-partnership/</v>
      </c>
      <c r="B77" s="60" t="str">
        <v>2023, 6, 21</v>
      </c>
      <c r="C77" s="105">
        <v>45098</v>
      </c>
      <c r="D77" s="60" t="str">
        <v>Bolt teams up with Starship Technologies for autonomous deliveries</v>
      </c>
      <c r="E77" s="60" t="str">
        <v>Bolt</v>
      </c>
      <c r="F77" s="60" t="str">
        <v>L4</v>
      </c>
      <c r="G77" s="60" t="str">
        <v>Bolt-ATV</v>
      </c>
      <c r="H77" s="60" t="str">
        <v>ATV</v>
      </c>
      <c r="I77" s="60" t="str">
        <v>Last-Mile</v>
      </c>
      <c r="J77" s="60" t="str">
        <v>Last-Mile</v>
      </c>
      <c r="K77" s="60" t="str">
        <v>Starship Technologies</v>
      </c>
      <c r="L77" s="60" t="str">
        <v>Starship Technologies</v>
      </c>
      <c r="M77" s="60">
        <v>0</v>
      </c>
      <c r="N77" s="60">
        <v>0</v>
      </c>
      <c r="O77" s="60" t="str">
        <v>At Bolt, we constantly strive to improve our services and positively impact our cities. With this objective at the core of our operations, we needed a partner who shared our values and could work with us to achieve our goals. We're excited to announce our partnership with Starship Technologies, the world leader in autonomous delivery vehicles.Together, we'll transform the way food and grocery deliveries are made, bringing customers a new level of convenience and sustainability right to their door.
The Bolt and Starship Technologies journey so far
Like Bolt, Starship Technologies is an Estonian-born company that's rapidly expanded its global presence. And today's announcement coincides with another significant milestone for the company. Starship Technologies has become the first autonomous delivery company to complete 5 million commercial deliveries worldwide. This was achieved in just 7 months since celebrating 4 million deliveries in November 2022. At Bolt, we have over 100 million users in 45 countries and 500 cities globally, offering services like ride-hailing, micromobility, and food and grocery delivery. By partnering with Starship Technologies, we can now provide a broader range of delivery options that accommodate different order sizes, preferences, and distances.
Partnership objectives and aspirations
The partnership between Bolt and Starship Technologies is driven by shared objectives and a vision to transform cities and delivery services. Both companies have expressed their excitement and optimism about the collaboration. "Both Bolt and Starship have created innovative products which have revolutionised the way people move around and buy and receive goods in cities." Jevgeni Kabanov, Bolt's President According to Jevgeni, the partnership will provide millions of Bolt Food customers with a sustainable delivery option, fulfilled by Starship's successful and intelligent service. Jevgeni's hopeful about expanding the collaboration, too ” making deliveries more affordable and accessible to a larger customer base. Alastair Westgarth, CEO of Starship Technologies, echoes this sentiment, emphasising the shared goal of making local transport more sustainable.
"Bolt and Starship share very similar goals of promoting sustainability in local transport. In our case, we offer a convenient and on-demand autonomous delivery service, perfectly aligning with the mission of making cities more eco-friendly.
Alastair Westgarth, CEO of Starship Technologies. Adding to the discussion, Ahti Heinla, Co-founder and CTO of Starship Technologies, brings up exciting possibilities that lie ahead."We think the synergy with Bolt's overall portfolio of services will not only help Starship expand to new markets but also provide some fun, fully electric, future-proofed delivery options to the markets Bolt serves." Ahti Heinla, Co-founder and CTO of Starship Technologies
Shaping the future of delivery today
With shared goals and aspirations, Bolt and Starship Technologies are committed to improving the delivery landscape and bringing positive change to customers and cities. Starship delivery robots will begin delivering with Bolt Food in Tallinn as a pilot programme, working in tandem with courier partners. You'll hear more exciting updates about this partnership as we work together to change how people receive meals and groceries.</v>
      </c>
      <c r="P77" s="60" t="str">
        <v xml:space="preserve"> We're excited to announce our partnership with Starship Technologies, the world leader in autonomous delivery vehicles
 Jevgeni's hopeful about expanding the collaboration, too ” making deliveries more affordable and accessible to a larger customer base. Alastair Westgarth, CEO of Starship Technologies, echoes this sentiment, emphasising the shared goal of making local transport more sustainable.</v>
      </c>
      <c r="Q77" s="60" t="str">
        <v>Strategic Alliance</v>
      </c>
      <c r="R77" s="60" t="str">
        <v>n.a.</v>
      </c>
      <c r="S77" s="60" t="str">
        <v>Service Integration</v>
      </c>
      <c r="T77" s="60" t="str">
        <v>-</v>
      </c>
      <c r="U77" s="60" t="str">
        <v>-</v>
      </c>
      <c r="V77" s="60" t="str">
        <v>-</v>
      </c>
      <c r="W77" s="60" t="str">
        <v>2.1. Short term Alliance (no exclusivity / previous experience)</v>
      </c>
      <c r="X77" s="60">
        <v>0</v>
      </c>
      <c r="Y77" s="60" t="str">
        <v>Together, we'll transform the way food and grocery deliveries are made, bringing customers a new level of convenience and sustainability right to their door.</v>
      </c>
      <c r="Z77" s="60" t="str">
        <v>Joint Service Agreement</v>
      </c>
      <c r="AA77" s="60" t="str">
        <v>Together, we'll transform the way food and grocery deliveries are made, bringing customers a new level of convenience and sustainability right to their door.</v>
      </c>
      <c r="AB77" s="60">
        <v>0</v>
      </c>
      <c r="AC77" s="60">
        <v>0</v>
      </c>
      <c r="AD77" s="60">
        <v>0</v>
      </c>
      <c r="AE77" s="60">
        <v>0</v>
      </c>
      <c r="AF77" s="60" t="str">
        <v xml:space="preserve">Bolt teams up with Starship Technologies </v>
      </c>
      <c r="AG77" s="60" t="str">
        <v>for autonomous deliveries</v>
      </c>
      <c r="AM77" t="str">
        <v>Nuro</v>
      </c>
      <c r="AO77" t="str">
        <f>VLOOKUP(AM77,CBIMPORT!$A$1:$B$171,2,FALSE)</f>
        <v>Autonomous Vehicles</v>
      </c>
    </row>
    <row r="78" spans="1:98" x14ac:dyDescent="0.35">
      <c r="A78" s="60" t="str">
        <v>https://techcrunch.com/2022/01/20/mitsubishi-partners-with-cartken-to-break-into-the-robotic-delivery-world/</v>
      </c>
      <c r="B78" s="60" t="str">
        <v>2022, 1, 20</v>
      </c>
      <c r="C78" s="105">
        <v>44581</v>
      </c>
      <c r="D78" s="60" t="str">
        <v>Mitsubishi partners with Cartken to break into the robotic delivery world</v>
      </c>
      <c r="E78" s="60" t="str">
        <v>Cartken</v>
      </c>
      <c r="F78" s="60" t="str">
        <v>L2</v>
      </c>
      <c r="G78" s="60" t="str">
        <v>Cartken-ATV</v>
      </c>
      <c r="H78" s="60" t="str">
        <v>ATV</v>
      </c>
      <c r="I78" s="60" t="str">
        <v>Last-Mile</v>
      </c>
      <c r="J78" s="60" t="str">
        <v>Last-Mile</v>
      </c>
      <c r="K78" s="60" t="str">
        <v>Mitsubishi</v>
      </c>
      <c r="L78" s="60" t="str">
        <v>Mitsubishi</v>
      </c>
      <c r="M78" s="60">
        <v>0</v>
      </c>
      <c r="N78" s="60">
        <v>0</v>
      </c>
      <c r="O78" s="60" t="str">
        <v>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
Customers will be able to use their Starbucks app to select robotic delivery for their order, and a Cartken robot will meet the customer at one of the delivery points inside or outside the mall, according to Mitsubishi. The pilot, which will take place at Aeon Mall Tokoname starting this month, will run through April 2022 with plans to scale to a porter service that resembles curbside pickup for other shoppers, according to Anjali Jindal Naik, COO and co-founder of Cartken.
The pilot with Cartken, Mitsubishi's first time trying out delivery robots, will help the company explore other use cases for the tech while tapping into the nascent Japanese autonomous delivery market.
"Mitsubishi Electric would like to create the new robot delivery market in Japan by using Cartken robots," Naoki Fujita, who manages Mitsubishi Electric's Mobility Innovation Department, told TechCrunch. "This is a totally new attempt for us, and in this process, we can utilize our knowledge, technology and even relationships with customers from Mitsubishi's various business units to see the development of this program succeed and expand into new markets where the technology can be used."
While the first phase of the partnership sees Mitsubishi as a distributor for Cartken's tech, down the line, the two companies intend to work together to develop additional technology that will support Mitsubishi's future partnerships. For example, they're currently looking into the development of facility technology that can help Cartken's robots interact with elevators, said Fujita.
Cartken, which partnered with REEF Technology last year to bring its self-driving robots to deliver food in downtown Miami, will not only gain from Mitsubishi's expertise in electrical equipment, but it will also help the startup establish a presence in Japan.
Starting a pilot at Aeon Mall will help with that. Aeon is one of the largest retailers in Asia, with a retail network that spans not just hundreds of malls, but also convenience stores and supermarkets.
"The selection of Aeon Mall is because it is the perfect ecosystem to test the robots' success in a setting that is high-volume," Naik told TechCrunch. "Also, Aeon Mall allows for a range of use-cases to be investigated, with the goal of quickly adding more robots to allow more visitors to experience delivery service, and then scaling up by 2022."
Cartken's Model C robots were chosen by Mitsubishi because of their high rating in safety and dependability in both indoor and outdoor settings, said Fujita. The startup says its robots can navigate autonomously inside and outside the mall, but they are all equipped with remote monitoring systems that allow for human override if necessary.
"So far we've only encountered a few situations that need emergency remote assistance," said Naik. "New construction that requires an alternate robot route is an example of where a remote operator gets involved. Similarly, remote assistance is also used in the setup phase, allowing us to deploy in just a few days while the robots learn a map of the service area."
Recently, competitor Serve Robotics, a spinout of Uber, announced its robots' ability to handle similar levels of autonomy. The company said in certain operational design domains, AKA geofenced areas, its robots can reach full autonomy. As with Cartken, its robots also have remote operators on standby in the case of emergency.</v>
      </c>
      <c r="P78" s="60" t="str">
        <v>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v>
      </c>
      <c r="Q78" s="60" t="str">
        <v>Strategic Alliance</v>
      </c>
      <c r="R78" s="60" t="str">
        <v>n.a.</v>
      </c>
      <c r="S78" s="60" t="str">
        <v>One time - Pilot</v>
      </c>
      <c r="T78" s="60" t="str">
        <v>Short term - 1 month</v>
      </c>
      <c r="U78" s="60" t="str">
        <v>-</v>
      </c>
      <c r="V78" s="60" t="str">
        <v>-</v>
      </c>
      <c r="W78" s="60" t="str">
        <v>2.1. Short term Alliance (no exclusivity / previous experience)</v>
      </c>
      <c r="X78" s="60">
        <v>0</v>
      </c>
      <c r="Y78" s="60" t="str">
        <v>Cartken, which partnered with REEF Technology last year to bring its self-driving robots to deliver food in downtown Miami, will not only gain from Mitsubishi's expertise in electrical equipment, but it will also help the startup establish a presence in Japan.</v>
      </c>
      <c r="Z78" s="60" t="str">
        <v>Research &amp; Collaboration</v>
      </c>
      <c r="AA78" s="60" t="str">
        <v>Cartken, which partnered with REEF Technology last year to bring its self-driving robots to deliver food in downtown Miami, will not only gain from Mitsubishi's expertise in electrical equipment, but it will also help the startup establish a presence in Japan.</v>
      </c>
      <c r="AB78" s="60">
        <v>0</v>
      </c>
      <c r="AC78" s="60">
        <v>0</v>
      </c>
      <c r="AD78" s="60">
        <v>0</v>
      </c>
      <c r="AE78" s="60">
        <v>0</v>
      </c>
      <c r="AF78" s="60" t="str">
        <v xml:space="preserve">Mitsubishi partners with Cartken to break into </v>
      </c>
      <c r="AG78" s="60" t="str">
        <v>the robotic delivery world</v>
      </c>
      <c r="AM78" t="str">
        <v>ServeRobotics</v>
      </c>
      <c r="AO78" t="str">
        <f>VLOOKUP(AM78,CBIMPORT!$A$1:$B$171,2,FALSE)</f>
        <v>Autonomous Vehicles</v>
      </c>
    </row>
    <row r="79" spans="1:98" x14ac:dyDescent="0.35">
      <c r="A79" s="60" t="str">
        <v>https://about.grubhub.com/news/grubhub-and-cartken-partner-to-bring-robot-delivery-to-college-campuses/</v>
      </c>
      <c r="B79" s="60" t="str">
        <v>2022, 6, 13</v>
      </c>
      <c r="C79" s="105">
        <v>44725</v>
      </c>
      <c r="D79" s="60" t="str">
        <v>Grubhub and Cartken Partner to Bring Robot Delivery to College Campuses</v>
      </c>
      <c r="E79" s="60" t="str">
        <v>Cartken</v>
      </c>
      <c r="F79" s="60" t="str">
        <v>L2</v>
      </c>
      <c r="G79" s="60" t="str">
        <v>Cartken-ATV</v>
      </c>
      <c r="H79" s="60" t="str">
        <v>ATV</v>
      </c>
      <c r="I79" s="60" t="str">
        <v>Last-Mile</v>
      </c>
      <c r="J79" s="60" t="str">
        <v>Last-Mile</v>
      </c>
      <c r="K79" s="60" t="str">
        <v>Grubhub</v>
      </c>
      <c r="L79" s="60" t="str">
        <v>Grubhub</v>
      </c>
      <c r="M79" s="60">
        <v>0</v>
      </c>
      <c r="N79" s="60">
        <v>0</v>
      </c>
      <c r="O79" s="60" t="str">
        <v>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
Grubhub partners with more than 250 college campuses across the United States to give students the ability to integrate meal plans directly into their Grubhub account and access restaurants both on- and off-campus for delivery and pickup. The partnership with Cartken for autonomous robot delivery builds on Grubhub's existing campus offering and is a seamless fit for campus environments, which are notoriously difficult for cars to navigate.
"Robot delivery is exciting for students and helps provide even better service and innovative solutions to our campus partners," said Eric Harper, senior director of campus environments at Grubhub. "We've worked with Ohio State University for years on the campus dining front, and they are always an early adopter of solutions that create efficiencies for their operations and improve the student experience. We look forward to supporting our university partners and responding to their unique delivery environments as we roll out this technology at other campuses in the coming months."
Cartken's robots navigate pavements, crosswalks and pedestrian paths within the campus area without human guidance. The robots use Cartken's artificial intelligence (AI) and camera-based navigation and mapping technology, which the company developed for small autonomous vehicles to safely operate around pedestrians. Human override remains an option if necessary "for instance when a path is blocked "guaranteeing reliable operation and minimizing delivery delays. Cartken's robots operate at up to three miles per hour on campus and handle various weather conditions, including rain and snow.
"We're thrilled to be working with Grubhub to delight students and campus staff with robot delivery," said Christian Bersch, CEO of Cartken. "This collaboration perfectly aligns with our mission to use robotics and AI technology to provide friction-free and environmentally sustainable delivery, and have robots serve the community. We are excited to scale alongside Grubhub and offer robot delivery to students on campuses across the country."
"Robot delivery has been very popular on campus this past school year, validating our prediction that students would appreciate autonomous mobile delivery," said Zia Ahmed, senior director of Student Life Dining Services at Ohio State University. "We are excited about the return of robots to campus, and we have been testing the Cartken robots during the spring semester with the same vision to lower the cost of delivery, reduce the time it takes to deliver food and enhance sustainability."</v>
      </c>
      <c r="P79" s="60" t="str">
        <v>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v>
      </c>
      <c r="Q79" s="60" t="str">
        <v>Strategic Alliance</v>
      </c>
      <c r="R79" s="60" t="str">
        <v>n.a.</v>
      </c>
      <c r="S79" s="60" t="str">
        <v>Service Integration</v>
      </c>
      <c r="T79" s="60" t="str">
        <v>-</v>
      </c>
      <c r="U79" s="60" t="str">
        <v>Yes</v>
      </c>
      <c r="V79" s="60" t="str">
        <v>-</v>
      </c>
      <c r="W79" s="60" t="str">
        <v xml:space="preserve">2.2. Renewed Alliance </v>
      </c>
      <c r="X79" s="60">
        <v>0</v>
      </c>
      <c r="Y79" s="60" t="str">
        <v>This collaboration perfectly aligns with our mission to use robotics and AI technology to provide friction-free and environmentally sustainable delivery</v>
      </c>
      <c r="Z79" s="60" t="str">
        <v>Joint Service Agreement</v>
      </c>
      <c r="AA79" s="60" t="str">
        <v>This collaboration perfectly aligns with our mission to use robotics and AI technology to provide friction-free and environmentally sustainable delivery</v>
      </c>
      <c r="AB79" s="60">
        <v>0</v>
      </c>
      <c r="AC79" s="60">
        <v>0</v>
      </c>
      <c r="AD79" s="60">
        <v>0</v>
      </c>
      <c r="AE79" s="60">
        <v>0</v>
      </c>
      <c r="AF79" s="60" t="str">
        <v>Grubhub and Cartken Partner to Bring Robot Delivery to College Campuses</v>
      </c>
      <c r="AG79" s="60">
        <v>0</v>
      </c>
      <c r="AM79" t="str">
        <v>TuSimple</v>
      </c>
      <c r="AO79" t="str">
        <f>VLOOKUP(AM79,CBIMPORT!$A$1:$B$171,2,FALSE)</f>
        <v>Autonomous Vehicles</v>
      </c>
      <c r="CK79" s="55"/>
      <c r="CL79" s="55"/>
      <c r="CM79" s="55"/>
      <c r="CN79" s="55"/>
      <c r="CO79" s="55"/>
      <c r="CP79" s="55"/>
      <c r="CQ79" s="55"/>
    </row>
    <row r="80" spans="1:98" x14ac:dyDescent="0.35">
      <c r="A80" s="60" t="str">
        <v>https://corporate.walmart.com/news/2020/11/10/walmart-teams-up-with-cruise-to-pilot-all-electric-self-driving-delivery-powered-by-100-renewable-energy</v>
      </c>
      <c r="B80" s="60" t="str">
        <v>2020, 11, 10</v>
      </c>
      <c r="C80" s="105">
        <v>43840</v>
      </c>
      <c r="D80" s="60" t="str">
        <v>Walmart Teams Up with Cruise to Pilot All-Electric Self-Driving Delivery Powered by 100% Renewable Energy</v>
      </c>
      <c r="E80" s="60" t="str">
        <v>Cruise</v>
      </c>
      <c r="F80" s="60" t="str">
        <v>L1</v>
      </c>
      <c r="G80" s="60" t="str">
        <v>Cruise-ATV</v>
      </c>
      <c r="H80" s="60" t="str">
        <v>ATV</v>
      </c>
      <c r="I80" s="60" t="str">
        <v>Last-Mile</v>
      </c>
      <c r="J80" s="60" t="str">
        <v>Last-Mile</v>
      </c>
      <c r="K80" s="60" t="str">
        <v>Walmart</v>
      </c>
      <c r="L80" s="60" t="str">
        <v>Walmart</v>
      </c>
      <c r="M80" s="60">
        <v>0</v>
      </c>
      <c r="N80" s="60">
        <v>0</v>
      </c>
      <c r="O80" s="60" t="str">
        <v>This year, we've had our foot on the accelerator expanding our pickup and delivery services, so customers can get the items they need quickly and safely. In April alone, we launched Express Delivery and have since scaled it to more than 2,800 stores, reaching more than 65% of American households.
We may be growing delivery options today, but we're still experimenting with new ways we can use technology to serve customers in the future. This time, we're cruising over to Scottsdale, Arizona, to rev up a new pilot with self-driving car company, Cruise. What's unique about Cruise is they're the only self-driving car company to operate an entire fleet of all-electric vehicles powered with 100% renewable energy, which supports our road to zero emissions by 2040.
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
You’ve seen us test drive with self-driving cars in the past, and we’re continuing to learn a lot about how they can shape the future of retail. We’re excited to add Cruise to our lineup of autonomous vehicle pilots as we continue to chart a whole new roadmap for retail.</v>
      </c>
      <c r="P80" s="60" t="str">
        <v>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v>
      </c>
      <c r="Q80" s="60" t="str">
        <v>Strategic Alliance</v>
      </c>
      <c r="R80" s="60" t="str">
        <v>n.a.</v>
      </c>
      <c r="S80" s="60" t="str">
        <v>One time - Pilot</v>
      </c>
      <c r="T80" s="60" t="str">
        <v>-</v>
      </c>
      <c r="U80" s="60" t="str">
        <v>-</v>
      </c>
      <c r="V80" s="60" t="str">
        <v>-</v>
      </c>
      <c r="W80" s="60" t="str">
        <v>2.1. Short term Alliance (no exclusivity / previous experience)</v>
      </c>
      <c r="X80" s="60">
        <v>0</v>
      </c>
      <c r="Y80" s="60" t="str">
        <v xml:space="preserve">As part of the pilot, which begins early next year, customers can place an order from their local store and have it delivered, contact-free, via one of Cruise’s all-electric self-driving cars. </v>
      </c>
      <c r="Z80" s="60" t="str">
        <v>Joint Service Agreement</v>
      </c>
      <c r="AA80" s="60" t="str">
        <v xml:space="preserve">As part of the pilot, which begins early next year, customers can place an order from their local store and have it delivered, contact-free, via one of Cruise’s all-electric self-driving cars. </v>
      </c>
      <c r="AB80" s="60">
        <v>0</v>
      </c>
      <c r="AC80" s="60">
        <v>0</v>
      </c>
      <c r="AD80" s="60">
        <v>0</v>
      </c>
      <c r="AE80" s="60">
        <v>0</v>
      </c>
      <c r="AF80" s="60" t="str">
        <v xml:space="preserve">Walmart Teams Up with Cruise to Pilot </v>
      </c>
      <c r="AG80" s="60" t="str">
        <v>All-Electric Self-Driving Delivery Powered by 100% Renewable Energy</v>
      </c>
      <c r="AM80" t="str">
        <v>Uber Freight</v>
      </c>
      <c r="AO80" t="str">
        <f>VLOOKUP(AM80,CBIMPORT!$A$1:$B$171,2,FALSE)</f>
        <v>Mobility Services Booking</v>
      </c>
    </row>
    <row r="81" spans="1:49" x14ac:dyDescent="0.35">
      <c r="A81" s="60" t="str">
        <v>https://getcruise.com/news/blog/2023/cruise-teams-up-with-replate-to-launch-food-rescue-partnership/</v>
      </c>
      <c r="B81" s="60" t="str">
        <v>2023, 6, 6</v>
      </c>
      <c r="C81" s="105">
        <v>45083</v>
      </c>
      <c r="D81" s="60" t="str">
        <v>Cruise teams up with Replate to launch national food rescue partnership</v>
      </c>
      <c r="E81" s="60" t="str">
        <v>Cruise</v>
      </c>
      <c r="F81" s="60" t="str">
        <v>L1</v>
      </c>
      <c r="G81" s="60" t="str">
        <v>Cruise-ATV</v>
      </c>
      <c r="H81" s="60" t="str">
        <v>ATV</v>
      </c>
      <c r="I81" s="60" t="str">
        <v>Last-Mile</v>
      </c>
      <c r="J81" s="60" t="str">
        <v>Last-Mile</v>
      </c>
      <c r="K81" s="60" t="str">
        <v>Replate</v>
      </c>
      <c r="L81" s="60" t="str">
        <v>Replate</v>
      </c>
      <c r="M81" s="60">
        <v>0</v>
      </c>
      <c r="N81" s="60">
        <v>0</v>
      </c>
      <c r="O81" s="60" t="str">
        <v>Food insecurity and food waste are connected, worsening - and impacting the planet
Over 30 million people in the US and ten times as many globally are facing food insecurity. At the same time, food waste in the U.S. is worsening - there were 91 million tons of surplus food in 2021 - contributing significantly to greenhouse gas emissions. In other words, our hunger crisis sits at the intersection of a major sustainability crisis.
Three years ago, Cruise began dedicating a portion of our all-electric, driverless fleet to deliver meals to San Francisco residents in need. Now, as our driverless service expands to new cities across the country, so too will our work to fight food insecurity, and now food waste "together with Replate.
I'm proud to share that Cruise for Good is teaming up with food rescue platform Replate to tackle these competing challenges head on, through something that's never been done before: a first-of-its kind, driverless, all-electric food rescue initiative that we aim to scale nationally.
Bringing a sustainable cycle of food rescue to communities nationwide
Replate is a nonprofit that blends innovation and impact, implementing a food recovery model to mitigate food waste in cities across the country. By connecting organizations that have surplus food to communities facing hunger, Replate helps to increase food access, reduce waste, decrease carbon emissions, and save water.
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
We'll start our partnership in San Francisco, and quickly scale our operations as Cruise enters new cities, in line with our pledge to dedicate a portion of our fleet to meet community needs everywhere we drive.
Food insecurity and the unequal impacts of climate change are massive challenges that no one effort can solve. But through this partnership, we aim to support Replate's capacity to serve communities across the country, and explore how new solutions can address complex problems.
See our impact in action blog version
The value of collaborative partnership
The most innovative, authentic and effective social impact programs are forged with organizations who know their communities best. In our experience, nonprofits like Replate , San Francisco-Marin Food Bank , and SF New Deal have the expertise to best understand how we can support our neighbors in need ” and push us to truly think outside the box in terms of how we generate impact.
When we started Cruise for Good three years ago we began by delivering meals to home-bound individuals experiencing food insecurity in partnership with San Francisco-Marin Food Bank and SF New Deal. While we're proud of the 2.4 million meals and 105 tons of CO2 emissions we've offset since that time, we're eager to expand our commitment to serve communities, everywhere we go. This partnership with Replate is that next step. As Replate CEO and Founder, Maen Mahfoud, puts it, our collective goal is to "make a big impact with an even smaller footprint."</v>
      </c>
      <c r="P81" s="60" t="str">
        <v>I'm proud to share that Cruise for Good is teaming up with food rescue platform Replate to tackle these competing challenges head on, through something that's never been done before: a first-of-its kind, driverless, all-electric food rescue initiative that we aim to scale nationally.</v>
      </c>
      <c r="Q81" s="60" t="str">
        <v>Strategic Alliance</v>
      </c>
      <c r="R81" s="60" t="str">
        <v>n.a.</v>
      </c>
      <c r="S81" s="60" t="str">
        <v>Membership</v>
      </c>
      <c r="T81" s="60" t="str">
        <v>-</v>
      </c>
      <c r="U81" s="60" t="str">
        <v>-</v>
      </c>
      <c r="V81" s="60" t="str">
        <v>-</v>
      </c>
      <c r="W81" s="60" t="str">
        <v>2.1. Short term Alliance (no exclusivity / previous experience)</v>
      </c>
      <c r="X81" s="60">
        <v>0</v>
      </c>
      <c r="Y81" s="60" t="str">
        <v>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v>
      </c>
      <c r="Z81" s="60" t="str">
        <v>Joint Service Agreement</v>
      </c>
      <c r="AA81" s="60" t="str">
        <v>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v>
      </c>
      <c r="AB81" s="60">
        <v>0</v>
      </c>
      <c r="AC81" s="60">
        <v>0</v>
      </c>
      <c r="AD81" s="60">
        <v>0</v>
      </c>
      <c r="AE81" s="60">
        <v>0</v>
      </c>
      <c r="AF81" s="60" t="str">
        <v xml:space="preserve">Cruise teams up with Replate to launch </v>
      </c>
      <c r="AG81" s="60" t="str">
        <v>national food rescue partnership</v>
      </c>
      <c r="AM81" t="str">
        <v>Waabi</v>
      </c>
      <c r="AO81" t="str">
        <f>VLOOKUP(AM81,CBIMPORT!$A$1:$B$171,2,FALSE)</f>
        <v>Autonomous Vehicles</v>
      </c>
    </row>
    <row r="82" spans="1:49" x14ac:dyDescent="0.35">
      <c r="A82" s="60" t="str">
        <v>https://einride.tech/press/einride-partners-with-bridgestone-to-create-cleaner-safer-low-carbon-freight</v>
      </c>
      <c r="B82" s="60" t="str">
        <v>2021, 8, 12</v>
      </c>
      <c r="C82" s="105">
        <v>44420</v>
      </c>
      <c r="D82" s="60" t="str">
        <v>Einride Partners with Bridgestone to Create Cleaner, Safer, Low-Carbon Freight Mobility</v>
      </c>
      <c r="E82" s="60" t="str">
        <v>Einride</v>
      </c>
      <c r="F82" s="60" t="str">
        <v>L2</v>
      </c>
      <c r="G82" s="60" t="str">
        <v>Einride-ATV</v>
      </c>
      <c r="H82" s="60" t="str">
        <v>ATV</v>
      </c>
      <c r="I82" s="60" t="str">
        <v>Trucking</v>
      </c>
      <c r="J82" s="60" t="str">
        <v>Trucking</v>
      </c>
      <c r="K82" s="60" t="str">
        <v>Bridgestone</v>
      </c>
      <c r="L82" s="60" t="str">
        <v>Bridgestone</v>
      </c>
      <c r="M82" s="60">
        <v>0</v>
      </c>
      <c r="N82" s="60">
        <v>0</v>
      </c>
      <c r="O82" s="60" t="str">
        <v xml:space="preserve">Einride and Bridgestone today announced a partnership aimed at co-creating innovative and sustainable mobility solutions for electrified and autonomous Class 8 vehicles. 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
"Partnering with Bridgestone is a great match for us both from a commercial and technical standpoint,'' said Niklas Reinedahl, General Manager, Einride North America. "We have an ambitious business plan for electric and autonomous transportation in the U.S. as well as innovative plans to improve our capabilities by leveraging tire-as-a-sensor technology and insights derived from the tire telematics data."
"We are incredibly excited about this partnership and the opportunity to accelerate our shared goal of creating innovative solutions for fleets while advancing the transformation of Bridgestone into a sustainable solutions company," said Nizar Trigui, Chief Technology Officer and Group President, Solutions Businesses, Bridgestone Americas. "There is a very high ceiling for innovation within this relationship, including the use of vehicle and tire data and advanced analytics to drive efficiency, safety and low-carbon fleet mobility."
The world's largest tire and rubber company, Bridgestone is building on its 90 years of core tire engineering expertise and expanding its offerings to include sustainable mobility solutions. The company's global environmental goals include a 50 percent reduction of its carbon footprint by 2030, and carbon neutrality by 2050, as well as tires made from 100 percent renewable materials by 2050. Worldwide, Bridgestone has a growing portfolio of innovative technologies and business solutions aimed at advancing safer, more efficient, and sustainable mobility, including Webfleet Solutions, IntelliTire telematics, and REACH streamlined service delivery for fleets.
Einride was the first in the world to operate an electric, self-driving truck on public roads for commercial purposes in 2019. The company develops and provides freight mobility solutions based on electric and autonomous vehicles, leading the transition to sustainable transport. Today, the company offers a platform for electric and autonomous shipping and works together with a wide range of global customers.
</v>
      </c>
      <c r="P82" s="60" t="str">
        <v xml:space="preserve">In turn, Einride will supply connected electric trucks and digital services under a subscription agreement to Bridgestone for its U.S. shipping logistics network, with the aim of electrifying the majority of Bridgestone's landside transport needs by 2025.
As part of the agreement, Bridgestone will become an official US launch partner of Einride and the exclusive tire supplier for Einride in the U.S. market. </v>
      </c>
      <c r="Q82" s="60" t="str">
        <v>Strategic Alliance</v>
      </c>
      <c r="R82" s="60" t="str">
        <v>Yes</v>
      </c>
      <c r="S82" s="60" t="str">
        <v>Product Integration</v>
      </c>
      <c r="T82" s="60" t="str">
        <v>Long term - 4 years</v>
      </c>
      <c r="U82" s="60" t="str">
        <v>-</v>
      </c>
      <c r="V82" s="60" t="str">
        <v>Yes</v>
      </c>
      <c r="W82" s="60" t="str">
        <v>2.3. Long term Alliance</v>
      </c>
      <c r="X82" s="60">
        <v>0</v>
      </c>
      <c r="Y82" s="60" t="str">
        <v>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v>
      </c>
      <c r="Z82" s="60" t="str">
        <v>Joint D&amp;D</v>
      </c>
      <c r="AA82" s="60" t="str">
        <v>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v>
      </c>
      <c r="AB82" s="60" t="str">
        <v>Supply Partnership (traditional)</v>
      </c>
      <c r="AC82" s="60" t="str">
        <v>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v>
      </c>
      <c r="AD82" s="60">
        <v>0</v>
      </c>
      <c r="AE82" s="60">
        <v>0</v>
      </c>
      <c r="AF82" s="60" t="str">
        <v xml:space="preserve">Einride Partners with Bridgestone to Create </v>
      </c>
      <c r="AG82" s="60" t="str">
        <v>Cleaner, Safer, Low-Carbon Freight Mobility</v>
      </c>
      <c r="AM82" t="str">
        <v>Alliance Ventures (Renault, Nissan, Mitsubishi)</v>
      </c>
      <c r="AO82" t="str">
        <f>VLOOKUP(AM82,CBIMPORT!$A$1:$B$171,2,FALSE)</f>
        <v>Mobility Project</v>
      </c>
    </row>
    <row r="83" spans="1:49" x14ac:dyDescent="0.35">
      <c r="A83" s="60" t="str">
        <v>https://einride.tech/press/einride-is-teaming-up-with-ericsson-to-demonstrate-the-future-of-transport-at-the-worlds-largest-mobile-event</v>
      </c>
      <c r="B83" s="60" t="str">
        <v>2019, 2, 14</v>
      </c>
      <c r="C83" s="105">
        <v>43510</v>
      </c>
      <c r="D83" s="60" t="str">
        <v>Einride is teaming up with Ericsson to demonstrate the future of transport at the world's largest mobile event</v>
      </c>
      <c r="E83" s="60" t="str">
        <v>Einride</v>
      </c>
      <c r="F83" s="60" t="str">
        <v>L2</v>
      </c>
      <c r="G83" s="60" t="str">
        <v>Einride-ATV</v>
      </c>
      <c r="H83" s="60" t="str">
        <v>ATV</v>
      </c>
      <c r="I83" s="60" t="str">
        <v>Trucking</v>
      </c>
      <c r="J83" s="60" t="str">
        <v>Trucking</v>
      </c>
      <c r="K83" s="60" t="str">
        <v>Ericsson;Bridgestone</v>
      </c>
      <c r="L83" s="60" t="str">
        <v>Ericsson</v>
      </c>
      <c r="M83" s="60" t="str">
        <v>Bridgestone</v>
      </c>
      <c r="N83" s="60">
        <v>0</v>
      </c>
      <c r="O83" s="60" t="str">
        <v>Mobile World Congress in Barcelona is the largest mobile event in the world, bringing together the latest innovations and leading-edge technology from more than 2,400 companies. With over 107,000 key decision-makers expected to attend, this is one of the most important gatherings in the tech- and telecommunications industry.
Einride will showcase its 5G-connected transportation solution at Ericsson's event area between 25-28 February. Members of the press and other guests will be given the opportunity to remote control an autonomous vehicle , located at AstaZero, a test site outside Gothenburg, Sweden.
"The transportation industry has entered an era of major transformation as vehicles are becoming connected, electrified and increasingly automated. At Mobile World Congress we will show how the ongoing transformation of transportation requires enhanced connectivity, and the remotely controlled Einride vehicle is a great example of that," says Asa Tamsons, Senior Vice President and Head of Business Area Technologies &amp; New Businesses, Ericsson.</v>
      </c>
      <c r="P83" s="60" t="str">
        <v>Einride will showcase its 5G-connected transportation solution at Ericsson's event area between 25-28 February. Members of the press and other guests will be given the opportunity to remote control an autonomous vehicle , located at AstaZero, a test site outside Gothenburg, Sweden.</v>
      </c>
      <c r="Q83" s="60" t="str">
        <v>Informal Agreement</v>
      </c>
      <c r="R83" s="60" t="str">
        <v>n.a.</v>
      </c>
      <c r="S83" s="60" t="str">
        <v>One time - Trade show</v>
      </c>
      <c r="T83" s="60" t="str">
        <v>Short term - 3 days</v>
      </c>
      <c r="U83" s="60" t="str">
        <v>-</v>
      </c>
      <c r="V83" s="60" t="str">
        <v>-</v>
      </c>
      <c r="W83" s="60" t="str">
        <v>1. Informal Agreement</v>
      </c>
      <c r="X83" s="60">
        <v>0</v>
      </c>
      <c r="Y83" s="60" t="str">
        <v>Einride will showcase its 5G-connected transportation solution at Ericsson's event area between 25-28 February. Members of the press and other guests will be given the opportunity to remote control an autonomous vehicle , located at AstaZero, a test site outside Gothenburg, Sweden.</v>
      </c>
      <c r="Z83" s="60" t="str">
        <v>Marketing Agreement</v>
      </c>
      <c r="AA83" s="60" t="str">
        <v>Einride will showcase its 5G-connected transportation solution at Ericsson's event area between 25-28 February. Members of the press and other guests will be given the opportunity to remote control an autonomous vehicle , located at AstaZero, a test site outside Gothenburg, Sweden.</v>
      </c>
      <c r="AB83" s="60">
        <v>0</v>
      </c>
      <c r="AC83" s="60">
        <v>0</v>
      </c>
      <c r="AD83" s="60">
        <v>0</v>
      </c>
      <c r="AE83" s="60">
        <v>0</v>
      </c>
      <c r="AF83" s="60" t="str">
        <v xml:space="preserve">Einride is teaming up with Ericsson to demonstrate </v>
      </c>
      <c r="AG83" s="60" t="str">
        <v>the future of transport at the world's largest mobile event</v>
      </c>
      <c r="AM83" t="str" cm="1">
        <f t="array" ref="AM83:AM86">(_xlfn._xlws.FILTER(M73:M156,M73:M156&lt;&gt;0))</f>
        <v>Bridgestone</v>
      </c>
      <c r="AO83" t="str">
        <f>VLOOKUP(AM83,CBIMPORT!$A$1:$B$171,2,FALSE)</f>
        <v>Automotive Supplier</v>
      </c>
    </row>
    <row r="84" spans="1:49" x14ac:dyDescent="0.35">
      <c r="A84" s="60" t="str">
        <v>https://einride.tech/press/skf-and-einride-enter-into-partnership-for-testing-autonomous-and-electric</v>
      </c>
      <c r="B84" s="60" t="str">
        <v>2021, 3, 16</v>
      </c>
      <c r="C84" s="105">
        <v>44271</v>
      </c>
      <c r="D84" s="60" t="str">
        <v>SKF and Einride enter into partnership for testing autonomous and electric transport</v>
      </c>
      <c r="E84" s="60" t="str">
        <v>Einride</v>
      </c>
      <c r="F84" s="60" t="str">
        <v>L2</v>
      </c>
      <c r="G84" s="60" t="str">
        <v>Einride-ATV</v>
      </c>
      <c r="H84" s="60" t="str">
        <v>ATV</v>
      </c>
      <c r="I84" s="60" t="str">
        <v>Trucking</v>
      </c>
      <c r="J84" s="60" t="str">
        <v>Trucking</v>
      </c>
      <c r="K84" s="60" t="str">
        <v>SKF</v>
      </c>
      <c r="L84" s="60" t="str">
        <v>SKF</v>
      </c>
      <c r="M84" s="60">
        <v>0</v>
      </c>
      <c r="N84" s="60">
        <v>0</v>
      </c>
      <c r="O84" s="60" t="str">
        <v>The world's largest bearing manufacturer SKF and tech company EInride have signed a pilot agreement to test Einride's self-driving, electric truck for transporting goods on public roads between SKF's factories in Gothenburg.
Einride was the first in the world to drive an electric, self-driving truck on public roads for commercial purposes in 2018. Today, the company offers an intelligent software platform for electric and autonomous shipping and works together with customers like Coca-Cola European Partners, Oatly, Lidl and Electrolux.
"With the partnership with SKF, we now have customers in all our priority segments: retail, consumer goods, and industrial goods, which we are very proud of. Together with them, we will learn and grow quickly," says Jonas Hernlund, Chief Commercial Officer at Einride.
For SKF, autonomous vehicles are nothing new. Today, they use self-driving trucks, so-called AGVs, inside factories and warehouses. There are also far-reaching plans to develop a solution for autonomous loading and unloading of the truck, which can carry up to ten tonnes at a time. However, operating driverless vehicles on public roads requires a special permit from the Swedish Transport Agency, which the two companies plan to apply for together.
"We want to be proactive and try technology that gives us new opportunities to create efficient and sustainable logistics flows that contribute to our ambitious environmental goals," says Mans Isacsson, head of SKF's logistics in Sweden.</v>
      </c>
      <c r="P84" s="60" t="str">
        <v>The world's largest bearing manufacturer SKF and tech company EInride have signed a pilot agreement to test Einride's self-driving, electric truck for transporting goods on public roads between SKF's factories in Gothenburg.</v>
      </c>
      <c r="Q84" s="60" t="str">
        <v>Strategic Alliance</v>
      </c>
      <c r="R84" s="60" t="str">
        <v>Yes</v>
      </c>
      <c r="S84" s="60" t="str">
        <v>One time - Pilot</v>
      </c>
      <c r="T84" s="60" t="str">
        <v>-</v>
      </c>
      <c r="U84" s="60" t="str">
        <v>-</v>
      </c>
      <c r="V84" s="60" t="str">
        <v>-</v>
      </c>
      <c r="W84" s="60" t="str">
        <v>2.1. Short term Alliance (no exclusivity / previous experience)</v>
      </c>
      <c r="X84" s="60">
        <v>0</v>
      </c>
      <c r="Y84" s="60" t="str">
        <v>The world's largest bearing manufacturer SKF and tech company Einride have signed a pilot agreement to test Einride's self-driving, electric truck for transporting goods on public roads between SKF's factories in Gothenburg.</v>
      </c>
      <c r="Z84" s="60" t="str">
        <v>Supply Partnership (extended)</v>
      </c>
      <c r="AA84" s="60" t="str">
        <v>The world's largest bearing manufacturer SKF and tech company Einride have signed a pilot agreement to test Einride's self-driving, electric truck for transporting goods on public roads between SKF's factories in Gothenburg.</v>
      </c>
      <c r="AB84" s="60">
        <v>0</v>
      </c>
      <c r="AC84" s="60">
        <v>0</v>
      </c>
      <c r="AD84" s="60">
        <v>0</v>
      </c>
      <c r="AE84" s="60">
        <v>0</v>
      </c>
      <c r="AF84" s="60" t="str">
        <v xml:space="preserve">SKF and Einride enter into partnership for testing </v>
      </c>
      <c r="AG84" s="60" t="str">
        <v>autonomous and electric transport</v>
      </c>
      <c r="AM84" t="str">
        <v>Telia</v>
      </c>
      <c r="AO84" t="str">
        <f>VLOOKUP(AM84,CBIMPORT!$A$1:$B$171,2,FALSE)</f>
        <v>Telecommunications</v>
      </c>
    </row>
    <row r="85" spans="1:49" x14ac:dyDescent="0.35">
      <c r="A85" s="60" t="str">
        <v>https://einride.tech/press/einride-and-innovative-swedish-logistics-company-collaborates-around-sustainable-transport</v>
      </c>
      <c r="B85" s="60" t="str">
        <v>2019, 5, 8</v>
      </c>
      <c r="C85" s="105">
        <v>43593</v>
      </c>
      <c r="D85" s="60" t="str">
        <v>Einride and innovative Swedish logistics company collaborates around sustainable transport</v>
      </c>
      <c r="E85" s="60" t="str">
        <v>Einride</v>
      </c>
      <c r="F85" s="60" t="str">
        <v>L2</v>
      </c>
      <c r="G85" s="60" t="str">
        <v>Einride-ATV</v>
      </c>
      <c r="H85" s="60" t="str">
        <v>ATV</v>
      </c>
      <c r="I85" s="60" t="str">
        <v>Trucking</v>
      </c>
      <c r="J85" s="60" t="str">
        <v>Trucking</v>
      </c>
      <c r="K85" s="60" t="str">
        <v>Svenska Retursystem</v>
      </c>
      <c r="L85" s="60" t="str">
        <v>Svenska Retursystem</v>
      </c>
      <c r="M85" s="60">
        <v>0</v>
      </c>
      <c r="N85" s="60">
        <v>0</v>
      </c>
      <c r="O85" s="60" t="str">
        <v>Einride and Svenska Retursystem "a leading Swedish logistics company "will explore how digitalization and automation of flow of goods can drive change towards a more effective and sustainable transport system. One goal is to test Einride's self-driving, electric trucks at Svenska Retursystem's logistics center in vaesteros, Sweden.
"SRS have pledged fossil-free transports by 2025 but getting there will be difficult and involve several different solutions. The partnership with Einride is important, not just to reduce our own emissions, but to push the whole industry towards sustainable transport, says Anna Elgh, CEO, Svenska Retursystem.
The Swedish startup Einride has developed a unique transportation solution, based on autonomous trucks, able to replace diesel trucks in a high percentage of existing freight flows. The Einride autonomous vehicle has no driver's cab, is all-electric, and has the potential to reduce CO2 emissions by up to 90 percent.
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vaesteros.
"Climate change is our greatest challenge, and transport represents 25 percent of total CO2 emissions globally. Innovative solutions are needed to replace the old, and Einride's solution is proof a transition to a sustainable, safe and efficient transport system is possible. All it takes is the will to change, says Robert Falck, CEO, Einride.
Apart from the pilot, the partnership between Einride and SRS will involve an extensive exchange of knowledge and experience related to digitization and logistics.</v>
      </c>
      <c r="P85" s="60" t="str">
        <v>will explore how digitalization and automation of flow of goods can drive change towards a more effective and sustainable transport system. One goal is to test Einride's self-driving, electric trucks at Svenska Retursystem's logistics center in Vasteras, Sweden.
A pilot project will also be initiated with the goal of introducing Einride's self-driving, electric trucks at Svenska Retursystem's logistics center in Vasteras.</v>
      </c>
      <c r="Q85" s="60" t="str">
        <v>Strategic Alliance</v>
      </c>
      <c r="R85" s="60" t="str">
        <v>n.a.</v>
      </c>
      <c r="S85" s="60" t="str">
        <v>One time - Pilot</v>
      </c>
      <c r="T85" s="60" t="str">
        <v>-</v>
      </c>
      <c r="U85" s="60" t="str">
        <v>-</v>
      </c>
      <c r="V85" s="60" t="str">
        <v>-</v>
      </c>
      <c r="W85" s="60" t="str">
        <v>2.1. Short term Alliance (no exclusivity / previous experience)</v>
      </c>
      <c r="X85" s="60">
        <v>0</v>
      </c>
      <c r="Y85" s="60" t="str">
        <v>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Vasteras.</v>
      </c>
      <c r="Z85" s="60" t="str">
        <v>Supply Partnership (extended)</v>
      </c>
      <c r="AA85" s="60" t="str">
        <v>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Vasteras.</v>
      </c>
      <c r="AB85" s="60">
        <v>0</v>
      </c>
      <c r="AC85" s="60">
        <v>0</v>
      </c>
      <c r="AD85" s="60">
        <v>0</v>
      </c>
      <c r="AE85" s="60">
        <v>0</v>
      </c>
      <c r="AF85" s="60" t="str">
        <v xml:space="preserve">Einride and innovative Swedish logistics company collaborates </v>
      </c>
      <c r="AG85" s="60" t="str">
        <v>around sustainable transport</v>
      </c>
      <c r="AM85" t="str">
        <v>The Ad Council</v>
      </c>
      <c r="AO85" t="str">
        <f>VLOOKUP(AM85,CBIMPORT!$A$1:$B$171,2,FALSE)</f>
        <v>Advertising</v>
      </c>
    </row>
    <row r="86" spans="1:49" x14ac:dyDescent="0.35">
      <c r="A86" s="60" t="str">
        <v>https://einride.tech/press/polarrenen-sustainable-transport-einride-financing-partner</v>
      </c>
      <c r="B86" s="60" t="str">
        <v>2020, 10, 20</v>
      </c>
      <c r="C86" s="105">
        <v>43850</v>
      </c>
      <c r="D86" s="60" t="str">
        <v>Polarrenen drives transition to sustainable transport by becoming Einride financing partner</v>
      </c>
      <c r="E86" s="60" t="str">
        <v>Einride</v>
      </c>
      <c r="F86" s="60" t="str">
        <v>L2</v>
      </c>
      <c r="G86" s="60" t="str">
        <v>Einride-ATV</v>
      </c>
      <c r="H86" s="60" t="str">
        <v>ATV</v>
      </c>
      <c r="I86" s="60" t="str">
        <v>Trucking</v>
      </c>
      <c r="J86" s="60" t="str">
        <v>Trucking</v>
      </c>
      <c r="K86" s="60" t="str">
        <v>Polarrenen</v>
      </c>
      <c r="L86" s="60" t="str">
        <v>Polarrenen</v>
      </c>
      <c r="M86" s="60">
        <v>0</v>
      </c>
      <c r="N86" s="60">
        <v>0</v>
      </c>
      <c r="O86" s="60" t="str">
        <v xml:space="preserve">"We will see the future we choose to invest in, and therefore we choose to support investments that are made in critical and important sustainability areas, in this case electric freight mobility with Einride," said Polarrenen CEO Lars Wikman.
A subsidiary of the Polarbaer Group (Polarbaersgruppen), Polarrenen operates in the sustainable energy, real estate, and mobility sectors, and strives to build a more sustainable future. Polarrenen has built sustainable apartments, invested in climate-smart vehicle finishing, and installed wind turbines. Now, Polarrenen will take the next step towards sustainable transport by financing electric trucks operated by Einride's intelligent freight mobility platform.
"The transition to sustainable transport is only possible if we are all prepared to challenge how freight works today. Polarenen is a pioneer in sustainable investments and is not afraid to show the way. We at Einride are happy to call them partners and are impressed by their courage and will to take on the legacy industry that is road freight," said Robert Falck, CEO and founder of Einride.
For Einride, the collaboration is an important piece of the puzzle in the electricity-based transport solution the company provides its customers with. Through new technology, it is possible to challenge freight as it exists today - which is harmful to the environment and unsustainable - and be able to offer cost-effective transport solutions.
For the Polarbaer Group, the deal means a further step in the investment towards sustainable mobility. Einride's customer studies have shown that companies can reduce their emissions by 87 percent by switching to electric freight, proving not only a sustainability case, but also a powerful business case.
</v>
      </c>
      <c r="P86" s="60" t="str">
        <v>"We will see the future we choose to invest in, and therefore we choose to support investments that are made in critical and important sustainability areas, in this case electric freight mobility with Einride," said Polarrenen CEO Lars Wikman.</v>
      </c>
      <c r="Q86" s="60" t="str">
        <v>Strategic Alliance</v>
      </c>
      <c r="R86" s="60" t="str">
        <v>Yes</v>
      </c>
      <c r="S86" s="60" t="str">
        <v>Financing</v>
      </c>
      <c r="T86" s="60" t="str">
        <v>-</v>
      </c>
      <c r="U86" s="60" t="str">
        <v>-</v>
      </c>
      <c r="V86" s="60" t="str">
        <v>-</v>
      </c>
      <c r="W86" s="60" t="str">
        <v>2.1. Short term Alliance (no exclusivity / previous experience)</v>
      </c>
      <c r="X86" s="60">
        <v>0</v>
      </c>
      <c r="Y86" s="60" t="str">
        <v>Now, Polarrenen will take the next step towards sustainable transport by financing electric trucks operated by Einride's intelligent freight mobility platform.</v>
      </c>
      <c r="Z86" s="60" t="str">
        <v>Other</v>
      </c>
      <c r="AA86" s="60" t="str">
        <v>Now, Polarrenen will take the next step towards sustainable transport by financing electric trucks operated by Einride's intelligent freight mobility platform.</v>
      </c>
      <c r="AB86" s="60">
        <v>0</v>
      </c>
      <c r="AC86" s="60">
        <v>0</v>
      </c>
      <c r="AD86" s="60">
        <v>0</v>
      </c>
      <c r="AE86" s="60">
        <v>0</v>
      </c>
      <c r="AF86" s="60" t="str">
        <v>becoming financing partner</v>
      </c>
      <c r="AG86" s="60" t="str">
        <v xml:space="preserve">transition to sustainable transport </v>
      </c>
      <c r="AM86" t="str">
        <v>Luminar</v>
      </c>
      <c r="AO86" t="str">
        <f>VLOOKUP(AM86,CBIMPORT!$A$1:$B$171,2,FALSE)</f>
        <v>Sensor</v>
      </c>
    </row>
    <row r="87" spans="1:49" x14ac:dyDescent="0.35">
      <c r="A87" s="60" t="str">
        <v>https://einride.tech/press/einride-ericsson-and-telia-partners-on-5g-to-bring-autonomous-all-electric-vehicles-to-the-market</v>
      </c>
      <c r="B87" s="60" t="str">
        <v>2018, 11, 7</v>
      </c>
      <c r="C87" s="105">
        <v>43107</v>
      </c>
      <c r="D87" s="60" t="str">
        <v>Einride, Ericsson and Telia partners on 5G to bring autonomous, all-electric vehicles to the market</v>
      </c>
      <c r="E87" s="60" t="str">
        <v>Einride</v>
      </c>
      <c r="F87" s="60" t="str">
        <v>L2</v>
      </c>
      <c r="G87" s="60" t="str">
        <v>Einride-ATV</v>
      </c>
      <c r="H87" s="60" t="str">
        <v>ATV</v>
      </c>
      <c r="I87" s="60" t="str">
        <v>Trucking</v>
      </c>
      <c r="J87" s="60" t="str">
        <v>Trucking</v>
      </c>
      <c r="K87" s="60" t="str">
        <v>Ericsson;Telia</v>
      </c>
      <c r="L87" s="60" t="str">
        <v>Ericsson</v>
      </c>
      <c r="M87" s="60" t="str">
        <v>Telia</v>
      </c>
      <c r="N87" s="60">
        <v>0</v>
      </c>
      <c r="O87" s="60" t="str">
        <v>The installation of Einride's autonomous electric transportation (AET) system will be the first commercial application of their all-electric vehicles in the world, and it is made possible by Ericsson's 5G technology. 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ambition from the involved parties is to create a sustainable transport solution. The change is enabled by technology providers and driven by the customers demand for sustainable transport.
There is a paradigm shift going on in the transport industry and 5G with its high data speeds and ultra-low latency is powering a new world of autonomous vehicles that takes fleet management to the next level. Einride's transportation solution, is a perfect example of how 5G can drive cost efficiencies, improve safety and create a sustainable future, says Tamsons, Senior Vice President and Head of Business Area Technologies &amp; New Businesses, Ericsson
Einride's driving mission is to lead the sustainable transition of road freight transportation. 5G provides the connectivity and reliability we need to safely introduce the Einride autonomous vehicle on public roads, paving the way for a 90 percent reduction in CO2 emissions and an elimination of NOx emissions, says Robert Falck, CEO, and founder of Einride.
Einride's autonomous vehicle is a new type of vehicle, that has no driver in the vehicle. The all-electric, autonomous transport system that the autonomous vehicle is part of could potentially replace more than 60% of today's transport with a cost competitive and sustainable alternative. A key enabler for a sustainable transport system is high-performance connectivity. 5G is a cornerstone in creating sustainable transport for tomorrow's needs.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v>
      </c>
      <c r="P87" s="60" t="str">
        <v xml:space="preserve">The partnership begins with the installation of a 5G network, 4G radio with 5G core in collaboration with Telia, a leading telco in the Nordic-Baltic region, enabling high-performance connectivity at the site. </v>
      </c>
      <c r="Q87" s="60" t="str">
        <v>Strategic Alliance</v>
      </c>
      <c r="R87" s="60" t="str">
        <v>n.a.</v>
      </c>
      <c r="S87" s="60" t="str">
        <v>Product cooperation</v>
      </c>
      <c r="T87" s="60" t="str">
        <v>-</v>
      </c>
      <c r="U87" s="60" t="str">
        <v>-</v>
      </c>
      <c r="V87" s="60" t="str">
        <v>-</v>
      </c>
      <c r="W87" s="60" t="str">
        <v>2.1. Short term Alliance (no exclusivity / previous experience)</v>
      </c>
      <c r="X87" s="60">
        <v>0</v>
      </c>
      <c r="Y87" s="60" t="str">
        <v>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v>
      </c>
      <c r="Z87" s="60" t="str">
        <v>Joint D&amp;D</v>
      </c>
      <c r="AA87" s="60" t="str">
        <v>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v>
      </c>
      <c r="AB87" s="60">
        <v>0</v>
      </c>
      <c r="AC87" s="60">
        <v>0</v>
      </c>
      <c r="AD87" s="60">
        <v>0</v>
      </c>
      <c r="AE87" s="60">
        <v>0</v>
      </c>
      <c r="AF87" s="60" t="str">
        <v>Einride, Ericsson and Telia partners on 5G to bring autonomous, all-electric vehicles to the market</v>
      </c>
      <c r="AG87" s="60">
        <v>0</v>
      </c>
    </row>
    <row r="88" spans="1:49" x14ac:dyDescent="0.35">
      <c r="A88" s="60" t="str">
        <v>https://einride.tech/press/einride-partners-with-oatly-to-electrify-transport-in-sweden</v>
      </c>
      <c r="B88" s="60" t="str">
        <v>2020, 5, 14</v>
      </c>
      <c r="C88" s="105">
        <v>43965</v>
      </c>
      <c r="D88" s="60" t="str">
        <v>Einride partners with Oatly to electrify transport in Sweden</v>
      </c>
      <c r="E88" s="60" t="str">
        <v>Einride</v>
      </c>
      <c r="F88" s="60" t="str">
        <v>L2</v>
      </c>
      <c r="G88" s="60" t="str">
        <v>Einride-ATV</v>
      </c>
      <c r="H88" s="60" t="str">
        <v>ATV</v>
      </c>
      <c r="I88" s="60" t="str">
        <v>Trucking</v>
      </c>
      <c r="J88" s="60" t="str">
        <v>Trucking</v>
      </c>
      <c r="K88" s="60" t="str">
        <v>Oatly</v>
      </c>
      <c r="L88" s="60" t="str">
        <v>Oatly</v>
      </c>
      <c r="M88" s="60">
        <v>0</v>
      </c>
      <c r="N88" s="60">
        <v>0</v>
      </c>
      <c r="O88" s="60" t="str">
        <v>Einride, a Swedish technology company that designs and develops technology for freight mobility, announced today that it will be partnering with Oatly, the original oat drink company, to transition to a sustainable transport solution with all-electric vehicles in the Swedish market. The partnership will commence in Q4 of 2020 in Sweden, making Oatly one of the world's first companies to electrify transportation on commercial routes.
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
Oatly is known around the world for challenging the food industry and driving necessary change toward more sustainable food consumption and production.
"Sustainability is at the core of everything we do and we are committed to driving change across the food industry through embracing new sustainable solutions in every area of our business. Electrical transportation is a key part of our Supply Partnership strategy globally and on these routes, we will be reducing our carbon footprint by 87 percent. So naturally we are super-excited at exploring this new opportunity with Einride" says Simon Broadbent, Supply Partnership Director at Oatly.
As a leader in the transition to smart, electrified, and autonomous freight mobility, Einride shares the same values of challenging the status quo to create a more sustainable world, making the partnership a perfect fit.
"Road freight transport as it currently exists is a system that drastically needs to change. Nearly 7 percent of global CO2 emissions come from this road freight, a figure that will only increase if we do not switch to more sustainable solutions like Einride's Freight Mobility Platform, which enables both a sustainable business and environment. We are proud to grow our intelligent movement alongside Oatly, a pioneer in sustainable food production," says Robert Falck, CEO and Founder of Einride.</v>
      </c>
      <c r="P88" s="60" t="str">
        <v>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v>
      </c>
      <c r="Q88" s="60" t="str">
        <v>Strategic Alliance</v>
      </c>
      <c r="R88" s="60" t="str">
        <v>n.a.</v>
      </c>
      <c r="S88" s="60" t="str">
        <v>Product Integration</v>
      </c>
      <c r="T88" s="60" t="str">
        <v>-</v>
      </c>
      <c r="U88" s="60" t="str">
        <v>-</v>
      </c>
      <c r="V88" s="60" t="str">
        <v>-</v>
      </c>
      <c r="W88" s="60" t="str">
        <v>2.1. Short term Alliance (no exclusivity / previous experience)</v>
      </c>
      <c r="X88" s="60">
        <v>0</v>
      </c>
      <c r="Y88" s="60" t="str">
        <v>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v>
      </c>
      <c r="Z88" s="60" t="str">
        <v>Supply Partnership (extended)</v>
      </c>
      <c r="AA88" s="60" t="str">
        <v>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v>
      </c>
      <c r="AB88" s="60">
        <v>0</v>
      </c>
      <c r="AC88" s="60">
        <v>0</v>
      </c>
      <c r="AD88" s="60">
        <v>0</v>
      </c>
      <c r="AE88" s="60">
        <v>0</v>
      </c>
      <c r="AF88" s="60" t="str">
        <v>Einride partners with Oatly to electrify transport in Sweden</v>
      </c>
      <c r="AG88" s="60">
        <v>0</v>
      </c>
    </row>
    <row r="89" spans="1:49" x14ac:dyDescent="0.35">
      <c r="A89" s="60" t="str">
        <v>https://einride.tech/press/einride-and-electrolux-enter-innovation-partnership-to-electrify-transports</v>
      </c>
      <c r="B89" s="60" t="str">
        <v>2021, 2, 22</v>
      </c>
      <c r="C89" s="105">
        <v>44249</v>
      </c>
      <c r="D89" s="60" t="str">
        <v>Einride and Electrolux enter innovation partnership to electrify transports</v>
      </c>
      <c r="E89" s="60" t="str">
        <v>Einride</v>
      </c>
      <c r="F89" s="60" t="str">
        <v>L2</v>
      </c>
      <c r="G89" s="60" t="str">
        <v>Einride-ATV</v>
      </c>
      <c r="H89" s="60" t="str">
        <v>ATV</v>
      </c>
      <c r="I89" s="60" t="str">
        <v>Trucking</v>
      </c>
      <c r="J89" s="60" t="str">
        <v>Trucking</v>
      </c>
      <c r="K89" s="60" t="str">
        <v>Electrolux</v>
      </c>
      <c r="L89" s="60" t="str">
        <v>Electrolux</v>
      </c>
      <c r="M89" s="60">
        <v>0</v>
      </c>
      <c r="N89" s="60">
        <v>0</v>
      </c>
      <c r="O89" s="60" t="str">
        <v>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
For Electrolux, the deal represents a commitment to reduce environmental impact and eventually also cost by adopting cutting-edge technologies throughout the Supply Partnership to improve efficiency. For Einride it's an opportunity to grow with and learn from a global leader in manufacturing and Supply Partnership.
"Sustainability is central for us at Electrolux, and we have a strong interest in reducing our impact in every facet of the business, especially transport. By partnering with Einride to introduce electric, and with an ambition to add autonomous technology to our Supply Partnership, we're staying ahead of the curve for the short- and long-term," said Anders Linnarsson, Head of Electrolux Logistics AB.
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The operation is coordinated and scaled up with Einride's freight mobility platform, which includes dedicated shipper and carrier portals with real time updates and detailed sustainability reporting, as well as information for further implementation of electric and autonomous freight.
"To further develop and scale our groundbreaking freight mobility solutions, it is crucial to partner with like-minded organizations, those that hold sustainability and technological development as core values. Electrolux has a long history of improving our home lives and we look forward to driving the change to a better future of freight together," said Jonas Hernlund, Chief Commercial Officer (CCO) of Einride.</v>
      </c>
      <c r="P89" s="60" t="str">
        <v>Stockholm, Sweden - 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v>
      </c>
      <c r="Q89" s="60" t="str">
        <v>Strategic Alliance</v>
      </c>
      <c r="R89" s="60" t="str">
        <v>n.a.</v>
      </c>
      <c r="S89" s="60" t="str">
        <v>Product Integration</v>
      </c>
      <c r="T89" s="60" t="str">
        <v>Long term - 3 years</v>
      </c>
      <c r="U89" s="60" t="str">
        <v>-</v>
      </c>
      <c r="V89" s="60" t="str">
        <v>-</v>
      </c>
      <c r="W89" s="60" t="str">
        <v>2.3. Long term Alliance</v>
      </c>
      <c r="X89" s="60">
        <v>0</v>
      </c>
      <c r="Y89" s="60" t="str">
        <v xml:space="preserve">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v>
      </c>
      <c r="Z89" s="60" t="str">
        <v>Supply Partnership (extended)</v>
      </c>
      <c r="AA89" s="60" t="str">
        <v xml:space="preserve">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v>
      </c>
      <c r="AB89" s="60">
        <v>0</v>
      </c>
      <c r="AC89" s="60">
        <v>0</v>
      </c>
      <c r="AD89" s="60">
        <v>0</v>
      </c>
      <c r="AE89" s="60">
        <v>0</v>
      </c>
      <c r="AF89" s="60" t="str">
        <v>Einride and Electrolux enter innovation partnership to electrify transports</v>
      </c>
      <c r="AG89" s="60">
        <v>0</v>
      </c>
    </row>
    <row r="90" spans="1:49" x14ac:dyDescent="0.35">
      <c r="A90" s="60" t="str">
        <v>https://einride.tech/press/einride-and-beyond-meat-work-together</v>
      </c>
      <c r="B90" s="60" t="str">
        <v>2022, 7, 28</v>
      </c>
      <c r="C90" s="105">
        <v>44770</v>
      </c>
      <c r="D90" s="60" t="str">
        <v>Einride and Beyond Meat Work Together to Introduce Electric Vehicles to Beyond Meat's U.S. Shipping Network</v>
      </c>
      <c r="E90" s="60" t="str">
        <v>Einride</v>
      </c>
      <c r="F90" s="60" t="str">
        <v>L2</v>
      </c>
      <c r="G90" s="60" t="str">
        <v>Einride-ATV</v>
      </c>
      <c r="H90" s="60" t="str">
        <v>ATV</v>
      </c>
      <c r="I90" s="60" t="str">
        <v>Trucking</v>
      </c>
      <c r="J90" s="60" t="str">
        <v>Trucking</v>
      </c>
      <c r="K90" s="60" t="str">
        <v>Beyond Meat</v>
      </c>
      <c r="L90" s="60" t="str">
        <v>Beyond Meat</v>
      </c>
      <c r="M90" s="60">
        <v>0</v>
      </c>
      <c r="N90" s="60">
        <v>0</v>
      </c>
      <c r="O90" s="60" t="str">
        <v>Freight technology company Einride today announced that it is now working with plant-based meat company Beyond Meat to provide digital, electric transportation solutions to the company's U.S. operations.
Einride and Beyond Meat are pushing positive environmental change in their respective industries, with Einride developing greener, resilient Supply Partnerships and Beyond Meat producing plant-based proteins that are better for people and the planet. By working together, the companies are moving towards building smarter, more environmentally-friendly operations.
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"Achieving a sustainable future requires collaboration and cooperation among brands from every industry and we're thrilled to add Beyond Meat to our growing network of U.S. companies committed to creating a clean and efficient Supply Partnership," said Einride's Niklas Reinedahl, General Manager of North America. "Working with Beyond Meat was a natural fit given our aligned efforts to offer actionable products rooted in creating a more sustainable future. By offering our services to help build a more intelligent shipping system for Beyond Meat, we'll be able to reduce CO2 emissions."
"At Beyond Meat we recognize the importance of not just focusing our sustainability efforts on our products, but incorporating this mindset across our business operations as well. We are committed to optimizing the journey our products take to reach consumers' plates to make it more sustainable, and our partnership with Einride is one of many steps we are taking to make that a reality," said Christopher Pimentel, Director of Environment, Health, Safety at Beyond Meat.</v>
      </c>
      <c r="P90" s="60" t="str">
        <v>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The first phase of the partnership includes the deployment of five Einride connected electric trucks and the development, installation, and building of the charging infrastructure to support it. T</v>
      </c>
      <c r="Q90" s="60" t="str">
        <v>Strategic Alliance</v>
      </c>
      <c r="R90" s="60" t="str">
        <v>n.a.</v>
      </c>
      <c r="S90" s="60" t="str">
        <v>Product Integration</v>
      </c>
      <c r="T90" s="60" t="str">
        <v>Long term - 5 years</v>
      </c>
      <c r="U90" s="60" t="str">
        <v>-</v>
      </c>
      <c r="V90" s="60" t="str">
        <v>-</v>
      </c>
      <c r="W90" s="60" t="str">
        <v>2.3. Long term Alliance</v>
      </c>
      <c r="X90" s="60">
        <v>0</v>
      </c>
      <c r="Y90" s="60" t="str">
        <v>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v>
      </c>
      <c r="Z90" s="60" t="str">
        <v>Supply Partnership (extended)</v>
      </c>
      <c r="AA90" s="60" t="str">
        <v>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v>
      </c>
      <c r="AB90" s="60">
        <v>0</v>
      </c>
      <c r="AC90" s="60">
        <v>0</v>
      </c>
      <c r="AD90" s="60">
        <v>0</v>
      </c>
      <c r="AE90" s="60">
        <v>0</v>
      </c>
      <c r="AF90" s="60" t="str">
        <v>Einride and Beyond Meat Work Together to Introduce Electric Vehicles to Beyond Meat's U.S. Shipping Network</v>
      </c>
      <c r="AG90" s="60">
        <v>0</v>
      </c>
    </row>
    <row r="91" spans="1:49" x14ac:dyDescent="0.35">
      <c r="A91" s="60" t="str">
        <v>https://einride.tech/press/coca-cola-european-partners-teams-up-with-einride-for-sustainable-transport</v>
      </c>
      <c r="B91" s="60" t="str">
        <v>2019, 6, 12</v>
      </c>
      <c r="C91" s="105">
        <v>43628</v>
      </c>
      <c r="D91" s="60" t="str">
        <v>Coca-Cola European Partners teams up with Einride for sustainable transport</v>
      </c>
      <c r="E91" s="60" t="str">
        <v>Einride</v>
      </c>
      <c r="F91" s="60" t="str">
        <v>L2</v>
      </c>
      <c r="G91" s="60" t="str">
        <v>Einride-ATV</v>
      </c>
      <c r="H91" s="60" t="str">
        <v>ATV</v>
      </c>
      <c r="I91" s="60" t="str">
        <v>Trucking</v>
      </c>
      <c r="J91" s="60" t="str">
        <v>Trucking</v>
      </c>
      <c r="K91" s="60" t="str">
        <v>Coca - Cola</v>
      </c>
      <c r="L91" s="60" t="str">
        <v>Coca - Cola</v>
      </c>
      <c r="M91" s="60">
        <v>0</v>
      </c>
      <c r="N91" s="60">
        <v>0</v>
      </c>
      <c r="O91" s="60" t="str">
        <v>Coca-Cola European Partners is the local licensed bottling partner, responsible for all production, distribution, sales and trade marketing of the brands in the Coca-Cola portfolio in Sweden. Coca-Cola European Partners has a continuous focus on innovation and technology that is both efficient and sustainable. This step is also in line with the DLF transport initiative that was signed earlier this year aiming to achieve 100% fossil free transportation domestically by 2025.
"Our partnership with Einride is the start of a transformation journey to introduce a more sustainable and efficient transport system that will allow us to reduce our carbon footprint. As one of the leading FMCG-companies in Sweden we strive to find innovative solutions to build future capabilities. Through partnerships in innovation we can create synergies that take us forward", says Sofie Eliasson Morsink, CEO Coca-Cola European Partners Sweden.
Digitalization, electrification and automation are the most important building blocks of Einride's solution, which has the potential to reduce CO2 emissions by 90 %. The partnership with Coca-Cola European Partners will run over the next few years and explore the opportunities to improve sustainability and efficiency in the transport system.
The goal is to launch a commercial pilot at Coca-Cola European Partners' facility outside Stockholm, where the Einride autonomous vehicle will transport goods from the company's warehouse to food retailer Axfood's warehouse in the same area.
"Road freight transport is responsible for around 7 % of global CO2-emissions and has only gone through incremental changes the last decades. We are proud that a leading FMCG company like Coca-Cola European Partners has decided to join our intelligent movement. They show the industry, and society, that there is a better more sustainable solution to transport goods, which is also safer and more efficient than the system we have today", says Robert Falck, CEO &amp; Founder of Einride.</v>
      </c>
      <c r="P91" s="60" t="str">
        <v>The goal is to launch a commercial pilot at Coca-Cola European Partners' facility outside Stockholm, where the Einride autonomous vehicle will transport goods from the company's warehouse to food retailer Axfood's warehouse in the same area.
The partnership with Coca-Cola European Partners will run over the next few years and explore the opportunities to improve sustainability and efficiency in the transport system.</v>
      </c>
      <c r="Q91" s="60" t="str">
        <v>Strategic Alliance</v>
      </c>
      <c r="R91" s="60" t="str">
        <v>n.a.</v>
      </c>
      <c r="S91" s="60" t="str">
        <v>Product Integration</v>
      </c>
      <c r="T91" s="60" t="str">
        <v>Long term - 5 years</v>
      </c>
      <c r="U91" s="60" t="str">
        <v>-</v>
      </c>
      <c r="V91" s="60" t="str">
        <v>-</v>
      </c>
      <c r="W91" s="60" t="str">
        <v>2.3. Long term Alliance</v>
      </c>
      <c r="X91" s="60">
        <v>0</v>
      </c>
      <c r="Y91" s="60" t="str">
        <v>The goal is to launch a commercial pilot at Coca-Cola European Partners' facility outside Stockholm, where the Einride autonomous vehicle will transport goods from the company's warehouse to food retailer Axfood's warehouse in the same area.</v>
      </c>
      <c r="Z91" s="60" t="str">
        <v>Supply Partnership (extended)</v>
      </c>
      <c r="AA91" s="60" t="str">
        <v>The goal is to launch a commercial pilot at Coca-Cola European Partners' facility outside Stockholm, where the Einride autonomous vehicle will transport goods from the company's warehouse to food retailer Axfood's warehouse in the same area.</v>
      </c>
      <c r="AB91" s="60">
        <v>0</v>
      </c>
      <c r="AC91" s="60">
        <v>0</v>
      </c>
      <c r="AD91" s="60">
        <v>0</v>
      </c>
      <c r="AE91" s="60">
        <v>0</v>
      </c>
      <c r="AF91" s="60" t="str">
        <v>Coca-Cola European Partners teams up with Einride for sustainable transport</v>
      </c>
      <c r="AG91" s="60">
        <v>0</v>
      </c>
    </row>
    <row r="92" spans="1:49" x14ac:dyDescent="0.35">
      <c r="A92" s="60" t="str">
        <v>https://einride.tech/press/uae-grid-announcement</v>
      </c>
      <c r="B92" s="60" t="str">
        <v>2023, 5, 31</v>
      </c>
      <c r="C92" s="105">
        <v>45077</v>
      </c>
      <c r="D92" s="60" t="str">
        <v>Einride and UAE Ministry of Energy and Infrastructure Partner to Deploy Region's Largest Autonomous and Electric Fleet</v>
      </c>
      <c r="E92" s="60" t="str">
        <v>Einride</v>
      </c>
      <c r="F92" s="60" t="str">
        <v>L2</v>
      </c>
      <c r="G92" s="60" t="str">
        <v>Einride-ATV</v>
      </c>
      <c r="H92" s="60" t="str">
        <v>ATV</v>
      </c>
      <c r="I92" s="60" t="str">
        <v>Trucking</v>
      </c>
      <c r="J92" s="60" t="str">
        <v>Trucking</v>
      </c>
      <c r="K92" s="60" t="str">
        <v>UAE Ministry of Energy and Infrastructure</v>
      </c>
      <c r="L92" s="60" t="str">
        <v>UAE Ministry of Energy and Infrastructure</v>
      </c>
      <c r="M92" s="60">
        <v>0</v>
      </c>
      <c r="N92" s="60">
        <v>0</v>
      </c>
      <c r="O92" s="60" t="str">
        <v>A signed MoU with the UAE Ministry of Energy and Infrastructure (MOEI) marks the start of collaboration to deploy a freight mobility grid encompassing 550 km
The planned freight mobility grid will deploy a proposed 2,000 electric vehicles, 200 autonomous vehicles and eight charging stations
Abu Dhabi, May 31, 2023 "Einride, a freight mobility company that provides digital, electric and autonomous technology, today announces a collaboration with the UAE Government to fast track the region to sustainable shipping. The signed Memorandum of Understanding (MoU) will look to deploy Einride's ecosystem, including electric and autonomous vehicles, charging infrastructure and transforming technology that unlocks digital, electric and autonomous solutions at scale throughout the Falcon Rise grid.
"This collaboration gets to the core of what Einride provides "the transformation to effective and sustainable shipping that is fully electric," said Robert Falck, CEO and Founder. "By partnering on this deal, we'll be able to showcase how entire regions are able to make the switch in an intelligent and cost-effective way."
The Falcon Rise grid will deploy Einride's full freight mobility offering, providing over a stretch of 550 km across Abu Dhabi, Dubai, and Sharjah, encompassing 2,000 electric trucks, 200 autonomous trucks and eight charging stations with over 500 charging points. Einride's freight ecosystem is based on a grid system planned, optimized and monitored using the Einride Saga platform. The grid simplifies the management of road freight, removes industry inefficiencies, provides uninterrupted operations and significantly reduces emissions within the region.
"The establishment of the UAE Falcon Rise grid represents a significant milestone in our journey toward sustainable and intelligent transportation," said HE. Sharif Al-Olama, MOEI's Undersecretary for Energy and Petroleum Affairs. "Through this collaboration with Einride, we aim to leverage the latest technological advancements to reduce emissions and enhance the efficiency of freight operations across the region."
"We look forward to collaborating with the UAE Government to build a more sustainable and resilient transportation system, with this partnership enabling this change to be effectively deployed at scale," said Robert Ziegler, General Manager, EMEA of Einride. "Einride's offering will unlock new opportunities within the region by introducing a new way of shipping that is electric, autonomous, and digital."
,
This marks Einride's first announced project in the region, following multiple market expansions over the course of the past 12 months including Germany, the UK and Benelux. The Falcon Rise project will look to be developed over the course of five years. Einride partners have seen an up to 95% decrease in CO2 emissions while remaining cost competitive.</v>
      </c>
      <c r="P92" s="60" t="str">
        <v>the signed Memorandum of Understanding (MoU) will look to deploy Einride's ecosystem, including electric and autonomous vehicles, charging infrastructure and transforming technology that unlocks digital, electric and autonomous solutions at scale throughout the Falcon Rise grid.
The Falcon Rise grid will deploy Einride's full freight mobility offering, providing over a stretch of 550 km across Abu Dhabi, Dubai, and Sharjah, encompassing 2,000 electric trucks, 200 autonomous trucks and eight charging stations with over 500 charging points.
The Falcon Rise project will look to be developed over the course of five years. Einride partners have seen an up to 95% decrease in CO2 emissions while remaining cost competitive.</v>
      </c>
      <c r="Q92" s="60" t="str">
        <v>Strategic Alliance</v>
      </c>
      <c r="R92" s="60" t="str">
        <v>Yes</v>
      </c>
      <c r="S92" s="60" t="str">
        <v>Product Integration</v>
      </c>
      <c r="T92" s="60" t="str">
        <v>Long term - 5 years</v>
      </c>
      <c r="U92" s="60" t="str">
        <v>-</v>
      </c>
      <c r="V92" s="60" t="str">
        <v>-</v>
      </c>
      <c r="W92" s="60" t="str">
        <v>2.3. Long term Alliance</v>
      </c>
      <c r="X92" s="60">
        <v>0</v>
      </c>
      <c r="Y92" s="60" t="str">
        <v>The Falcon Rise grid will deploy Einride's full freight mobility offering, providing over a stretch of 550 km across Abu Dhabi, Dubai, and Sharjah, encompassing 2,000 electric trucks, 200 autonomous trucks and eight charging stations with over 500 charging points.</v>
      </c>
      <c r="Z92" s="60" t="str">
        <v>Supply Partnership (extended)</v>
      </c>
      <c r="AA92" s="60" t="str">
        <v>The Falcon Rise grid will deploy Einride's full freight mobility offering, providing over a stretch of 550 km across Abu Dhabi, Dubai, and Sharjah, encompassing 2,000 electric trucks, 200 autonomous trucks and eight charging stations with over 500 charging points.</v>
      </c>
      <c r="AB92" s="60">
        <v>0</v>
      </c>
      <c r="AC92" s="60">
        <v>0</v>
      </c>
      <c r="AD92" s="60">
        <v>0</v>
      </c>
      <c r="AE92" s="60">
        <v>0</v>
      </c>
      <c r="AF92" s="60" t="str">
        <v>Einride and UAE Ministry of Energy and Infrastructure Partner to Deploy Region's Largest Autonomous and Electric Fleet</v>
      </c>
      <c r="AG92" s="60">
        <v>0</v>
      </c>
    </row>
    <row r="93" spans="1:49" x14ac:dyDescent="0.35">
      <c r="A93" s="60" t="str">
        <v>https://einride.tech/press/einride-and-oatly-expand-partnership-to-north-america</v>
      </c>
      <c r="B93" s="60" t="str">
        <v>2022, 6, 9</v>
      </c>
      <c r="C93" s="105">
        <v>44721</v>
      </c>
      <c r="D93" s="60" t="str">
        <v>Einride and Oatly Expand Partnership to Electrify Oatly's North American Fleet</v>
      </c>
      <c r="E93" s="60" t="str">
        <v>Einride</v>
      </c>
      <c r="F93" s="60" t="str">
        <v>L2</v>
      </c>
      <c r="G93" s="60" t="str">
        <v>Einride-ATV</v>
      </c>
      <c r="H93" s="60" t="str">
        <v>ATV</v>
      </c>
      <c r="I93" s="60" t="str">
        <v>Trucking</v>
      </c>
      <c r="J93" s="60" t="str">
        <v>Trucking</v>
      </c>
      <c r="K93" s="60" t="str">
        <v>Oatly</v>
      </c>
      <c r="L93" s="60" t="str">
        <v>Oatly</v>
      </c>
      <c r="M93" s="60">
        <v>0</v>
      </c>
      <c r="N93" s="60">
        <v>0</v>
      </c>
      <c r="O93" s="60" t="str">
        <v>The partnership will deploy Einride's electric freight solutions including connected electric trucks, charging infrastructure and connectivity services within Oatly's North American operations
June 9, 2022 - Swedish freight technology company Einride today announced the next phase of its partnership with Oatly Group AB. The partnership will expand Einride's freight mobility solutions to Oatly's North American ground fleet by deploying connected electric vehicles through Einride's capacity as a service and software as a service offerings.
Einride's mission is to create more sustainable solutions for movement, and this initiative will support Oatly's goal to shift to 100% sustainable ground transport by 2029. Since 2020, Einride has successfully managed and operated electric trucks for Oatly in Sweden, making up the first and largest electric truck fleet in Europe.
As part of the end-to-end freight mobility solutions Einride offers, Oatly will receive the connected electric trucks, charging infrastructure and connectivity services, all powered by Einride Saga, the proprietary operating system that manages the trucks and provides a new platform for more efficient and sustainable shipping operations. Oatly's new U.S. fleet of five Einride connected electric trucks will save the company an estimated 400,000 kg of CO2 over the next year, as compared to diesel trucks on the same routes. This equates to an 87% reduction in carbon emissions on select routes with diesel trucks.
"It is important for our team to showcase a resilient business case for going electric while we are rebuilding the freight transport system from the ground up," said Einride Founder and CEO, Robert Falck. "Since Einride's inception, we have helped reduce customer CO2 emissions upwards of 90% compared to driving with diesel, and we're proud that this partnership will support Oatly's sustainability goals. The partnership with Oatly not only represents the push towards transforming the current shipping landscape, but it is proof that the technology and business model we offer is both resilient and is enabling true sustainable shipping."
At launch, Einride will manage the fleet of five electric trucks at two of Oatly's operating factories in the U.S., located in Ogden, UT and Millville, NJ. Multi-purpose routes will be scheduled routinely from Oatly plants to nearby recycling and packaging partners. Currently, Einride operates Oatly's electric fleet in Sweden, which is composed of electric trucks that operate 24/7 live transports between Oatly production facilities and warehouse partners. The Europe fleet has been active since October 2020 and within the first month of operating in Sweden, the electric truck fleet saved Oatly over 10,500 kg of CO2 compared to diesel.
With heavy road freight contributing to 7% of all global CO2 and greenhouse gas emissions, Einride is deploying a sustainable, safe and efficient shipping network that will reduce the global carbon footprint. Einride's commitment to electric power enables shippers to eliminate tailpipe emissions completely, keeping carbon emissions and local pollution to an absolute minimum. Einride's connected electric trucks are assembled to set specifications throughout the U.S. and outfitted with special telematics hardware that informs Einride's operating system, Saga, to get the most out of each electric shipment.</v>
      </c>
      <c r="P93" s="60" t="str">
        <v>Einride's mission is to create more sustainable solutions for movement, and this initiative will support Oatly's goal to shift to 100% sustainable ground transport by 2029.
Swedish freight technology company Einride today announced the next phase of its partnership with Oatly Group AB. The partnership will expand Einride's freight mobility solutions to Oatly's North American g</v>
      </c>
      <c r="Q93" s="60" t="str">
        <v>Strategic Alliance</v>
      </c>
      <c r="R93" s="60" t="str">
        <v>n.a.</v>
      </c>
      <c r="S93" s="60" t="str">
        <v>Product Integration</v>
      </c>
      <c r="T93" s="60" t="str">
        <v>Long term - Min 1 year</v>
      </c>
      <c r="U93" s="60" t="str">
        <v>Yes</v>
      </c>
      <c r="V93" s="60" t="str">
        <v>-</v>
      </c>
      <c r="W93" s="60" t="str">
        <v>2.3. Long term Alliance</v>
      </c>
      <c r="X93" s="60">
        <v>0</v>
      </c>
      <c r="Y93" s="60" t="str">
        <v>B. The partnership will expand Einride's freight mobility solutions to Oatly's North American ground fleet by deploying connected electric vehicles through Einride's capacity as a service and software as a service offerings.</v>
      </c>
      <c r="Z93" s="60" t="str">
        <v>Supply Partnership (extended)</v>
      </c>
      <c r="AA93" s="60" t="str">
        <v>B. The partnership will expand Einride's freight mobility solutions to Oatly's North American ground fleet by deploying connected electric vehicles through Einride's capacity as a service and software as a service offerings.</v>
      </c>
      <c r="AB93" s="60">
        <v>0</v>
      </c>
      <c r="AC93" s="60">
        <v>0</v>
      </c>
      <c r="AD93" s="60">
        <v>0</v>
      </c>
      <c r="AE93" s="60">
        <v>0</v>
      </c>
      <c r="AF93" s="60" t="str">
        <v>Einride and Oatly Expand Partnership to Electrify Oatly's North American Fleet</v>
      </c>
      <c r="AG93" s="60">
        <v>0</v>
      </c>
    </row>
    <row r="94" spans="1:49" x14ac:dyDescent="0.35">
      <c r="A94" s="60" t="str">
        <v>https://einride.tech/press/first-fulltime-autonomous-operations</v>
      </c>
      <c r="B94" s="60" t="str">
        <v>2023, 11, 13</v>
      </c>
      <c r="C94" s="105">
        <v>44939</v>
      </c>
      <c r="D94" s="60" t="str">
        <v>Einride Deploys First Full Time, Daily Autonomous Operations In Partnership With GE Appliances</v>
      </c>
      <c r="E94" s="60" t="str">
        <v>Einride</v>
      </c>
      <c r="F94" s="60" t="str">
        <v>L2</v>
      </c>
      <c r="G94" s="60" t="str">
        <v>Einride-ATV</v>
      </c>
      <c r="H94" s="60" t="str">
        <v>ATV</v>
      </c>
      <c r="I94" s="60" t="str">
        <v>Trucking</v>
      </c>
      <c r="J94" s="60" t="str">
        <v>Trucking</v>
      </c>
      <c r="K94" s="60" t="str">
        <v>GE Appliances</v>
      </c>
      <c r="L94" s="60" t="str">
        <v>GE Appliances</v>
      </c>
      <c r="M94" s="60">
        <v>0</v>
      </c>
      <c r="N94" s="60">
        <v>0</v>
      </c>
      <c r="O94" s="60" t="str">
        <v xml:space="preserve">Deployment of an unmanned, purpose built autonomous vehicle showcasing business case for commercializing autonomous
The Einride autonomous vehicle is now transporting goods daily in Selmer, TN from GE Appliances' factory to its warehouse
November 13, 2023 "Einride, a freight mobility company that provides digital, electric and autonomous technology, announced today the deployment of full time operations with its autonomous vehicle. The operations, in partnership with GE Appliances, a Haier company, mark an important step in the integration of autonomous transportation supporting full time commercial flows.
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 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
"We are very proud to partner with GEA and be able to lead the industry in providing autonomous technology and deploying it in the strongest commercial use case today," said Henrik Green, General Manager, Autonomous Technologies at Einride. "We look forward to continuing this work to establish autonomous' key role in transportation, both with GEA and other partners across markets."
The Einride autonomous vehicle is part of a larger interoperability project in Selmer to create an automated logistics flow that improves employee ergonomics and safety around the loading docks and increases efficiency. Additional GE Appliances partners include TaskWatch and Slip robotics. TaskWatch's AI cameras trigger a control board to raise and lower the dock doors, dock plate, lock the Einride autonomous vehicle into place and notify the Slip robot that the autonomous vehicle is ready for loading. The Slip then autonomously loads and unloads the vehicle, reducing loading times by 80%. Einride's connectivity partner Ericsson provided the private network to ensure reliable communication between the vehicle and the remote operator on site. Tiffany Heathcott, the first remote operator hired by Einride, is onsite to monitor the vehicle.
"Our partnership with Einride in Selmer reflects our evolved approach to robotics and automation technology," says Harry Chase, Senior Director of Central Materials at GE Appliances. "We are moving from implementing one-off solutions addressing various challenges to creating interoperability among systems that can build consistency and streamline processes in our factories and throughout our Supply Partnership. This implementation in Selmer is helping us reduce emissions, allowing our employees to focus on high value tasks, reducing traffic in congested areas to create a safer work environment, and eliminating some of the most challenging ergonomic tasks like climbing on and off a forklift and hooking and unhooking trailers. We believe robotics and automation technology should work with and for people to improve their jobs."
</v>
      </c>
      <c r="P94" s="60" t="str">
        <v>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v>
      </c>
      <c r="Q94" s="60" t="str">
        <v>Strategic Alliance</v>
      </c>
      <c r="R94" s="60" t="str">
        <v>n.a.</v>
      </c>
      <c r="S94" s="60" t="str">
        <v>Product Integration</v>
      </c>
      <c r="T94" s="60" t="str">
        <v>Long term</v>
      </c>
      <c r="U94" s="60" t="str">
        <v>Yes</v>
      </c>
      <c r="V94" s="60" t="str">
        <v>-</v>
      </c>
      <c r="W94" s="60" t="str">
        <v>2.3. Long term Alliance</v>
      </c>
      <c r="X94" s="60">
        <v>0</v>
      </c>
      <c r="Y94" s="60" t="str">
        <v>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v>
      </c>
      <c r="Z94" s="60" t="str">
        <v>Supply Partnership (extended)</v>
      </c>
      <c r="AA94" s="60" t="str">
        <v>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v>
      </c>
      <c r="AB94" s="60">
        <v>0</v>
      </c>
      <c r="AC94" s="60">
        <v>0</v>
      </c>
      <c r="AD94" s="60">
        <v>0</v>
      </c>
      <c r="AE94" s="60">
        <v>0</v>
      </c>
      <c r="AF94" s="60" t="str">
        <v>Einride Deploys First Full Time, Daily Autonomous Operations In Partnership With GE Appliances</v>
      </c>
      <c r="AG94" s="60">
        <v>0</v>
      </c>
    </row>
    <row r="95" spans="1:49" x14ac:dyDescent="0.35">
      <c r="A95" s="60" t="str">
        <v>https://einride.tech/press/einride-partners-with-lidl-to-reduce-emissions</v>
      </c>
      <c r="B95" s="60" t="str">
        <v>2017, 10, 25</v>
      </c>
      <c r="C95" s="105">
        <v>42760</v>
      </c>
      <c r="D95" s="60" t="str">
        <v>Einride, a Swedish self-driving transportation startup, partners with Lidl to reduce emissions by up to 93 percent</v>
      </c>
      <c r="E95" s="60" t="str">
        <v>Einride</v>
      </c>
      <c r="F95" s="60" t="str">
        <v>L2</v>
      </c>
      <c r="G95" s="60" t="str">
        <v>Einride-ATV</v>
      </c>
      <c r="H95" s="60" t="str">
        <v>ATV</v>
      </c>
      <c r="I95" s="60" t="str">
        <v>Trucking</v>
      </c>
      <c r="J95" s="60" t="str">
        <v>Trucking</v>
      </c>
      <c r="K95" s="60" t="str">
        <v>Lidl</v>
      </c>
      <c r="L95" s="60" t="str">
        <v>Lidl</v>
      </c>
      <c r="M95" s="60">
        <v>0</v>
      </c>
      <c r="N95" s="60">
        <v>0</v>
      </c>
      <c r="O95" s="60" t="str">
        <v>Einride has just announced it is partnering with Lidl as Lidl begins an exciting and ambitious transition to electric, self-driving transportation. The partnership will bring Einride one step closer to its goal of reducing Sweden's greenhouse emissions by 40 percent by 2035, and will play a major role in Lidl Sweden's ongoing sustainability mission. Lidl is an affordable and established European supermarket chain that recently arrived in the United States, and plans to open 100 locations on the East Coast by mid-2018. In 2017, Lidl was the first supermarket in Sweden to compensate for its emissions.
If all goes as planned, Lidl Sweden and Einride will roll out the pilot Einride Pod program in the third quarter of 2018.
Johannes Fieber, CEO of Lidl Sweden, says, "The supermarket industry is very transport intensive and will continue to produce high emissions as long as it is dependent on fossil fuel technology. During the 2016/2017 fiscal year, Lidl completely switched to alternative fuels such as electricity, natural gas, biodiesel or eco-labeled diesel, which reduced the environmental impact of transport by 25 percent. By switching to electric trucks, transport emissions can decrease by up to 93 percent. Einride's self-driving Einride Pod is a big step forward in Lidl's battle for fossil free transport."
Sweden's Transport Agency released a mandate granting permits to self-driving vehicles on public roads in July 2017. Einride and Lidl have contacted the Transport Agency and are planning to submit a license application in November 2017.
Robert Falck, CEO of Einride, says: "Domestic road transport is responsible for approximately 30 percent of Sweden's greenhouse gas emissions. Our goal is for the Einride pod to be used in 40 percent of Swedish road transport by 2035, which would reduce Swedish greenhouse gas emissions by an equivalent 40 percent. Collaboration with Lidl is an importahnt step towards that goal."
Einride and Lidl will begin testing in Halmstad.</v>
      </c>
      <c r="P95" s="60" t="str">
        <v>Sweden's Transport Agency released a mandate granting permits to self-driving vehicles on public roads in July 2017. Einride and Lidl have contacted the Transport Agency and are planning to submit a license application in November 2017.</v>
      </c>
      <c r="Q95" s="60" t="str">
        <v>Strategic Alliance</v>
      </c>
      <c r="R95" s="60" t="str">
        <v>n.a.</v>
      </c>
      <c r="S95" s="60" t="str">
        <v>Product Integration</v>
      </c>
      <c r="T95" s="60" t="str">
        <v>-</v>
      </c>
      <c r="U95" s="60" t="str">
        <v>Yes</v>
      </c>
      <c r="V95" s="60" t="str">
        <v>-</v>
      </c>
      <c r="W95" s="60" t="str">
        <v xml:space="preserve">2.2. Renewed Alliance </v>
      </c>
      <c r="X95" s="60">
        <v>0</v>
      </c>
      <c r="Y95" s="60" t="str">
        <v>By switching to electric trucks, transport emissions can decrease by up to 93 percent. Einride's self-driving Einride Pod is a big step forward in Lidl's battle for fossil free transport."</v>
      </c>
      <c r="Z95" s="60" t="str">
        <v>Supply Partnership (extended)</v>
      </c>
      <c r="AA95" s="60" t="str">
        <v>By switching to electric trucks, transport emissions can decrease by up to 93 percent. Einride's self-driving Einride Pod is a big step forward in Lidl's battle for fossil free transport."</v>
      </c>
      <c r="AB95" s="60">
        <v>0</v>
      </c>
      <c r="AC95" s="60">
        <v>0</v>
      </c>
      <c r="AD95" s="60">
        <v>0</v>
      </c>
      <c r="AE95" s="60">
        <v>0</v>
      </c>
      <c r="AF95" s="60" t="str">
        <v>Einride, a Swedish self-driving transportation startup, partners with Lidl to reduce emissions by up to 93 percent</v>
      </c>
      <c r="AG95" s="60">
        <v>0</v>
      </c>
      <c r="AN95" s="114" t="s">
        <v>1950</v>
      </c>
      <c r="AS95" s="128" t="s">
        <v>405</v>
      </c>
      <c r="AW95" s="128" t="s">
        <v>273</v>
      </c>
    </row>
    <row r="96" spans="1:49" x14ac:dyDescent="0.35">
      <c r="A96" s="60" t="str">
        <v>https://gatik.ai/wp-content/uploads/Goodyear-Invests-in-Autonomous-Trucking-Company-Gatik-and-Collaborates-to-Enhance-Safety-and-Efficiency_28.9.2021.pdf</v>
      </c>
      <c r="B96" s="60" t="str">
        <v>2021, 9, 28</v>
      </c>
      <c r="C96" s="105">
        <v>44467</v>
      </c>
      <c r="D96" s="60" t="str">
        <v>Goodyear Invests in Autonomous Trucking Company Gatik and Collaborates to Enhance Safety and Efficiency for Autonomous Middle Mile Logistics</v>
      </c>
      <c r="E96" s="60" t="str">
        <v>Gatik</v>
      </c>
      <c r="F96" s="60" t="str">
        <v>L1</v>
      </c>
      <c r="G96" s="60" t="str">
        <v>Gatik-ATV</v>
      </c>
      <c r="H96" s="60" t="str">
        <v>ATV</v>
      </c>
      <c r="I96" s="60" t="str">
        <v>Trucking</v>
      </c>
      <c r="J96" s="60" t="str">
        <v>Trucking</v>
      </c>
      <c r="K96" s="60" t="str">
        <v>Goodyear</v>
      </c>
      <c r="L96" s="60" t="str">
        <v>Goodyear</v>
      </c>
      <c r="M96" s="60">
        <v>0</v>
      </c>
      <c r="N96" s="60">
        <v>0</v>
      </c>
      <c r="O96" s="60" t="str">
        <v>Goodyear  and Gatik today announced a multi-year collaboration with a goal to advance the development of mobility solutions for the autonomous B2B short-haul logistics industry. The collaboration will contribute to safer, more sustainable goods movement while reducing costs for Gatik's customers in the B2B short-haul market nationwide.
Gatik has established the first autonomous middle mile logistics network in North America and is rapidly expanding its fleet of Class 3-6 autonomous box trucks for
customers in multiple markets, including Texas, Arkansas, Louisiana and Ontario. Goodyear, a leader in connected mobility, is one of the world's largest tire companies with over 120 years' experience in developing state-of-the-art products and services that set technology and performance standards for the industry. This national collaboration expands service levels and capacity for both organizations across the U.S.
Under the collaboration, Goodyear's venture capital fund,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As Gatik commercializes its operations at scale, the use of tire intelligence solutions is expected to help reduce fuel and maintenance costs while increasing operational efficiencies for retailers, e-commerce companies and distributors employing Gatik's autonomous solution.
"By leveraging our advanced tire intelligence solutions, Goodyear can help improve vehicle performance and safety in autonomous transportation," said Chris Helsel, Goodyear's senior vice president, global operations and chief technology officer. "Together, Goodyear and Gatik will combine our innovative technologies to help bring more efficiency in the increasingly important middle mile segment."
"The benefits of Goodyear's tire intelligence technology are grounded in enhancing safety, increasing efficiency and reducing costs "principles which are absolutely
fundamental to Gatik's mission and success," said Arjun Narang, CTO and co-founder, Gatik. "This collaboration will enable us to further increase the value we offer our customers across the continent and help define new standards in safety and sustainability for the B2B short-haul sector."
"Gatik's mission to deliver goods safely and efficiently using autonomous vehicles aligns
with our investment strategy, making them a great addition to our portfolio, which
already includes key autonomous delivery players in the long-haul and last-mile delivery
markets," said Abhijit Ganguly, managing director, Goodyear Ventures. "We believe this
investment is a strong strategic fit for Goodyear as we seek to learn more about the
implications of autonomous technologies in middle mile delivery and logistics."</v>
      </c>
      <c r="P96" s="60" t="str">
        <v xml:space="preserve">Goodyear  and Gatik today announced a multi-year collaboration with a goal to advance the development of mobility solutions for the autonomous B2B short-haul logistics industry. 
Under the collaboration, Goodyear's venture capital fund, Goodyear Ventures, participated in Gatik's recently announced Series B funding and the companies will work on multiple innovative projects. </v>
      </c>
      <c r="Q96" s="60" t="str">
        <v>Strategic Partnership</v>
      </c>
      <c r="R96" s="60" t="str">
        <v>n.a.</v>
      </c>
      <c r="S96" s="60" t="str">
        <v>Product cooperation</v>
      </c>
      <c r="T96" s="60" t="str">
        <v>Long term - multi year</v>
      </c>
      <c r="U96" s="60" t="str">
        <v>-</v>
      </c>
      <c r="V96" s="60" t="str">
        <v>-</v>
      </c>
      <c r="W96" s="60" t="str">
        <v>3. Strategic Partnership</v>
      </c>
      <c r="X96" s="60">
        <v>0</v>
      </c>
      <c r="Y96" s="60" t="str">
        <v xml:space="preserve">with a goal to advance the development of mobility solutions for the autonomous B2B short-haul logistics industry. The collaboration will contribute to safer, more sustainable goods movement while reducing costs for Gatik's customers in the B2B short-haul market nationwide.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v>
      </c>
      <c r="Z96" s="60" t="str">
        <v>Other</v>
      </c>
      <c r="AA96" s="60" t="str">
        <v>Goodyear Ventures, participated in Gatik's recently announced Series B funding and the companies will work on multiple innovative projects.</v>
      </c>
      <c r="AB96" s="60" t="str">
        <v>Supply Partnership (traditional)</v>
      </c>
      <c r="AC96" s="60" t="str">
        <v xml:space="preserve">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v>
      </c>
      <c r="AD96" s="60" t="str">
        <v>Joint D&amp;D</v>
      </c>
      <c r="AE96" s="60" t="str">
        <v>with a goal to advance the development of mobility solutions for the autonomous B2B short-haul logistics industry. The collaboration will contribute to safer, more sustainable goods movement while reducing costs for Gatik's customers in the B2B short-haul market nationwide.</v>
      </c>
      <c r="AF96" s="60" t="str">
        <v>Goodyear Invests in Autonomous Trucking Company Gatik and Collaborates</v>
      </c>
      <c r="AG96" s="60" t="str">
        <v>to Enhance Safety and Efficiency for Autonomous Middle Mile Logistics</v>
      </c>
      <c r="AN96" s="129" t="s">
        <v>2056</v>
      </c>
      <c r="AS96" s="129" t="s">
        <v>2056</v>
      </c>
      <c r="AW96" s="129" t="s">
        <v>2056</v>
      </c>
    </row>
    <row r="97" spans="1:51" x14ac:dyDescent="0.35">
      <c r="A97" s="60" t="str">
        <v>https://gatik.ai/wp-content/uploads/Ryder-Invests-in-Gatik-and-Partners-to-Establish-North-American-Autonomous-Delivery-Network-for-B2B-Short-Haul-Logistics_19.10.2021.pdf</v>
      </c>
      <c r="B97" s="60" t="str">
        <v>2021, 10, 19</v>
      </c>
      <c r="C97" s="105">
        <v>44215</v>
      </c>
      <c r="D97" s="60" t="str">
        <v>Ryder Invests in Gatik and Partners to Establish North American Autonomous Delivery Network for B2B Short-Haul Logistics</v>
      </c>
      <c r="E97" s="60" t="str">
        <v>Gatik</v>
      </c>
      <c r="F97" s="60" t="str">
        <v>L1</v>
      </c>
      <c r="G97" s="60" t="str">
        <v>Gatik-ATV</v>
      </c>
      <c r="H97" s="60" t="str">
        <v>ATV</v>
      </c>
      <c r="I97" s="60" t="str">
        <v>Trucking</v>
      </c>
      <c r="J97" s="60" t="str">
        <v>Trucking</v>
      </c>
      <c r="K97" s="60" t="str">
        <v>Ryder</v>
      </c>
      <c r="L97" s="60" t="str">
        <v>Ryder</v>
      </c>
      <c r="M97" s="60">
        <v>0</v>
      </c>
      <c r="N97" s="60">
        <v>0</v>
      </c>
      <c r="O97" s="60" t="str">
        <v>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and partner with early-stage companies that are developing new technologies and business models that deliver advancements and automation in the logistics and transportation industries. The funding represents RyderVentures' first investment in an autonomous trucking company. 
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Going forward, Ryder and Gatik will explore opportunities for Ryder to manage the logistics operations of the autonomous fleet as well, allowing Gatik to focus on its unique, end-to-end ADaaS business model and manage long-standing relationships with its customer base. 
"The combination of maintaining direct relationships with customers while being asset-light has never been achieved in the autonomous trucking industry before," said Gautam Narang, CEO and co-founder, Gatik. "This partnership enables us to benefit from Ryder's world-class expertise in commercial vehicle servicing and maintenance, and leverage Ryder's North American infrastructure to expand our fleet to multiple markets quickly. Ryder has consistently demonstrated commitment to innovation and serving their customers' needs "core principles that resonated deeply with us."
The goal of the partnership is to expand quickly across the U.S. and Canada, with the initial focus on the Dallas-Fort Worth area. 
"One of our focus areas, not only for RyderVentures but for Ryder as a company, is on autonomous trucking technology. It's on track to solve a host of industry pain points. Think about ever-escalating consumer demands combined with capacity constraints, driver shortages, and regulatory and safety pressures," says Karen Jones, chief marketing officer and head of new product development for Ryder. "Gatik's commitment to safety, focus on efficiency and affordability, and unique approach to structured autonomy make it a leader in autonomous middle-mile delivery”and a great partner for Ryder." 
list and as a World Economic Forum Technology Pioneer</v>
      </c>
      <c r="P97" s="60" t="str">
        <v xml:space="preserve">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v>
      </c>
      <c r="Q97" s="60" t="str">
        <v>Strategic Partnership</v>
      </c>
      <c r="R97" s="60" t="str">
        <v>n.a.</v>
      </c>
      <c r="S97" s="60" t="str">
        <v>Product cooperation</v>
      </c>
      <c r="T97" s="60" t="str">
        <v>Long term - multi year</v>
      </c>
      <c r="U97" s="60" t="str">
        <v>-</v>
      </c>
      <c r="V97" s="60" t="str">
        <v>-</v>
      </c>
      <c r="W97" s="60" t="str">
        <v>3. Strategic Partnership</v>
      </c>
      <c r="X97" s="60">
        <v>0</v>
      </c>
      <c r="Y97" s="60" t="str">
        <v xml:space="preserve">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v>
      </c>
      <c r="Z97" s="60" t="str">
        <v>Supply Partnership (traditional)</v>
      </c>
      <c r="AA97" s="60" t="str">
        <v>Through the broader partnership, Gatik will lease from Ryder a fleet of medium-duty, multi-temperature box trucks designed for transporting goods to retail locations from micro-fulfillment centers or dark stores”distribution centers that cater exclusively to e-commerce.</v>
      </c>
      <c r="AB97" s="60" t="str">
        <v>Joint Service Agreement</v>
      </c>
      <c r="AC97" s="60" t="str">
        <v xml:space="preserve">In addition to providing the leased vehicles, Ryder will service and maintain the trucks, including calibration of autonomous vehicle sensors and the necessary pre- and post-trip inspections. </v>
      </c>
      <c r="AD97" s="60">
        <v>0</v>
      </c>
      <c r="AE97" s="60">
        <v>0</v>
      </c>
      <c r="AF97" s="60" t="str">
        <v xml:space="preserve">Ryder Invests in Gatik and Partners </v>
      </c>
      <c r="AG97" s="60" t="str">
        <v>to Establish North American Autonomous Delivery Network for B2B Short-Haul Logistics</v>
      </c>
      <c r="AM97" t="b">
        <f>EXACT(AO97,SUM(AT97,AX97))</f>
        <v>1</v>
      </c>
      <c r="AN97" t="str" cm="1">
        <f t="array" ref="AN97:AN121">_xlfn.UNIQUE(_xlfn._xlws.FILTER(AO2:AO89,AO2:AO89&lt;&gt;""))</f>
        <v>Automotive Supplier</v>
      </c>
      <c r="AO97" s="100">
        <f>COUNTIF($AO$1:$AO$88,$AN97)</f>
        <v>8</v>
      </c>
      <c r="AP97" s="101">
        <f t="shared" ref="AP97:AP121" si="11">$AO97/SUM($AO$97:$AO$122)</f>
        <v>9.4117647058823528E-2</v>
      </c>
      <c r="AS97" s="94" t="str" cm="1">
        <f t="array" ref="AS97:AS121">_xlfn.UNIQUE(_xlfn._xlws.FILTER(AO2:AO89,AO2:AO89&lt;&gt;""))</f>
        <v>Automotive Supplier</v>
      </c>
      <c r="AT97">
        <f>COUNTIF($AT$1:$AT$82,$AS97)</f>
        <v>8</v>
      </c>
      <c r="AU97" s="101">
        <f t="shared" ref="AU97:AU121" si="12">$AT97/SUM($AT$97:$AT$122)</f>
        <v>0.14035087719298245</v>
      </c>
      <c r="AW97" s="94" t="str" cm="1">
        <f t="array" ref="AW97:AW121">_xlfn.UNIQUE(_xlfn._xlws.FILTER(AO2:AO89,AO2:AO89&lt;&gt;""))</f>
        <v>Automotive Supplier</v>
      </c>
      <c r="AX97">
        <f t="shared" ref="AX97:AX121" si="13">COUNTIF($AX$2:$AX$39,$AW97)</f>
        <v>0</v>
      </c>
      <c r="AY97" s="101">
        <f t="shared" ref="AY97:AY121" si="14">$AX97/SUM($AX$97:$AX$121)</f>
        <v>0</v>
      </c>
    </row>
    <row r="98" spans="1:51" x14ac:dyDescent="0.35">
      <c r="A98" s="60" t="str">
        <v>https://gatik.ai/wp-content/uploads/Gatik-and-Walmart-Partner-to-Enable-AV-Legislation-in-Kansas_18.05.2022.pdf</v>
      </c>
      <c r="B98" s="60" t="str">
        <v>2022, 5, 18</v>
      </c>
      <c r="C98" s="105">
        <v>44699</v>
      </c>
      <c r="D98" s="60" t="str">
        <v>Gatik and Walmart Partner to Enable AV Legislation in Kansas</v>
      </c>
      <c r="E98" s="60" t="str">
        <v>Gatik</v>
      </c>
      <c r="F98" s="60" t="str">
        <v>L1</v>
      </c>
      <c r="G98" s="60" t="str">
        <v>Gatik-ATV</v>
      </c>
      <c r="H98" s="60" t="str">
        <v>ATV</v>
      </c>
      <c r="I98" s="60" t="str">
        <v>Trucking</v>
      </c>
      <c r="J98" s="60" t="str">
        <v>Trucking</v>
      </c>
      <c r="K98" s="60" t="str">
        <v>Walmart</v>
      </c>
      <c r="L98" s="60" t="str">
        <v>Walmart</v>
      </c>
      <c r="M98" s="60">
        <v>0</v>
      </c>
      <c r="N98" s="60">
        <v>0</v>
      </c>
      <c r="O98" s="60" t="str">
        <v>Gatik, the market leader in autonomous middle mile logistics, today announced that it will be expanding
operations to Kansas following the signing of Senate Bill 313 into law by Governor
Laura Kelly. The law enables the deployment of fully autonomous trucks on public roads
in the state, paving the way for enhanced road safety, increased product flow, lower
costs and higher asset utilization on the Supply Partnership.
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Prior
to commencing operations, Gatik will work closely with state and local authorities to
provide education and training sessions to law enforcement and first responders as part
of the company's industry-leading stakeholder engagement strategy.
"We are excited to bring our autonomous fleet to the state of Kansas, and ensure that
the advantages of autonomous delivery on the middle mile can be realized by Kansans
in the near-term," said Richard Steiner, Head of Policy, Gatik. "We applaud Governor
Kelly for taking a proactive approach to enabling the safe deployment of autonomous
vehicles, and look forward to laying down roots in the state of Kansas, creating a wealth
of new jobs and delivering essential goods to Kansans with speed and efficiency."
Gatik and Walmart have an impressive track record of working closely with state
legislators and regulators across multiple jurisdictions. In 2019, Walmart and Gatik
proposed legislation in Arkansas to pave the way for commercial operations to
commence and in 2020, the companies received the first approval ever granted by the
Arkansas State Highway Commission to remove the safety driver from Gatik's
autonomous trucks, following the completion of 18 months' successful operations. The
new legislation in Kansas sees the Sunflower State become the 25th in the US to allow
fully autonomous vehicles to operate on public roads.
Since commencing commercial operations in 2019, Gatik has achieved a 100 percent
safety record across multiple operational sites in North America - including Arkansas,
Texas, Louisiana and Ontario - and in 2021 became the first company to operate fully
driverless commercial deliveries on a middle mile delivery route anywhere in the world
with Walmart, in their home state of Arkansas. Gatik focuses exclusively on fixed,
repeatable delivery routes to maximize safety, meet consumer demand for real-time
access to goods, and establish reliability and sustainability on the Supply Partnership's middle
mile.</v>
      </c>
      <c r="P98" s="60" t="str">
        <v xml:space="preserve">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v>
      </c>
      <c r="Q98" s="60" t="str">
        <v>Informal Agreement</v>
      </c>
      <c r="R98" s="60" t="str">
        <v>n.a.</v>
      </c>
      <c r="S98" s="60" t="str">
        <v>One time - Regulation</v>
      </c>
      <c r="T98" s="60" t="str">
        <v>-</v>
      </c>
      <c r="U98" s="60" t="str">
        <v>-</v>
      </c>
      <c r="V98" s="60" t="str">
        <v>-</v>
      </c>
      <c r="W98" s="60" t="str">
        <v>1. Informal Agreement</v>
      </c>
      <c r="X98" s="60">
        <v>0</v>
      </c>
      <c r="Y98" s="60" t="str">
        <v>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v>
      </c>
      <c r="Z98" s="60" t="str">
        <v>Other</v>
      </c>
      <c r="AA98" s="60" t="str">
        <v>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v>
      </c>
      <c r="AB98" s="60">
        <v>0</v>
      </c>
      <c r="AC98" s="60">
        <v>0</v>
      </c>
      <c r="AD98" s="60">
        <v>0</v>
      </c>
      <c r="AE98" s="60">
        <v>0</v>
      </c>
      <c r="AF98" s="60" t="str">
        <v xml:space="preserve">Gatik and Walmart Partner to Enable </v>
      </c>
      <c r="AG98" s="60" t="str">
        <v>AV Legislation in Kansas</v>
      </c>
      <c r="AM98" t="b">
        <f t="shared" ref="AM98:AM121" si="15">EXACT(AO98,SUM(AT98,AX98))</f>
        <v>1</v>
      </c>
      <c r="AN98" t="str">
        <v>Logistics</v>
      </c>
      <c r="AO98" s="100">
        <f t="shared" ref="AO98:AO121" si="16">COUNTIF($AO$1:$AO$88,$AN98)</f>
        <v>13</v>
      </c>
      <c r="AP98" s="101">
        <f t="shared" si="11"/>
        <v>0.15294117647058825</v>
      </c>
      <c r="AS98" s="58" t="str">
        <v>Logistics</v>
      </c>
      <c r="AT98">
        <f t="shared" ref="AT98:AT121" si="17">COUNTIF($AT$1:$AT$82,$AS98)</f>
        <v>12</v>
      </c>
      <c r="AU98" s="101">
        <f t="shared" si="12"/>
        <v>0.21052631578947367</v>
      </c>
      <c r="AW98" s="41" t="str">
        <v>Logistics</v>
      </c>
      <c r="AX98">
        <f t="shared" si="13"/>
        <v>1</v>
      </c>
      <c r="AY98" s="101">
        <f t="shared" si="14"/>
        <v>3.5714285714285712E-2</v>
      </c>
    </row>
    <row r="99" spans="1:51" x14ac:dyDescent="0.35">
      <c r="A99" s="60" t="str">
        <v>https://gatik.ai/wp-content/uploads/Gatik-Partners-with-ChargePoint-to-Develop-Electric-Ecosystem_28.3.2022.pdf</v>
      </c>
      <c r="B99" s="60" t="str">
        <v>2022, 3, 28</v>
      </c>
      <c r="C99" s="105">
        <v>44648</v>
      </c>
      <c r="D99" s="60" t="str">
        <v>ChargePoint and Gatik partner to develop an electric ecosystem for autonomous electric medium-duty trucks</v>
      </c>
      <c r="E99" s="60" t="str">
        <v>Gatik</v>
      </c>
      <c r="F99" s="60" t="str">
        <v>L1</v>
      </c>
      <c r="G99" s="60" t="str">
        <v>Gatik-ATV</v>
      </c>
      <c r="H99" s="60" t="str">
        <v>ATV</v>
      </c>
      <c r="I99" s="60" t="str">
        <v>Last-Mile</v>
      </c>
      <c r="J99" s="60" t="str">
        <v>Trucking</v>
      </c>
      <c r="K99" s="60" t="str">
        <v>ChargePoint</v>
      </c>
      <c r="L99" s="60" t="str">
        <v>ChargePoint</v>
      </c>
      <c r="M99" s="60">
        <v>0</v>
      </c>
      <c r="N99" s="60">
        <v>0</v>
      </c>
      <c r="O99" s="60" t="str">
        <v xml:space="preserve">ChargePoint (NYSE: CHPT), a leading electric vehicle (EV) charging network, and 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
role in helping to decarbonize the B2B short-haul logistics sector and will offer a simple and seamless solution to help Gatik and ChargePoint's customers meet their corporate sustainability goals. 
"Our partnership with Gatik will help more fleets to realize their e-mobility and decarbonization
goals," said Rich Mohr, Vice President, Fleet at ChargePoint. "ChargePoint has proven experience across multiple customer applications and use cases. Together, ChargePoint and Gatik will provide industry-leading infrastructure and technologies for forward-thinking fleets."
"Gatik's autonomous electric fleet is uniquely positioned to increase efficiency and reliability across the Supply Partnership's middle mile, and drive sustainability across critical operational metrics for our customers," said Arjun Narang, Co-founder and CTO at Gatik. "Our partnership with ChargePoint will ensure that we're not only meeting intensifying demand for our product offering and service, but offering our customers access to national charging infrastructure and a wealth of technical advantages to support them in meeting their corporate sustainability goals.
"Customers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 This strategic electric ecosystem collaboration for the middle mile will play a key role in the electrified logistics sector. 
Powered by ChargePoint's scalable and reliable charging technology, Gatik launched the industry's first autonomous electric box trucks with Walmart in 2021, a groundbreaking solution offering hyper-efficient goods movement, significant emissions reductions and impactful savings on fuel and powertrain maintenance costs. As the retail, E-commerce and logistics sectors look to decrease their carbon footprints, demand for Gatik's product offering among national retail </v>
      </c>
      <c r="P99" s="60" t="str">
        <v>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v>
      </c>
      <c r="Q99" s="60" t="str">
        <v>Strategic ALliance</v>
      </c>
      <c r="R99" s="60" t="str">
        <v>n.a.</v>
      </c>
      <c r="S99" s="60" t="str">
        <v>Product cooperation</v>
      </c>
      <c r="T99" s="60" t="str">
        <v>-</v>
      </c>
      <c r="U99" s="60" t="str">
        <v>-</v>
      </c>
      <c r="V99" s="60" t="str">
        <v>-</v>
      </c>
      <c r="W99" s="60" t="str">
        <v>2.1. Short term Alliance (no exclusivity / previous experience)</v>
      </c>
      <c r="X99" s="60">
        <v>0</v>
      </c>
      <c r="Y99" s="60" t="str">
        <v>€Customers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v>
      </c>
      <c r="Z99" s="60" t="str">
        <v>Joint D&amp;D</v>
      </c>
      <c r="AA99" s="60" t="str">
        <v>€Customers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v>
      </c>
      <c r="AB99" s="60">
        <v>0</v>
      </c>
      <c r="AC99" s="60">
        <v>0</v>
      </c>
      <c r="AD99" s="60">
        <v>0</v>
      </c>
      <c r="AE99" s="60">
        <v>0</v>
      </c>
      <c r="AF99" s="60" t="str">
        <v>ChargePoint and Gatik partner to develop an electric ecosystem for autonomous electric medium-duty trucks</v>
      </c>
      <c r="AG99" s="60">
        <v>0</v>
      </c>
      <c r="AM99" t="b">
        <f t="shared" si="15"/>
        <v>1</v>
      </c>
      <c r="AN99" t="str">
        <v>Autonomous Vehicles</v>
      </c>
      <c r="AO99" s="100">
        <f t="shared" si="16"/>
        <v>9</v>
      </c>
      <c r="AP99" s="101">
        <f t="shared" si="11"/>
        <v>0.10588235294117647</v>
      </c>
      <c r="AS99" t="str">
        <v>Autonomous Vehicles</v>
      </c>
      <c r="AT99">
        <f t="shared" si="17"/>
        <v>5</v>
      </c>
      <c r="AU99" s="101">
        <f t="shared" si="12"/>
        <v>8.771929824561403E-2</v>
      </c>
      <c r="AW99" t="str">
        <v>Autonomous Vehicles</v>
      </c>
      <c r="AX99">
        <f t="shared" si="13"/>
        <v>4</v>
      </c>
      <c r="AY99" s="101">
        <f t="shared" si="14"/>
        <v>0.14285714285714285</v>
      </c>
    </row>
    <row r="100" spans="1:51" x14ac:dyDescent="0.35">
      <c r="A100" s="60" t="str">
        <v>https://gatik.ai/wp-content/uploads/Isuzu-and-Gatik-Form-Strategic-Collaboration_22.03.2021.pdf</v>
      </c>
      <c r="B100" s="60" t="str">
        <v>2021, 3, 22</v>
      </c>
      <c r="C100" s="105">
        <v>44277</v>
      </c>
      <c r="D100" s="60" t="str">
        <v>Isuzu Commercial Truck of America and Gatik Form Strategic Collaboration to Develop and Evaluate Fully Autonomous Medium Duty Truck</v>
      </c>
      <c r="E100" s="60" t="str">
        <v>Gatik</v>
      </c>
      <c r="F100" s="60" t="str">
        <v>L1</v>
      </c>
      <c r="G100" s="60" t="str">
        <v>Gatik-ATV</v>
      </c>
      <c r="H100" s="60" t="str">
        <v>ATV</v>
      </c>
      <c r="I100" s="60" t="str">
        <v>Last-Mile</v>
      </c>
      <c r="J100" s="60" t="str">
        <v>Trucking</v>
      </c>
      <c r="K100" s="60" t="str">
        <v>Isuzu North America</v>
      </c>
      <c r="L100" s="60" t="str">
        <v>Isuzu North America</v>
      </c>
      <c r="M100" s="60">
        <v>0</v>
      </c>
      <c r="N100" s="60">
        <v>0</v>
      </c>
      <c r="O100" s="60" t="str">
        <v xml:space="preserve">Isuzu Commercial Truck of America and Gatik have agreed to collaborate on a project to develop and evaluate fully autonomous medium-duty trucks. 
Isuzu is a market leader in Low Cab Forward (LCF) trucks in the U.S. and Canadian markets. Gatik is the industry leader in automating on-road
transportation networks for B2B middle-mile logistics. This collaboration is an industry first in the medium-duty category and will accelerate the commercialization of autonomous delivery fleets while contributing to a safer and more sustainable logistics community in the future. 
The collaboration will integrate Gatik's autonomous driving technology into several Isuzu medium-duty N-Series trucks to produce SAE Level 4 delivery vehicles with redundant systgems. The first vehicles will be deployed this year thanks to the cooperative efforts of Gatik's and Isuzu's engineering teams.
"By bringing these two teams together, we can create segment-changing technology
while positioning Gatik to safely commercialize autonomous delivery technology at scale," said Gatik's CEO and Co-Founder Gautam Narang. "Isuzu N-Series trucks have been best-sellers in their class in the combined U.S.-Canadian market for 35 consecutive years, making them an ideal fit for our solution. We are excited to combine our industry-leading expertise and bring a long-term, sustainable solution to the Supply Partnership."
€œAs customer requirements for the medium-duty product evolve at an increasingly rapid pace, having the ability to collaborate with Gatik, an industry leader in autonomous technology is very exciting for our team," said Takashi Sadaoka, President and CEO of Isuzu Commercial Truck of America. 
Rapidly increasing e-commerce sales and a well-documented driver shortage have caused businesses to struggle to meet the expectations of on-demand goods movement. This effort will combine Gatik's autonomous driving software and operational expertise with Isuzu's award-winning truck platform to address these critical industry pain points, ensuring retailers can maintain capacity, lower operating costs, and keep delivery times short. </v>
      </c>
      <c r="P100" s="60" t="str">
        <v xml:space="preserve">Isuzu Commercial Truck of America and Gatik have agreed to collaborate on a project to develop and evaluate fully autonomous medium-duty trucks. </v>
      </c>
      <c r="Q100" s="60" t="str">
        <v>Strategic Alliance</v>
      </c>
      <c r="R100" s="60" t="str">
        <v>n.a.</v>
      </c>
      <c r="S100" s="60" t="str">
        <v>Product cooperation</v>
      </c>
      <c r="T100" s="60" t="str">
        <v>-</v>
      </c>
      <c r="U100" s="60" t="str">
        <v>-</v>
      </c>
      <c r="V100" s="60" t="str">
        <v>-</v>
      </c>
      <c r="W100" s="60" t="str">
        <v>2.1. Short term Alliance (no exclusivity / previous experience)</v>
      </c>
      <c r="X100" s="60">
        <v>0</v>
      </c>
      <c r="Y100" s="60" t="str">
        <v>The collaboration will integrate Gatik's autonomous driving technology into several Isuzu medium-duty N-Series trucks to produce SAE Level 4 delivery vehicles with redundant systems. The first vehicles will be deployed this year thanks to the cooperative efforts of Gatik's and Isuzu's engineering teams.</v>
      </c>
      <c r="Z100" s="60" t="str">
        <v>Joint D&amp;D</v>
      </c>
      <c r="AA100" s="60" t="str">
        <v>The collaboration will integrate Gatik's autonomous driving technology into several Isuzu medium-duty N-Series trucks to produce SAE Level 4 delivery vehicles with redundant systems. The first vehicles will be deployed this year thanks to the cooperative efforts of Gatik's and Isuzu's engineering teams.</v>
      </c>
      <c r="AB100" s="60">
        <v>0</v>
      </c>
      <c r="AC100" s="60">
        <v>0</v>
      </c>
      <c r="AD100" s="60">
        <v>0</v>
      </c>
      <c r="AE100" s="60">
        <v>0</v>
      </c>
      <c r="AF100" s="60" t="str">
        <v>Isuzu Commercial Truck of America and Gatik Form Strategic Collaboration to Develop and Evaluate Fully Autonomous Medium Duty Truck</v>
      </c>
      <c r="AG100" s="60">
        <v>0</v>
      </c>
      <c r="AM100" t="b">
        <f t="shared" si="15"/>
        <v>1</v>
      </c>
      <c r="AN100" t="str">
        <v>OEM</v>
      </c>
      <c r="AO100" s="100">
        <f t="shared" si="16"/>
        <v>1</v>
      </c>
      <c r="AP100" s="101">
        <f t="shared" si="11"/>
        <v>1.1764705882352941E-2</v>
      </c>
      <c r="AS100" t="str">
        <v>OEM</v>
      </c>
      <c r="AT100">
        <f t="shared" si="17"/>
        <v>0</v>
      </c>
      <c r="AU100" s="101">
        <f t="shared" si="12"/>
        <v>0</v>
      </c>
      <c r="AW100" t="str">
        <v>OEM</v>
      </c>
      <c r="AX100">
        <f t="shared" si="13"/>
        <v>1</v>
      </c>
      <c r="AY100" s="101">
        <f t="shared" si="14"/>
        <v>3.5714285714285712E-2</v>
      </c>
    </row>
    <row r="101" spans="1:51" x14ac:dyDescent="0.35">
      <c r="A101" s="60" t="str">
        <v>https://gatik.ai/wp-content/uploads/Gatik-and-Pitney-Bowes-Partner-to-Deploy-Autonomous-Trucks-for-Ecommerce-Shipments-in-Dallas-Market-.pdf</v>
      </c>
      <c r="B101" s="60" t="str">
        <v>2022, 8, 31</v>
      </c>
      <c r="C101" s="105">
        <v>44804</v>
      </c>
      <c r="D101" s="60" t="str">
        <v>Gatik and Pitney Bowes Partner to Deploy Autonomous Trucks for Ecommerce Shipments in Dallas Market</v>
      </c>
      <c r="E101" s="60" t="str">
        <v>Gatik</v>
      </c>
      <c r="F101" s="60" t="str">
        <v>L1</v>
      </c>
      <c r="G101" s="60" t="str">
        <v>Gatik-ATV</v>
      </c>
      <c r="H101" s="60" t="str">
        <v>ATV</v>
      </c>
      <c r="I101" s="60" t="str">
        <v>Trucking</v>
      </c>
      <c r="J101" s="60" t="str">
        <v>Trucking</v>
      </c>
      <c r="K101" s="60" t="str">
        <v>Pitney Bowes</v>
      </c>
      <c r="L101" s="60" t="str">
        <v>Pitney Bowes</v>
      </c>
      <c r="M101" s="60">
        <v>0</v>
      </c>
      <c r="N101" s="60">
        <v>0</v>
      </c>
      <c r="O101" s="60" t="str">
        <v>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
Gatik's autonomous fleet, purpose built for the middle mile, will establish a continuous, operational loop across the Pitney Bowes ecommerce logistics network in Dallas, making multiple deliveries per day with speed and efficiency. "Our partnership with Pitney Bowes reinforces the intense demand we are seeing for
autonomous trucks that can operate within urban and semi-urban environments," said Gautam Narang, CEO and co-founder, Gatik. 
"We're excited to help Pitney Bowes accelerate the transformation of their Supply Partnership by establishing a safe, secure and hyper-responsive
autonomous delivery service in the greater-Dallas area."
"Our partnership with Gatik promotes growth and accelerates the modernization and expansion of our network with technology solutions that are redefining ecommerce logistics," said Stephanie Cannon, SVP, Head of Global Platform and Network, Pitney Bowes. "Gatik's flexible and responsive logistics network enables us to tailor our Designed Delivery services to provide shippers with unmatched solutions. Pitney Bowes and Gatik's innovative strategies align
to remove cost and complexity from ecommerce logistics to better serve our clients." 
The deployment aims to establish a more responsive and flexible logistics network for Pitney Bowes by delivering excellent service levels and reliability, improving speed of deliveries, and providing end-to-end visibility while lowering transportation costs.
During the initial phase, a safety operator will occupy the autonomous vehicles to monitor performance. Data collected from each delivery will be used to improve network design and identify additional opportunities for cost savings and service improvements as Pitney Bowes looks to integrate autonomous vehicles across its national ecommerce logistics network. 
The unique advantages of deploying Gatik's autonomous middle mile solution will help to future-proof logistics operations, increase asset utilization, and support a shift to a more direct, high-frequency transportation network. The result is a more efficient network and faster, more reliable service for Pitney Bowes clients.</v>
      </c>
      <c r="P101" s="60" t="str">
        <v>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v>
      </c>
      <c r="Q101" s="60" t="str">
        <v>Strategic Alliance</v>
      </c>
      <c r="R101" s="60" t="str">
        <v>Yes</v>
      </c>
      <c r="S101" s="60" t="str">
        <v>Product integration</v>
      </c>
      <c r="T101" s="60" t="str">
        <v>Long term - multi year</v>
      </c>
      <c r="U101" s="60" t="str">
        <v>-</v>
      </c>
      <c r="V101" s="60" t="str">
        <v>-</v>
      </c>
      <c r="W101" s="60" t="str">
        <v>2.3. Long term Alliance</v>
      </c>
      <c r="X101" s="60">
        <v>0</v>
      </c>
      <c r="Y101" s="60" t="str">
        <v>Under the agreement, Gatik will integrate its class 6 autonomous box trucks into the Pitney Bowes ecommerce logistics network in the Dallas, Texas market beginning in Q1, 2023.</v>
      </c>
      <c r="Z101" s="60" t="str">
        <v>Supply Partnership (extended)</v>
      </c>
      <c r="AA101" s="60" t="str">
        <v>Under the agreement, Gatik will integrate its class 6 autonomous box trucks into the Pitney Bowes ecommerce logistics network in the Dallas, Texas market beginning in Q1, 2023.</v>
      </c>
      <c r="AB101" s="60">
        <v>0</v>
      </c>
      <c r="AC101" s="60">
        <v>0</v>
      </c>
      <c r="AD101" s="60">
        <v>0</v>
      </c>
      <c r="AE101" s="60">
        <v>0</v>
      </c>
      <c r="AF101" s="60" t="str">
        <v>Gatik and Pitney Bowes Partner to Deploy Autonomous Trucks for Ecommerce Shipments in Dallas Market</v>
      </c>
      <c r="AG101" s="60">
        <v>0</v>
      </c>
      <c r="AM101" t="b">
        <f t="shared" si="15"/>
        <v>1</v>
      </c>
      <c r="AN101" t="str">
        <v>Delivery Service</v>
      </c>
      <c r="AO101" s="100">
        <f t="shared" si="16"/>
        <v>5</v>
      </c>
      <c r="AP101" s="101">
        <f t="shared" si="11"/>
        <v>5.8823529411764705E-2</v>
      </c>
      <c r="AS101" t="str">
        <v>Delivery Service</v>
      </c>
      <c r="AT101">
        <f t="shared" si="17"/>
        <v>0</v>
      </c>
      <c r="AU101" s="101">
        <f t="shared" si="12"/>
        <v>0</v>
      </c>
      <c r="AW101" t="str">
        <v>Delivery Service</v>
      </c>
      <c r="AX101">
        <f t="shared" si="13"/>
        <v>5</v>
      </c>
      <c r="AY101" s="101">
        <f t="shared" si="14"/>
        <v>0.17857142857142858</v>
      </c>
    </row>
    <row r="102" spans="1:51" x14ac:dyDescent="0.35">
      <c r="A102" s="60" t="str">
        <v>https://gatik.ai/wp-content/uploads/Gatik-Announces-Collaboration-with-Americas-Grocer-to-Future-Proof-Supply-Chain-with-Autonomous-Box-Trucks.pdf</v>
      </c>
      <c r="B102" s="60" t="str">
        <v>2023, 3, 15</v>
      </c>
      <c r="C102" s="105">
        <v>45000</v>
      </c>
      <c r="D102" s="60" t="str">
        <v>Gatik Announces Collaboration with America's Grocer to Future-Proof Supply Partnership with Autonomous Box Trucks</v>
      </c>
      <c r="E102" s="60" t="str">
        <v>Gatik</v>
      </c>
      <c r="F102" s="60" t="str">
        <v>L1</v>
      </c>
      <c r="G102" s="60" t="str">
        <v>Gatik-ATV</v>
      </c>
      <c r="H102" s="60" t="str">
        <v>ATV</v>
      </c>
      <c r="I102" s="60" t="str">
        <v>Trucking</v>
      </c>
      <c r="J102" s="60" t="str">
        <v>Trucking</v>
      </c>
      <c r="K102" s="60" t="str">
        <v>Kroger</v>
      </c>
      <c r="L102" s="60" t="str">
        <v>Kroger</v>
      </c>
      <c r="M102" s="60">
        <v>0</v>
      </c>
      <c r="N102" s="60">
        <v>0</v>
      </c>
      <c r="O102" s="60" t="str">
        <v>Gatik, the market leader in autonomous middle mile logistics, today announced a multi-year commercial collaboration to transport customer orders within Kroger's Dallas distribution network.
Under the collaboration, Gatik's medium-duty autonomous box trucks will transport fresh, customer-favorite products from a Kroger Customer Fulfillment Center (CFC) in Dallas, Texas, to multiple retail locations. Gatik's industry-leading autonomous trucks each feature a cold chain-capable 20' foot box designed to transport ambient, refrigerated and frozen goods quickly, safely and efficiently. The collaboration involves consistent, repeated delivery runs multiple times per day, seven days per week across Kroger's Dallas distribution network, while unlocking the advantages of autonomous delivery for Kroger's customers: Increased speed and responsiveness when fulfilling e-commerce orders, reduced costs and dedicated capacity across the Supply Partnership's middle mile. The operations will launch in Q2, 2023.
"Kroger's commitment to redefining service levels for its customers through innovative technology meant that our collaboration came together very quickly," said Gautam Narang, co-founder and CEO, Gatik. "We're deeply familiar with operating our autonomous fleet within the Dallas ecosystem, and we're very excited to bring that experience to support Kroger in its mission to reshape the future of goods delivery."
"We are so excited to see Gatik trucks starting to deliver groceries throughout our Dallas division," said Raul Bujalil, VP Supply Partnership Strategy and Technology Enablers. "These autonomous box trucks will help us continue our commitment to creating a seamless shopping experience - where customers can access their favorite fresh foods, with zero compromise on value or convenience." 
Gatik's autonomous middle mile solution will help support Kroger by meeting customers' immediate needs whether they shop online or in-store, providing access to goods faster and more reliably than ever before.</v>
      </c>
      <c r="P102" s="60" t="str">
        <v xml:space="preserve"> Gatik, the market leader in autonomous middle mile logistics, today announced a multi-year commercial collaboration to transport
customer orders within Kroger's Dallas distribution network.</v>
      </c>
      <c r="Q102" s="60" t="str">
        <v>Strategic Alliance</v>
      </c>
      <c r="R102" s="60" t="str">
        <v>n.a.</v>
      </c>
      <c r="S102" s="60" t="str">
        <v>Product Integration</v>
      </c>
      <c r="T102" s="60" t="str">
        <v>Long term - multi year</v>
      </c>
      <c r="U102" s="60" t="str">
        <v>-</v>
      </c>
      <c r="V102" s="60" t="str">
        <v>-</v>
      </c>
      <c r="W102" s="60" t="str">
        <v>2.3. Long term Alliance</v>
      </c>
      <c r="X102" s="60">
        <v>0</v>
      </c>
      <c r="Y102" s="60" t="str">
        <v>Gatik, the market leader in autonomous middle mile logistics, today announced a multi-year commercial collaboration to transport customer orders within Kroger's Dallas distribution network.</v>
      </c>
      <c r="Z102" s="60" t="str">
        <v>Joint Service Agreement</v>
      </c>
      <c r="AA102" s="60" t="str">
        <v>Gatik, the market leader in autonomous middle mile logistics, today announced a multi-year commercial collaboration to transport customer orders within Kroger's Dallas distribution network.</v>
      </c>
      <c r="AB102" s="60">
        <v>0</v>
      </c>
      <c r="AC102" s="60">
        <v>0</v>
      </c>
      <c r="AD102" s="60">
        <v>0</v>
      </c>
      <c r="AE102" s="60">
        <v>0</v>
      </c>
      <c r="AF102" s="60" t="str">
        <v>Gatik Announces Collaboration with America's Grocer to Future-Proof Supply Partnership with Autonomous Box Trucks</v>
      </c>
      <c r="AG102" s="60">
        <v>0</v>
      </c>
      <c r="AM102" t="b">
        <f t="shared" si="15"/>
        <v>1</v>
      </c>
      <c r="AN102" t="str">
        <v>Retail</v>
      </c>
      <c r="AO102" s="100">
        <f t="shared" si="16"/>
        <v>9</v>
      </c>
      <c r="AP102" s="101">
        <f t="shared" si="11"/>
        <v>0.10588235294117647</v>
      </c>
      <c r="AS102" t="str">
        <v>Retail</v>
      </c>
      <c r="AT102">
        <f t="shared" si="17"/>
        <v>3</v>
      </c>
      <c r="AU102" s="101">
        <f t="shared" si="12"/>
        <v>5.2631578947368418E-2</v>
      </c>
      <c r="AW102" t="str">
        <v>Retail</v>
      </c>
      <c r="AX102">
        <f t="shared" si="13"/>
        <v>6</v>
      </c>
      <c r="AY102" s="101">
        <f t="shared" si="14"/>
        <v>0.21428571428571427</v>
      </c>
    </row>
    <row r="103" spans="1:51" x14ac:dyDescent="0.35">
      <c r="A103" s="60" t="str">
        <v>https://www.kiwibot.com/blog-posts/kiwibot-partners-aramex</v>
      </c>
      <c r="B103" s="60" t="str">
        <v>2023, 2, 15</v>
      </c>
      <c r="C103" s="105">
        <v>44972</v>
      </c>
      <c r="D103" s="60" t="str">
        <v>Kiwibot partners with Aramex to Test Drone and Robotic Delivery Service</v>
      </c>
      <c r="E103" s="60" t="str">
        <v>Kiwibot</v>
      </c>
      <c r="F103" s="60" t="str">
        <v>L2</v>
      </c>
      <c r="G103" s="60" t="str">
        <v>Kiwibot-ATV</v>
      </c>
      <c r="H103" s="60" t="str">
        <v>ATV</v>
      </c>
      <c r="I103" s="60" t="str">
        <v>Last-Mile</v>
      </c>
      <c r="J103" s="60" t="str">
        <v>Last-Mile</v>
      </c>
      <c r="K103" s="60" t="str">
        <v>Aramex</v>
      </c>
      <c r="L103" s="60" t="str">
        <v>Aramex</v>
      </c>
      <c r="M103" s="60">
        <v>0</v>
      </c>
      <c r="N103" s="60">
        <v>0</v>
      </c>
      <c r="O103" s="60" t="str">
        <v>Kiwibot, a leading last-mile robotic delivery company, and Aramex, a leading global provider of logistics and transportation solutions, are excited to announce the successful testing of drone and robotic delivery along the road in the UAE.
The common vision for last-mile delivery combines the strengths of Kiwibot in the field of autonomous robotic delivery, with Aramex's experience in logistics and transportation. The result is quicker, cost-effective, innovative and sustainable delivery solutions. The initial testing in Dubai involves a multi-modal approach using both drones and autonomous robots.
Kiwibot's high-driving automation robots use a combination of sensors and artificial intelligence to navigate through surroundings and obstacles. They utilize an advanced GPS navigation system with a high-tech satellite solution, to generate virtual maps and establish multiple routes that make it possible to reach a pre-defined goal.
The drone technology, provided by BARQ EV, is equipped with multidirectional sensors and a reliable fleet management system, enabling high accuracy across order placements dispatch management, drone flight routing, and deliveries.
"This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
"The expansion of our Future Delivery Program in the UAE is a testament to our drive to be at the forefront of last-mile delivery logistics and generate more value for our customers by providing a faster, safer, and greener way of delivering packages," said Alaa Saoudi, Chief Operating Officer "Express at Aramex. "Importantly, it also enables Aramex to further contribute to UAE's sustainability ambitions as we embark on our mission to transition our fleet to emission-free vehicles and achieve our climate pledge to reach Carbon neutrality by 2030. We are excited about the next chapter of the program and further scale this service to reach more customers."
This initiative follows Kiwibot's aspirations to expand last-mile robotic delivery across the MENA region and let customers experience the delivery service like never before. Kiwibot and Aramex aim to create a greener future for cities by providing sustainable and adaptable options for mobility.</v>
      </c>
      <c r="P103" s="60" t="str">
        <v>"This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v>
      </c>
      <c r="Q103" s="60" t="str">
        <v>Strategic Alliance</v>
      </c>
      <c r="R103" s="60" t="str">
        <v>n.a.</v>
      </c>
      <c r="S103" s="60" t="str">
        <v xml:space="preserve">One time  - Pilot </v>
      </c>
      <c r="T103" s="60" t="str">
        <v>-</v>
      </c>
      <c r="U103" s="60" t="str">
        <v>-</v>
      </c>
      <c r="V103" s="60" t="str">
        <v>-</v>
      </c>
      <c r="W103" s="60" t="str">
        <v>2.1. Short term Alliance (no exclusivity / previous experience)</v>
      </c>
      <c r="X103" s="60">
        <v>0</v>
      </c>
      <c r="Y103" s="60" t="str">
        <v>"This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v>
      </c>
      <c r="Z103" s="60" t="str">
        <v>Joint Service Agreement</v>
      </c>
      <c r="AA103" s="60" t="str">
        <v>Joint D&amp;D</v>
      </c>
      <c r="AB103" s="60">
        <v>0</v>
      </c>
      <c r="AC103" s="60" t="str">
        <v>This partnership between Aramex and Kiwibot revealed a shared vision to shape greener cities. We are laying the groundwork for a carbon-free future by implementing a sustainable delivery and shipping solution, said Felipe Chavez, CEO and Co-Founder of Kiwibot. "</v>
      </c>
      <c r="AD103" s="60">
        <v>0</v>
      </c>
      <c r="AE103" s="60">
        <v>0</v>
      </c>
      <c r="AF103" s="60" t="str">
        <v xml:space="preserve">Kiwibot partners with Aramex to Test </v>
      </c>
      <c r="AG103" s="60" t="str">
        <v>Drone and Robotic Delivery Service</v>
      </c>
      <c r="AM103" t="b">
        <f t="shared" si="15"/>
        <v>1</v>
      </c>
      <c r="AN103" t="str">
        <v>NPO</v>
      </c>
      <c r="AO103" s="100">
        <f t="shared" si="16"/>
        <v>1</v>
      </c>
      <c r="AP103" s="101">
        <f t="shared" si="11"/>
        <v>1.1764705882352941E-2</v>
      </c>
      <c r="AS103" t="str">
        <v>NPO</v>
      </c>
      <c r="AT103">
        <f t="shared" si="17"/>
        <v>0</v>
      </c>
      <c r="AU103" s="101">
        <f t="shared" si="12"/>
        <v>0</v>
      </c>
      <c r="AW103" t="str">
        <v>NPO</v>
      </c>
      <c r="AX103">
        <f t="shared" si="13"/>
        <v>1</v>
      </c>
      <c r="AY103" s="101">
        <f t="shared" si="14"/>
        <v>3.5714285714285712E-2</v>
      </c>
    </row>
    <row r="104" spans="1:51" x14ac:dyDescent="0.35">
      <c r="A104" s="60" t="str">
        <v>https://www.kiwibot.com/blog-posts/grubhub-and-kiwibot-partner-for-robot-delivery-on-college-campuses</v>
      </c>
      <c r="B104" s="60" t="str">
        <v>2022, 12, 9</v>
      </c>
      <c r="C104" s="105">
        <v>44570</v>
      </c>
      <c r="D104" s="60" t="str">
        <v>Grubhub and Kiwibot Partner for Robot Delivery on College Campuses</v>
      </c>
      <c r="E104" s="60" t="str">
        <v>Kiwibot</v>
      </c>
      <c r="F104" s="60" t="str">
        <v>L2</v>
      </c>
      <c r="G104" s="60" t="str">
        <v>Kiwibot-ATV</v>
      </c>
      <c r="H104" s="60" t="str">
        <v>ATV</v>
      </c>
      <c r="I104" s="60" t="str">
        <v>Last-Mile</v>
      </c>
      <c r="J104" s="60" t="str">
        <v>Last-Mile</v>
      </c>
      <c r="K104" s="60" t="str">
        <v>Grubhub</v>
      </c>
      <c r="L104" s="60" t="str">
        <v>Grubhub</v>
      </c>
      <c r="M104" s="60">
        <v>0</v>
      </c>
      <c r="N104" s="60">
        <v>0</v>
      </c>
      <c r="O104" s="60" t="str">
        <v>Grubhub, a leading food ordering and delivery marketplace, and Kiwibot, a leading last-mile robotic delivery company, announced today that they will provide robot delivery services on college campuses across the United States.
Robot delivery from Kiwibot and Grubhub will first be available at the University of North Dakota before rolling out to additional schools next semester. Kiwibot joins Grubhub's existing partners, including Cartken and Starship, on nearly a dozen campuses offering robot delivery.
"When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
"It is an exciting endeavor for Kiwibot to expand our partner base," said Felipe Chavez, CEO of Kiwibot. "Our partnership with Grubhub means we'll be able to provide an integrated delivery service that allows students to experience Kiwibot delivery right from Grubhub's app. We are honored to bring innovative solutions to the University of North Dakota community with our disruptive robotic service that delivers meals, happiness, and extraordinary moments."
"Bringing a delivery service to campus was an offering we've been wanting to provide at the university, and we are excited for this innovative delivery service to become available to students," said Orlynn Rosaasen, director of dining services at the University of North Dakota.
"We know just how busy students are, and this type of delivery will provide them with one more option to access food on campus during their busy days."
Students will be able to select this delivery via the Grubhub app from on-campus dining locations, including the Memorial Union Food court and Wilkerson Dining Center. The Kiwibots rely on the most advanced technology with a high-driving autonomous system and can operate in snow and extreme weather conditions. For safety, they move at the same speed as a human walking pace and can hold up to 25 pounds.
This partnership grows Grubhub's delivery options on college campuses, providing additional opportunities for students to get their favorite meals while creating healthy relationships with technology developments that contribute to making day-to-day life on campus more efficient. Grubhub partners with more than 250 college campuses across the United States to give students the ability to integrate meal plans directly into their Grubhub account and access restaurants both on- and off-campus for delivery and pickup.</v>
      </c>
      <c r="P104" s="60" t="str">
        <v>Robot delivery from Kiwibot and Grubhub will first be available at the University of North Dakota before rolling out to additional schools next semester. Kiwibot joins Grubhub's existing partners, including Cartken and Starship, on nearly a dozen campuses offering robot delivery.</v>
      </c>
      <c r="Q104" s="60" t="str">
        <v>Strategic Alliance</v>
      </c>
      <c r="R104" s="60" t="str">
        <v>n.a.</v>
      </c>
      <c r="S104" s="60" t="str">
        <v>Product integration</v>
      </c>
      <c r="T104" s="60" t="str">
        <v>Short term - Min 6 months</v>
      </c>
      <c r="U104" s="60" t="str">
        <v>-</v>
      </c>
      <c r="V104" s="60" t="str">
        <v>-</v>
      </c>
      <c r="W104" s="60" t="str">
        <v>2.1. Short term Alliance (no exclusivity / previous experience)</v>
      </c>
      <c r="X104" s="60">
        <v>0</v>
      </c>
      <c r="Y104" s="60" t="str">
        <v>"When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v>
      </c>
      <c r="Z104" s="60" t="str">
        <v>Joint Service Agreement</v>
      </c>
      <c r="AA104" s="60" t="str">
        <v>"When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v>
      </c>
      <c r="AB104" s="60">
        <v>0</v>
      </c>
      <c r="AC104" s="60">
        <v>0</v>
      </c>
      <c r="AD104" s="60">
        <v>0</v>
      </c>
      <c r="AE104" s="60">
        <v>0</v>
      </c>
      <c r="AF104" s="60" t="str">
        <v>Grubhub and Kiwibot Partner for Robot Delivery on College Campuses</v>
      </c>
      <c r="AG104" s="60">
        <v>0</v>
      </c>
      <c r="AM104" t="b">
        <f t="shared" si="15"/>
        <v>1</v>
      </c>
      <c r="AN104" t="str">
        <v>Telecommunications</v>
      </c>
      <c r="AO104" s="100">
        <f t="shared" si="16"/>
        <v>3</v>
      </c>
      <c r="AP104" s="101">
        <f t="shared" si="11"/>
        <v>3.5294117647058823E-2</v>
      </c>
      <c r="AS104" t="str">
        <v>Telecommunications</v>
      </c>
      <c r="AT104">
        <f t="shared" si="17"/>
        <v>3</v>
      </c>
      <c r="AU104" s="101">
        <f t="shared" si="12"/>
        <v>5.2631578947368418E-2</v>
      </c>
      <c r="AW104" t="str">
        <v>Telecommunications</v>
      </c>
      <c r="AX104">
        <f t="shared" si="13"/>
        <v>0</v>
      </c>
      <c r="AY104" s="101">
        <f t="shared" si="14"/>
        <v>0</v>
      </c>
    </row>
    <row r="105" spans="1:51" x14ac:dyDescent="0.35">
      <c r="A105" s="60" t="str">
        <v>https://www.kiwibot.com/blog-posts/kiwibot-secures-10m-in-tailor-made-partnership-with-kineo-finance-to-scale-their-robotic-fleet</v>
      </c>
      <c r="B105" s="60" t="str">
        <v>2023, 2, 22</v>
      </c>
      <c r="C105" s="105">
        <v>44979</v>
      </c>
      <c r="D105" s="60" t="str">
        <v>Kiwibot Secures $10M in a Tailor-Made Partnership with kineo finance To Scale Their Robotic Fleet</v>
      </c>
      <c r="E105" s="60" t="str">
        <v>Kiwibot</v>
      </c>
      <c r="F105" s="60" t="str">
        <v>L2</v>
      </c>
      <c r="G105" s="60" t="str">
        <v>Kiwibot-ATV</v>
      </c>
      <c r="H105" s="60" t="str">
        <v>ATV</v>
      </c>
      <c r="I105" s="60" t="str">
        <v>Last-Mile</v>
      </c>
      <c r="J105" s="60" t="str">
        <v>Last-Mile</v>
      </c>
      <c r="K105" s="60" t="str">
        <v>kineo</v>
      </c>
      <c r="L105" s="60" t="str">
        <v>kineo</v>
      </c>
      <c r="M105" s="60">
        <v>0</v>
      </c>
      <c r="N105" s="60">
        <v>0</v>
      </c>
      <c r="O105" s="60" t="str">
        <v xml:space="preserve">Kiwibot and Kineo's first-of-its-kind partnership will help the startup manufacture robots and expand the business without worrying about working capital. Kiwibot's growth will get it closer to becoming the standard last-mile delivery service in smart cities.
Kiwibot, a robotic last-mile delivery service that has completed over 250,000 food deliveries with high-driving robots, today announces a tailor-made $10M financing partnership with asset financing group kineo finance. The agreement will help Kiwibot with its manufacturing and scaling needs, growing its robotic fleet and disrupting the delivery-as-a-service (DaaS) industry.
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
Kiwibot's on-demand delivery service is already available via apps like Grubhub and Sodexo's Everyday. The robots' high-driving capabilities, made possible by GPS technology, advanced camera sensors, and artificial intelligence (AI), mean they can generate optimal routes, avoid obstacles, and provide a cost-effective service. Kiwibot reduces food delivery costs by up to 65%.
The partnership is monumental because it is kineo's first involvement in the DaaS industry and a notable use case for their portfolio of high-tech companies from the medical, logistics, and Internet of Things (IoT) sectors. While the funding scene in the robotics industry has taken a few tumbles, this first-of-its-kind financing deal sets a precedent for other startups: They must consider alternatives to venture lending and venture capital funding.
"This partnership will take our operations to the next level: We'll be closer to becoming the standard solution for smart cities that leverage sustainable technology to enhance people's quality of life. We're pleased to be backed by companies who believe in building accessible and convenient robotics services," said Felipe Chavez, CEO and co-founder of Kiwibot. "We envision a world where technology, logistics, and delivery are available for everyone. Kiwibot's near future looks bright, and we are ready to offer our exceptional delivery services globally."
"Kiwibot's solution is in high demand in the US and has become indispensable for people leading fast-paced lives. This partnership is the financial push they need to propel their startup into wider markets," said Charles Sellman, President at kineo Finance. "At kineo, our goal is to encourage automation and digitalization initiatives in various industries to drive the adoption of high-tech companies' equipment. Kiwibot's growth in the DaaS sector meant it was a logical choice for us to support its robotic deliveries helping businesses today”and for the future."
</v>
      </c>
      <c r="P105" s="60" t="str">
        <v>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v>
      </c>
      <c r="Q105" s="60" t="str">
        <v>Strategic Partnership</v>
      </c>
      <c r="R105" s="60" t="str">
        <v>n.a.</v>
      </c>
      <c r="S105" s="60" t="str">
        <v>Financing</v>
      </c>
      <c r="T105" s="60" t="str">
        <v>-</v>
      </c>
      <c r="U105" s="60" t="str">
        <v>-</v>
      </c>
      <c r="V105" s="60" t="str">
        <v>-</v>
      </c>
      <c r="W105" s="60" t="str">
        <v>3. Strategic Partnership</v>
      </c>
      <c r="X105" s="60">
        <v>0</v>
      </c>
      <c r="Y105" s="60" t="str">
        <v>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v>
      </c>
      <c r="Z105" s="60" t="str">
        <v>Other</v>
      </c>
      <c r="AA105" s="60" t="str">
        <v>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v>
      </c>
      <c r="AB105" s="60">
        <v>0</v>
      </c>
      <c r="AC105" s="60">
        <v>0</v>
      </c>
      <c r="AD105" s="60">
        <v>0</v>
      </c>
      <c r="AE105" s="60">
        <v>0</v>
      </c>
      <c r="AF105" s="60" t="str">
        <v>Kiwibot Secures $10M in a Tailor-Made Partnership with kineo finance To Scale Their Robotic Fleet</v>
      </c>
      <c r="AG105" s="60">
        <v>0</v>
      </c>
      <c r="AM105" t="b">
        <f t="shared" si="15"/>
        <v>1</v>
      </c>
      <c r="AN105" t="str">
        <v>Industrial</v>
      </c>
      <c r="AO105" s="100">
        <f t="shared" si="16"/>
        <v>1</v>
      </c>
      <c r="AP105" s="101">
        <f t="shared" si="11"/>
        <v>1.1764705882352941E-2</v>
      </c>
      <c r="AS105" t="str">
        <v>Industrial</v>
      </c>
      <c r="AT105">
        <f t="shared" si="17"/>
        <v>1</v>
      </c>
      <c r="AU105" s="101">
        <f t="shared" si="12"/>
        <v>1.7543859649122806E-2</v>
      </c>
      <c r="AW105" t="str">
        <v>Industrial</v>
      </c>
      <c r="AX105">
        <f t="shared" si="13"/>
        <v>0</v>
      </c>
      <c r="AY105" s="101">
        <f t="shared" si="14"/>
        <v>0</v>
      </c>
    </row>
    <row r="106" spans="1:51" x14ac:dyDescent="0.35">
      <c r="A106" s="60" t="str">
        <v>https://kodiak.ai/news/kodiak-partners-with-10-roads-express</v>
      </c>
      <c r="B106" s="60" t="str">
        <v>2022, 7, 26</v>
      </c>
      <c r="C106" s="105">
        <v>44768</v>
      </c>
      <c r="D106" s="60" t="str">
        <v>Kodiak Partners with 10 Roads Express</v>
      </c>
      <c r="E106" s="60" t="str">
        <v>Kodiak</v>
      </c>
      <c r="F106" s="60" t="str">
        <v>L1</v>
      </c>
      <c r="G106" s="60" t="str">
        <v>Kodiak-ATV</v>
      </c>
      <c r="H106" s="60" t="str">
        <v>ATV</v>
      </c>
      <c r="I106" s="60" t="str">
        <v>Trucking</v>
      </c>
      <c r="J106" s="60" t="str">
        <v>Trucking</v>
      </c>
      <c r="K106" s="60" t="str">
        <v>Ten Roads Express</v>
      </c>
      <c r="L106" s="60" t="str">
        <v>Ten Roads Express</v>
      </c>
      <c r="M106" s="60">
        <v>0</v>
      </c>
      <c r="N106" s="60">
        <v>0</v>
      </c>
      <c r="O106" s="60" t="str">
        <v>Mountain View, Calif. / Carter Lake, Iowa (July 26, 2022) ” Kodiak, , a leading self-driving trucking company, today announced that it has expanded its autonomous freight service to Florida with 10 Roads Express, a provider of time sensitive surface transportation for the U.S. Postal Service.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
"We are focused on servicing routes that fit the real-world needs of our customers," said Don Burnette, Founder and CEO, Kodiak. "10 Roads Express's network of long length-of-haul routes makes it an ideal partner for Kodiak. Our unique lightweight mapping system allowed us to expand into Florida in a fraction of the time it would take to build traditional AV maps, enabling us to service some of the nation's busiest coast-to-coast freight lanes. This expansion further demonstrates the scalability and flexibility of our autonomous solution, the Kodiak Driver."
As part of the partnership, 10 Roads will join Kodiak's Partnership Deployment Program to evaluate the potential of integrating Kodiak's autonomous solution into its fleet in the coming years.
"10 Roads Express carries some of the most high-priority freight in the trucking business," said Wayne Hoovestol, CEO, 10 Roads Express. "We are committed to exploring all opportunities to create better jobs for our drivers while providing exceptional service to our customers. This partnership is an opportunity to stay abreast of this technology's progress and evaluate its benefits. By partnering with Kodiak now, 10 Roads can build the operational expertise we need to efficiently integrate autonomous trucks into our fleet in the coming years."
The establishment of autonomous service along the I-10 corridor to Jacksonville comes as Kodiak has significantly expanded its service footprint in 2022. Leveraging its built-for-scale solution, Kodiak has rapidly added new lanes, including the recently announced launch of commercial operations between Dallas and Oklahoma City with CEVA Logistics, and the launch of freight operations between Dallas and Atlanta with U.S. Xpress. Kodiak has been delivering freight daily between Dallas to Houston since mid 2019, and between Dallas and San Antonio since mid-2021.</v>
      </c>
      <c r="P106" s="60" t="str">
        <v>By partnering with Kodiak now, 10 Roads can build the operational expertise we need to efficiently integrate autonomous trucks into our fleet in the coming years."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v>
      </c>
      <c r="Q106" s="60" t="str">
        <v>Strategic Alliance</v>
      </c>
      <c r="R106" s="60" t="str">
        <v>n.a.</v>
      </c>
      <c r="S106" s="60" t="str">
        <v>One time</v>
      </c>
      <c r="T106" s="60" t="str">
        <v>-</v>
      </c>
      <c r="U106" s="60" t="str">
        <v>-</v>
      </c>
      <c r="V106" s="60" t="str">
        <v>-</v>
      </c>
      <c r="W106" s="60" t="str">
        <v>2.1. Short term Alliance (no exclusivity / previous experience)</v>
      </c>
      <c r="X106" s="60">
        <v>0</v>
      </c>
      <c r="Y106" s="60" t="str">
        <v>Kodiak, a leading self-driving trucking company, today announced that it has expanded its autonomous freight service to Florida with 10 Roads Express, a provider of time sensitive surface transportation for the U.S. Postal Service.</v>
      </c>
      <c r="Z106" s="60" t="str">
        <v>Supply Partnership (extended)</v>
      </c>
      <c r="AA106" s="60" t="str">
        <v>Kodiak, a leading self-driving trucking company, today announced that it has expanded its autonomous freight service to Florida with 10 Roads Express, a provider of time sensitive surface transportation for the U.S. Postal Service.</v>
      </c>
      <c r="AB106" s="60">
        <v>0</v>
      </c>
      <c r="AC106" s="60">
        <v>0</v>
      </c>
      <c r="AD106" s="60">
        <v>0</v>
      </c>
      <c r="AE106" s="60">
        <v>0</v>
      </c>
      <c r="AF106" s="60" t="str">
        <v xml:space="preserve">Kodiak Partners with </v>
      </c>
      <c r="AG106" s="60" t="str">
        <v>10 Roads Express</v>
      </c>
      <c r="AM106" t="b">
        <f t="shared" si="15"/>
        <v>1</v>
      </c>
      <c r="AN106" t="str">
        <v>Real estate</v>
      </c>
      <c r="AO106" s="100">
        <f t="shared" si="16"/>
        <v>1</v>
      </c>
      <c r="AP106" s="101">
        <f t="shared" si="11"/>
        <v>1.1764705882352941E-2</v>
      </c>
      <c r="AS106" t="str">
        <v>Real estate</v>
      </c>
      <c r="AT106">
        <f t="shared" si="17"/>
        <v>1</v>
      </c>
      <c r="AU106" s="101">
        <f t="shared" si="12"/>
        <v>1.7543859649122806E-2</v>
      </c>
      <c r="AW106" t="str">
        <v>Real estate</v>
      </c>
      <c r="AX106">
        <f t="shared" si="13"/>
        <v>0</v>
      </c>
      <c r="AY106" s="101">
        <f t="shared" si="14"/>
        <v>0</v>
      </c>
    </row>
    <row r="107" spans="1:51" x14ac:dyDescent="0.35">
      <c r="A107" s="60" t="str">
        <v>https://kodiak.ai/news/kodiak-and-werner-collaborate</v>
      </c>
      <c r="B107" s="60" t="str">
        <v>2022, 9, 29</v>
      </c>
      <c r="C107" s="105">
        <v>44833</v>
      </c>
      <c r="D107" s="60" t="str">
        <v>Kodiak and Werner Collaborate</v>
      </c>
      <c r="E107" s="60" t="str">
        <v>Kodiak</v>
      </c>
      <c r="F107" s="60" t="str">
        <v>L1</v>
      </c>
      <c r="G107" s="60" t="str">
        <v>Kodiak-ATV</v>
      </c>
      <c r="H107" s="60" t="str">
        <v>ATV</v>
      </c>
      <c r="I107" s="60" t="str">
        <v>Trucking</v>
      </c>
      <c r="J107" s="60" t="str">
        <v>Trucking</v>
      </c>
      <c r="K107" s="60" t="str">
        <v>Werner</v>
      </c>
      <c r="L107" s="60" t="str">
        <v>Werner</v>
      </c>
      <c r="M107" s="60">
        <v>0</v>
      </c>
      <c r="N107" s="60">
        <v>0</v>
      </c>
      <c r="O107" s="60" t="str">
        <v>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Werner Enterprises also joined Kodiak's Partner Deployment Program, which helps carriers establish autonomous freight operations and seamlessly integrate the Kodiak Driver, Kodiak's self-driving system, into their fleet.
"Working with Kodiak enables us to efficiently incorporate new technologies into our business while giving us a competitive edge," said Werner's Senior Vice President of Van/Expedited Chad Dittberner. "We're eager to establish the hybrid model of drivers and ongoing autonomous lanes to create new and unparalleled levels of efficiency while staying focused on Werner's value of putting safety first."
During its pilot with Werner, Kodiak completed a total of 152 hours of driving time and achieved 100 percent on-time delivery performance. Werner had trailers ready for a Kodiak self-driving truck to pick up on both ends of the trip. Werner's local drivers completed the first-mile pickups and last-mile deliveries. This truckport model maximizes the amount of time the Kodiak Driver spends driving.
"Werner's vision for incorporating autonomous trucks into their future operations demonstrates a fundamental understanding of where autonomous technology fits within the trucking industry," said Don Burnette, Founder and CEO, Kodiak. "The Kodiak Driver is designed to do the often-undesirable highway portions of long-haul routes, allowing drivers to handle the deliveries that let them sleep in their own beds at night. We look forward to continuing our collaboration with Werner and introducing new permanent lanes together."
The joint effort with Werner Enterprises is the most recent carrier relationship to be announced by Kodiak. Earlier this year, the company announced partnerships with U.S. Xpress, 10 Roads Express and CEVA Logistics.</v>
      </c>
      <c r="P107" s="60" t="str">
        <v xml:space="preserve">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v>
      </c>
      <c r="Q107" s="60" t="str">
        <v>Strategic Alliance</v>
      </c>
      <c r="R107" s="60" t="str">
        <v>n.a.</v>
      </c>
      <c r="S107" s="60" t="str">
        <v xml:space="preserve">One time  - Pilot </v>
      </c>
      <c r="T107" s="60" t="str">
        <v>-</v>
      </c>
      <c r="U107" s="60" t="str">
        <v>-</v>
      </c>
      <c r="V107" s="60" t="str">
        <v>-</v>
      </c>
      <c r="W107" s="60" t="str">
        <v>2.1. Short term Alliance (no exclusivity / previous experience)</v>
      </c>
      <c r="X107" s="60">
        <v>0</v>
      </c>
      <c r="Y107" s="60" t="str">
        <v xml:space="preserve">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v>
      </c>
      <c r="Z107" s="60" t="str">
        <v>Joint D&amp;D</v>
      </c>
      <c r="AA107" s="60" t="str">
        <v xml:space="preserve">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v>
      </c>
      <c r="AB107" s="60">
        <v>0</v>
      </c>
      <c r="AC107" s="60">
        <v>0</v>
      </c>
      <c r="AD107" s="60">
        <v>0</v>
      </c>
      <c r="AE107" s="60">
        <v>0</v>
      </c>
      <c r="AF107" s="60" t="str">
        <v>Kodiak and Werner Collaborate</v>
      </c>
      <c r="AG107" s="60">
        <v>0</v>
      </c>
      <c r="AM107" t="b">
        <f t="shared" si="15"/>
        <v>1</v>
      </c>
      <c r="AN107" t="str">
        <v>Food &amp; Beverage</v>
      </c>
      <c r="AO107" s="100">
        <f t="shared" si="16"/>
        <v>6</v>
      </c>
      <c r="AP107" s="101">
        <f t="shared" si="11"/>
        <v>7.0588235294117646E-2</v>
      </c>
      <c r="AS107" t="str">
        <v>Food &amp; Beverage</v>
      </c>
      <c r="AT107">
        <f t="shared" si="17"/>
        <v>4</v>
      </c>
      <c r="AU107" s="101">
        <f t="shared" si="12"/>
        <v>7.0175438596491224E-2</v>
      </c>
      <c r="AW107" t="str">
        <v>Food &amp; Beverage</v>
      </c>
      <c r="AX107">
        <f t="shared" si="13"/>
        <v>2</v>
      </c>
      <c r="AY107" s="101">
        <f t="shared" si="14"/>
        <v>7.1428571428571425E-2</v>
      </c>
    </row>
    <row r="108" spans="1:51" x14ac:dyDescent="0.35">
      <c r="A108" s="60" t="str">
        <v>https://www.mobileye.com/news/goggo-network-and-mobileye-plan-to-collaborate-to-introduce-level-autonomous-vehicles-for-logistics-in-europe/</v>
      </c>
      <c r="B108" s="60" t="str">
        <v>2022, 11, 28</v>
      </c>
      <c r="C108" s="105">
        <v>44589</v>
      </c>
      <c r="D108" s="60" t="str">
        <v>Goggo Network &amp; Mobileye collaborate on autonomous logistics vehicles</v>
      </c>
      <c r="E108" s="60" t="str">
        <v>Mobileye</v>
      </c>
      <c r="F108" s="60" t="str">
        <v>L1</v>
      </c>
      <c r="G108" s="60" t="str">
        <v>Mobileye-ATV</v>
      </c>
      <c r="H108" s="60" t="str">
        <v>ATV</v>
      </c>
      <c r="I108" s="60" t="str">
        <v>Last-Mile</v>
      </c>
      <c r="J108" s="60" t="str">
        <v>Last-Mile</v>
      </c>
      <c r="K108" s="60" t="str">
        <v>Goggo Network</v>
      </c>
      <c r="L108" s="60" t="str">
        <v>Goggo Network</v>
      </c>
      <c r="M108" s="60">
        <v>0</v>
      </c>
      <c r="N108" s="60">
        <v>0</v>
      </c>
      <c r="O108" s="60" t="str">
        <v xml:space="preserve">Goggo Network, the autonomous mobility company founded by Martin Varsavsky and Yasmine Fage and with operations in Spain and France, has signed a Memorandum of Understanding (MoU) with Mobileye, a global leader in the development of computer vision and machine learning, data analysis, localization and mapping for Advanced Driver Assistance Systems and autonomous driving, as part of its strategy to drive the future of autonomous mobility and logistics in Spain and Europe. With this agreement, Goggo plans to introduce Level 4 autonomous vehicles in Spain for the first time.
Specifically, up to 40 autonomous vehicles with SAE Level 4 features, equipped with the Mobileye Drive technology, are expected to be deployed and operated by Goggo in cities around Spain and France.
This system matches Goggo's plans to roll out logistics services across Europe in a next step, as Mobileye Drive is capable of adapting to various driving environments and driver behavior.
Importantly, both Goggo Network and Mobileye agree that a transformation to a smarter, safer and more environmentally efficient driverless future is needed. For this reason, both companies have decided to join forces to achieve the autonomous delivery of goods using pioneering technology from Mobileye.
Mobileye Drive is a part of Mobileye's full stack of self-driving Mobility-as-a-Service (MaaS) solutions. Powered by the EyeQ system-on-a-chip and fed by multiple input sensors like camera, radar and lidar, the self-driving system can be implemented in various use cases like robotaxis, consumer passenger vehicles or commercial delivery vehicles.
For the implementation of the deployment, Goggo will assess the coverage of the road network and provide backend interfaces (APIs) for mission control and fleet management. In turn, Goggo will be responsible for obtaining all necessary permits and licences to test and operate the service in the relevant municipalities.
Goggo plans to start operating with safety drivers to oversee the entire service in 2023, and once the respective safety validations have been completed and regulatory clearance obtained, to eliminate the driver altogether to make the service autonomous Level 4.
"At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making the most of a pioneering technology that stands out for its safety", explains Yasmine Fage, co-founder and COO of Goggo Network.
Johann Jungwirth, Senior Vice President, Autonomous Vehicles of Mobileye, adds: "The collaboration with Goggo Network shows how our vision of delivering self-driving systems for various use cases will come to life. Reshaping mobility for the cities of the future will bring great benefits for everybody, and Goggo's logistics solutions help bring us closer to this reality."
</v>
      </c>
      <c r="P108" s="60" t="str">
        <v>has signed a Memorandum of Understanding (MoU) with Mobileye
Specifically, up to 40 autonomous vehicles with SAE Level 4 features, equipped with the Mobileye Drive technology, are expected to be deployed and operated by Goggo in cities around Spain and France.</v>
      </c>
      <c r="Q108" s="60" t="str">
        <v>Strategic Alliance</v>
      </c>
      <c r="R108" s="60" t="str">
        <v xml:space="preserve">Yes </v>
      </c>
      <c r="S108" s="60" t="str">
        <v>Product Integration</v>
      </c>
      <c r="T108" s="60" t="str">
        <v>-</v>
      </c>
      <c r="U108" s="60" t="str">
        <v>-</v>
      </c>
      <c r="V108" s="60" t="str">
        <v>-</v>
      </c>
      <c r="W108" s="60" t="str">
        <v>2.1. Short term Alliance (no exclusivity / previous experience)</v>
      </c>
      <c r="X108" s="60">
        <v>0</v>
      </c>
      <c r="Y108" s="60" t="str">
        <v>"At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Specifically, up to 40 autonomous vehicles with SAE Level 4 features, equipped with the Mobileye Drive technology, are expected to be deployed and operated by Goggo in cities around Spain and France.</v>
      </c>
      <c r="Z108" s="60" t="str">
        <v>Supply Partnership (extended)</v>
      </c>
      <c r="AA108" s="60" t="str">
        <v>Specifically, up to 40 autonomous vehicles with SAE Level 4 features, equipped with the Mobileye Drive technology, are expected to be deployed and operated by Goggo in cities around Spain and France.</v>
      </c>
      <c r="AB108" s="60">
        <v>0</v>
      </c>
      <c r="AC108" s="60">
        <v>0</v>
      </c>
      <c r="AD108" s="60">
        <v>0</v>
      </c>
      <c r="AE108" s="60">
        <v>0</v>
      </c>
      <c r="AF108" s="60" t="str">
        <v>Goggo Network &amp; Mobileye collaborate on autonomous logistics vehicles</v>
      </c>
      <c r="AG108" s="60">
        <v>0</v>
      </c>
      <c r="AM108" t="b">
        <f t="shared" si="15"/>
        <v>1</v>
      </c>
      <c r="AN108" t="str">
        <v>Consumer Electronics</v>
      </c>
      <c r="AO108" s="100">
        <f t="shared" si="16"/>
        <v>2</v>
      </c>
      <c r="AP108" s="101">
        <f t="shared" si="11"/>
        <v>2.3529411764705882E-2</v>
      </c>
      <c r="AS108" t="str">
        <v>Consumer Electronics</v>
      </c>
      <c r="AT108">
        <f t="shared" si="17"/>
        <v>2</v>
      </c>
      <c r="AU108" s="101">
        <f t="shared" si="12"/>
        <v>3.5087719298245612E-2</v>
      </c>
      <c r="AW108" t="str">
        <v>Consumer Electronics</v>
      </c>
      <c r="AX108">
        <f t="shared" si="13"/>
        <v>0</v>
      </c>
      <c r="AY108" s="101">
        <f t="shared" si="14"/>
        <v>0</v>
      </c>
    </row>
    <row r="109" spans="1:51" x14ac:dyDescent="0.35">
      <c r="A109" s="60" t="str">
        <v>https://motional.com/news/motional-and-uber-announce-partnership-autonomous-deliveries</v>
      </c>
      <c r="B109" s="60" t="str">
        <v>2021, 12, 16</v>
      </c>
      <c r="C109" s="105">
        <v>44212</v>
      </c>
      <c r="D109" s="60" t="str">
        <v>Motional and Uber Announce Partnership For Autonomous Deliveries</v>
      </c>
      <c r="E109" s="60" t="str">
        <v>Motional</v>
      </c>
      <c r="F109" s="60" t="str">
        <v>L1</v>
      </c>
      <c r="G109" s="60" t="str">
        <v>Motional-ATV</v>
      </c>
      <c r="H109" s="60" t="str">
        <v>ATV</v>
      </c>
      <c r="I109" s="60" t="str">
        <v>Last-Mile</v>
      </c>
      <c r="J109" s="60" t="str">
        <v>Last-Mile</v>
      </c>
      <c r="K109" s="60" t="str">
        <v>Uber</v>
      </c>
      <c r="L109" s="60" t="str">
        <v>Uber</v>
      </c>
      <c r="M109" s="60">
        <v>0</v>
      </c>
      <c r="N109" s="60">
        <v>0</v>
      </c>
      <c r="O109" s="60" t="str">
        <v>An established leader in public robotaxi services, Motional expands commercial operations to include autonomous delivery
This will be Uber's first partnership with an AV fleet provider for autonomous deliveries
Companies to launch delivery service in Santa Monica in 2022
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The partnership represents industry-shaping firsts for both companies; Motional's expansion into driverless delivery and Uber's first on-road delivery partnership with an autonomous vehicle (AV) technology provider.
Motional will use its next-generation autonomous vehicle, the all-electric Hyundai IONIQ 5-based robotaxi, with in-vehicle modifications in place to enable autonomous deliveries. This will be the first time Motional's SAE Level 4 vehicles are used for delivery applications, and signals the company's evolution to a dual-purpose product strategy.
"Today, Motional enters the autonomous delivery market," said Karl Iagnemma, Motional's President and CEO. "We're proud that our first delivery partner is Uber and are eager to begin using our trusted driverless technology to offer efficient and convenient deliveries to customers in California. We're confident this will be a successful collaboration with Uber and see many long-term opportunities for further deploying Motional's technology across the Uber platform."
"We're excited to partner with Motional to test a new kind of delivery for Uber Eats consumers in 2022," said Sarfraz Maredia, VP and Head of Uber Eats in the US &amp; Canada. "Our consumers and merchant partners have come to expect convenience, reliability and innovation from Uber, and this collaboration represents a huge opportunity to meet ”and exceed” those expectations."</v>
      </c>
      <c r="P109" s="60" t="str">
        <v>Motional, a global driverless technology leader, and Uber Technologies Inc today announced a partnership to launch autonomous deliveries for Uber customers, starting in Santa Monica in early 2022. 
We're confident this will be a successful collaboration with Uber and see many long-term opportunities for further deploying Motional's technology across the Uber platform."</v>
      </c>
      <c r="Q109" s="60" t="str">
        <v>Strategic Alliance</v>
      </c>
      <c r="R109" s="60" t="str">
        <v>n.a.</v>
      </c>
      <c r="S109" s="60" t="str">
        <v>Service Integration</v>
      </c>
      <c r="T109" s="60" t="str">
        <v>-</v>
      </c>
      <c r="U109" s="60" t="str">
        <v>-</v>
      </c>
      <c r="V109" s="60" t="str">
        <v>-</v>
      </c>
      <c r="W109" s="60" t="str">
        <v>2.1. Short term Alliance (no exclusivity / previous experience)</v>
      </c>
      <c r="X109" s="60">
        <v>0</v>
      </c>
      <c r="Y109" s="60" t="str">
        <v xml:space="preserve">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v>
      </c>
      <c r="Z109" s="60" t="str">
        <v>Joint Service Agreement</v>
      </c>
      <c r="AA109" s="60" t="str">
        <v xml:space="preserve">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v>
      </c>
      <c r="AB109" s="60">
        <v>0</v>
      </c>
      <c r="AC109" s="60">
        <v>0</v>
      </c>
      <c r="AD109" s="60">
        <v>0</v>
      </c>
      <c r="AE109" s="60">
        <v>0</v>
      </c>
      <c r="AF109" s="60" t="str">
        <v>Motional and Uber Announce Partnership For Autonomous Deliveries</v>
      </c>
      <c r="AG109" s="60">
        <v>0</v>
      </c>
      <c r="AM109" t="b">
        <f t="shared" si="15"/>
        <v>1</v>
      </c>
      <c r="AN109" t="str">
        <v>Transportation Authority</v>
      </c>
      <c r="AO109" s="100">
        <f t="shared" si="16"/>
        <v>1</v>
      </c>
      <c r="AP109" s="101">
        <f t="shared" si="11"/>
        <v>1.1764705882352941E-2</v>
      </c>
      <c r="AS109" t="str">
        <v>Transportation Authority</v>
      </c>
      <c r="AT109">
        <f t="shared" si="17"/>
        <v>1</v>
      </c>
      <c r="AU109" s="101">
        <f t="shared" si="12"/>
        <v>1.7543859649122806E-2</v>
      </c>
      <c r="AW109" t="str">
        <v>Transportation Authority</v>
      </c>
      <c r="AX109">
        <f t="shared" si="13"/>
        <v>0</v>
      </c>
      <c r="AY109" s="101">
        <f t="shared" si="14"/>
        <v>0</v>
      </c>
    </row>
    <row r="110" spans="1:51" x14ac:dyDescent="0.35">
      <c r="A110" s="60" t="str">
        <v>https://www.prnewswire.com/news-releases/uber-and-nuro-announce-10-year-partnership-for-autonomous-food-deliveries-starting-in-california-and-texas-301618947.html</v>
      </c>
      <c r="B110" s="60" t="str">
        <v>2022, 9, 8</v>
      </c>
      <c r="C110" s="105">
        <v>44812</v>
      </c>
      <c r="D110" s="60" t="str">
        <v>Uber and Nuro Announce 10-Year Partnership for Autonomous Food Deliveries Starting in California and Texas</v>
      </c>
      <c r="E110" s="60" t="str">
        <v>Nuro</v>
      </c>
      <c r="F110" s="60" t="str">
        <v>L2</v>
      </c>
      <c r="G110" s="60" t="str">
        <v>Nuro-ATV</v>
      </c>
      <c r="H110" s="60" t="str">
        <v>ATV</v>
      </c>
      <c r="I110" s="60" t="str">
        <v>Last-Mile</v>
      </c>
      <c r="J110" s="60" t="str">
        <v>Last-Mile</v>
      </c>
      <c r="K110" s="60" t="str">
        <v>Uber Eats</v>
      </c>
      <c r="L110" s="60" t="str">
        <v>Uber Eats</v>
      </c>
      <c r="M110" s="60">
        <v>0</v>
      </c>
      <c r="N110" s="60">
        <v>0</v>
      </c>
      <c r="O110" s="60" t="str">
        <v>Uber Technologies, Inc . (NYSE:UBER) and Nuro, a leading autonomous vehicle company, today announced a multi-year partnership to use Nuro's autonomous, electric vehicles for food deliveries in the United States.
Uber Eats consumers will be able to order meals and goods delivered by Nuro's zero-occupant autonomous delivery vehicles, which run on public roads and are built specifically to carry food and other goods. The partnership will kick off this fall with deliveries in Houston, TX and Mountain View, CA. Uber and Nuro plan to expand the service to the greater Bay Area.
"Nuro and Uber share a vision in which technology can make everyday life just a little bit easier," said Noah Zych, Global Head of Autonomous Mobility and Delivery at Uber. "Nuro's distinctive autonomous vehicles are a great match for the Uber platform, and this partnership will bring a compelling combination of innovation alongside the convenience, affordability and reliability our customers and merchants have come to expect."
The partnership highlights the rapidly growing potential for last-mile autonomous delivery of meals, groceries, and other goods and opens up autonomous delivery technology to Uber Eats merchants/restaurants of all sizes. It also serves as an opportunity for Uber and Nuro to join forces to support local businesses and strengthen local commerce.
"Our partnership with Uber underscores Nuro's track record of partnering with the world's leading brands to make autonomous delivery a seamless experience," said Cosimo Leipold, Head of Partnerships at Nuro. "With our unique autonomous delivery vehicles and Uber's phenomenal scale and reach, we can expand food delivery options from your favorite local mom-and-pop restaurants all the way to nationwide chains."
Nuro was the first company to achieve fully autonomous vehicle operations in three states (Arizona, California, and Texas), and also the first to obtain an autonomous deployment permit from the California DMV. It remains one of only three companies to be granted the permit to date. Nuro's delivery vehicles are built with other road users' safety in mind. They can help reduce emissions from car trips and other traditional delivery options that use gas-powered vehicles, leading to cleaner air and better public health outcomes. Nuro's collaboration with Uber follows multiple strategic partnerships with market leaders in grocery, restaurant, parcel logistics, and convenience.
Uber's partnership with Nuro is an expansion of the company's efforts across autonomous mobility and delivery and is expected to unlock greater innovation for consumers and merchant partners in Mountain View and Houston.
Uber Eats delivers instant access to local commerce, helping people across the world discover restaurants and merchants, order meals, groceries, alcohol, and more at the touch of a button”and get it delivered reliably and quickly. The business leverages Uber's technology and logistics expertise to partner with 825,000 merchants in 11,000+ cities globally, while keeping average delivery time under 30 minutes.</v>
      </c>
      <c r="P110" s="60" t="str">
        <v>Nuro, a leading autonomous vehicle company, today announced a multi-year partnership to use Nuro's autonomous, electric vehicles for food deliveries in the United States.</v>
      </c>
      <c r="Q110" s="60" t="str">
        <v>Strategic Alliance</v>
      </c>
      <c r="R110" s="60" t="str">
        <v>n.a.</v>
      </c>
      <c r="S110" s="60" t="str">
        <v>Product Integration</v>
      </c>
      <c r="T110" s="60" t="str">
        <v>Long term - multi year</v>
      </c>
      <c r="U110" s="60" t="str">
        <v>-</v>
      </c>
      <c r="V110" s="60" t="str">
        <v>-</v>
      </c>
      <c r="W110" s="60" t="str">
        <v>2.3. Long term Alliance</v>
      </c>
      <c r="X110" s="60">
        <v>0</v>
      </c>
      <c r="Y110" s="60" t="str">
        <v>today announced a multi-year partnership to use Nuro's autonomous, electric vehicles for food deliveries in the United States.</v>
      </c>
      <c r="Z110" s="60" t="str">
        <v>Joint Service Agreement</v>
      </c>
      <c r="AA110" s="60" t="str">
        <v>today announced a multi-year partnership to use Nuro's autonomous, electric vehicles for food deliveries in the United States.</v>
      </c>
      <c r="AB110" s="60">
        <v>0</v>
      </c>
      <c r="AC110" s="60">
        <v>0</v>
      </c>
      <c r="AD110" s="60">
        <v>0</v>
      </c>
      <c r="AE110" s="60">
        <v>0</v>
      </c>
      <c r="AF110" s="60" t="str">
        <v>Uber and Nuro Announce 10-Year Partnership for Autonomous Food Deliveries Starting in California and Texas</v>
      </c>
      <c r="AG110" s="60">
        <v>0</v>
      </c>
      <c r="AM110" t="b">
        <f t="shared" si="15"/>
        <v>1</v>
      </c>
      <c r="AN110" t="str">
        <v>Charging System</v>
      </c>
      <c r="AO110" s="100">
        <f t="shared" si="16"/>
        <v>1</v>
      </c>
      <c r="AP110" s="101">
        <f t="shared" si="11"/>
        <v>1.1764705882352941E-2</v>
      </c>
      <c r="AS110" t="str">
        <v>Charging System</v>
      </c>
      <c r="AT110">
        <f t="shared" si="17"/>
        <v>1</v>
      </c>
      <c r="AU110" s="101">
        <f t="shared" si="12"/>
        <v>1.7543859649122806E-2</v>
      </c>
      <c r="AW110" t="str">
        <v>Charging System</v>
      </c>
      <c r="AX110">
        <f t="shared" si="13"/>
        <v>0</v>
      </c>
      <c r="AY110" s="101">
        <f t="shared" si="14"/>
        <v>0</v>
      </c>
    </row>
    <row r="111" spans="1:51" x14ac:dyDescent="0.35">
      <c r="A111" s="60" t="str">
        <v>https://oxa.tech/news-and-insights/goggo-network-and-oxbotica-partner-to-bring-autonomous-deliveries-to-europe/</v>
      </c>
      <c r="B111" s="60" t="str">
        <v>2023, 3, 22</v>
      </c>
      <c r="C111" s="105">
        <v>45007</v>
      </c>
      <c r="D111" s="60" t="str">
        <v>Goggo Network and Oxbotica partner to bring autonomous deliveries to Europe</v>
      </c>
      <c r="E111" s="60" t="str">
        <v>Oxa</v>
      </c>
      <c r="F111" s="60" t="str">
        <v>L1</v>
      </c>
      <c r="G111" s="60" t="str">
        <v>Oxa-ATV</v>
      </c>
      <c r="H111" s="60" t="str">
        <v>ATV</v>
      </c>
      <c r="I111" s="60" t="str">
        <v>Last-Mile</v>
      </c>
      <c r="J111" s="60" t="str">
        <v>Last-Mile</v>
      </c>
      <c r="K111" s="60" t="str">
        <v>Goggo Network</v>
      </c>
      <c r="L111" s="60" t="str">
        <v>Goggo Network</v>
      </c>
      <c r="M111" s="60">
        <v>0</v>
      </c>
      <c r="N111" s="60">
        <v>0</v>
      </c>
      <c r="O111" s="60" t="str">
        <v>Goggo Network plans to introduce Oxbotica's operating system for autonomy in its fleet of on-road autonomous electric vehicles, across Europe
As part of the collaboration, Goggo Network will begin by deploying Oxbotica's autonomous driving software in Spain, across its growing middle-mile operations
Goggo Network, the leader in autonomous vehicles in last and middle-mile logistics, has today announced it is joining forces with Oxbotica, the autonomous vehicle software developer, as part of its vision to drive the future of autonomous mobility and logistics in Europe.
The partnership will introduce Oxbotica's autonomous driving system into Goggo's middle and last mile delivery operations in its key industries, including FMCG, shipping, groceries and food delivery. This will be deployed on-road, as part of Goggo's electric vehicle (EV) network. The vehicles selected will have a maximum payload capacity of up to 1,500kg, which will be important in leading heavy and large cargo of autonomous middle-mile deliveries for retailers and distributors.
The first stage of the collaboration will see Goggo deploying Oxbotica's autonomy software in Spain, to explore the benefits of Oxbotica's technology in middle mile delivery in its operations with key partners including the likes of Carrefour, Da and Telepizza. The success of these tests will be a key building block for Goggo to include Oxbotica within its wider mobility network across cities in Europe including those in France.
Oxbotica's autonomous driving software is capable of driving both on and off road, in various weather conditions, low light and darkness, and able to adapt to any location (e.g. local road or site routes). It uses advanced AI to accurately sense and predict changes to the environment the vehicle is in, whilst learning from previous journeys, which is key to continually improving the safety and efficiency of the technology.
The announcement comes at a time of high fuel costs and a shortage of drivers across Europe, but ever increasing demand for services as online shopping skyrockets. By 2026, across Europe, driver shortage is expected to triple, with the total topping two million. Goggo and Oxbotica's collaboration will help tackle these challenges and address the urgent need to move goods from A to B safely and efficiently.
"Our partnership with Oxbotica centres around a shared commitment to realising the benefits of autonomous mobility today," said Yasmine Fage, co-founder and COO at Goggo."Our collaboration will enable Goggo to provide an unparalleled experience for autonomous middle and last mile deliveries throughout Europe. We were impressed by Oxbotica's system for autonomy and its outstanding safety standard, and we are excited to see how this collaboration can have a positive impact in the logistics industry, helping some of the critical challenges it faces today."
"We are thrilled to be working with Goggo to enable businesses in Europe to deploy autonomous vehicle technology sooner for safer and more efficient operations," said Gavin Jackson, CEO at Oxbotica. "We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
Alongside Oxbotica's self-driving software, Goggo will be tapping into Oxbotica's fleet management system to safely and effectively operate its fleet of autonomous vehicles, and optimise operational performance.
Goggo will also benefit from Oxbotica MetaDriver "a suite of tools that uses generative AI and machine learning to validate, verify and ensure the safety of autonomous vehicles in a virtual environment. Oxbotica MetaDriver automatically generates a vast bank of scenarios, used to test and refine AV operations and behaviours without ever needing to physically drive in them, which will accelerate the safe deployment of autonomous vehicles in Goggo's network.
Goggo plans to start operating with safety drivers to oversee its entire Autonomous Mobility Network in 2023, and once the respective safety validations have been completed and regulatory clearance obtained, it will make the transition to full autonomy.</v>
      </c>
      <c r="P111" s="60" t="str">
        <v>As part of the collaboration, Goggo Network will begin by deploying Oxbotica's autonomous driving software in Spain, across its growing middle-mile operations</v>
      </c>
      <c r="Q111" s="60" t="str">
        <v>Strategic Alliance</v>
      </c>
      <c r="R111" s="60" t="str">
        <v>n.a.</v>
      </c>
      <c r="S111" s="60" t="str">
        <v>Service Integration</v>
      </c>
      <c r="T111" s="60" t="str">
        <v>-</v>
      </c>
      <c r="U111" s="60" t="str">
        <v>-</v>
      </c>
      <c r="V111" s="60" t="str">
        <v>-</v>
      </c>
      <c r="W111" s="60" t="str">
        <v>2.1. Short term Alliance (no exclusivity / previous experience)</v>
      </c>
      <c r="X111" s="60">
        <v>0</v>
      </c>
      <c r="Y111" s="60" t="str">
        <v>As part of the collaboration, Goggo Network will begin by deploying Oxbotica's autonomous driving software in Spain, across its growing middle-mile operations</v>
      </c>
      <c r="Z111" s="60" t="str">
        <v>Joint Service Agreement</v>
      </c>
      <c r="AA111" s="60" t="str">
        <v>"We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v>
      </c>
      <c r="AB111" s="60">
        <v>0</v>
      </c>
      <c r="AC111" s="60">
        <v>0</v>
      </c>
      <c r="AD111" s="60">
        <v>0</v>
      </c>
      <c r="AE111" s="60">
        <v>0</v>
      </c>
      <c r="AF111" s="60" t="str">
        <v xml:space="preserve">Goggo Network and Oxbotica partner to bring </v>
      </c>
      <c r="AG111" s="60" t="str">
        <v>autonomous deliveries to Europe</v>
      </c>
      <c r="AM111" t="b">
        <f t="shared" si="15"/>
        <v>1</v>
      </c>
      <c r="AN111" t="str">
        <v>OEM Commercial Vehicles</v>
      </c>
      <c r="AO111" s="100">
        <f t="shared" si="16"/>
        <v>7</v>
      </c>
      <c r="AP111" s="101">
        <f t="shared" si="11"/>
        <v>8.2352941176470587E-2</v>
      </c>
      <c r="AS111" t="str">
        <v>OEM Commercial Vehicles</v>
      </c>
      <c r="AT111">
        <f t="shared" si="17"/>
        <v>7</v>
      </c>
      <c r="AU111" s="101">
        <f t="shared" si="12"/>
        <v>0.12280701754385964</v>
      </c>
      <c r="AW111" t="str">
        <v>OEM Commercial Vehicles</v>
      </c>
      <c r="AX111">
        <f t="shared" si="13"/>
        <v>0</v>
      </c>
      <c r="AY111" s="101">
        <f t="shared" si="14"/>
        <v>0</v>
      </c>
    </row>
    <row r="112" spans="1:51" x14ac:dyDescent="0.35">
      <c r="A112" s="60" t="str">
        <v>https://oxa.tech/news-and-insights/ocado-group-and-oxbotica-announce-investment-and-joint-collaboration-to-develop-autonomous-integrated-mobility-solution/</v>
      </c>
      <c r="B112" s="60" t="str">
        <v>2021, 4, 15</v>
      </c>
      <c r="C112" s="105">
        <v>44301</v>
      </c>
      <c r="D112" s="60" t="str">
        <v>Ocado Group announce investment in and joint collaboration with Oxbotica to develop autonomous integrated mobility solution</v>
      </c>
      <c r="E112" s="60" t="str">
        <v>Oxa</v>
      </c>
      <c r="F112" s="60" t="str">
        <v>L1</v>
      </c>
      <c r="G112" s="60" t="str">
        <v>Oxa-ATV</v>
      </c>
      <c r="H112" s="60" t="str">
        <v>ATV</v>
      </c>
      <c r="I112" s="60" t="str">
        <v>Last-Mile</v>
      </c>
      <c r="J112" s="60" t="str">
        <v>Last-Mile</v>
      </c>
      <c r="K112" s="60" t="str">
        <v>Ocado Group</v>
      </c>
      <c r="L112" s="60" t="str">
        <v>Ocado Group</v>
      </c>
      <c r="M112" s="60">
        <v>0</v>
      </c>
      <c r="N112" s="60">
        <v>0</v>
      </c>
      <c r="O112" s="60" t="str">
        <v>Ocado Group plc the leading online grocery platform and solutions provider, today announces that it has commercially partnered with Oxbotica Ltd. ("Oxbotica"), headquartered in Oxford.
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This will be a multi-year collaboration, and the ultimate ambition is to enable Ocado's partners that use the Ocado Smart Platform ("OSP") to reduce the costs of last-mile delivery and other logistics operations.
The Ocado/Oxbotica relationship began in 2017, when we conducted a two-week trial using an early prototype delivery vehicle doing autonomous deliveries in Greenwich, London. Since that initial trial, Oxbotica has made significant progress in developing its platform, leading to today's announcement of a broader relationship that includes both Ocado's financial investment and a commercial collaboration agreement.
Oxbotica's two core products are Selenium and Caesium. Selenium is an on-vehicle suite of software that brings full autonomy to a vehicle in a way that is agnostic to both hardware and environment. Caesium is a cloud-based autonomy management system that brings fine-grained control, audit, data management and monitoring to autonomous fleets. Oxbotica's products use an advanced set of AI, machine learning and optimisation technologies to yield a low-power, safe, explainable, quick-to-deploy, modular and completely flexible "Universal Autonomy" platform.
Ocado will build teams of engineers within its existing Advanced Technology division to work with Oxbotica on these diverse use cases. The Advanced Technology division is independent from the engineering team that develops core OSP software and automation. The initial development work will focus on UK operations, and will then extend to international markets where Ocado's partners operate.
Over the last five years Ocado has created more than 8,000 new jobs in the UK and abroad, with headcount now approaching 19,000 employees. As with its robotics business, this vehicle autonomy programme is not expected to have any impact on Ocado's current hiring or employment levels within logistics or operations groups.
Logistics costs constitute the single-largest line item in the operating cost structure of online grocery. Moving finished orders from CFCs to 'spokes' (where they are then cross-docked to delivery vans) represents approximately 1.5% of sales in the UK; the cost of final mile delivery is approximately 10% of sales. Labour represents approximately 50% of these costs.
Beyond potential cost savings within its core operations1, Ocado sees significant opportunities to improve its partners' customer proposition by being better able to respond to peak delivery demands, reducing the cost-to-serve of its immediacy proposition, and accelerating the shift to electrically-powered vehicles (thereby improving fleet sustainability and reducing environmental impact).
For both regulatory and complexity reasons, Ocado expects that the development of vehicles that operate in low-speed urban areas or in restricted access areas, such as inside its CFC buildings or within its CFC yards, may become a reality sooner than fully-autonomous deliveries to consumers' homes. However, all aspects of autonomous vehicle development will be within the scope of this collaboration. Ocado expects to see the first prototypes of some early use cases for autonomous vehicles within two years.
In addition to this collaboration with Oxbotica, Ocado continues to seek further investments and/or partnerships as it grows and develops its autonomous vehicle capabilities.
Main Transaction Terms
Ocado will invest £10m in Oxbotica as part of Oxbotica's latest Series B equity funding round. The round was led by bp ventures, and included other strategic and financial investors in the U.S., the U.K., China and Australia, such as Tencent, Halma, BGF, HostPlus, IP Group, Venture Science, and funds advised by Doxa Partners. Ocado will take a seat on Oxbotica's board.
As part of this collaboration, Ocado will outfit a subset of its delivery vans and warehouse vehicles with data capture capabilities, which may include video cameras, LiDAR, RADAR and other sensing devices. Ocado will make this data available to Oxbotica to train and test its technologies, which will then inform Ocado as to what opportunities exist and where best it might take advantage of these exciting new partnerships.
Alex Harvey, Chief of Advanced Technology at Ocado, commented:
"We are excited about the opportunity to work with Oxbotica to develop a wide range of autonomous solutions that truly have the potential to transform both our and our partners' CFC and service delivery operations, while also giving all end customers the widest range of options and flexibility."
Paul Newman, Co-Founder &amp; CTO of Oxbotica, commented:
"This is an excellent opportunity for Oxbotica and Ocado to strengthen our partnership, sharing our vision for the future of autonomy. By combining both companies' cutting-edge knowledge and resources, we hope to bring our Universal Autonomy vision to life and continue to solve some of the world's most complex autonomy challenges."</v>
      </c>
      <c r="P112" s="60" t="str">
        <v>The Ocado/Oxbotica relationship began in 2017, when we conducted a two-week trial using an early prototype delivery vehicle doing autonomous deliveries in Greenwich, London. 
 This will be a multi-year collaboration
Since that initial trial, Oxbotica has made significant progress in developing its platform, leading to today's announcement of a broader relationship that includes both Ocado's financial investment and a commercial collaboration agreement.</v>
      </c>
      <c r="Q112" s="60" t="str">
        <v>Strategic Partnership</v>
      </c>
      <c r="R112" s="60" t="str">
        <v>n.a.</v>
      </c>
      <c r="S112" s="60" t="str">
        <v>Service Integration</v>
      </c>
      <c r="T112" s="60" t="str">
        <v>Long term - multi year</v>
      </c>
      <c r="U112" s="60" t="str">
        <v>-</v>
      </c>
      <c r="V112" s="60" t="str">
        <v>-</v>
      </c>
      <c r="W112" s="60" t="str">
        <v>3. Strategic Partnership</v>
      </c>
      <c r="X112" s="60">
        <v>0</v>
      </c>
      <c r="Y112" s="60" t="str">
        <v xml:space="preserve">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v>
      </c>
      <c r="Z112" s="60" t="str">
        <v>Joint D&amp;D</v>
      </c>
      <c r="AA112" s="60" t="str">
        <v xml:space="preserve">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v>
      </c>
      <c r="AB112" s="60">
        <v>0</v>
      </c>
      <c r="AC112" s="60">
        <v>0</v>
      </c>
      <c r="AD112" s="60">
        <v>0</v>
      </c>
      <c r="AE112" s="60">
        <v>0</v>
      </c>
      <c r="AF112" s="60" t="str">
        <v>Ocado Group announce investment in and joint collaboration with Oxbotica to develop autonomous integrated mobility solution</v>
      </c>
      <c r="AG112" s="60">
        <v>0</v>
      </c>
      <c r="AM112" t="b">
        <f t="shared" si="15"/>
        <v>1</v>
      </c>
      <c r="AN112" t="str">
        <v>Financial Services</v>
      </c>
      <c r="AO112" s="100">
        <f t="shared" si="16"/>
        <v>1</v>
      </c>
      <c r="AP112" s="101">
        <f t="shared" si="11"/>
        <v>1.1764705882352941E-2</v>
      </c>
      <c r="AS112" t="str">
        <v>Financial Services</v>
      </c>
      <c r="AT112">
        <f t="shared" si="17"/>
        <v>0</v>
      </c>
      <c r="AU112" s="101">
        <f t="shared" si="12"/>
        <v>0</v>
      </c>
      <c r="AW112" t="str">
        <v>Financial Services</v>
      </c>
      <c r="AX112">
        <f t="shared" si="13"/>
        <v>1</v>
      </c>
      <c r="AY112" s="101">
        <f t="shared" si="14"/>
        <v>3.5714285714285712E-2</v>
      </c>
    </row>
    <row r="113" spans="1:51" x14ac:dyDescent="0.35">
      <c r="A113" s="60" t="str">
        <v>https://plus.ai/news-and-insights/bosch-and-plus-collaborate-on-assisted-driving-solution-for-commercial-vehicles</v>
      </c>
      <c r="B113" s="60" t="str">
        <v>2023, 5, 1</v>
      </c>
      <c r="C113" s="105">
        <v>45047</v>
      </c>
      <c r="D113" s="60" t="str">
        <v>Bosch and Plus Collaborate on Assisted Driving Solution for Commercial Vehicles</v>
      </c>
      <c r="E113" s="60" t="str">
        <v>Plus.ai</v>
      </c>
      <c r="F113" s="60" t="str">
        <v>L1</v>
      </c>
      <c r="G113" s="60" t="str">
        <v>Plus.ai-ATV</v>
      </c>
      <c r="H113" s="60" t="str">
        <v>ATV</v>
      </c>
      <c r="I113" s="60" t="str">
        <v>Trucking</v>
      </c>
      <c r="J113" s="60" t="str">
        <v>Trucking</v>
      </c>
      <c r="K113" s="60" t="str">
        <v>Bosch</v>
      </c>
      <c r="L113" s="60" t="str">
        <v>Bosch</v>
      </c>
      <c r="M113" s="60">
        <v>0</v>
      </c>
      <c r="N113" s="60">
        <v>0</v>
      </c>
      <c r="O113" s="60" t="str">
        <v xml:space="preserve">Bosch and Plus are collaborating to make software-defined commercial trucks a reality. Through a new technology agreement, Plus is offering its PlusDrive solution with the integrated steering system from Bosch featuring hardware and software to deliver driver assistance and partially automated features to commercial vehicles. The announcement was made today at the Advanced Clean Transportation (ACT) Expo in Anaheim, California.
PlusDrive-enabled L2++ vehicles are equipped with a predictive 360 degree surround perception system and provide partial automation by continuously helping drivers with acceleration, braking and steering. 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
"New mobility solutions reqhuire new, enhanced collaboration," said Paul Thomas, executive vice president of Mobility Solutions, Americas for Bosch. "Our agreement with Plus complements existing Bosch portfolio elements and is one of multiple ways we can work together to support our customers."
"Plus's underlying next-generation safety solution enabled by our open autonomy platform, combined with Bosch's steering software system, will help to prevent accidents in commercial vehicles and make roads safer. The proven commercial readiness of our highly automated Plus system accelerates the deployment for our partners and improves the safety and sustainability for the trucking industry," said Shawn Kerrigan, COO and co-founder, Plus.
Beyond offering hardware and software solutions in its steering technology, Bosch can also provide advanced engineering services from its Bosch Engineering team focused on vehicle integration, security and safety for the combined Bosch and Plus solution offered to commercial vehicle truck manufacturers.
In addition to steering solutions for commercial vehicles, Bosch also delivers hardware and software solutions supporting increasing levels of automation in commercial vehicles. Bosch technology can help to provide significantly more powerful electronics architecture, thereby delivering the basis for the software-defined truck. Half the R&amp;D associates in the Bosch Mobility Solutions business sector are software engineers. Among other things, this promotes the development of automated driving.
</v>
      </c>
      <c r="P113" s="60" t="str">
        <v>Through a new technology agreement, Plus is offering its PlusDrive solution with the integrated steering system from 
€œOur agreement with Plus complements existing Bosch portfolio elements and is one of multiple ways we can work together to support our customers."</v>
      </c>
      <c r="Q113" s="60" t="str">
        <v>Strategic Alliance</v>
      </c>
      <c r="R113" s="60" t="str">
        <v>Yes</v>
      </c>
      <c r="S113" s="60" t="str">
        <v>Product cooperation</v>
      </c>
      <c r="T113" s="60" t="str">
        <v>-</v>
      </c>
      <c r="U113" s="60" t="str">
        <v>-</v>
      </c>
      <c r="V113" s="60" t="str">
        <v>-</v>
      </c>
      <c r="W113" s="60" t="str">
        <v>2.1. Short term Alliance (no exclusivity / previous experience)</v>
      </c>
      <c r="X113" s="60">
        <v>0</v>
      </c>
      <c r="Y113" s="60" t="str">
        <v>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v>
      </c>
      <c r="Z113" s="60" t="str">
        <v>Joint D&amp;D</v>
      </c>
      <c r="AA113" s="60" t="str">
        <v>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v>
      </c>
      <c r="AB113" s="60">
        <v>0</v>
      </c>
      <c r="AC113" s="60">
        <v>0</v>
      </c>
      <c r="AD113" s="60">
        <v>0</v>
      </c>
      <c r="AE113" s="60">
        <v>0</v>
      </c>
      <c r="AF113" s="60" t="str">
        <v>Bosch and Plus Collaborate on Assisted Driving Solution for Commercial Vehicles</v>
      </c>
      <c r="AG113" s="60">
        <v>0</v>
      </c>
      <c r="AM113" t="b">
        <f t="shared" si="15"/>
        <v>1</v>
      </c>
      <c r="AN113" t="str">
        <v>Autonomous mobility network</v>
      </c>
      <c r="AO113" s="100">
        <f t="shared" si="16"/>
        <v>2</v>
      </c>
      <c r="AP113" s="101">
        <f t="shared" si="11"/>
        <v>2.3529411764705882E-2</v>
      </c>
      <c r="AS113" t="str">
        <v>Autonomous mobility network</v>
      </c>
      <c r="AT113">
        <f t="shared" si="17"/>
        <v>0</v>
      </c>
      <c r="AU113" s="101">
        <f t="shared" si="12"/>
        <v>0</v>
      </c>
      <c r="AW113" t="str">
        <v>Autonomous mobility network</v>
      </c>
      <c r="AX113">
        <f t="shared" si="13"/>
        <v>2</v>
      </c>
      <c r="AY113" s="101">
        <f t="shared" si="14"/>
        <v>7.1428571428571425E-2</v>
      </c>
    </row>
    <row r="114" spans="1:51" x14ac:dyDescent="0.35">
      <c r="A114" s="60" t="str">
        <v>https://plus.ai/news-and-insights/plus-ai-partners-with-minnesota-department-of-transportation-to-accelerate-adoption-of-self-driving-trucks-and-prepare-them-for-extreme-winter-road-conditions</v>
      </c>
      <c r="B114" s="60" t="str">
        <v>2019, 10, 8</v>
      </c>
      <c r="C114" s="105">
        <v>43473</v>
      </c>
      <c r="D114" s="60" t="str">
        <v>Plus Partners with Minnesota Department of Transportation to Accelerate Adoption of Self-Driving Trucks and Prepare Them for Extreme Winter Road Conditions</v>
      </c>
      <c r="E114" s="60" t="str">
        <v>Plus.ai</v>
      </c>
      <c r="F114" s="60" t="str">
        <v>L1</v>
      </c>
      <c r="G114" s="60" t="str">
        <v>Plus.ai-ATV</v>
      </c>
      <c r="H114" s="60" t="str">
        <v>ATV</v>
      </c>
      <c r="I114" s="60" t="str">
        <v>Trucking</v>
      </c>
      <c r="J114" s="60" t="str">
        <v>Trucking</v>
      </c>
      <c r="K114" s="60" t="str">
        <v>Minnesota Department of Transportation</v>
      </c>
      <c r="L114" s="60" t="str">
        <v>Minnesota Department of Transportation</v>
      </c>
      <c r="M114" s="60">
        <v>0</v>
      </c>
      <c r="N114" s="60">
        <v>0</v>
      </c>
      <c r="O114" s="60" t="str">
        <v>Plus , a leading provider of self-driving trucking technology, today announced a partnership with the Minnesota Department of Transportation (MnDOT), marking the agency's first partnership with an autonomous trucking company to test on MnDOT's MnROAD cold-weather pavement testing facility. The partnership will include information sharing between Plus and MnDOT around self-driving truck performance in the toughest winter conditions, in order to inform public policy discussions.
"Commercializing Plus's self-driving trucks requires preparing them to drive in all climates, including the toughest winter road conditions that Minnesota experiences. 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
"As automation and emerging transportation technology evolve, the Minnesota Department of Transportation understands how critical it is to collaboratively share information and expertise with partners like Plus. Learning how these vehicles operate in winter weather helps Minnesota advance safety innovation for everyone in the transportation system," said Kristin White, Executive Director of MnDOT's Office of Connected and Automated Vehicles.
A key benefit driving autonomous truck development is increased safety. Large truck fatalities in the U.S. rose to an all-time high of 4,761 fatalities in 2017. In 2018, Minnesota saw 4,623 truck-involved crashes, according to the Minnesota Department of Public Safety. Winter weather is particularly challenging: Snowy, slushy or icy winter road conditions are responsible for vehicle accidents that kill over 1,300 people and injure more than 116,800 people every year, according to the U.S. Department of Transportation. More than 70 percent of U.S. roads are located in regions that experience snow.
Testing will allow Plus to better understand how winter conditions affect the movement of its trucks. Winter conditions are tough to handle for all vehicles, and snow is particularly challenging for trucks, which can weigh up to 80,000 pounds. The testing will begin with mapping the MnROAD closed test track, followed by rigorous performance testing of Plus's self-driving trucks.</v>
      </c>
      <c r="P114" s="60" t="str">
        <v>Plus (www.plus.ai), a leading provider of self-driving trucking technology, today announced a partnership with the Minnesota Department of Transportation (MnDOT), marking the agency's first partnership with an autonomous trucking company to test on MnDOT's MnROAD cold-weather pavement testing facility.
he testing will begin with mapping the MnROAD closed test track, followed by rigorous performance testing of Plus's self-driving trucks.</v>
      </c>
      <c r="Q114" s="60" t="str">
        <v>Strategic Alliance</v>
      </c>
      <c r="R114" s="60" t="str">
        <v>n.a.</v>
      </c>
      <c r="S114" s="60" t="str">
        <v>One time - pilot</v>
      </c>
      <c r="T114" s="60" t="str">
        <v>-</v>
      </c>
      <c r="U114" s="60" t="str">
        <v>-</v>
      </c>
      <c r="V114" s="60" t="str">
        <v>-</v>
      </c>
      <c r="W114" s="60" t="str">
        <v>2.1. Short term Alliance (no exclusivity / previous experience)</v>
      </c>
      <c r="X114" s="60">
        <v>0</v>
      </c>
      <c r="Y114" s="60" t="str">
        <v>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v>
      </c>
      <c r="Z114" s="60" t="str">
        <v>Research &amp; Collaboration</v>
      </c>
      <c r="AA114" s="60" t="str">
        <v>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v>
      </c>
      <c r="AB114" s="60">
        <v>0</v>
      </c>
      <c r="AC114" s="60">
        <v>0</v>
      </c>
      <c r="AD114" s="60">
        <v>0</v>
      </c>
      <c r="AE114" s="60">
        <v>0</v>
      </c>
      <c r="AF114" s="60" t="str">
        <v xml:space="preserve">Plus Partners with Minnesota Department of Transportation to Accelerate </v>
      </c>
      <c r="AG114" s="60" t="str">
        <v>Adoption of Self-Driving Trucks and Prepare Them for Extreme Winter Road Conditions</v>
      </c>
      <c r="AM114" t="b">
        <f t="shared" si="15"/>
        <v>1</v>
      </c>
      <c r="AN114" t="str">
        <v>Mobility Services Booking</v>
      </c>
      <c r="AO114" s="100">
        <f t="shared" si="16"/>
        <v>4</v>
      </c>
      <c r="AP114" s="101">
        <f t="shared" si="11"/>
        <v>4.7058823529411764E-2</v>
      </c>
      <c r="AS114" t="str">
        <v>Mobility Services Booking</v>
      </c>
      <c r="AT114">
        <f t="shared" si="17"/>
        <v>2</v>
      </c>
      <c r="AU114" s="101">
        <f t="shared" si="12"/>
        <v>3.5087719298245612E-2</v>
      </c>
      <c r="AW114" t="str">
        <v>Mobility Services Booking</v>
      </c>
      <c r="AX114">
        <f t="shared" si="13"/>
        <v>2</v>
      </c>
      <c r="AY114" s="101">
        <f t="shared" si="14"/>
        <v>7.1428571428571425E-2</v>
      </c>
    </row>
    <row r="115" spans="1:51" x14ac:dyDescent="0.35">
      <c r="A115" s="60" t="str">
        <v>https://plus.ai/news-and-insights/transurban-and-plus-collaborate-to-advance-level-4-autonomous-trucks-in-australia</v>
      </c>
      <c r="B115" s="60" t="str">
        <v>2023, 8, 22</v>
      </c>
      <c r="C115" s="105">
        <v>45160</v>
      </c>
      <c r="D115" s="60" t="str">
        <v>Transurban and Plus Collaborate to Advance Level 4 Autonomous Trucks in Australia</v>
      </c>
      <c r="E115" s="60" t="str">
        <v>Plus.ai</v>
      </c>
      <c r="F115" s="60" t="str">
        <v>L1</v>
      </c>
      <c r="G115" s="60" t="str">
        <v>Plus.ai-ATV</v>
      </c>
      <c r="H115" s="60" t="str">
        <v>ATV</v>
      </c>
      <c r="I115" s="60" t="str">
        <v>Trucking</v>
      </c>
      <c r="J115" s="60" t="str">
        <v>Trucking</v>
      </c>
      <c r="K115" s="60" t="str">
        <v>Transurban</v>
      </c>
      <c r="L115" s="60" t="str">
        <v>Transurban</v>
      </c>
      <c r="M115" s="60">
        <v>0</v>
      </c>
      <c r="N115" s="60">
        <v>0</v>
      </c>
      <c r="O115" s="60" t="str">
        <v>World-leading toll-road operator, Transurban, today announced a partnership with Plus, a global Silicon Valley-based autonomous driving software company, to advance Transurban's automated freight program and take advantage of the resources and talent in Victoria, the home of Australian innovation.
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
Countries around the world are starting to explore the benefits of self-driving trucks on public motorways. The combination of global and local expertise that enables smart roads to communicate with self-driving trucks through this partnership sets Victoria up to be an international leader in this space.
With road freight projected to grow steadily in the coming decades, self-driving trucks have the potential to transform the freight industry by moving more goods, more quickly, and more sustainably. This will also deliver positive economic and social outcomes for consumers, motorists and Governments by reducing congestion and improving road safety, while helping to address the shortage of truck drivers.
Starting in 2017, Transurban's comprehensive CAV testing program has worked with governments and industry to roll out 11 successful trials of fully and partially automated vehicles on motorways across Australia and North America to test how they respond to road infrastructure.
Transurban's successful 2022 trial was the first time in Australia that a highly automated self-driving truck was tested in live traffic conditions on public motorways.
The partnership between Transurban and Plus will leverage Plus's state-of-the-art autonomous driving software and global commercial deployment experience, which includes the cooperation with IVECO, the global commercial vehicle brand of Iveco Group, to co-develop self-driving trucks for Europe. Highly automated trucks enabled by Plus's technology are already delivering freight in the U.S. for world-class fleets and being tested on public roads in Germany with IVECO.
Plus's autonomous driving software uses the latest advances in generative AI, machine learning, computer vision, and other state-of-the-art algorithms to empower vehicles with superhuman awareness and control. Integrated with advanced lidar, radar, and camera sensors, Plus's software can detect and precisely track objects, predict their movement, and then safely maneuver the vehicle.
Scott Charlton, CEO of Transurban, said: "This partnership will support long-term opportunities for automated freight, including potential benefits to reduce congestion and improve road safety and traffic flow, and is a continuation of Transurban's work in this area. Automated transport technologies are going to transform the way we move goods around cities, and with vital connections between ports and other freight hubs, our roads offer ideal conditions to facilitate this new technology."
Tien-Ti Mak, General Manager for Strategic Innovation at Transurban, said: "Transurban roads are some of the most technologically sophisticated in the world, and we're excited to combine our infrastructure and operational expertise with Plus's innovative technology to bring the benefits of automated freight one step closer. The adoption of self-driving trucks in specific environments can have positive outcomes for Victoria by improving road safety, increasing productivity, reducing congestion and importantly, creating jobs for the future."
"At Plus, we have seen first-hand through our global deployments the transformational impact that our autonomous driving solutions can have on transportation to improve safety, efficiency and sustainability," said Shawn Kerrigan, Co-Founder and COO at Plus. "We are delighted to partner with Transurban to drive autonomous trucking development in Australia to the next level, and show the unparalleled benefits in road safety and operational efficiency delivered by a collaboration between the world's most advanced autonomous driving software and smart infrastructure provider."
Paul Guerra, CEO for Victorian Chamber of Commerce, said: "We congratulate Transurban on this wonderful initiative. Through driving a culture of innovation, Victoria attracts talent, investment, and businesses. Not to mention tens of billions of dollars in local industry revenue. Fostering an innovation ecosystem and supporting startups is a strategic pillar for meaningful employment and economic prosperity, as we look to 'future-proof' the workforce of Victoria. We recognize that this support is vital for economic growth, job creation and the productivity of the State."</v>
      </c>
      <c r="P115" s="60" t="str">
        <v>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v>
      </c>
      <c r="Q115" s="60" t="str">
        <v>Strategic Alliance</v>
      </c>
      <c r="R115" s="60" t="str">
        <v>n.a.</v>
      </c>
      <c r="S115" s="60" t="str">
        <v>One time - pilot</v>
      </c>
      <c r="T115" s="60" t="str">
        <v>-</v>
      </c>
      <c r="U115" s="60" t="str">
        <v>-</v>
      </c>
      <c r="V115" s="60" t="str">
        <v>-</v>
      </c>
      <c r="W115" s="60" t="str">
        <v>2.1. Short term Alliance (no exclusivity / previous experience)</v>
      </c>
      <c r="X115" s="60">
        <v>0</v>
      </c>
      <c r="Y115" s="60" t="str">
        <v>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v>
      </c>
      <c r="Z115" s="60" t="str">
        <v>Research &amp; Collaboration</v>
      </c>
      <c r="AA115" s="60" t="str">
        <v>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v>
      </c>
      <c r="AB115" s="60">
        <v>0</v>
      </c>
      <c r="AC115" s="60">
        <v>0</v>
      </c>
      <c r="AD115" s="60">
        <v>0</v>
      </c>
      <c r="AE115" s="60">
        <v>0</v>
      </c>
      <c r="AF115" s="60" t="str">
        <v xml:space="preserve">Transurban and Plus Collaborate to Advance </v>
      </c>
      <c r="AG115" s="60" t="str">
        <v>Level 4 Autonomous Trucks in Australia</v>
      </c>
      <c r="AM115" t="b">
        <f t="shared" si="15"/>
        <v>1</v>
      </c>
      <c r="AN115" t="str">
        <v>Transport Operator</v>
      </c>
      <c r="AO115" s="100">
        <f t="shared" si="16"/>
        <v>2</v>
      </c>
      <c r="AP115" s="101">
        <f t="shared" si="11"/>
        <v>2.3529411764705882E-2</v>
      </c>
      <c r="AS115" t="str">
        <v>Transport Operator</v>
      </c>
      <c r="AT115">
        <f t="shared" si="17"/>
        <v>2</v>
      </c>
      <c r="AU115" s="101">
        <f t="shared" si="12"/>
        <v>3.5087719298245612E-2</v>
      </c>
      <c r="AW115" t="str">
        <v>Transport Operator</v>
      </c>
      <c r="AX115">
        <f t="shared" si="13"/>
        <v>0</v>
      </c>
      <c r="AY115" s="101">
        <f t="shared" si="14"/>
        <v>0</v>
      </c>
    </row>
    <row r="116" spans="1:51" x14ac:dyDescent="0.35">
      <c r="A116" s="60" t="str">
        <v>https://plus.ai/news-and-insights/goodyear-and-plus-collaborate-on-autonomous-trucks</v>
      </c>
      <c r="B116" s="60" t="str">
        <v>2021, 8, 23</v>
      </c>
      <c r="C116" s="105">
        <v>44431</v>
      </c>
      <c r="D116" s="60" t="str">
        <v>Goodyear and Plus Collaborate on Autonomous Trucks</v>
      </c>
      <c r="E116" s="60" t="str">
        <v>Plus.ai</v>
      </c>
      <c r="F116" s="60" t="str">
        <v>L1</v>
      </c>
      <c r="G116" s="60" t="str">
        <v>Plus.ai-ATV</v>
      </c>
      <c r="H116" s="60" t="str">
        <v>ATV</v>
      </c>
      <c r="I116" s="60" t="str">
        <v>Trucking</v>
      </c>
      <c r="J116" s="60" t="str">
        <v>Trucking</v>
      </c>
      <c r="K116" s="60" t="str">
        <v>Goodyear</v>
      </c>
      <c r="L116" s="60" t="str">
        <v>Goodyear</v>
      </c>
      <c r="M116" s="60">
        <v>0</v>
      </c>
      <c r="N116" s="60">
        <v>0</v>
      </c>
      <c r="O116" s="60" t="str">
        <v>The Goodyear Tire &amp; Rubber Company today announced a strategic collaboration with Plus (formerly Plus.ai), a global provider of self-driving truck technology, to provide optimized, autonomous trucking solutions that elevate the intelligent and connected transformation of the logistics Industry.
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
Plus is already deploying its driver-in autonomous driving solution, PlusDrive, to customers and is expected to start production of the FAW J7 L3 truck powered by PlusDrive in the third quarter of 2021.
"Tires are the only thing on a vehicle that touches the ground and it's this critical position that can help us enable future mobility solutions like autonomous transportation," said Chris Helsel, SVP Global Operations &amp; CTO of Goodyear, "With our leadership in products and innovation, Goodyear is supporting efficient fleet operations and is pleased to drive more possibilities for the logistics industry wiGth Plus."
Shawn Kerrigan, COO and Co-founder of Plus, said: "We are constantly exploring new opportunities to generate more value for customers using our autonomous driving technology. The collaboration between Plus and Goodyear enables us to leverage both companies' innovative fuel efficiency technologies, and harness these to further improve the performance of autonomous trucks."</v>
      </c>
      <c r="P116" s="60" t="str">
        <v>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v>
      </c>
      <c r="Q116" s="60" t="str">
        <v>Strategic Alliance</v>
      </c>
      <c r="R116" s="60" t="str">
        <v>n.a.</v>
      </c>
      <c r="S116" s="60" t="str">
        <v>One time - pilot</v>
      </c>
      <c r="T116" s="60" t="str">
        <v>-</v>
      </c>
      <c r="U116" s="60" t="str">
        <v>-</v>
      </c>
      <c r="V116" s="60" t="str">
        <v>-</v>
      </c>
      <c r="W116" s="60" t="str">
        <v>2.1. Short term Alliance (no exclusivity / previous experience)</v>
      </c>
      <c r="X116" s="60">
        <v>0</v>
      </c>
      <c r="Y116" s="60" t="str">
        <v>Through this collaboration, Goodyear's suite of services, including connected tires, will further enhance transportation efficiency and safety for semi-trucks powered by Plus's Level 4 autonomous driving technology while also reducing carbon impact.
Goodyear and Plus will explore how Plus's autonomous driving system can incorporate feedback from Goodyear's connected tires into Plus's online, machine learning-based fuel optimization, to further improve fuel economy.
Integrating Goodyear's intelligent tires with Plus's autonomous driving system can also improve a vehicle's overall performance in severe weather and extreme road conditions.</v>
      </c>
      <c r="Z116" s="60" t="str">
        <v>Research &amp; Collaboration</v>
      </c>
      <c r="AA116" s="60" t="str">
        <v>Goodyear and Plus will explore how Plus's autonomous driving system can incorporate feedback from Goodyear's connected tires into Plus's online, machine learning-based fuel optimization, to further improve fuel economy.</v>
      </c>
      <c r="AB116" s="60" t="str">
        <v>Supply Partnership (traditional)</v>
      </c>
      <c r="AC116" s="60" t="str">
        <v>Through this collaboration, Goodyear's suite of services, including connected tires, will further enhance transportation efficiency and safety for semi-trucks powered by Plus's Level 4 autonomous driving technology while also reducing carbon impact.</v>
      </c>
      <c r="AD116" s="60">
        <v>0</v>
      </c>
      <c r="AE116" s="60">
        <v>0</v>
      </c>
      <c r="AF116" s="60" t="str">
        <v>Goodyear and Plus Collaborate on</v>
      </c>
      <c r="AG116" s="60" t="str">
        <v>Autonomous Trucks</v>
      </c>
      <c r="AM116" t="b">
        <f t="shared" si="15"/>
        <v>1</v>
      </c>
      <c r="AN116" t="str">
        <v>Sensor</v>
      </c>
      <c r="AO116" s="100">
        <f t="shared" si="16"/>
        <v>2</v>
      </c>
      <c r="AP116" s="101">
        <f t="shared" si="11"/>
        <v>2.3529411764705882E-2</v>
      </c>
      <c r="AS116" t="str">
        <v>Sensor</v>
      </c>
      <c r="AT116">
        <f t="shared" si="17"/>
        <v>2</v>
      </c>
      <c r="AU116" s="101">
        <f t="shared" si="12"/>
        <v>3.5087719298245612E-2</v>
      </c>
      <c r="AW116" t="str">
        <v>Sensor</v>
      </c>
      <c r="AX116">
        <f t="shared" si="13"/>
        <v>0</v>
      </c>
      <c r="AY116" s="101">
        <f t="shared" si="14"/>
        <v>0</v>
      </c>
    </row>
    <row r="117" spans="1:51" x14ac:dyDescent="0.35">
      <c r="A117" s="60" t="str">
        <v>https://plus.ai/news-and-insights/plus-partners-with-iveco-to-develop-autonomous-trucks-for-global-deployment</v>
      </c>
      <c r="B117" s="60" t="str">
        <v>2021, 4, 12</v>
      </c>
      <c r="C117" s="105">
        <v>44298</v>
      </c>
      <c r="D117" s="60" t="str">
        <v>Plus Partners with IVECO to Develop Autonomous Trucks for Global Deployment</v>
      </c>
      <c r="E117" s="60" t="str">
        <v>Plus.ai</v>
      </c>
      <c r="F117" s="60" t="str">
        <v>L1</v>
      </c>
      <c r="G117" s="60" t="str">
        <v>Plus.ai-ATV</v>
      </c>
      <c r="H117" s="60" t="str">
        <v>ATV</v>
      </c>
      <c r="I117" s="60" t="str">
        <v>Trucking</v>
      </c>
      <c r="J117" s="60" t="str">
        <v>Trucking</v>
      </c>
      <c r="K117" s="60" t="str">
        <v>IVECO</v>
      </c>
      <c r="L117" s="60" t="str">
        <v>IVECO</v>
      </c>
      <c r="M117" s="60">
        <v>0</v>
      </c>
      <c r="N117" s="60">
        <v>0</v>
      </c>
      <c r="O117" s="60" t="str">
        <v xml:space="preserve">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
Under the terms of the non-binding MOU, IVECO and Plus will integrate IVECO's latest-generation S-WAY heavy-duty truck with the PlusDrive full-stack autonomous driving system. The partners will also explore using IVECO's liquefied natural gas (LNG) engine system to power the jointly developed autonomous trucks. LNG-powered S-WAY trucks not only significantly reduce carbon emissions, but also reduce unladen weight and therefore increase payload capacity.
The partnership combines IVECO's expertise in heavy-duty truck development, manufacturing, and sales with Plus's cutting-edge autonomous driving technology to bring safe, fuel efficient, scalable, and sustainable self-driving trucks to market quickly.
Shawn Kerrigan, COO and Co-founder of Plus, said: "We are thrilled to partner with IVECO, who shares our vision for a safer and more sustainable future through autonomous trucks. Our teams will work closely to develop and deploy autonomous trucks, including one that is powered by natural gas. IVECO's global footprint in over 160 countries will enable us to accelerate our commercial deployment and magnify the impact of our autonomous driving technology."
Marco Liccardo, Chief Technology and Digital Officer of IVECO, said: "The partnership with Plus represents an excellent opportunity to accelerate the development of the highest levels of automation for heavy trucks. Plus's technology leadership, non-linear thinking, and established relationships with the same key component suppliers make it the perfect autonomous trucking partner."
Plus is working with shippers and truck manufacturers around the world to deploy PlusDrive.
</v>
      </c>
      <c r="P117" s="60" t="str">
        <v>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v>
      </c>
      <c r="Q117" s="60" t="str">
        <v>Strategic Alliance</v>
      </c>
      <c r="R117" s="60" t="str">
        <v>Yes</v>
      </c>
      <c r="S117" s="60" t="str">
        <v>Product cooperation</v>
      </c>
      <c r="T117" s="60" t="str">
        <v>-</v>
      </c>
      <c r="U117" s="60" t="str">
        <v>-</v>
      </c>
      <c r="V117" s="60" t="str">
        <v>-</v>
      </c>
      <c r="W117" s="60" t="str">
        <v>2.1. Short term Alliance (no exclusivity / previous experience)</v>
      </c>
      <c r="X117" s="60">
        <v>0</v>
      </c>
      <c r="Y117" s="60" t="str">
        <v xml:space="preserve">IVECO and Plus will integrate IVECO's latest-generation S-WAY heavy-duty truck with the PlusDrive full-stack autonomous driving system. The partners will also explore using IVECO's liquefied natural gas (LNG) engine system to power the jointly developed autonomous trucks. </v>
      </c>
      <c r="Z117" s="60" t="str">
        <v>Joint D&amp;D</v>
      </c>
      <c r="AA117" s="60" t="str">
        <v xml:space="preserve">IVECO and Plus will integrate IVECO's latest-generation S-WAY heavy-duty truck with the PlusDrive full-stack autonomous driving system. The partners will also explore using IVECO's liquefied natural gas (LNG) engine system to power the jointly developed autonomous trucks. </v>
      </c>
      <c r="AB117" s="60">
        <v>0</v>
      </c>
      <c r="AC117" s="60">
        <v>0</v>
      </c>
      <c r="AD117" s="60">
        <v>0</v>
      </c>
      <c r="AE117" s="60">
        <v>0</v>
      </c>
      <c r="AF117" s="60" t="str">
        <v>Plus Partners with IVECO to Develop Autonomous Trucks for Global Deployment</v>
      </c>
      <c r="AG117" s="60">
        <v>0</v>
      </c>
      <c r="AM117" t="b">
        <f t="shared" si="15"/>
        <v>1</v>
      </c>
      <c r="AN117" t="str">
        <v>Advertising</v>
      </c>
      <c r="AO117" s="100">
        <f t="shared" si="16"/>
        <v>2</v>
      </c>
      <c r="AP117" s="101">
        <f t="shared" si="11"/>
        <v>2.3529411764705882E-2</v>
      </c>
      <c r="AS117" t="str">
        <v>Advertising</v>
      </c>
      <c r="AT117">
        <f t="shared" si="17"/>
        <v>0</v>
      </c>
      <c r="AU117" s="101">
        <f t="shared" si="12"/>
        <v>0</v>
      </c>
      <c r="AW117" t="str">
        <v>Advertising</v>
      </c>
      <c r="AX117">
        <f t="shared" si="13"/>
        <v>2</v>
      </c>
      <c r="AY117" s="101">
        <f t="shared" si="14"/>
        <v>7.1428571428571425E-2</v>
      </c>
    </row>
    <row r="118" spans="1:51" x14ac:dyDescent="0.35">
      <c r="A118" s="60" t="str">
        <v>https://plus.ai/news-and-insights/plus-and-cummins-collaborate-to-develop-the-industry-s-first-supervised-autonomous-trucks-using-a-natural-gas-powertrain</v>
      </c>
      <c r="B118" s="60" t="str">
        <v>2021, 4, 27</v>
      </c>
      <c r="C118" s="105">
        <v>44313</v>
      </c>
      <c r="D118" s="60" t="str">
        <v>Plus and Cummins Collaborate to Develop the Industry's First Supervised Autonomous Trucks Using a Natural Gas Powertrain</v>
      </c>
      <c r="E118" s="60" t="str">
        <v>Plus.ai</v>
      </c>
      <c r="F118" s="60" t="str">
        <v>L1</v>
      </c>
      <c r="G118" s="60" t="str">
        <v>Plus.ai-ATV</v>
      </c>
      <c r="H118" s="60" t="str">
        <v>ATV</v>
      </c>
      <c r="I118" s="60" t="str">
        <v>Trucking</v>
      </c>
      <c r="J118" s="60" t="str">
        <v>Trucking</v>
      </c>
      <c r="K118" s="60" t="str">
        <v>Cummins</v>
      </c>
      <c r="L118" s="60" t="str">
        <v>Cummins</v>
      </c>
      <c r="M118" s="60">
        <v>0</v>
      </c>
      <c r="N118" s="60">
        <v>0</v>
      </c>
      <c r="O118" s="60" t="str">
        <v xml:space="preserve">Plus (formerly Plus.ai), a leading company in self-driving truck technology, announced today a new initiative with global engine manufacturer Cummins to develop the industry's first driver-in, supervised autonomous trucks powered by natural gas. The compressed natural gas engines provided by Cummins have been certified to near zero emissions, reducing smog-forming emissions by 90 percent compared to current EPA standards for nitrogen oxide air pollutants. Furthermore, trucks powered by Cummins and integrated with the Plus autonomous driving system are more fuel efficient due to Plus's AI-enabled fuel optimization algorithms and Cummins powertrain features. This revolutionary combination will bring to market natural gas supervised autonomous trucks in 2022 and provide fleets an evolutionary path to quickly meet their emissions-reduction and corporate sustainability goals.
The Plus and Cummins teams will begin work on the new initiative immediately. 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"Sustainable transportation is good for business and for humankind.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 said Shawn Kerrigan, COO and Co-founder, Plus.
"Integrating Cummins' state-of-the-art natural gas-powered engines into Plus's industry-leading supervised autonomous trucks enables a new kind of transportation solution and offers customers even greater choices to meet their emissions goals. Cummins engines can power nearly every type of vehicle and application globally, so the integration of our Natural Gas powertrains for autonomous driving applications is a logical next step to provide customers with solutions that align with their specific business requirements," said J. Michael Taylor, General Manager, Global Powertrain Integration, Cummins, 
Plus will begin mass production of its PlusDrive system this summer, with plans to deploy the supervised autonomous trucking system globally across the U.S., China, Europe and other parts of Asia. The PlusDrive solution is being piloted by some of the largest truck fleets in the world, and have demonstrated the key benefits of improved safety, reduced fuel costs, enhanced driver comfort, and reduced carbon emissions.
</v>
      </c>
      <c r="P118" s="60" t="str">
        <v>The Plus and Cummins teams will begin work on the new initiative immediately. This project is an extension of an ongoing collaboration to develop fuel-efficient autonomous trucks.</v>
      </c>
      <c r="Q118" s="60" t="str">
        <v>Strategic Alliance</v>
      </c>
      <c r="R118" s="60" t="str">
        <v>n.a.</v>
      </c>
      <c r="S118" s="60" t="str">
        <v>Product cooperation</v>
      </c>
      <c r="T118" s="60" t="str">
        <v>-</v>
      </c>
      <c r="U118" s="60" t="str">
        <v>-</v>
      </c>
      <c r="V118" s="60" t="str">
        <v>-</v>
      </c>
      <c r="W118" s="60" t="str">
        <v>2.1. Short term Alliance (no exclusivity / previous experience)</v>
      </c>
      <c r="X118" s="60">
        <v>0</v>
      </c>
      <c r="Y118" s="60" t="str">
        <v>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v>
      </c>
      <c r="Z118" s="60" t="str">
        <v>Joint D&amp;D</v>
      </c>
      <c r="AA118" s="60" t="str">
        <v>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v>
      </c>
      <c r="AB118" s="60">
        <v>0</v>
      </c>
      <c r="AC118" s="60">
        <v>0</v>
      </c>
      <c r="AD118" s="60">
        <v>0</v>
      </c>
      <c r="AE118" s="60">
        <v>0</v>
      </c>
      <c r="AF118" s="60" t="str">
        <v>Plus and Cummins Collaborate to Develop the Industry's First Supervised Autonomous Trucks Using a Natural Gas Powertrain</v>
      </c>
      <c r="AG118" s="60">
        <v>0</v>
      </c>
      <c r="AM118" t="b">
        <f t="shared" si="15"/>
        <v>1</v>
      </c>
      <c r="AN118" t="str">
        <v>V&amp;V</v>
      </c>
      <c r="AO118" s="100">
        <f t="shared" si="16"/>
        <v>1</v>
      </c>
      <c r="AP118" s="101">
        <f t="shared" si="11"/>
        <v>1.1764705882352941E-2</v>
      </c>
      <c r="AS118" t="str">
        <v>V&amp;V</v>
      </c>
      <c r="AT118">
        <f t="shared" si="17"/>
        <v>1</v>
      </c>
      <c r="AU118" s="101">
        <f t="shared" si="12"/>
        <v>1.7543859649122806E-2</v>
      </c>
      <c r="AW118" t="str">
        <v>V&amp;V</v>
      </c>
      <c r="AX118">
        <f t="shared" si="13"/>
        <v>0</v>
      </c>
      <c r="AY118" s="101">
        <f t="shared" si="14"/>
        <v>0</v>
      </c>
    </row>
    <row r="119" spans="1:51" x14ac:dyDescent="0.35">
      <c r="A119" s="60" t="str">
        <v>https://plus.ai/news-and-insights/luminar-and-plus-partner-for-lidar-and-ai-based-assisted-driving-software-for-trucking</v>
      </c>
      <c r="B119" s="60" t="str">
        <v>2023, 6, 6</v>
      </c>
      <c r="C119" s="105">
        <v>45083</v>
      </c>
      <c r="D119" s="60" t="str">
        <v>Luminar and Plus Partner for LiDAR and AI-Based Assisted Driving Software for Trucking</v>
      </c>
      <c r="E119" s="60" t="str">
        <v>Plus.ai</v>
      </c>
      <c r="F119" s="60" t="str">
        <v>L1</v>
      </c>
      <c r="G119" s="60" t="str">
        <v>Plus.ai-ATV</v>
      </c>
      <c r="H119" s="60" t="str">
        <v>ATV</v>
      </c>
      <c r="I119" s="60" t="str">
        <v>Trucking</v>
      </c>
      <c r="J119" s="60" t="str">
        <v>Trucking</v>
      </c>
      <c r="K119" s="60" t="str">
        <v>Luminar</v>
      </c>
      <c r="L119" s="60" t="str">
        <v>Luminar</v>
      </c>
      <c r="M119" s="60">
        <v>0</v>
      </c>
      <c r="N119" s="60">
        <v>0</v>
      </c>
      <c r="O119" s="60" t="str">
        <v>Luminar, a leading global automotive technology company, and Plus, a global provider of highly automated driving and 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
"Trucking is a key emerging market for Luminar, and the same products and technology we've successfully executed on for our production consumer vehicle programs are beginning to be deployed on commercial vehicles as well," said Luminar Founder and CEO Austin Russell. "We see Plus as a new strategic partner for us to enable enhanced safety and autonomous capabilities for production commercial vehicles at even greater scale, in light of their commercial success with some of the largest companies in the industry."
Luminar's Iris lidar is a first-of-its kind, automotive grade sensing solution that enables high-performance, long-range detections. In addition to production consumer vehicles, Iris uniquely meets the stringent performance, robustness, and reliability requirements for class 8 commercial trucks. Ultra long-range visibility is critical for trucking for both safety and comfort, and Luminar's lidar is capable of seeing as far as 600 meters ahead. This represents as much as 20 seconds of visibility ahead at highway speeds to ensure even fully-loaded trucks can smoothly come to a safe stop when required. This provides a step-function improvement for ADAS systems while enabling the necessary foundation for fully autonomous driving.
"The partnership between Luminar and Plus unlocks the tremendous business value of next-generation safety and highly automated driving systems for vehicle manufacturers and fleets alike. Luminar will enable PlusDrive to achieve new heights in sensing at further distances and at highway speeds. This will enable the scalable commercialization of driver-in technology today and accelerate our customers' path to full autonomy tomorrow," said David Liu, CEO and Co-Founder at Plus.
Plus's driver-in, L2++ solution, PlusDrive, which enables supervised autonomy is already commercially available and used to deliver freight by some of the largest fleets in the world today. PlusDrive uses components such as lidar, radar, and cameras from award-winning manufacturers to see 360 degrees around the vehicle and hundreds of meters ahead. The AI-based software processes the data, predicts the behavior of surrounding vehicles, and then safely maneuvers the vehicle. It automatically handles stop-and-go traffic, lane changes, lane merges, nudging when next to an oversized vehicle, and staying centered in the lane while the driver remains alert and attentive. New driving features are continuously added via over-the-air software updates.
Plus and Luminar will also aim to collaborate on Luminar's commercial vehicle insurance program, high definition mapping, and trucking sensor integration called Blade.</v>
      </c>
      <c r="P119" s="60" t="str">
        <v>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v>
      </c>
      <c r="Q119" s="60" t="str">
        <v>Strategic Alliance</v>
      </c>
      <c r="R119" s="60" t="str">
        <v>Yes</v>
      </c>
      <c r="S119" s="60" t="str">
        <v>Product cooperation</v>
      </c>
      <c r="T119" s="60" t="str">
        <v>-</v>
      </c>
      <c r="U119" s="60" t="str">
        <v>-</v>
      </c>
      <c r="V119" s="60" t="str">
        <v>Yes</v>
      </c>
      <c r="W119" s="60" t="str">
        <v>2.4. Exclusive Alliance</v>
      </c>
      <c r="X119" s="60">
        <v>0</v>
      </c>
      <c r="Y119" s="60" t="str">
        <v>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v>
      </c>
      <c r="Z119" s="60" t="str">
        <v>Supply Partnership (traditional)</v>
      </c>
      <c r="AA119" s="60" t="str">
        <v>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v>
      </c>
      <c r="AB119" s="60">
        <v>0</v>
      </c>
      <c r="AC119" s="60">
        <v>0</v>
      </c>
      <c r="AD119" s="60">
        <v>0</v>
      </c>
      <c r="AE119" s="60">
        <v>0</v>
      </c>
      <c r="AF119" s="60" t="str">
        <v>Luminar and Plus Partner for LiDAR and AI-Based Assisted Driving Software for Trucking</v>
      </c>
      <c r="AG119" s="60">
        <v>0</v>
      </c>
      <c r="AM119" t="b">
        <f t="shared" si="15"/>
        <v>1</v>
      </c>
      <c r="AN119" t="str">
        <v>Insurance</v>
      </c>
      <c r="AO119" s="100">
        <f t="shared" si="16"/>
        <v>1</v>
      </c>
      <c r="AP119" s="101">
        <f t="shared" si="11"/>
        <v>1.1764705882352941E-2</v>
      </c>
      <c r="AS119" t="str">
        <v>Insurance</v>
      </c>
      <c r="AT119">
        <f t="shared" si="17"/>
        <v>1</v>
      </c>
      <c r="AU119" s="101">
        <f t="shared" si="12"/>
        <v>1.7543859649122806E-2</v>
      </c>
      <c r="AW119" t="str">
        <v>Insurance</v>
      </c>
      <c r="AX119">
        <f t="shared" si="13"/>
        <v>0</v>
      </c>
      <c r="AY119" s="101">
        <f t="shared" si="14"/>
        <v>0</v>
      </c>
    </row>
    <row r="120" spans="1:51" x14ac:dyDescent="0.35">
      <c r="A120" s="60" t="str">
        <v>https://www.businesswire.com/news/home/20220727006184/en/Pony.ai-and-SANY-Establish-Joint-Venture-to-Develop-Next-Generation-of-Autonomous-Trucks-for-Mass-Production</v>
      </c>
      <c r="B120" s="60" t="str">
        <v>2022, 7, 27</v>
      </c>
      <c r="C120" s="105">
        <v>44769</v>
      </c>
      <c r="D120" s="60" t="str">
        <v>Pony.ai and SANY Establish Joint Venture to Develop Next Generation of Autonomous Trucks for Mass Production</v>
      </c>
      <c r="E120" s="60" t="str">
        <v>Pony.ai</v>
      </c>
      <c r="F120" s="60" t="str">
        <v>L1</v>
      </c>
      <c r="G120" s="60" t="str">
        <v>Pony.ai-ATV</v>
      </c>
      <c r="H120" s="60" t="str">
        <v>ATV</v>
      </c>
      <c r="I120" s="60" t="str">
        <v>Trucking</v>
      </c>
      <c r="J120" s="60" t="str">
        <v>Trucking</v>
      </c>
      <c r="K120" s="60" t="str">
        <v>SANY Heavy Truck</v>
      </c>
      <c r="L120" s="60" t="str">
        <v>SANY Heavy Truck</v>
      </c>
      <c r="M120" s="60">
        <v>0</v>
      </c>
      <c r="N120" s="60">
        <v>0</v>
      </c>
      <c r="O120" s="60" t="str">
        <v xml:space="preserve">Pony.ai, a leading global autonomous driving technology company, today announced a strategic joint venture with SANY Heavy Truck (SANY), a subsidiary of SANY Heavy Industry, China's number one heavy equipment manufacturer and the third largest heavy equipment manufacturer globally.
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These trucks will inaugurate the future of truck logistics transportation.
The joint venture plans to start small-scale deliveries of the robotrucks in 2022 and 2023. Mass production of the L4 truck will commence in 2024 and within a few years will reach an annual production of around 10,000 trucks.
The first prototype of the autonomous truck was built on SANY's new EV truck platform and has already conducted road testing. The joint venture's autonomous truck product portfolio will include a mix of new energy vehicles (NEVs) and fuel-based, with the aim to increase the proportion of NEV trucks in the future.
The addressable market for trucking is substantial; in 2021 alone, heavy truck sales in China exceeded 1.3 million units. Once mass production is achieved, the partners expect the penetration rate of L4 trucks in China's heavy truck market to increase steadily.
"SANY has industry-leading heavy truck manufacturing technology and is pioneering the architecture of 'new energy' heavy trucks, intelligent network connections, and other key areas," said James Peng, Pony.ai's co-founder and CEO. "Integrating Pony.ai's core autonomous driving technologies with the capabilities of SANY enables our joint venture to create a successful intelligent truck and logistics ecosystem for L4 autonomous trucking."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
Pony.ai has always been committed to developing autonomous driving software and hardware solutions in-house. In June, Pony.ai released its autonomous driving controller (ADC) designed for automotive-grade mass production. The ADC is built on the NVIDIA DRIVE Orin system-on-chip and will fully enable the trucks produced by the joint venture.
"The establishment of this new venture between Pony.ai and SANY is a significant milestone for the trucking industry," said Rishi Dhall, vice president of Automotive, NVIDIA. "Powered by NVIDIA DRIVE, this next-generation of new-energy autonomous trucks will enable the delivery of goods to address ever-growing e-commerce demands without compromising safety and reliability ” while reducing the transportation industry's dependence on fossil fuels."
Today's partnership announcement follows on the heels of the recently formed Cyantron joint venture between Pony.ai and Sinotrans, which commenced operations in April and aims to enhance the digitalization and intelligence of the transportation process.
Creating partnerships with the top companies in both trucking and logistics is key to Pony.ai's robotruck "golden triangle" strategy. Pony.ai has core autonomous driving technology, which is the key to enabling logistics and future heavy truck manufacturing; logistics companies have accumulated extensive transport experience and a strong customer base, while heavy truck manufacturers have the technical expertise in vehicle development and manufacturing. Cementing relationships between leading global partners creates a powerful standard and framework for future development in the industry. Consumers worldwide will benefit from the development of commercial-scale L4 trucking, including more robust Supply Partnerships, lower costs for delivered goods, enhanced road safety, and significantly reduced greenhouse gas emissions.
According to Pony.ai's robotruck operations experience, based on vehicle planning and control as well as route planning, autonomous trucks can save 10%-20% of energy compared with conventional trucks. In addition, with the gradual expansion of the joint venture's new energy products, by 2030, the joint venture's trucks will reduce CO2 emission by more than one million tons, equivalent to the CO2 absorbed by thousands of acres of forest.
</v>
      </c>
      <c r="P120" s="60" t="str">
        <v>Pony.ai, a leading global autonomous driving technology company, today announced a strategic joint venture with SANY Heavy Truck (SANY), a subsidiary of SANY Heavy Industry, China's number one heavy equipment manufacturer and the third largest heavy equipment manufacturer globally.
The joint venture plans to start small-scale deliveries of the robotrucks in 2022 and 2023. Mass production of the L4 truck will commence in 2024 and within a few years will reach an annual production of around 10,000 trucks.</v>
      </c>
      <c r="Q120" s="60" t="str">
        <v>Joint Venture</v>
      </c>
      <c r="R120" s="60" t="str">
        <v>n.a.</v>
      </c>
      <c r="S120" s="60" t="str">
        <v>Product cooperation</v>
      </c>
      <c r="T120" s="60" t="str">
        <v>Long term - min. 2024 (&gt;1 year)</v>
      </c>
      <c r="U120" s="60" t="str">
        <v>-</v>
      </c>
      <c r="V120" s="60" t="str">
        <v>-</v>
      </c>
      <c r="W120" s="60" t="str">
        <v>4. Joint Venture</v>
      </c>
      <c r="X120" s="60">
        <v>0</v>
      </c>
      <c r="Y120" s="60" t="str">
        <v>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v>
      </c>
      <c r="Z120" s="60" t="str">
        <v>Joint D&amp;D</v>
      </c>
      <c r="AA120" s="60" t="str">
        <v xml:space="preserve">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v>
      </c>
      <c r="AB120" s="60">
        <v>0</v>
      </c>
      <c r="AC120" s="60">
        <v>0</v>
      </c>
      <c r="AD120" s="60">
        <v>0</v>
      </c>
      <c r="AE120" s="60">
        <v>0</v>
      </c>
      <c r="AF120" s="60" t="str">
        <v>Pony.ai and SANY Establish Joint Venture to Develop Next Generation of Autonomous Trucks for Mass Production</v>
      </c>
      <c r="AG120" s="60">
        <v>0</v>
      </c>
      <c r="AM120" t="b">
        <f t="shared" si="15"/>
        <v>1</v>
      </c>
      <c r="AN120" t="str">
        <v>Artificial Intelligence (AI)</v>
      </c>
      <c r="AO120" s="100">
        <f t="shared" si="16"/>
        <v>1</v>
      </c>
      <c r="AP120" s="101">
        <f t="shared" si="11"/>
        <v>1.1764705882352941E-2</v>
      </c>
      <c r="AS120" t="str">
        <v>Artificial Intelligence (AI)</v>
      </c>
      <c r="AT120">
        <f t="shared" si="17"/>
        <v>1</v>
      </c>
      <c r="AU120" s="101">
        <f t="shared" si="12"/>
        <v>1.7543859649122806E-2</v>
      </c>
      <c r="AW120" t="str">
        <v>Artificial Intelligence (AI)</v>
      </c>
      <c r="AX120">
        <f t="shared" si="13"/>
        <v>0</v>
      </c>
      <c r="AY120" s="101">
        <f t="shared" si="14"/>
        <v>0</v>
      </c>
    </row>
    <row r="121" spans="1:51" x14ac:dyDescent="0.35">
      <c r="A121" s="60" t="str">
        <v>https://www.businesswire.com/news/home/20221006005368/en/Nickelytics-Serve-Robotics-and-The-Ad-Council-Partner-on-Innovative-Smokey-Bear-Out-of-Home-Advertising-Campaign</v>
      </c>
      <c r="B121" s="60" t="str">
        <v>2022, 10, 6</v>
      </c>
      <c r="C121" s="105">
        <v>44567</v>
      </c>
      <c r="D121" s="60" t="str">
        <v>Nickelytics, Serve Robotics, and The Ad Council Partner on Innovative Smokey Bear Out-of-Home Advertising Campaign</v>
      </c>
      <c r="E121" s="60" t="str">
        <v>ServeRobotics</v>
      </c>
      <c r="F121" s="60" t="str">
        <v>L2</v>
      </c>
      <c r="G121" s="60" t="str">
        <v>ServeRobotics-ATV</v>
      </c>
      <c r="H121" s="60" t="str">
        <v>ATV</v>
      </c>
      <c r="I121" s="60" t="str">
        <v>Last-Mile</v>
      </c>
      <c r="J121" s="60" t="str">
        <v>Last-Mile</v>
      </c>
      <c r="K121" s="60" t="str">
        <v>Nickelytics;The Ad Council</v>
      </c>
      <c r="L121" s="60" t="str">
        <v>Nickelytics</v>
      </c>
      <c r="M121" s="60" t="str">
        <v>The Ad Council</v>
      </c>
      <c r="N121" s="60">
        <v>0</v>
      </c>
      <c r="O121" s="60" t="str">
        <v>Nickelytics, a venture-backed B2B adtech startup that allows brands to execute hyperlocal out-of-home advertising campaigns, today announced the launch of one of the first major OOH ad campaigns to be placed on robots. The mobility company partnered with Serve Robotics, the leading autonomous delivery company, and the Ad Council to introduce one of the longest running public service campaigns in history to an innovative new format: delivery robots.
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
"We are thrilled to partner with Serve Robotics to pioneer an exciting new form of out-of-home advertising," said Judah Longgrear, Co-founder and CEO of Nickelytics. "Launching this campaign with Smokey Bear is a significant milestone for our team and only the beginning of our expansion in the Los Angeles market. We look forward to amplifying Smokey's message and measuring the expected increase in campaign engagement using our real-time digital measurement capabilities."
"At the Ad Council, we're always strategizing innovative ways to reach people that compliment or go beyond traditional media. With nearly 9 out of 10 wildfires nationally caused by humans, it's as important as ever to do our part to prevent unwanted fires," commented Laurie Keith, VP Emerging Media &amp; Technology at The Ad Council. "Our new partnership with Nickelytics will allow us to share Smokey Bear's message on eye-catching delivery robots and share critical information in an unforgettable way."
"We are delighted to increase public awareness of wildfire prevention, while helping reduce emissions and traffic congestion in Los Angeles with our friendly sidewalk robots," said Touraj Parang, Chief Operations Officer of Serve Robotics. "Nickelytics' proprietary technology and advertiser relationships made them the perfect partner to help us bring out-of-home advertising to our growing autonomous delivery platform."
The Smokey Bear campaign recently celebrated its 78th birthday, making it America's longest-running PSA campaign, in partnership with the Forest Service and National Association of State Foresters. Smokey's catchphrase, "Only You Can Prevent Wildfires" was developed in response to a massive outbreak of wildfires in natural areas other than forests. With heat waves sweeping across California, this year's public awareness campaign remains as timely as ever.</v>
      </c>
      <c r="P121" s="60" t="str">
        <v>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v>
      </c>
      <c r="Q121" s="60" t="str">
        <v>Informal Agreement</v>
      </c>
      <c r="R121" s="60" t="str">
        <v>n.a.</v>
      </c>
      <c r="S121" s="60" t="str">
        <v>One time - advertising campaign</v>
      </c>
      <c r="T121" s="60" t="str">
        <v>-</v>
      </c>
      <c r="U121" s="60" t="str">
        <v>-</v>
      </c>
      <c r="V121" s="60" t="str">
        <v>-</v>
      </c>
      <c r="W121" s="60" t="str">
        <v>1. Informal Agreement</v>
      </c>
      <c r="X121" s="60">
        <v>0</v>
      </c>
      <c r="Y121" s="60" t="str">
        <v>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v>
      </c>
      <c r="Z121" s="60" t="str">
        <v>Marketing Agreement</v>
      </c>
      <c r="AA121" s="60" t="str">
        <v>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v>
      </c>
      <c r="AB121" s="60">
        <v>0</v>
      </c>
      <c r="AC121" s="60">
        <v>0</v>
      </c>
      <c r="AD121" s="60">
        <v>0</v>
      </c>
      <c r="AE121" s="60">
        <v>0</v>
      </c>
      <c r="AF121" s="60" t="str">
        <v xml:space="preserve">Nickelytics, Serve Robotics, and The Ad Council Partner on </v>
      </c>
      <c r="AG121" s="60" t="str">
        <v>Innovative Smokey Bear Out-of-Home Advertising Campaign</v>
      </c>
      <c r="AM121" t="b">
        <f t="shared" si="15"/>
        <v>1</v>
      </c>
      <c r="AN121" t="str">
        <v>Mobility Project</v>
      </c>
      <c r="AO121" s="100">
        <f t="shared" si="16"/>
        <v>1</v>
      </c>
      <c r="AP121" s="101">
        <f t="shared" si="11"/>
        <v>1.1764705882352941E-2</v>
      </c>
      <c r="AS121" t="str">
        <v>Mobility Project</v>
      </c>
      <c r="AT121">
        <f t="shared" si="17"/>
        <v>0</v>
      </c>
      <c r="AU121" s="101">
        <f t="shared" si="12"/>
        <v>0</v>
      </c>
      <c r="AW121" t="str">
        <v>Mobility Project</v>
      </c>
      <c r="AX121">
        <f t="shared" si="13"/>
        <v>1</v>
      </c>
      <c r="AY121" s="101">
        <f t="shared" si="14"/>
        <v>3.5714285714285712E-2</v>
      </c>
    </row>
    <row r="122" spans="1:51" x14ac:dyDescent="0.35">
      <c r="A122" s="60" t="str">
        <v>https://www.serverobotics.com/pizzahut-partnership</v>
      </c>
      <c r="B122" s="60" t="str">
        <v>2022, 9, 26</v>
      </c>
      <c r="C122" s="105">
        <v>44830</v>
      </c>
      <c r="D122" s="60" t="str">
        <v>Pizza Hut Canada Partners with Serve Robotics on New Door-to-Door Robot Delivery Service</v>
      </c>
      <c r="E122" s="60" t="str">
        <v>ServeRobotics</v>
      </c>
      <c r="F122" s="60" t="str">
        <v>L2</v>
      </c>
      <c r="G122" s="60" t="str">
        <v>ServeRobotics-ATV</v>
      </c>
      <c r="H122" s="60" t="str">
        <v>ATV</v>
      </c>
      <c r="I122" s="60" t="str">
        <v>Last-Mile</v>
      </c>
      <c r="J122" s="60" t="str">
        <v>Last-Mile</v>
      </c>
      <c r="K122" s="60" t="str">
        <v>Pizza Hut</v>
      </c>
      <c r="L122" s="60" t="str">
        <v>Pizza Hut</v>
      </c>
      <c r="M122" s="60">
        <v>0</v>
      </c>
      <c r="N122" s="60">
        <v>0</v>
      </c>
      <c r="O122" s="60" t="str">
        <v>Pizza Hut Canada is embarking on its latest innovation in the pizza-verse with the launch of its new robot delivery service. 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
"From introducing cheese in our stuffed crust to delivering pizza to the International Space Station, Pizza Hut is the pizza pioneer," shared Manish Dhankher, Director of Operations at Pizza Hut Canada. "We're always looking for ways to enhance our customer service and deliver hot, fresh, and delicious menu favourites to our customers. Pizza Hut is thrilled to be at the forefront of this technology and partner with Serve Robotics to bring this offering to Canada for the first time."
Pizza Hut on 1725 Robson Street in Vancouver was selected as the first location for the pilot. Customers selected for robotic delivery will be able to use the Pizza Hut app to track the robot's location as their order approaches and will receive a unique, one-time pin to retrieve their order from the robot's secure compartment.
"Serve is excited to partner with Pizza Hut to provide Vancouver customers with the convenience and reliability of zero-emissions robotic delivery," said Dr. Ali Kashani, co-founder and CEO of Serve Robotics. "This is an important step forward in our efforts to expand our delivery platform to serve more cities and communities."
Serve Robotics is helping shape the future of sustainable, self-driving delivery with zero-emissions rovers that have completed tens of thousands of deliveries, eliminating the equivalent of thousands of car trips and several tons of CO2 from city air. Serve's state-of-the-art technology uses a range of sensors to identify nearby objects, enabling the robots to autonomously navigate sidewalks, while also being assigned to human supervisors to ensure their safe operation.
"This signals an exciting step forward for the future of delivery technology in Canada," added Dhankher. "We're confident Vancouverites will not only experience delight in having a robot deliver their food but will also find this compliments Pizza Hut's existing delivery service, allowing us to deliver more food to more people. We look forward to learning from this pilot in Vancouver."</v>
      </c>
      <c r="P122" s="60" t="str">
        <v>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v>
      </c>
      <c r="Q122" s="60" t="str">
        <v>Strategic Alliance</v>
      </c>
      <c r="R122" s="60" t="str">
        <v>n.a.</v>
      </c>
      <c r="S122" s="60" t="str">
        <v>One time - pilot</v>
      </c>
      <c r="T122" s="60" t="str">
        <v>-</v>
      </c>
      <c r="U122" s="60" t="str">
        <v>-</v>
      </c>
      <c r="V122" s="60" t="str">
        <v>-</v>
      </c>
      <c r="W122" s="60" t="str">
        <v>2.1. Short term Alliance (no exclusivity / previous experience)</v>
      </c>
      <c r="X122" s="60">
        <v>0</v>
      </c>
      <c r="Y122" s="60" t="str">
        <v>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v>
      </c>
      <c r="Z122" s="60" t="str">
        <v>Joint Service Agreement</v>
      </c>
      <c r="AA122" s="60" t="str">
        <v>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v>
      </c>
      <c r="AB122" s="60">
        <v>0</v>
      </c>
      <c r="AC122" s="60">
        <v>0</v>
      </c>
      <c r="AD122" s="60">
        <v>0</v>
      </c>
      <c r="AE122" s="60">
        <v>0</v>
      </c>
      <c r="AF122" s="60" t="str">
        <v xml:space="preserve">Pizza Hut Canada Partners with Serve Robotics on </v>
      </c>
      <c r="AG122" s="60" t="str">
        <v>New Door-to-Door Robot Delivery Service</v>
      </c>
      <c r="AO122" s="100"/>
      <c r="AP122" s="101"/>
      <c r="AU122" s="101"/>
    </row>
    <row r="123" spans="1:51" x14ac:dyDescent="0.35">
      <c r="A123" s="60" t="str">
        <v>https://www.serverobotics.com/uber-eats-partnership</v>
      </c>
      <c r="B123" s="60" t="str">
        <v>2021, 11, 8</v>
      </c>
      <c r="C123" s="105">
        <v>44204</v>
      </c>
      <c r="D123" s="60" t="str">
        <v>Serve Robotics and Uber Expand Partnership to Bring Robotic Delivery to Uber Eats</v>
      </c>
      <c r="E123" s="60" t="str">
        <v>ServeRobotics</v>
      </c>
      <c r="F123" s="60" t="str">
        <v>L2</v>
      </c>
      <c r="G123" s="60" t="str">
        <v>ServeRobotics-ATV</v>
      </c>
      <c r="H123" s="60" t="str">
        <v>ATV</v>
      </c>
      <c r="I123" s="60" t="str">
        <v>Last-Mile</v>
      </c>
      <c r="J123" s="60" t="str">
        <v>Last-Mile</v>
      </c>
      <c r="K123" s="60" t="str">
        <v>Uber Eats</v>
      </c>
      <c r="L123" s="60" t="str">
        <v>Uber Eats</v>
      </c>
      <c r="M123" s="60">
        <v>0</v>
      </c>
      <c r="N123" s="60">
        <v>0</v>
      </c>
      <c r="O123" s="60" t="str">
        <v xml:space="preserve">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
Serve Robotics is shaping the future of sustainable, self-driving delivery. Founded in 2017 as the robotics division of Postmates, Serve is now an independent company on a mission to make delivery more affordable, sustainable and accessible for everyone. Guided by its proprietary autonomous technology, the company's self-driving robots have successfully completed tens of thousands of contactless deliveries in major U.S. cities. Serve is backed by Uber, alongside other leading investors.
"Serve Robotics is looking forward to delivering great convenience for Uber Eats merchants and customers," said Dr. Ali Kashani, co-founder and CEO of Serve Robotics. "Uber is our first commercial partner and will be a strong source of demand for us as we use contactless delivery to power community commerce at scale."
"We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
</v>
      </c>
      <c r="P123" s="60" t="str">
        <v>SAN FRANCISCO, November 8, 2021 ” 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v>
      </c>
      <c r="Q123" s="60" t="str">
        <v>Strategic Alliance</v>
      </c>
      <c r="R123" s="60" t="str">
        <v>n.a.</v>
      </c>
      <c r="S123" s="60" t="str">
        <v>Product integration</v>
      </c>
      <c r="T123" s="60" t="str">
        <v>-</v>
      </c>
      <c r="U123" s="60" t="str">
        <v>-</v>
      </c>
      <c r="V123" s="60" t="str">
        <v>-</v>
      </c>
      <c r="W123" s="60" t="str">
        <v>2.1. Short term Alliance (no exclusivity / previous experience)</v>
      </c>
      <c r="X123" s="60">
        <v>0</v>
      </c>
      <c r="Y123"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Z123" s="60" t="str">
        <v>Joint Service Agreement</v>
      </c>
      <c r="AA123"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AB123" s="60">
        <v>0</v>
      </c>
      <c r="AC123" s="60">
        <v>0</v>
      </c>
      <c r="AD123" s="60">
        <v>0</v>
      </c>
      <c r="AE123" s="60">
        <v>0</v>
      </c>
      <c r="AF123" s="60" t="str">
        <v>Serve Robotics and Uber Expand Partnership to Bring Robotic Delivery to Uber Eats</v>
      </c>
      <c r="AG123" s="60">
        <v>0</v>
      </c>
      <c r="AN123" s="59" t="s">
        <v>3</v>
      </c>
      <c r="AP123" s="100"/>
      <c r="AQ123" s="101"/>
      <c r="AS123" s="59" t="s">
        <v>3</v>
      </c>
      <c r="AW123" s="59" t="s">
        <v>3</v>
      </c>
    </row>
    <row r="124" spans="1:51" x14ac:dyDescent="0.35">
      <c r="A124" s="60" t="str">
        <v>https://www.serverobotics.com/piestro-partnership</v>
      </c>
      <c r="B124" s="60" t="str">
        <v>2022, 7, 6</v>
      </c>
      <c r="C124" s="105">
        <v>44748</v>
      </c>
      <c r="D124" s="60" t="str">
        <v>Piestro Partners with Serve Robotics to Automate Delivery of its Artisanal Pizzas</v>
      </c>
      <c r="E124" s="60" t="str">
        <v>ServeRobotics</v>
      </c>
      <c r="F124" s="60" t="str">
        <v>L2</v>
      </c>
      <c r="G124" s="60" t="str">
        <v>ServeRobotics-ATV</v>
      </c>
      <c r="H124" s="60" t="str">
        <v>ATV</v>
      </c>
      <c r="I124" s="60" t="str">
        <v>Last-Mile</v>
      </c>
      <c r="J124" s="60" t="str">
        <v>Last-Mile</v>
      </c>
      <c r="K124" s="60" t="str">
        <v>Piestro</v>
      </c>
      <c r="L124" s="60" t="str">
        <v>Piestro</v>
      </c>
      <c r="M124" s="60">
        <v>0</v>
      </c>
      <c r="N124" s="60">
        <v>0</v>
      </c>
      <c r="O124" s="60" t="str">
        <v>Today, 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
"We couldn't be more excited to partner with Serve Robotics to offer our customers the convenience and delight of robotic delivery," said Massimo De Marco, CEO of Piestro. "Robotic delivery is contactless and reliable, with a higher on-time rate than couriers, and will allow our customers to get their pizzas even faster than before "all at the touch of their fingertips."
Serve's robots fit up to four Piestro pizzas and can complete deliveries in under 15 minutes. Once the robot arrives at its destination, customers can retrieve their pizzas from the machine with a secure passcode. Serve's autonomous sidewalk robots navigate safely alongside pedestrians, with remote supervision when needed.
"Serve's zero-emission robots are distinguished by their level of autonomy and safety, outperforming vehicle delivery in key metrics like on-time arrival and order completion," said Ali Kashani, co-founder and CEO of Serve Robotics. "Combining the reliability of robotic delivery with Piestro's tasty pizzas is a perfect match. Together, we offer customers a quick, contactless experience that also benefits the environment."
Piestro continues to see traction with investors in its crowdfunding campaign, which is currently underway on WAX. The platform gives more everyday investors an opportunity to capitalize on the $46.3 billion U.S. pizza market and be a part of shaping the future of the industry by investing in intelligent automation "invest now.</v>
      </c>
      <c r="P124" s="60" t="str">
        <v>Today, Piestro, the robotic pizzeria producing high-quality artisanal pizza within just a few minutes, announced it is partnering with Serve Robotics, the leading autonomous sidewalk delivery company, to offer customers a truly contactless end-to-end robotic pizza delivery experience.</v>
      </c>
      <c r="Q124" s="60" t="str">
        <v>Strategic Alliance</v>
      </c>
      <c r="R124" s="60" t="str">
        <v>n.a.</v>
      </c>
      <c r="S124" s="60" t="str">
        <v>Product integration</v>
      </c>
      <c r="T124" s="60" t="str">
        <v>-</v>
      </c>
      <c r="U124" s="60" t="str">
        <v>-</v>
      </c>
      <c r="V124" s="60" t="str">
        <v>-</v>
      </c>
      <c r="W124" s="60" t="str">
        <v>2.1. Short term Alliance (no exclusivity / previous experience)</v>
      </c>
      <c r="X124" s="60">
        <v>0</v>
      </c>
      <c r="Y124" s="60" t="str">
        <v>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v>
      </c>
      <c r="Z124" s="60" t="str">
        <v>Joint Service Agreement</v>
      </c>
      <c r="AA124" s="60" t="str">
        <v>Piestro, the robotic pizzeria producing high-quality artisanal pizza within just a few minutes, announced it is partnering with Serve Robotics, the leading autonomous sidewalk delivery company, to offer customers a truly contactless end-to-end robotic pizza delivery experience.</v>
      </c>
      <c r="AB124" s="60">
        <v>0</v>
      </c>
      <c r="AC124" s="60">
        <v>0</v>
      </c>
      <c r="AD124" s="60">
        <v>0</v>
      </c>
      <c r="AE124" s="60">
        <v>0</v>
      </c>
      <c r="AF124" s="60" t="str">
        <v>Piestro Partners with Serve Robotics to Automate Delivery of its Artisanal Pizzas</v>
      </c>
      <c r="AG124" s="60">
        <v>0</v>
      </c>
      <c r="AM124" t="b">
        <f t="shared" ref="AM124:AM130" si="18">EXACT(AO124,SUM(AT124,AX124))</f>
        <v>1</v>
      </c>
      <c r="AN124" t="str" cm="1">
        <f t="array" ref="AN124:AN131">_xlfn.UNIQUE(W73:W156)</f>
        <v>2.3. Long term Alliance</v>
      </c>
      <c r="AO124">
        <f t="shared" ref="AO124:AO130" si="19">COUNTIF($W$73:$W$156,$AN124)</f>
        <v>19</v>
      </c>
      <c r="AP124" s="58">
        <f t="shared" ref="AP124:AP130" si="20">AO124/SUM($AO$124:$AO$131)</f>
        <v>0.23456790123456789</v>
      </c>
      <c r="AS124" s="58" t="str" cm="1">
        <f t="array" ref="AS124:AS131">_xlfn.UNIQUE(W73:W156)</f>
        <v>2.3. Long term Alliance</v>
      </c>
      <c r="AT124">
        <f t="shared" ref="AT124:AT130" si="21">COUNTIFS($J$73:$J$156,$E$8,$W$73:$W$156,$AS124)</f>
        <v>15</v>
      </c>
      <c r="AU124" s="58">
        <f t="shared" ref="AU124:AU130" si="22">AT124/SUM($AT$124:$AT$131)</f>
        <v>0.27777777777777779</v>
      </c>
      <c r="AW124" s="58" t="str" cm="1">
        <f t="array" ref="AW124:AW131">_xlfn.UNIQUE(W73:W156)</f>
        <v>2.3. Long term Alliance</v>
      </c>
      <c r="AX124">
        <f t="shared" ref="AX124:AX130" si="23">COUNTIFS($J$73:$J$156,$I$8,$W$73:$W$156,$AS124)+AV38</f>
        <v>4</v>
      </c>
      <c r="AY124" s="58">
        <f t="shared" ref="AY124:AY130" si="24">AX124/SUM($AX$124:$AX$131)</f>
        <v>0.14814814814814814</v>
      </c>
    </row>
    <row r="125" spans="1:51" x14ac:dyDescent="0.35">
      <c r="A125" s="60" t="str">
        <v>https://www.autonews.com/shift/torc-robotics-teams-daimler-trucks-design-build-million-mile-vehicles</v>
      </c>
      <c r="B125" s="60" t="str">
        <v>2021, 12, 5</v>
      </c>
      <c r="C125" s="105">
        <v>44201</v>
      </c>
      <c r="D125" s="60" t="str">
        <v>Torc Teams with Daimler Truck to Design, Build Million-Mile Vehicles</v>
      </c>
      <c r="E125" s="60" t="str">
        <v>Torc</v>
      </c>
      <c r="F125" s="60" t="str">
        <v>L1</v>
      </c>
      <c r="G125" s="60" t="str">
        <v>Torc-ATV</v>
      </c>
      <c r="H125" s="60" t="str">
        <v>ATV</v>
      </c>
      <c r="I125" s="60" t="str">
        <v>Trucking</v>
      </c>
      <c r="J125" s="60" t="str">
        <v>Trucking</v>
      </c>
      <c r="K125" s="60" t="str">
        <v>Daimler Truck</v>
      </c>
      <c r="L125" s="60" t="str">
        <v>Daimler Truck</v>
      </c>
      <c r="M125" s="60">
        <v>0</v>
      </c>
      <c r="N125" s="60">
        <v>0</v>
      </c>
      <c r="O125" s="60" t="str">
        <v>Torc Robotics teams with Daimler Trucks to design, build million-mile vehicles Self-driving trucks have captured imaginations amid the Supply Partnership crunch. Torc Robotics believes it has a solution.</v>
      </c>
      <c r="P125" s="60" t="str">
        <v>Torc Robotics teams with Daimler Trucks to design, build million-mile vehicles Self-driving trucks have captured imaginations amid the Supply Partnership crunch. Torc Robotics believes it has a solution.</v>
      </c>
      <c r="Q125" s="60" t="str">
        <v>Strategic Alliance</v>
      </c>
      <c r="R125" s="60" t="str">
        <v>n.a.</v>
      </c>
      <c r="S125" s="60" t="str">
        <v>Product cooperation</v>
      </c>
      <c r="T125" s="60" t="str">
        <v>-</v>
      </c>
      <c r="U125" s="60" t="str">
        <v>-</v>
      </c>
      <c r="V125" s="60" t="str">
        <v>-</v>
      </c>
      <c r="W125" s="60" t="str">
        <v>2.1. Short term Alliance (no exclusivity / previous experience)</v>
      </c>
      <c r="X125" s="60">
        <v>0</v>
      </c>
      <c r="Y125" s="60" t="str">
        <v>Daimler Trucks to design, build million-mile vehicles</v>
      </c>
      <c r="Z125" s="60" t="str">
        <v>Joint D&amp;D</v>
      </c>
      <c r="AA125" s="60" t="str">
        <v>Daimler Trucks to design, build million-mile vehicles</v>
      </c>
      <c r="AB125" s="60">
        <v>0</v>
      </c>
      <c r="AC125" s="60">
        <v>0</v>
      </c>
      <c r="AD125" s="60">
        <v>0</v>
      </c>
      <c r="AE125" s="60">
        <v>0</v>
      </c>
      <c r="AF125" s="60" t="str">
        <v>Torc Teams with Daimler Truck to Design, Build Million-Mile Vehicles</v>
      </c>
      <c r="AG125" s="60">
        <v>0</v>
      </c>
      <c r="AM125" t="b">
        <f t="shared" si="18"/>
        <v>1</v>
      </c>
      <c r="AN125" t="str">
        <v>2.1. Short term Alliance (no exclusivity / previous experience)</v>
      </c>
      <c r="AO125">
        <f t="shared" si="19"/>
        <v>45</v>
      </c>
      <c r="AP125" s="58">
        <f t="shared" si="20"/>
        <v>0.55555555555555558</v>
      </c>
      <c r="AS125" s="58" t="str">
        <v>2.1. Short term Alliance (no exclusivity / previous experience)</v>
      </c>
      <c r="AT125">
        <f t="shared" si="21"/>
        <v>27</v>
      </c>
      <c r="AU125" s="58">
        <f t="shared" si="22"/>
        <v>0.5</v>
      </c>
      <c r="AW125" s="58" t="str">
        <v>2.1. Short term Alliance (no exclusivity / previous experience)</v>
      </c>
      <c r="AX125">
        <f t="shared" si="23"/>
        <v>18</v>
      </c>
      <c r="AY125" s="58">
        <f t="shared" si="24"/>
        <v>0.66666666666666663</v>
      </c>
    </row>
    <row r="126" spans="1:51" x14ac:dyDescent="0.35">
      <c r="A126" s="60" t="str">
        <v>https://www.prnewswire.com/news-releases/torc-robotics-collaborates-with-applied-intuition-to-accelerate-development-and-validation-of-autonomous-trucks-301419986.html</v>
      </c>
      <c r="B126" s="60" t="str">
        <v>2021, 11, 9</v>
      </c>
      <c r="C126" s="105">
        <v>44205</v>
      </c>
      <c r="D126" s="60" t="str">
        <v>Torc Collaborates with Applied Intuition to Accelerate Development and Validation of Autonomous Trucks</v>
      </c>
      <c r="E126" s="60" t="str">
        <v>Torc</v>
      </c>
      <c r="F126" s="60" t="str">
        <v>L1</v>
      </c>
      <c r="G126" s="60" t="str">
        <v>Torc-ATV</v>
      </c>
      <c r="H126" s="60" t="str">
        <v>ATV</v>
      </c>
      <c r="I126" s="60" t="str">
        <v>Trucking</v>
      </c>
      <c r="J126" s="60" t="str">
        <v>Trucking</v>
      </c>
      <c r="K126" s="60" t="str">
        <v>Applied Intuition</v>
      </c>
      <c r="L126" s="60" t="str">
        <v>Applied Intuition</v>
      </c>
      <c r="M126" s="60">
        <v>0</v>
      </c>
      <c r="N126" s="60">
        <v>0</v>
      </c>
      <c r="O126" s="60" t="str">
        <v>Torc Robotics, an independent subsidiary of Daimler Truck AG and a leader in Level 4 self-driving vehicle software for heavy-duty vehicles, and Applied Intuition, a simulation and software tools provider for autonomous vehicle development, announced a multi-year strategic collaboration to address the challenges of autonomous vehicle development in order to safely commercialize Torc's autonomous trucks for over-the-road applications.
Torc Robotics and Applied Intuition announced a multi-year strategic collaboration. Torc is developing a Level 4 autonomous system for long-haul trucking in the US.
Torc is developing a Level 4 autonomous system for long-haul trucking in the US. Under Level 4 autonomy, a vehicle is capable of performing driving functions under specified operating conditions without human intervention.
Applied Intuition offers simulation and software solutions that enable safe, cost-effective, and scalable approaches to the develhopment of autonomous systems. Its deterministic, high-fidelity, and physics-based simulation software supports virtual testing of Torc's algorithms in US highway environments.
"At Torc, safety dictates every aspect of our development including how we test and validate our autonomous technology," said Michael Fleming, CEO and Founder of Torc. "The Applied team has demonstrated their expertise and has equipped us with tools to accelerate the safe development of commercial trucks in a financially viable way. We're excited to continue our collaboration with Applied to make our roads safer for society."
The engagement between the two companies started in early 2020 when the Covid-19 pandemic started. On-road testing, a critical part of autonomous vehicle system development, was temporarily halted to ensure the health and safety of Torc's staff. However, the team was able to continue advancing autonomous driving capabilities in simulation without disruption. Today, Torc's test trucks run daily routes on public roads in multiple states, and simulation continues to be a vital validation method for new autonomous software features before real-life testing.
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 Applied Intuition offers technology that supports multiple types of simulation and development infrastructure.
"Simulation allows our team to test new features and capabilities of the autonomous system on hundreds or thousands of different scenarios in a virtual world," said Ben Hastings, CTO of Torc. "This means by the time the autonomous truck is on public roads, the autonomous system has already been validated in many of the scenarios we could encounter. Above that, strong simulation capabilities are a pillar on our path to commercialization. With Applied Intuition, we are developing for the long-term with a product in mind."
The close collaboration is an important milestone to forward Torc's goal of commercializing fully-autonomous trucks. Fleming added he is confident that the approach will be the first profitable, scalable L4 product in the autonomous trucking industry.
"We are excited to collaborate with Torc to help them bring the world's safest autonomous commercial trucks to market", said Qasar Younis, CEO and Co-Founder of Applied Intuition. "Torc's world-class engineering team has adopted many of our tools' capabilities to design a state-of-the-art development approach. There are many more opportunities to collaborate in order to successfully deploy their trucks at scale."</v>
      </c>
      <c r="P126" s="60" t="str">
        <v>announced a multi-year strategic collaboration 
The engagement between the two companies started in early 2020 when the Covid-19 pandemic started. On-road testing, a critical part of autonomous vehicle system development, was temporarily halted to ensure the health and safety of Torc's staff.m</v>
      </c>
      <c r="Q126" s="60" t="str">
        <v>Strategic Alliance</v>
      </c>
      <c r="R126" s="60" t="str">
        <v>n.a.</v>
      </c>
      <c r="S126" s="60" t="str">
        <v>Service integration</v>
      </c>
      <c r="T126" s="60" t="str">
        <v>Long term - Multi-year</v>
      </c>
      <c r="U126" s="60" t="str">
        <v>Yes</v>
      </c>
      <c r="V126" s="60" t="str">
        <v>-</v>
      </c>
      <c r="W126" s="60" t="str">
        <v>2.3. Long term Alliance</v>
      </c>
      <c r="X126" s="60">
        <v>0</v>
      </c>
      <c r="Y126" s="60" t="str">
        <v>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v>
      </c>
      <c r="Z126" s="60" t="str">
        <v>Joint D&amp;D</v>
      </c>
      <c r="AA126" s="60" t="str">
        <v>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v>
      </c>
      <c r="AB126" s="60">
        <v>0</v>
      </c>
      <c r="AC126" s="60">
        <v>0</v>
      </c>
      <c r="AD126" s="60">
        <v>0</v>
      </c>
      <c r="AE126" s="60">
        <v>0</v>
      </c>
      <c r="AF126" s="60" t="str">
        <v>Torc Collaborates with Applied Intuition to Accelerate Development and Validation of Autonomous Trucks</v>
      </c>
      <c r="AG126" s="60">
        <v>0</v>
      </c>
      <c r="AM126" t="b">
        <f t="shared" si="18"/>
        <v>1</v>
      </c>
      <c r="AN126" t="str">
        <v xml:space="preserve">2.2. Renewed Alliance </v>
      </c>
      <c r="AO126">
        <f t="shared" si="19"/>
        <v>3</v>
      </c>
      <c r="AP126" s="58">
        <f t="shared" si="20"/>
        <v>3.7037037037037035E-2</v>
      </c>
      <c r="AS126" t="str">
        <v xml:space="preserve">2.2. Renewed Alliance </v>
      </c>
      <c r="AT126">
        <f t="shared" si="21"/>
        <v>2</v>
      </c>
      <c r="AU126" s="58">
        <f t="shared" si="22"/>
        <v>3.7037037037037035E-2</v>
      </c>
      <c r="AW126" t="str">
        <v xml:space="preserve">2.2. Renewed Alliance </v>
      </c>
      <c r="AX126">
        <f t="shared" si="23"/>
        <v>1</v>
      </c>
      <c r="AY126" s="58">
        <f t="shared" si="24"/>
        <v>3.7037037037037035E-2</v>
      </c>
    </row>
    <row r="127" spans="1:51" x14ac:dyDescent="0.35">
      <c r="A127" s="60" t="str">
        <v>https://www.automotiveworld.com/news-releases/daimler-trucks-and-torc-partner-with-luminar-to-enable-automated-trucking-daimler-trucks-acquires-minority-stake-in-luminar/</v>
      </c>
      <c r="B127" s="60" t="str">
        <v>2020, 10, 30</v>
      </c>
      <c r="C127" s="105">
        <v>43860</v>
      </c>
      <c r="D127" s="60" t="str">
        <v>Daimler Trucks and Torc partner with Luminar to enable automated trucking</v>
      </c>
      <c r="E127" s="60" t="str">
        <v>Torc</v>
      </c>
      <c r="F127" s="60" t="str">
        <v>L1</v>
      </c>
      <c r="G127" s="60" t="str">
        <v>Torc-ATV</v>
      </c>
      <c r="H127" s="60" t="str">
        <v>ATV</v>
      </c>
      <c r="I127" s="60" t="str">
        <v>Trucking</v>
      </c>
      <c r="J127" s="60" t="str">
        <v>Trucking</v>
      </c>
      <c r="K127" s="60" t="str">
        <v>Daimler Truck;Luminar</v>
      </c>
      <c r="L127" s="60" t="str">
        <v>Daimler Truck</v>
      </c>
      <c r="M127" s="60" t="str">
        <v>Luminar</v>
      </c>
      <c r="N127" s="60">
        <v>0</v>
      </c>
      <c r="O127" s="60" t="str">
        <v>Today, Luminar Technologies, , the global leader in automotive lidar hardware and software technology, and the world's largest commercial vehicle manufacturer, Daimler Truck AG, announced a strategic partnership to enable highly automated trucking, starting on highways. Experts at Daimler Trucks, its U.S. subsidiary, Daimler Trucks North America (DTNA) and Torc Robotics, part of Daimler Trucks' Autonomous Technology Group,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
Dr. Peter Vaughan Schmidt, Head of Autonomous Technology Group at Daimler Trucks: "Luminar has pioneered a critical enabling technology for bringing automated vehicles to the road, and we're excited to work closely with them to drive this technology forward. Their company has proven visionary in its focus and unique ability to enable long-range sensing and high-speed driving on the highway. Our common goal is to enable safe deployment of highly automated trucks and shape the future of the trucking and logistics industry at large."
The autonomous trucks are expected to yield dramatic improvements in efficiency and safety of logistics, with an initial focus on long-haul routes on highways. This constrained application of autonomy enables the technology to be commercially deployed in series production on nearer term time frames compared to urban autonomous driving development.
"Our partnership with Daimler Trucks is spearheading the next era of commercial transportation, taking the multi-trillion global trucking and logistics industry head-on," said Austin Russell, Luminar's Founder and CEO. "The business case for autonomous trucking is incredibly strong, and now is seeing the first OEM program to bring it to the world."
Michael Fleming, CEO of Torc Robotics: "We are excited by the opportunity to work with Luminar and their long-range, high resolution Lidar to improve truck safety and enable us to commercialize self-driving trucks. This is a critical, enabling technology on our development path."
The partnership between Luminar and Daimler Trucks will extend beyond providing critical automotive technology solutions. As part of their joint commitment to safety, the companies will also collaborate on safety standards and operating practices, and make future policy advancements and safety enhancements as a result of the joint program.</v>
      </c>
      <c r="P127" s="60" t="str">
        <v>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v>
      </c>
      <c r="Q127" s="60" t="str">
        <v>Strategic Partnership</v>
      </c>
      <c r="R127" s="60" t="str">
        <v>n.a.</v>
      </c>
      <c r="S127" s="60" t="str">
        <v>Product cooperation</v>
      </c>
      <c r="T127" s="60" t="str">
        <v>-</v>
      </c>
      <c r="U127" s="60" t="str">
        <v>-</v>
      </c>
      <c r="V127" s="60" t="str">
        <v>-</v>
      </c>
      <c r="W127" s="60" t="str">
        <v>3. Strategic Partnership</v>
      </c>
      <c r="X127" s="60">
        <v>0</v>
      </c>
      <c r="Y127" s="60" t="str">
        <v>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v>
      </c>
      <c r="Z127" s="60" t="str">
        <v>Joint D&amp;D</v>
      </c>
      <c r="AA127" s="60" t="str">
        <v>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v>
      </c>
      <c r="AB127" s="60">
        <v>0</v>
      </c>
      <c r="AC127" s="60">
        <v>0</v>
      </c>
      <c r="AD127" s="60">
        <v>0</v>
      </c>
      <c r="AE127" s="60">
        <v>0</v>
      </c>
      <c r="AF127" s="60" t="str">
        <v>Daimler Trucks and Torc partner with Luminar to enable automated trucking</v>
      </c>
      <c r="AG127" s="60">
        <v>0</v>
      </c>
      <c r="AM127" t="b">
        <f t="shared" si="18"/>
        <v>1</v>
      </c>
      <c r="AN127" t="str">
        <v>1. Informal Agreement</v>
      </c>
      <c r="AO127">
        <f t="shared" si="19"/>
        <v>4</v>
      </c>
      <c r="AP127" s="58">
        <f t="shared" si="20"/>
        <v>4.9382716049382713E-2</v>
      </c>
      <c r="AS127" t="str">
        <v>1. Informal Agreement</v>
      </c>
      <c r="AT127">
        <f t="shared" si="21"/>
        <v>3</v>
      </c>
      <c r="AU127" s="58">
        <f t="shared" si="22"/>
        <v>5.5555555555555552E-2</v>
      </c>
      <c r="AW127" t="str">
        <v>1. Informal Agreement</v>
      </c>
      <c r="AX127">
        <f t="shared" si="23"/>
        <v>1</v>
      </c>
      <c r="AY127" s="58">
        <f t="shared" si="24"/>
        <v>3.7037037037037035E-2</v>
      </c>
    </row>
    <row r="128" spans="1:51" x14ac:dyDescent="0.35">
      <c r="A128" s="60" t="str">
        <v>https://www.prnewswire.com/news-releases/tusimple-and-zf-partner-to-develop-technology-for-mass-produced-autonomous-trucks-301030033.html</v>
      </c>
      <c r="B128" s="60" t="str">
        <v>2020, 3, 26</v>
      </c>
      <c r="C128" s="105">
        <v>43916</v>
      </c>
      <c r="D128" s="60" t="str">
        <v>TuSimple and ZF Partner to Develop Technology for Mass Produced Autonomous Trucks</v>
      </c>
      <c r="E128" s="60" t="str">
        <v>TuSimple</v>
      </c>
      <c r="F128" s="60" t="str">
        <v>L1</v>
      </c>
      <c r="G128" s="60" t="str">
        <v>TuSimple-ATV</v>
      </c>
      <c r="H128" s="60" t="str">
        <v>ATV</v>
      </c>
      <c r="I128" s="60" t="str">
        <v>Trucking</v>
      </c>
      <c r="J128" s="60" t="str">
        <v>Trucking</v>
      </c>
      <c r="K128" s="60" t="str">
        <v>ZF</v>
      </c>
      <c r="L128" s="60" t="str">
        <v>ZF</v>
      </c>
      <c r="M128" s="60">
        <v>0</v>
      </c>
      <c r="N128" s="60">
        <v>0</v>
      </c>
      <c r="O128"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
TuSimple and ZF will co-develop production-quality technologies including cameras, LiDAR, radar, steering and ZF's automotive-grade central computer ZF ProAI. Concurrently, ZF will support TuSimple's pre-production driverless autonomous system, and will ultimately serve as the default supplier for their production-ready system for commercialized vehicles.
"A partnership with world-class supplier ZF is an important milestone for our company as we prepare to bring autonomous-ready trucks to market," said Chuck Price, Chief Product Officer, TuSimple. "Working side-by-side with ZF to refine and integrate our production-ready technology has allowed us to optimize our hardware stack and focus on scaling these technologies to make it possible for autonomous ready trucks to be mass produced."
As part of the partnership, ZF will contribute engineering support to validate and integrate TuSimple's autonomous system into the vehicle.
"Our integrated solutions enable the next generation of mobility, and we are thrilled to partner with TuSimple, a leader in autonomous trucking," said Torsten Gollewski, Executive Vice President Autonomous Mobility Systems at ZF. "A key success factor for virtual driver software is to ensure the system is based on an automotive grade level, including component development and production. The combination of ZF automotive system competencies and TuSimple's virtual driver software will create the first commercial-ready automotive grade autonomous truck technology platform."
TuSimple aims to transform the $800 billion U.S. trucking industry by enhancing safety, increasing efficiency and significantly reducing operating costs. The company operates a fleet of more than 40 autonomous trucks, has 18 contracted customers and makes 20 autonomous trips between Arizona and Texas for companies like UPS every week. The company plans to start driverless operations in 2021.</v>
      </c>
      <c r="P128"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v>
      </c>
      <c r="Q128" s="60" t="str">
        <v>Strategic Alliance</v>
      </c>
      <c r="R128" s="60" t="str">
        <v>n.a.</v>
      </c>
      <c r="S128" s="60" t="str">
        <v>Product cooperation</v>
      </c>
      <c r="T128" s="60" t="str">
        <v>-</v>
      </c>
      <c r="U128" s="60" t="str">
        <v>-</v>
      </c>
      <c r="V128" s="60" t="str">
        <v>-</v>
      </c>
      <c r="W128" s="60" t="str">
        <v>2.1. Short term Alliance (no exclusivity / previous experience)</v>
      </c>
      <c r="X128" s="60">
        <v>0</v>
      </c>
      <c r="Y128" s="60" t="str">
        <v>TuSimple and ZF will co-develop production-quality technologies including cameras, LiDAR, radar, steering and ZF's automotive-grade central computer ZF ProAI.</v>
      </c>
      <c r="Z128" s="60" t="str">
        <v>Joint D&amp;D</v>
      </c>
      <c r="AA128" s="60" t="str">
        <v>TuSimple and ZF will co-develop production-quality technologies including cameras, LiDAR, radar, steering and ZF's automotive-grade central computer ZF ProAI.</v>
      </c>
      <c r="AB128" s="60" t="str">
        <v>Supply Partnership (traditional)</v>
      </c>
      <c r="AC128" s="60" t="str">
        <v>Concurrently, ZF will support TuSimple's pre-production driverless autonomous system, and will ultimately serve as the default supplier for their production-ready system for commercialized vehicles.</v>
      </c>
      <c r="AD128" s="60">
        <v>0</v>
      </c>
      <c r="AE128" s="60">
        <v>0</v>
      </c>
      <c r="AF128" s="60" t="str">
        <v xml:space="preserve">Partner to Develop Technology </v>
      </c>
      <c r="AG128" s="60" t="str">
        <v>for Mass Produced Autonomous Trucks</v>
      </c>
      <c r="AM128" t="b">
        <f t="shared" si="18"/>
        <v>1</v>
      </c>
      <c r="AN128" t="str">
        <v>3. Strategic Partnership</v>
      </c>
      <c r="AO128">
        <f t="shared" si="19"/>
        <v>7</v>
      </c>
      <c r="AP128" s="58">
        <f t="shared" si="20"/>
        <v>8.6419753086419748E-2</v>
      </c>
      <c r="AS128" t="str">
        <v>3. Strategic Partnership</v>
      </c>
      <c r="AT128">
        <f t="shared" si="21"/>
        <v>5</v>
      </c>
      <c r="AU128" s="58">
        <f t="shared" si="22"/>
        <v>9.2592592592592587E-2</v>
      </c>
      <c r="AW128" t="str">
        <v>3. Strategic Partnership</v>
      </c>
      <c r="AX128">
        <f t="shared" si="23"/>
        <v>2</v>
      </c>
      <c r="AY128" s="58">
        <f t="shared" si="24"/>
        <v>7.407407407407407E-2</v>
      </c>
    </row>
    <row r="129" spans="1:51" x14ac:dyDescent="0.35">
      <c r="A129" s="60" t="str">
        <v>https://www.prnewswire.com/news-releases/navistar-and-tusimple-partner-to-bring-autonomous-trucks-to-market-navistar-invests-in-autonomous-trucking-company-301093698.html</v>
      </c>
      <c r="B129" s="60" t="str">
        <v>2020, 7, 15</v>
      </c>
      <c r="C129" s="105">
        <v>44027</v>
      </c>
      <c r="D129" s="60" t="str">
        <v>Navistar and TuSimple Partner to Bring Autonomous Trucks to Market, Navistar Invests in Autonomous Trucking Company</v>
      </c>
      <c r="E129" s="60" t="str">
        <v>TuSimple</v>
      </c>
      <c r="F129" s="60" t="str">
        <v>L1</v>
      </c>
      <c r="G129" s="60" t="str">
        <v>TuSimple-ATV</v>
      </c>
      <c r="H129" s="60" t="str">
        <v>ATV</v>
      </c>
      <c r="I129" s="60" t="str">
        <v>Trucking</v>
      </c>
      <c r="J129" s="60" t="str">
        <v>Trucking</v>
      </c>
      <c r="K129" s="60" t="str">
        <v>Navistar</v>
      </c>
      <c r="L129" s="60" t="str">
        <v>Navistar</v>
      </c>
      <c r="M129" s="60">
        <v>0</v>
      </c>
      <c r="N129" s="60">
        <v>0</v>
      </c>
      <c r="O129" s="60" t="str">
        <v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"Autonomous technology is entering our industry and will have a profound impact on our customers' businesses," said Persio Lisboa, President and CEO, Navistar. "Navistar's strategic partnership with TuSimple positions us to be a leader in developing solutions for our customers by leveraging our organizations' collective expertise to integrate our vehicle design and systems integration capabilities with TuSimple's innovative autonomous technology. This announcement marks a significant milestone in our development journey with TuSimple and we look forward to furthering our relationship in the months to come."
Navistar brings 113 years of experience in developing commercial vehicles and bringing them to the market under the International and IC Bus brands. The program between TuSimple and Navistar will ensure a fully integrated engineering solution that will be ready for mass-production using Navistar's vehicle manufacturing capabilities. Customers will be able to purchase the fully autonomous trucks through Navistar's traditional sales channels in the United States, Canada and Mexico.
"TuSimple and Navistar began joint development of pre-production units in 2018 and now we are kicking-off a full go-to-market production program," said Cheng Lu, President, TuSimple. "We are honored to be partnered with Navistar. The investment in TuSimple and the partnership with Navistar marks an important milestone for our company. With the combined expertise of Navistar and TuSimple, we have a clear path to commercialize self-driving Class 8 trucks at scale."
This partnership propels TuSimple's aims to transform the $800 billion U.S. trucking industry by enhancing safety, increasing efficiency and significantly reducing operating costs. Last December, TuSimple announced results of a study conducted at the University of California San Diego that show the company's autonomous driving technology reduced fuel consumption in heavy-duty trucks by 10% when compared to traditional operations.
The company operates a fleet of 40 self-driving trucks in the U.S., shipping freight autonomously for companies such as UPS and McLane Company between Arizona and Texas. TuSimple plans to demonstrate completely driverless operations in 2021.
</v>
      </c>
      <c r="P129" s="60" t="str">
        <v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"TuSimple and Navistar began joint development of pre-production units in 2018 and now we are kicking-off a full go-to-market production program," </v>
      </c>
      <c r="Q129" s="60" t="str">
        <v>Strategic Partnership</v>
      </c>
      <c r="R129" s="60" t="str">
        <v>n.a.</v>
      </c>
      <c r="S129" s="60" t="str">
        <v>Product cooperation</v>
      </c>
      <c r="T129" s="60" t="str">
        <v>Long term - Min 2024 (&gt;3 years)</v>
      </c>
      <c r="U129" s="60" t="str">
        <v>Yes</v>
      </c>
      <c r="V129" s="60" t="str">
        <v>-</v>
      </c>
      <c r="W129" s="60" t="str">
        <v>3. Strategic Partnership</v>
      </c>
      <c r="X129" s="60">
        <v>0</v>
      </c>
      <c r="Y129" s="60" t="str">
        <v xml:space="preserve">announced today that the two entities have entered into a strategic partnership to co-develop SAE Level 4 self-driving trucks targeted for production by 202
The program between TuSimple and Navistar will ensure a fully integrated engineering solution that will be ready for mass-production using Navistar's vehicle manufacturing capabilities. </v>
      </c>
      <c r="Z129" s="60" t="str">
        <v>Joint D&amp;D</v>
      </c>
      <c r="AA129" s="60" t="str">
        <v>announced today that the two entities have entered into a strategic partnership to co-develop SAE Level 4 self-driving trucks targeted for production by 202</v>
      </c>
      <c r="AB129" s="60" t="str">
        <v>Joint Production</v>
      </c>
      <c r="AC129" s="60" t="str">
        <v xml:space="preserve">The program between TuSimple and Navistar will ensure a fully integrated engineering solution that will be ready for mass-production using Navistar's vehicle manufacturing capabilities. </v>
      </c>
      <c r="AD129" s="60">
        <v>0</v>
      </c>
      <c r="AE129" s="60">
        <v>0</v>
      </c>
      <c r="AF129" s="60" t="str">
        <v xml:space="preserve">Navistar and TuSimple Partner to Bring </v>
      </c>
      <c r="AG129" s="60" t="str">
        <v>Autonomous Trucks to Market, Navistar Invests in Autonomous Trucking Company</v>
      </c>
      <c r="AM129" t="b">
        <f t="shared" si="18"/>
        <v>1</v>
      </c>
      <c r="AN129" t="str">
        <v>2.4. Exclusive Alliance</v>
      </c>
      <c r="AO129">
        <f t="shared" si="19"/>
        <v>2</v>
      </c>
      <c r="AP129" s="58">
        <f t="shared" si="20"/>
        <v>2.4691358024691357E-2</v>
      </c>
      <c r="AS129" t="str">
        <v>2.4. Exclusive Alliance</v>
      </c>
      <c r="AT129">
        <f t="shared" si="21"/>
        <v>1</v>
      </c>
      <c r="AU129" s="58">
        <f t="shared" si="22"/>
        <v>1.8518518518518517E-2</v>
      </c>
      <c r="AW129" t="str">
        <v>2.4. Exclusive Alliance</v>
      </c>
      <c r="AX129">
        <f t="shared" si="23"/>
        <v>1</v>
      </c>
      <c r="AY129" s="58">
        <f t="shared" si="24"/>
        <v>3.7037037037037035E-2</v>
      </c>
    </row>
    <row r="130" spans="1:51" x14ac:dyDescent="0.35">
      <c r="A130" s="60" t="str">
        <v>https://www.prnewswire.com/news-releases/the-traton-group-and-tusimple-agreed-on-global-partnership-for-autonomous-trucks-301136263.html</v>
      </c>
      <c r="B130" s="60" t="str">
        <v>2020, 9, 23</v>
      </c>
      <c r="C130" s="105">
        <v>44097</v>
      </c>
      <c r="D130" s="60" t="str">
        <v>The TRATON GROUP and TuSimple Agreed on Global Partnership for Autonomous Trucks</v>
      </c>
      <c r="E130" s="60" t="str">
        <v>TuSimple</v>
      </c>
      <c r="F130" s="60" t="str">
        <v>L1</v>
      </c>
      <c r="G130" s="60" t="str">
        <v>TuSimple-ATV</v>
      </c>
      <c r="H130" s="60" t="str">
        <v>ATV</v>
      </c>
      <c r="I130" s="60" t="str">
        <v>Trucking</v>
      </c>
      <c r="J130" s="60" t="str">
        <v>Trucking</v>
      </c>
      <c r="K130" s="60" t="str">
        <v>Traton</v>
      </c>
      <c r="L130" s="60" t="str">
        <v>Traton</v>
      </c>
      <c r="M130" s="60">
        <v>0</v>
      </c>
      <c r="N130" s="60">
        <v>0</v>
      </c>
      <c r="O130" s="60" t="str">
        <v xml:space="preserve">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
"The global partnership with TuSimple is another step towards becoming a Global Champion. Innovative future technologies that provide additional value to our customers represent a key part of our strategy," said Matthias Gruendler, Chief Executive Officer at TRATON GROUP. The first test vehicles underway are aiming for Level 4 (high automation). TuSimple has already been trying out its technology since 2015 with several million test kilometers on public roads and is a leading developer of autonomous driving, for example in the fields of perception and night vision.
"Our partnership with TRATON GROUP accelerates the introduction of autonomous truck technology to new international markets, and we look forward to our global partnership," said Cheng Lu, President, TuSimple. "The TRATON GROUP has an excellent reputation and established a portfolio of world-class truck brands, their strategic investment in TuSimple is a powerful testimony to our technology and approach."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Experts estimate a shortage of around 60,000 drivers in Germany alone. Moreover, autonomous trucks would increase the overall truck capacity utilization. It is conceivable that the first cases of deployment could be conducted outside of the specially demarcated areas, particularly for highly frequented hub-to-hub routes.
</v>
      </c>
      <c r="P130" s="60" t="str">
        <v>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v>
      </c>
      <c r="Q130" s="60" t="str">
        <v>Strategic Partnership</v>
      </c>
      <c r="R130" s="60" t="str">
        <v>n.a.</v>
      </c>
      <c r="S130" s="60" t="str">
        <v>Product cooperation</v>
      </c>
      <c r="T130" s="60" t="str">
        <v>-</v>
      </c>
      <c r="U130" s="60" t="str">
        <v>-</v>
      </c>
      <c r="V130" s="60" t="str">
        <v>-</v>
      </c>
      <c r="W130" s="60" t="str">
        <v>3. Strategic Partnership</v>
      </c>
      <c r="X130" s="60">
        <v>0</v>
      </c>
      <c r="Y130" s="60" t="str">
        <v xml:space="preserve">Our partnership with TRATON GROUP accelerates the introduction of autonomous truck technology to new international markets, and we look forward to our global partnership,"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v>
      </c>
      <c r="Z130" s="60" t="str">
        <v>Joint D&amp;D</v>
      </c>
      <c r="AA130" s="60" t="str">
        <v xml:space="preserve">Developers at TRATON GROUP and TuSimple are working closely to develop SAE Level 4 autonomous systems for trucks of the TRATON brands, which can achieve full automation without human intervention under defined driving conditions and applied in all markets. </v>
      </c>
      <c r="AB130" s="60" t="str">
        <v>Research &amp; Collaboration</v>
      </c>
      <c r="AC130" s="60" t="str">
        <v xml:space="preserve">TRATON's goal is to test driverless truck fleets on roads throughout Sweden, Germany and other countries. This could serve as a means of counteracting the increasing lack of drivers in the medium term. </v>
      </c>
      <c r="AD130" s="60">
        <v>0</v>
      </c>
      <c r="AE130" s="60">
        <v>0</v>
      </c>
      <c r="AF130" s="60" t="str">
        <v xml:space="preserve">The TRATON GROUP and TuSimple Agreed </v>
      </c>
      <c r="AG130" s="60" t="str">
        <v>on Global Partnership for Autonomous Trucks</v>
      </c>
      <c r="AM130" t="b">
        <f t="shared" si="18"/>
        <v>1</v>
      </c>
      <c r="AN130" t="str">
        <v>4. Joint Venture</v>
      </c>
      <c r="AO130">
        <f t="shared" si="19"/>
        <v>1</v>
      </c>
      <c r="AP130" s="58">
        <f t="shared" si="20"/>
        <v>1.2345679012345678E-2</v>
      </c>
      <c r="AS130" t="str">
        <v>4. Joint Venture</v>
      </c>
      <c r="AT130">
        <f t="shared" si="21"/>
        <v>1</v>
      </c>
      <c r="AU130" s="58">
        <f t="shared" si="22"/>
        <v>1.8518518518518517E-2</v>
      </c>
      <c r="AW130" t="str">
        <v>4. Joint Venture</v>
      </c>
      <c r="AX130">
        <f t="shared" si="23"/>
        <v>0</v>
      </c>
      <c r="AY130" s="58">
        <f t="shared" si="24"/>
        <v>0</v>
      </c>
    </row>
    <row r="131" spans="1:51" x14ac:dyDescent="0.35">
      <c r="A131" s="60" t="str">
        <v>https://www.prnewswire.com/news-releases/goodyear-and-tusimple-collaborate-on-autonomous-vehicle-freight-operations-301175138.html</v>
      </c>
      <c r="B131" s="60" t="str">
        <v>2020, 11, 17</v>
      </c>
      <c r="C131" s="105">
        <v>43847</v>
      </c>
      <c r="D131" s="60" t="str">
        <v>Goodyear And TuSimple Collaborate On Autonomous Vehicle Freight Operations</v>
      </c>
      <c r="E131" s="60" t="str">
        <v>TuSimple</v>
      </c>
      <c r="F131" s="60" t="str">
        <v>L1</v>
      </c>
      <c r="G131" s="60" t="str">
        <v>TuSimple-ATV</v>
      </c>
      <c r="H131" s="60" t="str">
        <v>ATV</v>
      </c>
      <c r="I131" s="60" t="str">
        <v>Trucking</v>
      </c>
      <c r="J131" s="60" t="str">
        <v>Trucking</v>
      </c>
      <c r="K131" s="60" t="str">
        <v>Goodyear</v>
      </c>
      <c r="L131" s="60" t="str">
        <v>Goodyear</v>
      </c>
      <c r="M131" s="60">
        <v>0</v>
      </c>
      <c r="N131" s="60">
        <v>0</v>
      </c>
      <c r="O131" s="60" t="str">
        <v>The Goodyear Tire &amp; Rubber Company  announced today a strategic relationship with TuSimple, a global autonomous trucking technology company, to provide tires and tire management solutions to TuSimple's Autonomous Freight Network (AFN).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
Collected data from the study will also deliver insights into the difference between an autonomous and human driver with respect to the tires.
"With our leadership in products, fleet support and advanced innovations, Goodyear is applying knowledge to help deliver performance and safety with autonomous vehicles," according to Erin Spring, Goodyear's director, new ventures.
TuSimple launched the AFN in July with the goal to provide reliable low-cost freight transportation throughout the lower 48 United States through the use of Level 4 autonomous trucks.
"Autonomous trucks offer game-changing advantages for both shippers and fleets," said Robert Brown, Senior Director External Affairs, TuSimple. "One of the most powerful advantages is the increased capacity, which comes as a result of the fact autonomous trucks can operate nearly continuously, and with this dramatic increase in truck utilizations comes the need to better understand predictive maintenance requirements."</v>
      </c>
      <c r="P131" s="60" t="str">
        <v>The Goodyear Tire &amp; Rubber Company  announced today a strategic relationship with TuSimple,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v>
      </c>
      <c r="Q131" s="60" t="str">
        <v>Strategic Alliance</v>
      </c>
      <c r="R131" s="60" t="str">
        <v>n.a.</v>
      </c>
      <c r="S131" s="60" t="str">
        <v>One time - pilot</v>
      </c>
      <c r="T131" s="60" t="str">
        <v>-</v>
      </c>
      <c r="U131" s="60" t="str">
        <v>-</v>
      </c>
      <c r="V131" s="60" t="str">
        <v>-</v>
      </c>
      <c r="W131" s="60" t="str">
        <v>2.1. Short term Alliance (no exclusivity / previous experience)</v>
      </c>
      <c r="X131" s="60">
        <v>0</v>
      </c>
      <c r="Y131" s="60" t="str">
        <v>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v>
      </c>
      <c r="Z131" s="60" t="str">
        <v>Research &amp; Collaboration</v>
      </c>
      <c r="AA131" s="60" t="str">
        <v>Additionally, Goodyear and TuSimple will conduct wear studies designed to understand how autonomous trucks and tires can help better predict maintenance, understand tire longevity and reduce the carbon impact of fleets.</v>
      </c>
      <c r="AB131" s="60" t="str">
        <v>Supply Partnership (traditional)</v>
      </c>
      <c r="AC131" s="60" t="str">
        <v>Goodyear will provide products and repair services to enhance the safety and operation of autonomous trucks.</v>
      </c>
      <c r="AD131" s="60">
        <v>0</v>
      </c>
      <c r="AE131" s="60">
        <v>0</v>
      </c>
      <c r="AF131" s="60" t="str">
        <v xml:space="preserve">Goodyear And TuSimple Collaborate </v>
      </c>
      <c r="AG131" s="60" t="str">
        <v>On Autonomous Vehicle Freight Operations</v>
      </c>
      <c r="AN131">
        <v>0</v>
      </c>
      <c r="AP131" s="58"/>
      <c r="AS131">
        <v>0</v>
      </c>
      <c r="AU131" s="58"/>
      <c r="AW131">
        <v>0</v>
      </c>
      <c r="AY131" s="58"/>
    </row>
    <row r="132" spans="1:51" x14ac:dyDescent="0.35">
      <c r="A132" s="60" t="str">
        <v>https://www.prnewswire.com/news-releases/tusimple-and-liberty-mutual-insurance-partner-to-study-the-safety-benefits-of-autonomous-trucks-301283935.html</v>
      </c>
      <c r="B132" s="60" t="str">
        <v>2021, 5, 5</v>
      </c>
      <c r="C132" s="105">
        <v>44321</v>
      </c>
      <c r="D132" s="60" t="str">
        <v>TuSimple and Liberty Mutual Insurance Partner to Study the Safety Benefits of Autonomous Trucks</v>
      </c>
      <c r="E132" s="60" t="str">
        <v>TuSimple</v>
      </c>
      <c r="F132" s="60" t="str">
        <v>L1</v>
      </c>
      <c r="G132" s="60" t="str">
        <v>TuSimple-ATV</v>
      </c>
      <c r="H132" s="60" t="str">
        <v>ATV</v>
      </c>
      <c r="I132" s="60" t="str">
        <v>Trucking</v>
      </c>
      <c r="J132" s="60" t="str">
        <v>Trucking</v>
      </c>
      <c r="K132" s="60" t="str">
        <v>Liberty Mutual Insurance</v>
      </c>
      <c r="L132" s="60" t="str">
        <v>Liberty Mutual Insurance</v>
      </c>
      <c r="M132" s="60">
        <v>0</v>
      </c>
      <c r="N132" s="60">
        <v>0</v>
      </c>
      <c r="O132" s="60" t="str">
        <v>TuSimple , a global self-driving technology company based in San Diego, California, and Liberty Mutual Insurance, the sixth largest global property and casualty insurer, announced a partnership to assess the comparative safety of autonomous trucks.
TuSimple and Liberty Mutual will work together to better understand how autonomous technologies perform in comparison to the same types of trucks driven manually by human drivers.
"We believe the benefits of autonomous vehicles are powerful and will play a vital role in reducing the number of truck-related fatalities in the future," said Jim Mullen, Chief Administrative and Legal Officer for TuSimple. "Given most accidents are caused by distracted, impaired and fatigued driving "factors that are eliminated by autonomous trucks "we expect the data to reveal significant safety advantages when TuSimple's autonomous driving technology is applied."
David Blessing, Liberty Mutual's Chief Underwriting Officer for New Mobility added, "We are excited to leverage our vast experience in safety and risk management to support the continued roll out and scale of cutting-edge technologies in the trucking and logistics industry. This collaboration with TuSimple will advance our ongoing efforts to develop custom insurance solutions for companies operating autonomous vehicle fleets, today and into the future."
Today, TuSimple's Autonomous Freight Network operates a fleet of 50 L4 autonomous trucks across the states of Arizona, New Mexico and Texas. TuSimple transports freight for revenue on highways and surface streets for customers such as UPS, U.S. Xpress, and Berkshire Hathaway's McLane Company, among others, and plans to expand the Autonomous Freight Network from coast-to-coast by 2024.</v>
      </c>
      <c r="P132" s="60" t="str">
        <v>TuSimple and Liberty Mutual will work together to better understand how autonomous technologies perform in comparison to the same types of trucks driven manually by human drivers.</v>
      </c>
      <c r="Q132" s="60" t="str">
        <v>Informal Agreement</v>
      </c>
      <c r="R132" s="60" t="str">
        <v>n.a.</v>
      </c>
      <c r="S132" s="60" t="str">
        <v>One time - pilot</v>
      </c>
      <c r="T132" s="60" t="str">
        <v>-</v>
      </c>
      <c r="U132" s="60" t="str">
        <v>-</v>
      </c>
      <c r="V132" s="60" t="str">
        <v>-</v>
      </c>
      <c r="W132" s="60" t="str">
        <v>1. Informal Agreement</v>
      </c>
      <c r="X132" s="60">
        <v>0</v>
      </c>
      <c r="Y132" s="60" t="str">
        <v>TuSimple , a global self-driving technology company based in San Diego, California, and Liberty Mutual Insurance, the sixth largest global property and casualty insurer, announced a partnership to assess the comparative safety of autonomous trucks.</v>
      </c>
      <c r="Z132" s="60" t="str">
        <v>Research &amp; Collaboration</v>
      </c>
      <c r="AA132" s="60" t="str">
        <v>TuSimple , a global self-driving technology company based in San Diego, California, and Liberty Mutual Insurance, the sixth largest global property and casualty insurer, announced a partnership to assess the comparative safety of autonomous trucks.</v>
      </c>
      <c r="AB132" s="60">
        <v>0</v>
      </c>
      <c r="AC132" s="60">
        <v>0</v>
      </c>
      <c r="AD132" s="60">
        <v>0</v>
      </c>
      <c r="AE132" s="60">
        <v>0</v>
      </c>
      <c r="AF132" s="60" t="str">
        <v xml:space="preserve">TuSimple and Liberty Mutual Insurance Partner to Study </v>
      </c>
      <c r="AG132" s="60" t="str">
        <v>the Safety Benefits of Autonomous Trucks</v>
      </c>
    </row>
    <row r="133" spans="1:51" x14ac:dyDescent="0.35">
      <c r="A133" s="60" t="str">
        <v>https://www.prnewswire.com/news-releases/tusimple-and-ryder-partner-to-expand-nationwide-autonomous-trucking-301344048.html</v>
      </c>
      <c r="B133" s="60" t="str">
        <v>2021, 7, 29</v>
      </c>
      <c r="C133" s="105">
        <v>44406</v>
      </c>
      <c r="D133" s="60" t="str">
        <v>TuSimple and Ryder Partner to Expand Nationwide Autonomous Trucking</v>
      </c>
      <c r="E133" s="60" t="str">
        <v>TuSimple</v>
      </c>
      <c r="F133" s="60" t="str">
        <v>L1</v>
      </c>
      <c r="G133" s="60" t="str">
        <v>TuSimple-ATV</v>
      </c>
      <c r="H133" s="60" t="str">
        <v>ATV</v>
      </c>
      <c r="I133" s="60" t="str">
        <v>Trucking</v>
      </c>
      <c r="J133" s="60" t="str">
        <v>Trucking</v>
      </c>
      <c r="K133" s="60" t="str">
        <v>Ryder</v>
      </c>
      <c r="L133" s="60" t="str">
        <v>Ryder</v>
      </c>
      <c r="M133" s="60">
        <v>0</v>
      </c>
      <c r="N133" s="60">
        <v>0</v>
      </c>
      <c r="O133" s="60" t="str">
        <v xml:space="preserve">TuSimple , global autonomous driving technology company, and Ryder System,  (NYSE: R), leader in Supply Partnership, dedicated transportation, and fleet management solutions, today announce an industry-first partnership that aims to leverage select Ryder fleet maintenance facilities to serve as terminals on TuSimple's Autonomous Freight Network (AFN). The announcement comes as TuSimple expands its footprint across the U.S. to meet rising consumer demands.
Through the partnership, TuSimple and Ryder will work together to identify existing Ryder facilities to serve as terminals along the TuSimple AFN. Terminals are secure facilities and serve as the start and end point for autonomous driving missions. These facilities can have multiple heavy-duty trucks and trailers come and go 24 hours per day, 365 days per year. By adding more terminals to TuSimple's AFN, shippers and fleets will have greater access to autonomous freight operations. Leveraging Ryder's existing freight trucking terminals, TuSimple can quickly scale across the country without needing to build new facilities.
Today, TuSimple's fleet of more than 50 autonomous trucks (SAE L4) transport freight for customers across the states of Arizona, New Mexico and Texas. Later this year, TuSimple expects to expand operations to the East Coast, carrying freight between Phoenix, Ariz., and Orlando, Fla. By working closely with Ryder to utilize its existing infrastructure, the partnership offers a win-win scenario for both companies.
"The trucking industry is on the verge of a massive disruption, and we're seeing strong demand for access to reliable autonomous capacity from shippers, carriers, and fleets," said Cheng Lu, President and CEO at TuSimple. "The partnership with Ryder will enable us to grow our operational footprint to continue to meet these needs and set the pace for industry adoption."
Initially, the partnership will focus on Ryder's facilities in the Southern U.S. However, with Ryder's nationwide network of more than 500 maintenance facilities, the partnership has the potential to rapidly scale.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
</v>
      </c>
      <c r="P133" s="60" t="str">
        <v>Initially, the partnership will focus on Ryder's facilities in the Southern U.S. However, with Ryder's nationwide network of more than 500 maintenance facilities, the partnership has the potential to rapidly scale.</v>
      </c>
      <c r="Q133" s="60" t="str">
        <v>Strategic Alliance</v>
      </c>
      <c r="R133" s="60" t="str">
        <v>n.a.</v>
      </c>
      <c r="S133" s="60" t="str">
        <v>Product integration</v>
      </c>
      <c r="T133" s="60" t="str">
        <v>-</v>
      </c>
      <c r="U133" s="60" t="str">
        <v>-</v>
      </c>
      <c r="V133" s="60" t="str">
        <v>-</v>
      </c>
      <c r="W133" s="60" t="str">
        <v>2.1. Short term Alliance (no exclusivity / previous experience)</v>
      </c>
      <c r="X133" s="60">
        <v>0</v>
      </c>
      <c r="Y133" s="60" t="str">
        <v>Through the partnership, TuSimple and Ryder will work together to identify existing Ryder facilities to serve as terminals along the TuSimple AFN. 
By adding more terminals to TuSimple's AFN, shippers and fleets will have greater access to autonomous freight operations. Leveraging Ryder's existing freight trucking terminals, TuSimple can quickly scale across the country without needing to build new facilities.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v>
      </c>
      <c r="Z133" s="60" t="str">
        <v>Joint Service Agreement</v>
      </c>
      <c r="AA133" s="60" t="str">
        <v xml:space="preserve">Through the partnership, TuSimple and Ryder will work together to identify existing Ryder facilities to serve as terminals along the TuSimple AFN. </v>
      </c>
      <c r="AB133" s="60">
        <v>0</v>
      </c>
      <c r="AC133" s="60">
        <v>0</v>
      </c>
      <c r="AD133" s="60">
        <v>0</v>
      </c>
      <c r="AE133" s="60">
        <v>0</v>
      </c>
      <c r="AF133" s="60" t="str">
        <v>TuSimple and Ryder Partner to Expand Nationwide Autonomous Trucking</v>
      </c>
      <c r="AG133" s="60">
        <v>0</v>
      </c>
    </row>
    <row r="134" spans="1:51" x14ac:dyDescent="0.35">
      <c r="A134" s="60" t="str">
        <v>https://www.prnewswire.com/news-releases/tusimple-partners-with-loadsmith-for-350-unit-reservation-for-sae-l4-operation-301512230.html</v>
      </c>
      <c r="B134" s="60" t="str">
        <v>2022, 3, 29</v>
      </c>
      <c r="C134" s="105">
        <v>44649</v>
      </c>
      <c r="D134" s="60" t="str">
        <v>TuSimple Partners with Loadsmith for 350 Unit Reservation for SAE L4 Operation</v>
      </c>
      <c r="E134" s="60" t="str">
        <v>TuSimple</v>
      </c>
      <c r="F134" s="60" t="str">
        <v>L1</v>
      </c>
      <c r="G134" s="60" t="str">
        <v>TuSimple-ATV</v>
      </c>
      <c r="H134" s="60" t="str">
        <v>ATV</v>
      </c>
      <c r="I134" s="60" t="str">
        <v>Trucking</v>
      </c>
      <c r="J134" s="60" t="str">
        <v>Trucking</v>
      </c>
      <c r="K134" s="60" t="str">
        <v>Loadsmith</v>
      </c>
      <c r="L134" s="60" t="str">
        <v>Loadsmith</v>
      </c>
      <c r="M134" s="60">
        <v>0</v>
      </c>
      <c r="N134" s="60">
        <v>0</v>
      </c>
      <c r="O134" s="60" t="str">
        <v>TuSimple , a global self-driving technology company based in San Diego, California, today announced its partnership with Loadsmith, the leading third-party logistics capacity as a service platform bridging the gap between shippers and carriers, to adopt, integrate and scale TuSimple's SAE L4 autonomous technology into their operations.
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
"TuSimple's innovations will allow us to provide state-of-the-art SAE L4 automation to customers operating along the rapidly advancing autonomous freight network," said Loadsmith CEO Brett Suma. "Loadsmith prides itself on providing our customers with cutting-edge solutions that enhance on-time delivery with the lowest total cost of operation, and TuSimple's proven driver-out capabilities provides the prime path for us to do so."
"Loadsmith is an ideal partner to adopt, integrate and scale our autonomous trucking technology into their operations," said Xiaodi Hou, Co-Founder and CEO, TuSimple. "This new partnership further validates the appetite for SAE L4 technologies alongside the TuSimple autonomous freight network fostering the expedited commercialization of safe, efficient, and sustainable transportation of freight throughout the United States."
TuSimple demonstrated its leadership with the industry's first driver-out (no human intervention or operator) runs in 2021 which the company plans to continue through 2022 as it prepares for full commercialization. TuSimple's "driver out" pilot program is the product of a year and a half of work to develop an L4 autonomous semi-truck with the level of redundancy, reliability, consistency, and safety necessary to remove the driver from the truck.
By the end of 2023, TuSimple plans to carry paid freight operations in Arizona and the "Texas Triangle," one of the country's busiest freight regions. Driver-out runs have been critical in enabling scaling of autonomous trucking operations on the TuSimple Autonomous Freight Network. To date, TuSimple has over 11,500 unique mapped miles in its Autonomous Freight Network and plans to continue to scale its operations to support its distribution partners.</v>
      </c>
      <c r="P134" s="60" t="str">
        <v>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v>
      </c>
      <c r="Q134" s="60" t="str">
        <v>Strategic Alliance</v>
      </c>
      <c r="R134" s="60" t="str">
        <v>n.a.</v>
      </c>
      <c r="S134" s="60" t="str">
        <v>Product integration</v>
      </c>
      <c r="T134" s="60" t="str">
        <v>-</v>
      </c>
      <c r="U134" s="60" t="str">
        <v>-</v>
      </c>
      <c r="V134" s="60" t="str">
        <v>-</v>
      </c>
      <c r="W134" s="60" t="str">
        <v>2.1. Short term Alliance (no exclusivity / previous experience)</v>
      </c>
      <c r="X134" s="60">
        <v>0</v>
      </c>
      <c r="Y134" s="60" t="str">
        <v>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v>
      </c>
      <c r="Z134" s="60" t="str">
        <v>Supply Partnership (extended)</v>
      </c>
      <c r="AA134" s="60" t="str">
        <v>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v>
      </c>
      <c r="AB134" s="60">
        <v>0</v>
      </c>
      <c r="AC134" s="60">
        <v>0</v>
      </c>
      <c r="AD134" s="60">
        <v>0</v>
      </c>
      <c r="AE134" s="60">
        <v>0</v>
      </c>
      <c r="AF134" s="60" t="str">
        <v>TuSimple Partners with Loadsmith for 350 Unit Reservation for SAE L4 Operation</v>
      </c>
      <c r="AG134" s="60">
        <v>0</v>
      </c>
    </row>
    <row r="135" spans="1:51" x14ac:dyDescent="0.35">
      <c r="A135" s="60" t="str">
        <v>https://www.prnewswire.com/news-releases/tusimple-partners-with-global-logistics-leader-hegelmann-group-301588546.html</v>
      </c>
      <c r="B135" s="60" t="str">
        <v>2022, 7, 19</v>
      </c>
      <c r="C135" s="105">
        <v>44761</v>
      </c>
      <c r="D135" s="60" t="str">
        <v>TuSimple Partners with Global Logistics Leader, Hegelmann Group</v>
      </c>
      <c r="E135" s="60" t="str">
        <v>TuSimple</v>
      </c>
      <c r="F135" s="60" t="str">
        <v>L1</v>
      </c>
      <c r="G135" s="60" t="str">
        <v>TuSimple-ATV</v>
      </c>
      <c r="H135" s="60" t="str">
        <v>ATV</v>
      </c>
      <c r="I135" s="60" t="str">
        <v>Trucking</v>
      </c>
      <c r="J135" s="60" t="str">
        <v>Trucking</v>
      </c>
      <c r="K135" s="60" t="str">
        <v>Hegelmann Group</v>
      </c>
      <c r="L135" s="60" t="str">
        <v>Hegelmann Group</v>
      </c>
      <c r="M135" s="60">
        <v>0</v>
      </c>
      <c r="N135" s="60">
        <v>0</v>
      </c>
      <c r="O135" s="60" t="str">
        <v>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The trucks will be equipped with TuSimple's advanced autonomous driving system and will be based on a world-class global vehicle platform developed by Navistar.
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 Early studies show that autonomous trucks in this type of network have the potential to reduce fuel consumption for middle mile transportation.
"TuSimple's innovations will elevate our ability to compete and prosper in the North American market and are analogous to our stated objective to become a global logistics technology adopter," said Andrew Jasinskas, Business Development Project Manager "Hegelmann USA. "Undoubtedly autonomous trucks with TuSimple technology are the future of transportation, and Hegelmann's strategy is to likewise be a standard bearer for innovations that push safety and efficiency to the next era of logistics excellence."
"We are pleased to add Hegelmann to our rapidly growing fleet partners who wish to adopt, integrate, and scale SAE L4 truck operation in the United States," said Lee White, Vice President of Strategy. "Hegelmann chose TuSimple as their autonomous vehicle technology partner due to TuSimple's leadership in the rapidly approaching full-commercialization of autonomous vehicles."
TuSimple demonstrated its leadership with the industry's first Driver Out (no human intervention or operator) runs in 2021 which the company plans to continue through 2022 as it prepares for full commercialization. TuSimple's Driver Out pilot program is the product of a year and a half of work to co-develop a L4 autonomous Class 8 vehicle with Navistar to demonstrate the level of redundancy, reliability, consistency, and safety necessary to remove the driver from the truck.
By the end of 2023, TuSimple plans to carry paid freight operations in high-density freight lanes in the southern US. Driver-out runs have been critical in scaling autonomous trucking operations on the TuSimple Autonomous Freight Network.</v>
      </c>
      <c r="P135" s="60" t="str">
        <v xml:space="preserve">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v>
      </c>
      <c r="Q135" s="60" t="str">
        <v>Strategic Alliance</v>
      </c>
      <c r="R135" s="60" t="str">
        <v>n.a.</v>
      </c>
      <c r="S135" s="60" t="str">
        <v>Product integration</v>
      </c>
      <c r="T135" s="60" t="str">
        <v>-</v>
      </c>
      <c r="U135" s="60" t="str">
        <v>-</v>
      </c>
      <c r="V135" s="60" t="str">
        <v>-</v>
      </c>
      <c r="W135" s="60" t="str">
        <v>2.1. Short term Alliance (no exclusivity / previous experience)</v>
      </c>
      <c r="X135" s="60">
        <v>0</v>
      </c>
      <c r="Y135" s="60" t="str">
        <v>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v>
      </c>
      <c r="Z135" s="60" t="str">
        <v>Supply Partnership (extended)</v>
      </c>
      <c r="AA135" s="60" t="str">
        <v>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v>
      </c>
      <c r="AB135" s="60">
        <v>0</v>
      </c>
      <c r="AC135" s="60">
        <v>0</v>
      </c>
      <c r="AD135" s="60">
        <v>0</v>
      </c>
      <c r="AE135" s="60">
        <v>0</v>
      </c>
      <c r="AF135" s="60" t="str">
        <v>TuSimple Partners with Global Logistics Leader, Hegelmann Group</v>
      </c>
      <c r="AG135" s="60">
        <v>0</v>
      </c>
    </row>
    <row r="136" spans="1:51" x14ac:dyDescent="0.35">
      <c r="A136" s="60" t="str">
        <v>https://www.prnewswire.com/news-releases/dhl-partners-with-tusimple-to-adopt-integrate-and-scale-autonomous-trucking-operations-301446160.html</v>
      </c>
      <c r="B136" s="60" t="str">
        <v>2021, 12, 16</v>
      </c>
      <c r="C136" s="105">
        <v>44212</v>
      </c>
      <c r="D136" s="60" t="str">
        <v>DHL Partners with TuSimple to Adopt, Integrate and Scale Autonomous Trucking Operations</v>
      </c>
      <c r="E136" s="60" t="str">
        <v>TuSimple</v>
      </c>
      <c r="F136" s="60" t="str">
        <v>L1</v>
      </c>
      <c r="G136" s="60" t="str">
        <v>TuSimple-ATV</v>
      </c>
      <c r="H136" s="60" t="str">
        <v>ATV</v>
      </c>
      <c r="I136" s="60" t="str">
        <v>Trucking</v>
      </c>
      <c r="J136" s="60" t="str">
        <v>Trucking</v>
      </c>
      <c r="K136" s="60" t="str">
        <v>DHL</v>
      </c>
      <c r="L136" s="60" t="str">
        <v>DHL</v>
      </c>
      <c r="M136" s="60">
        <v>0</v>
      </c>
      <c r="N136" s="60">
        <v>0</v>
      </c>
      <c r="O136" s="60" t="str">
        <v>TuSimple , a global autonomous driving technology company, and DHL Supply Partnership, one of the world's leading contract logistics providers, have entered into a global partnership to adopt, integrate and scale TuSimple's autonomous trucking technology into DHL's operations. The strategic collaboration is part of DHL's Accelerated Digitalization strategy and focuses on addressing the most pressing challenges facing the logistics industry.
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
The partnership positions DHL at the forefront of autonomous trucking operations and opens the door for collaboration in other markets such as Europe and Asia in the future. With the integration of TuSimple's L4 technology into its network, DHL aims to leverage the potential of TuSimple's industry-leading autonomous driving technology specifically designed to meet the unique demands of heavy-duty trucks.
"Partnering with leading-edge technology companies is foundational to our digital transformation strategy, and TuSimple will play a key role in supporting our adoption of next wave transportation solutions," said Jim Monkmeyer, President, Transportation, DHL Supply Partnership. "We share TuSimple's vision of utilizing efficiencies to drive a more sustainable future and have been encouraged by the results so far."
After establishing the first Autonomous Freight Network in 2020 in the U.S., TuSimple has since expanded its operations from Arizona to Florida, with plans to create a nationwide freight transportation network over the next few years. Concurrent with its expansion of the AFN in the U.S, TuSimple has initiated efforts in Europe and Asia, where it is testing its autonomous trucks on public roads in Sweden and in Asia at the deep-water port in Shanghai.
"We're excited to be working with DHL, one of the world's largest logistics leaders, to help them adopt, integrate and scale our autonomous trucking technology into their operations," said Cheng Lu, President, and CEO, TuSimple. "This new partnership further validates the appetite for autonomous trucking technology as the industry looks for ways to increase freight capacity, improve safety, and control operating costs."</v>
      </c>
      <c r="P136" s="60" t="str">
        <v>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v>
      </c>
      <c r="Q136" s="60" t="str">
        <v>Strategic Alliance</v>
      </c>
      <c r="R136" s="60" t="str">
        <v>n.a.</v>
      </c>
      <c r="S136" s="60" t="str">
        <v>Product integration</v>
      </c>
      <c r="T136" s="60" t="str">
        <v>-</v>
      </c>
      <c r="U136" s="60" t="str">
        <v>Yes</v>
      </c>
      <c r="V136" s="60" t="str">
        <v>-</v>
      </c>
      <c r="W136" s="60" t="str">
        <v xml:space="preserve">2.2. Renewed Alliance </v>
      </c>
      <c r="X136" s="60">
        <v>0</v>
      </c>
      <c r="Y136" s="60" t="str">
        <v>DHL Supply Partnership, one of the world's leading contract logistics providers, have entered into a global partnership to adopt, integrate and scale TuSimple's autonomous trucking technology into DHL's operations.</v>
      </c>
      <c r="Z136" s="60" t="str">
        <v>Supply Partnership (extended)</v>
      </c>
      <c r="AA136" s="60" t="str">
        <v>DHL Supply Partnership, one of the world's leading contract logistics providers, have entered into a global partnership to adopt, integrate and scale TuSimple's autonomous trucking technology into DHL's operations.</v>
      </c>
      <c r="AB136" s="60">
        <v>0</v>
      </c>
      <c r="AC136" s="60">
        <v>0</v>
      </c>
      <c r="AD136" s="60">
        <v>0</v>
      </c>
      <c r="AE136" s="60">
        <v>0</v>
      </c>
      <c r="AF136" s="60" t="str">
        <v>DHL Partners with TuSimple to Adopt, Integrate and Scale Autonomous Trucking Operations</v>
      </c>
      <c r="AG136" s="60">
        <v>0</v>
      </c>
    </row>
    <row r="137" spans="1:51" x14ac:dyDescent="0.35">
      <c r="A137" s="60" t="str">
        <v>https://www.uberfreight.com/blog/uber-freight-and-volvo-autonomous-solutions/</v>
      </c>
      <c r="B137" s="60" t="str">
        <v>2022, 12, 14</v>
      </c>
      <c r="C137" s="105">
        <v>44575</v>
      </c>
      <c r="D137" s="60" t="str">
        <v>Uber Freight announces strategic partnership with Volvo Autonomous Solutions</v>
      </c>
      <c r="E137" s="60" t="str">
        <v>Uber Freight</v>
      </c>
      <c r="F137" s="60" t="str">
        <v>L4</v>
      </c>
      <c r="G137" s="60" t="str">
        <v>Uber Freight-ATV</v>
      </c>
      <c r="H137" s="60" t="str">
        <v>ATV</v>
      </c>
      <c r="I137" s="60" t="str">
        <v>Trucking</v>
      </c>
      <c r="J137" s="60" t="str">
        <v>Trucking</v>
      </c>
      <c r="K137" s="60" t="str">
        <v>Volvo Autonomous Solutions</v>
      </c>
      <c r="L137" s="60" t="str">
        <v>Volvo Autonomous Solutions</v>
      </c>
      <c r="M137" s="60">
        <v>0</v>
      </c>
      <c r="N137" s="60">
        <v>0</v>
      </c>
      <c r="O137" s="60" t="str">
        <v xml:space="preserve">Today, Uber Freight and Volvo Autonomous Solutions (V.A.S.) have announced a multi-phase commercial and technology partnership to deploy Volvo's autonomous transport solution on the Uber Freight network. Uber Freight will be one of V.A.S.'s first customers to pilot their hub-to-hub autonomous offering. As a part of the partnership, V.A.S. will offer autonomous freight capacity to Uber Freight shippers on select routes, starting in Texas.
The news marks the beginning of a strategic partnership, which will leverage Uber Freight's expansive network and V.A.S.'s autonomous transport solution. Via the Uber Freight platform, shippers will be able to tap into more efficient means to move freight and ultimately realize the value autonomous trucks bring to strained global Supply Partnerships.
"The V.A.S. and Uber Freight partnership is an exciting one," says Nils Jaeger, President of Volvo Autonomous Solutions. "By integrating our autonomous transport solution with Uber Freight's expansive network, we are offering shippers the possibility to move goods more efficiently while addressing some of the biggest challenges of the industry”transit times, empty miles and a shortage of drivers."
Uber Freight and V.A.S. envision a hybrid future where autonomous and manually-driven trucks work together to move goods safely and efficiently using a hub-to-hub model. Under this model, autonomous trucks will take on the long-haul portion of the transport mission while manually driven trucks complete local operations. Hub-to-hub will also ease some of the burden of increasing demand for freight while enabling drivers to shift into short-haul jobs closer to home, enhancing the truckers' quality of life and ultimately creating value for everyone in the Supply Partnership.
h
"V.A.S. is a proven leader in safety and we're excited to collaborate on the road ahead," says Lior Ron, Uber Freight CEO. "As a trusted partner and advisor for shippers across the country, we look forward to helping shippers integrate autonomous solutions into their operations. Our ability to expand access to V.A.S.'s transportation solution unlocks greater access to reliable capacity, improving the efficiency and sustainability of our customers' Supply Partnerships."
V.A.S. is on a mission to accelerate the development, commercialization, and sale of autonomous solutions for defined segments in the on-road and off-road space. By offering autonomous capacity, they provide shippers with more flexibility, convenience, and productivity.
The partnership with V.A.S. initiates Uber Freight's first commercial collaboration with an autonomous fleet. At a time when innovation in logistics is needed most, Uber Freight and V.A.S. will leverage autonomous technology to bring new modes of capacity and reimagine the quality of life for truck drivers. As Uber Freight continues to deepen its work with leaders across the board, from Driver-as-a-Service technology providers like Aurora and Waymo to OEMs and Transportation-as-a-Service providers like V.A.S., Uber Freight emerges as the network of choice to make the commercialization of autonomous transportation a reality.
</v>
      </c>
      <c r="P137" s="60" t="str">
        <v xml:space="preserve">Today, Uber Freight and Volvo Autonomous Solutions (V.A.S.) have announced a multi-phase commercial and technology partnership to deploy Volvo's autonomous transport solution on the Uber Freight network. </v>
      </c>
      <c r="Q137" s="60" t="str">
        <v>Strategic Alliance</v>
      </c>
      <c r="R137" s="60" t="str">
        <v>n.a.</v>
      </c>
      <c r="S137" s="60" t="str">
        <v>Service integration</v>
      </c>
      <c r="T137" s="60" t="str">
        <v>-</v>
      </c>
      <c r="U137" s="60" t="str">
        <v>-</v>
      </c>
      <c r="V137" s="60" t="str">
        <v>-</v>
      </c>
      <c r="W137" s="60" t="str">
        <v>2.1. Short term Alliance (no exclusivity / previous experience)</v>
      </c>
      <c r="X137" s="60">
        <v>0</v>
      </c>
      <c r="Y137" s="60" t="str">
        <v>"By integrating our autonomous transport solution with Uber Freight's expansive network, we are offering shippers the possibility to move goods more efficiently while addressing some of the biggest challenges of the industry”transit times, empty miles and a shortage of drivers."</v>
      </c>
      <c r="Z137" s="60" t="str">
        <v>Supply Partnership (extended)</v>
      </c>
      <c r="AA137" s="60" t="str">
        <v>"By integrating our autonomous transport solution with Uber Freight's expansive network, we are offering shippers the possibility to move goods more efficiently while addressing some of the biggest challenges of the industry”transit times, empty miles and a shortage of drivers."</v>
      </c>
      <c r="AB137" s="60">
        <v>0</v>
      </c>
      <c r="AC137" s="60">
        <v>0</v>
      </c>
      <c r="AD137" s="60">
        <v>0</v>
      </c>
      <c r="AE137" s="60">
        <v>0</v>
      </c>
      <c r="AF137" s="60" t="str">
        <v>Uber Freight announces strategic partnership with Volvo Autonomous Solutions</v>
      </c>
      <c r="AG137" s="60">
        <v>0</v>
      </c>
    </row>
    <row r="138" spans="1:51" x14ac:dyDescent="0.35">
      <c r="A138" s="60" t="str">
        <v>https://www.uberfreight.com/blog/uber-freight-and-waymo-via-partnership/</v>
      </c>
      <c r="B138" s="60" t="str">
        <v>2022, 6, 7</v>
      </c>
      <c r="C138" s="105">
        <v>44719</v>
      </c>
      <c r="D138" s="60" t="str">
        <v>Uber Freight and Waymo Via partner to accelerate the future of logistics</v>
      </c>
      <c r="E138" s="60" t="str">
        <v>Uber Freight</v>
      </c>
      <c r="F138" s="60" t="str">
        <v>L4</v>
      </c>
      <c r="G138" s="60" t="str">
        <v>Uber Freight-ATV</v>
      </c>
      <c r="H138" s="60" t="str">
        <v>ATV</v>
      </c>
      <c r="I138" s="60" t="str">
        <v>Trucking</v>
      </c>
      <c r="J138" s="60" t="str">
        <v>Trucking</v>
      </c>
      <c r="K138" s="60" t="str">
        <v>Waymo</v>
      </c>
      <c r="L138" s="60" t="str">
        <v>Waymo</v>
      </c>
      <c r="M138" s="60">
        <v>0</v>
      </c>
      <c r="N138" s="60">
        <v>0</v>
      </c>
      <c r="O138" s="60" t="str">
        <v>Today Uber Freight and Waymo Via announce a long-term strategic partnership to connect their technologies and deploy autonomous trucks at scale on the Uber Freight network. This partnership brings together the power of Waymo's autonomous driving technology with the scale of Uber Freight's network and leading marketplace technology, unlocking a road map for the thoughtful and safe implementation of autonomous trucks on roads across the US.
The agreement is an important milestone that includes a deep product integration and long-term collaboration roadmap that involves building the tools and infrastructure specific to the successful deployment of autonomous trucks for Uber Freight's shipper and carrier customers. Carriers that purchase trucks equipped with the Waymo Driver in the future will be able to opt in to Uber Freight's marketplace through user-friendly applications letting them seamlessly deploy their autonomous assets on the Uber Freight network.
These applications will provide a streamlined experience for onboarding, load booking and execution, trailer transfers, and payment while also enabling an ecosystem where human drivers and autonomous trucks can collaborate effortlessly in a hybrid network to move freight. Both companies envision a future where autonomous trucks tackle the long-haul portion of driving, easing some of the burden of the increasing demand for freight while also enabling drivers to shift into short-haul jobs that enhance the occupation's quality of life. Additionally, the companies will explore what the transfer hub model could look like with Uber Freight's universal trailer pool program, Powerloop, for easy and fast transfers between autonomous trucks and human drivers, streamlining operations between the first, middle, and final mile.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how best to adjust their supply-chain strategies for a hybrid network future ” where autonomously-driven trucks and human-driven trucks operate side by side to move freight more efficiently and safely. Uber Freight is also uniquely positioned to combine shipments from its $17 billion of freight under management to maximize utilization of autonomous and human-driven trucks, and continuously optimize routes once the technology is deployed, driving savings and improving service and reliability for shippers.
"Uber Freight's extensive, efficient, and reliable digital network is essential to making autonomous trucks a reality," says Lior Ron, Head of Uber Freight. "We are uniquely positioned to be the preferred network for autonomous trucks, with the scale and the marketplace expertise to deploy autonomous trucks in a way that benefits the entire industry. This partnership is an exciting leap forward, and ‹‹we are proud to work alongside the amazing team at Waymo Via to pioneer a hybrid freight network that truly empowers carriers and will ring in a new era of logistics."
The milestone agreement includes a deep product integration between Uber Freight and Waymo Via. [Product imagery is conceptual only]
"Uber Freight's network of shippers, carriers, and marketplace technology is a great match for the Waymo Driver," says Charlie Jatt, Head of Commercialization for Trucking, Waymo Via. "Through this partnership, we can empower carriers to fully utilize their investments in the Waymo Via solution through Uber Freight and create a great experience for shippers, while keeping our focus on developing the core Driver technology. We're really excited to see how this partnership can impact the logistics industry and solve critical challenges over the next decade and beyond."
"Partnering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We can't wait to see what else comes from this deep collaboration."
This partnership comes at a time of high fuel costs, a shortage of drivers, and rapidly increasing demand. The future of the industry will rely on a combination of autonomously driven and human-driven trucks deployed efficiently and at scale across a digital and optimized network. The innovative hybrid freight model between Uber Freight and Waymo Via will be the key to unlocking much-needed capacity for shippers, increasing fuel efficiency, providing carriers with the opportunity to scale their businesses, and ultimately streamlining global Supply Partnerships to the benefit of everyone.</v>
      </c>
      <c r="P138" s="60" t="str">
        <v xml:space="preserve">Today Uber Freight and Waymo Via announce a long-term strategic partnership to connect their technologies and deploy autonomous trucks at scale on the Uber Freight network.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v>
      </c>
      <c r="Q138" s="60" t="str">
        <v>Strategic Alliance</v>
      </c>
      <c r="R138" s="60" t="str">
        <v>n.a.</v>
      </c>
      <c r="S138" s="60" t="str">
        <v>Service integration</v>
      </c>
      <c r="T138" s="60" t="str">
        <v>Long term - n.a</v>
      </c>
      <c r="U138" s="60" t="str">
        <v>-</v>
      </c>
      <c r="V138" s="60" t="str">
        <v>-</v>
      </c>
      <c r="W138" s="60" t="str">
        <v>2.3. Long term Alliance</v>
      </c>
      <c r="X138" s="60">
        <v>0</v>
      </c>
      <c r="Y138" s="60" t="str">
        <v>This partnership brings together the power of Waymo's autonomous driving technology with the scale of Uber Freight's network and leading marketplace technology, unlocking a road map for the thoughtful and safe implementation of autonomous trucks on roads across the US.</v>
      </c>
      <c r="Z138" s="60" t="str">
        <v>Joint Service Agreement</v>
      </c>
      <c r="AA138" s="60" t="str">
        <v xml:space="preserve">"Partnering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v>
      </c>
      <c r="AB138" s="60">
        <v>0</v>
      </c>
      <c r="AC138" s="60">
        <v>0</v>
      </c>
      <c r="AD138" s="60">
        <v>0</v>
      </c>
      <c r="AE138" s="60">
        <v>0</v>
      </c>
      <c r="AF138" s="60" t="str">
        <v>Uber Freight and Waymo Via partner to accelerate the future of logistics</v>
      </c>
      <c r="AG138" s="60">
        <v>0</v>
      </c>
    </row>
    <row r="139" spans="1:51" x14ac:dyDescent="0.35">
      <c r="A139" s="60" t="str">
        <v>https://udelv.com/announcing-our-walmart-partnership/</v>
      </c>
      <c r="B139" s="60" t="str">
        <v>2019, 1, 8</v>
      </c>
      <c r="C139" s="105">
        <v>43473</v>
      </c>
      <c r="D139" s="60" t="str">
        <v>Announcing our Walmart Partnership</v>
      </c>
      <c r="E139" s="60" t="str">
        <v>Udelv</v>
      </c>
      <c r="F139" s="60" t="str">
        <v>L2</v>
      </c>
      <c r="G139" s="60" t="str">
        <v>Udelv-ATV</v>
      </c>
      <c r="H139" s="60" t="str">
        <v>ATV</v>
      </c>
      <c r="I139" s="60" t="str">
        <v>Last-Mile</v>
      </c>
      <c r="J139" s="60" t="str">
        <v>Last-Mile</v>
      </c>
      <c r="K139" s="60" t="str">
        <v>Walmart</v>
      </c>
      <c r="L139" s="60" t="str">
        <v>Walmart</v>
      </c>
      <c r="M139" s="60">
        <v>0</v>
      </c>
      <c r="N139" s="60">
        <v>0</v>
      </c>
      <c r="O139" s="60" t="str">
        <v>On January 30, 2018, Udelv made the world's first autonomous grocery delivery on public roads, in partnership with Draeger's Market in San Mateo, California.
Later this month, Udelv will have another first. This time, it will be in Surprise, Arizona,with America's largest grocer, and the world's largest retailer: Walmart.
The ADV has 32 secure compartments inside, keeping your groceries safe and cool.
What this means for udelv:
Over the past 12 months, Udelv has made thousands of deliveries for dozens of clients. We've tested, learned, and refined autonomous deliveries more than any company in the world. Armed with this knowledge, we're proud to announce the launch of our 2nd generation Autonomous Delivery Van (ADV): The Newton.
This partnership with Walmart is an affirmation of our goals and vision: That ADVs can improve lives and drive the future of e-commerce.
What this means for consumers:
ADVs can cut delivery costs, narrow delivery windows, and make more goods more accessible to more people, enabling customers to save time and live better. With the backing of the world's largest retailer, ADVs take a giant step towards delivering on their promises.
Citizens of Surprise- if you want to check out the Udelv ADV, place your Walmart grocery delivery order (starting later this month).
You can send any feedback or ideas to support@udelv.com!
Udelv's V1 has made thousands of deliveries in California. We're excited to start making them in Arizona!
What this means for other businesses:
companies from industries across the board consider their foray into ADVs, they'll look for partners with the proper resources, support, and business models to provide a technology-forward, customer-centric, and reliable solution. Walmart's backing of Udelv, along with our experience from thousands of public road deliveries across multiple industries, positions Udelv at the forefront of autonomous delivery vehicle providers.</v>
      </c>
      <c r="P139" s="60" t="str">
        <v>Citizens of Surprise- if you want to check out the Udelv ADV, place your Walmart grocery delivery order (starting later this month).</v>
      </c>
      <c r="Q139" s="60" t="str">
        <v>Strategic Alliance</v>
      </c>
      <c r="R139" s="60" t="str">
        <v>n.a.</v>
      </c>
      <c r="S139" s="60" t="str">
        <v>One time service</v>
      </c>
      <c r="T139" s="60" t="str">
        <v>-</v>
      </c>
      <c r="U139" s="60" t="str">
        <v>-</v>
      </c>
      <c r="V139" s="60" t="str">
        <v>-</v>
      </c>
      <c r="W139" s="60" t="str">
        <v>2.1. Short term Alliance (no exclusivity / previous experience)</v>
      </c>
      <c r="X139" s="60">
        <v>0</v>
      </c>
      <c r="Y139" s="60" t="str">
        <v>Walmart's backing of Udelv, along with our experience from thousands of public road deliveries across multiple industries, positions Udelv at the forefront of autonomous delivery vehicle providers.</v>
      </c>
      <c r="Z139" s="60" t="str">
        <v>Joint Service Agreement</v>
      </c>
      <c r="AA139" s="60" t="str">
        <v>Walmart's backing of Udelv, along with our experience from thousands of public road deliveries across multiple industries, positions Udelv at the forefront of autonomous delivery vehicle providers.</v>
      </c>
      <c r="AB139" s="60">
        <v>0</v>
      </c>
      <c r="AC139" s="60">
        <v>0</v>
      </c>
      <c r="AD139" s="60">
        <v>0</v>
      </c>
      <c r="AE139" s="60">
        <v>0</v>
      </c>
      <c r="AF139" s="60" t="str">
        <v xml:space="preserve">Announcing our </v>
      </c>
      <c r="AG139" s="60" t="str">
        <v>Walmart Partnership</v>
      </c>
    </row>
    <row r="140" spans="1:51" x14ac:dyDescent="0.35">
      <c r="A140" s="60" t="str">
        <v>https://venturebeat.com/ai/farmstead-partners-with-udelv-for-autonomous-grocery-delivery/#new_tab</v>
      </c>
      <c r="B140" s="60" t="str">
        <v>2018, 10, 29</v>
      </c>
      <c r="C140" s="105">
        <v>43129</v>
      </c>
      <c r="D140" s="60" t="str">
        <v>Farmstead partners with Udelv for autonomous grocery delivery</v>
      </c>
      <c r="E140" s="60" t="str">
        <v>Udelv</v>
      </c>
      <c r="F140" s="60" t="str">
        <v>L2</v>
      </c>
      <c r="G140" s="60" t="str">
        <v>Udelv-ATV</v>
      </c>
      <c r="H140" s="60" t="str">
        <v>ATV</v>
      </c>
      <c r="I140" s="60" t="str">
        <v>Last-Mile</v>
      </c>
      <c r="J140" s="60" t="str">
        <v>Last-Mile</v>
      </c>
      <c r="K140" s="60" t="str">
        <v>Farmstead</v>
      </c>
      <c r="L140" s="60" t="str">
        <v>Farmstead</v>
      </c>
      <c r="M140" s="60">
        <v>0</v>
      </c>
      <c r="N140" s="60">
        <v>0</v>
      </c>
      <c r="O140" s="60" t="str">
        <v>Driverless grocery delivery is a red-hot sector, and it's no wonder ” according to some analysts, the autonomous robot market could be worth close to $12 billion by 2024. In June, Nuro teamed up with grocery giant Kroger for self-driving grocery deliveries in the U.S., shortly after startup Robotmart announced plans to test its driverless grocery store on wheels. And today, another two companies joined the fray: Farmstead and Udelv.
Farmstead said that in the coming weeks, it'll partner up with Carson, California-based Udelv to deliver foodstuff to Bay Area customers via the autonomous vehicle company's modified GEM eL XD electric trucks. It's been running a limited pilot since September.
"While many services have talked about making deliveries via autonomous vehicles, Farmstead is actually doing it," said Farmstead CEO and cofounder Pradeep Elankumaran. "We envision a future where autonomous delivery is the norm in our space rather than the exception. This technology will help us be more efficient, enabling us to get fresh groceries into our customers' homes even faster and cheaper than before."
Here's how it'll work: Folks who opt to receive autonomous deliveries will receive an alert when the vehicle pulls up to their door. They'll tap in a code they receive via SMS and retrieve their bags of groceries from a dedicated compartment.
Udelv's trucks pack 8.7 horsepower motors and 20-kWh battery packs with an estimated range of 60 miles and a maximum speed of 25 miles per hour, and can make about 40 deliveries before needing to recharge. The company said it collaborated with Motivo Engineering, a mechanical and electrical system design firm based in Carson, California, to spec out the cargo hold, which can fit 700 pounds of items in 18 cubbies of four sizes.
"Customers who have already experienced our autonomous vehicle delivery have been blown away "with Udelv's help, we can't wait to bring it to all our service areas," Elankumaran said.
Farmstead's secret sauce is artificial intelligence. The startup's platform takes into account inventory and sales data to predict consumer habits, which it uses to place orders from producers, stock micro-hubs, and optimize dispatch courier dispatch times. That's how it's able to charge $5 or less for delivery in under 60 minutes, Elankumaran said, and to reduce perishable food waste to under 10 percent.
As for Udelv, it's not its first grocery delivery rodeo. In September, the company announced partnerships in Oklahoma City with several chains, including Uptown Grocery, Buy For Less, Buy For Less Supermercado, and Smart Saver, to deliver food to customers in "underserved markets."
Its vans are capable of Level 4 autonomous driving, and they've made more than 800 deliveries in the San Francisco Bay Area since January.
"[We] think grocery delivery is a perfect use case for Udelv's self-driving vans ” getting fresh and sometimes delicate items to customers quickly," Udelv CEO Daniel Laury said.
Nuro and Udelv aren't the only startups seeking to fulfill last-mile orders. San Francisco-based Dispatch is developing a short-range autonomous delivery robot designed to run on sidewalks, and AutoX is delivering goods from California-based companies like GrubMarket and DeMartini Orchard to customers in geofenced areas of San Jose. Meanwhile, Ford partnered with Postmates earlier this year to autonomously transport packages to customers in Miami, Florida.</v>
      </c>
      <c r="P140" s="60" t="str">
        <v>Farmstead said that in the coming weeks, it'll partner up with Carson, California-based Udelv to deliver foodstuff to Bay Area customers via the autonomous vehicle company's modified GEM eL XD electric trucks. It's been running a limited pilot since September.</v>
      </c>
      <c r="Q140" s="60" t="str">
        <v>Strategic Alliance</v>
      </c>
      <c r="R140" s="60" t="str">
        <v>n.a.</v>
      </c>
      <c r="S140" s="60" t="str">
        <v>One time service</v>
      </c>
      <c r="T140" s="60" t="str">
        <v>-</v>
      </c>
      <c r="U140" s="60" t="str">
        <v>-</v>
      </c>
      <c r="V140" s="60" t="str">
        <v>-</v>
      </c>
      <c r="W140" s="60" t="str">
        <v>2.1. Short term Alliance (no exclusivity / previous experience)</v>
      </c>
      <c r="X140" s="60">
        <v>0</v>
      </c>
      <c r="Y140" s="60" t="str">
        <v>Farmstead said that in the coming weeks, it'll partner up with Carson, California-based Udelv to deliver foodstuff to Bay Area customers via the autonomous vehicle company's modified GEM eL XD electric trucks. It's been running a limited pilot since September.</v>
      </c>
      <c r="Z140" s="60" t="str">
        <v>Joint Service Agreement</v>
      </c>
      <c r="AA140" s="60" t="str">
        <v>Farmstead said that in the coming weeks, it'll partner up with Carson, California-based Udelv to deliver foodstuff to Bay Area customers via the autonomous vehicle company's modified GEM eL XD electric trucks. It's been running a limited pilot since September.</v>
      </c>
      <c r="AB140" s="60">
        <v>0</v>
      </c>
      <c r="AC140" s="60">
        <v>0</v>
      </c>
      <c r="AD140" s="60">
        <v>0</v>
      </c>
      <c r="AE140" s="60">
        <v>0</v>
      </c>
      <c r="AF140" s="60" t="str">
        <v xml:space="preserve">Farmstead partners with Udelv </v>
      </c>
      <c r="AG140" s="60" t="str">
        <v>for autonomous grocery delivery</v>
      </c>
    </row>
    <row r="141" spans="1:51" s="55" customFormat="1" x14ac:dyDescent="0.35">
      <c r="A141" s="60" t="str">
        <v>https://udelv.com/h-e-b-and-udelv-announce-our-partnership/</v>
      </c>
      <c r="B141" s="60" t="str">
        <v>2019, 7, 10</v>
      </c>
      <c r="C141" s="105">
        <v>43656</v>
      </c>
      <c r="D141" s="60" t="str">
        <v>H-E-B and Udelv announce our partnership</v>
      </c>
      <c r="E141" s="60" t="str">
        <v>Udelv</v>
      </c>
      <c r="F141" s="60" t="str">
        <v>L2</v>
      </c>
      <c r="G141" s="60" t="str">
        <v>Udelv-ATV</v>
      </c>
      <c r="H141" s="60" t="str">
        <v>ATV</v>
      </c>
      <c r="I141" s="60" t="str">
        <v>Last-Mile</v>
      </c>
      <c r="J141" s="60" t="str">
        <v>Last-Mile</v>
      </c>
      <c r="K141" s="60" t="str">
        <v>H-E-B</v>
      </c>
      <c r="L141" s="60" t="str">
        <v>H-E-B</v>
      </c>
      <c r="M141" s="60">
        <v>0</v>
      </c>
      <c r="N141" s="60">
        <v>0</v>
      </c>
      <c r="O141" s="60" t="str">
        <v>Sometimes, one of the most difficult things for a large company to do is to realize that the practices and tools that brought about its current success may not be those that will bring future success.
Companies too established in the status quo often miss the trends and technologies that upend their industries. Nokia, the largest cellphone manufacturer of the 90s, missed the smartphone movement and fell out of prominence. RadioShack and Circuit City stuck to their retail guns while Best Buy blew past them with more experiential stores and knowledge-based services.
Slow uptake of trends and technologies ensures a growing graveyard of former business behemoths.
Other companies move into new technologies and trends with vigor and innovative spirit, refusing to be late.
H-E-B, one of America's largest retailers and the most loved grocery in Texas, is solidly in the second camp as one of the most innovative retailers of our time.
We're exciting to announce that H-E-B and Udelv are partnering to bring autonomous grocery delivery to Texas.
Udelv's ADVs will be delivering for H-E-B customers in late 2019.
As a massive retailer with an established delivery business, H-E-B continues to find ways for new technologies to benefit their customers. They recognize that autonomous delivery will not replace drivers, nor will it serve 100% of customers (just like only 81% of Americans own smartphones!).
But for the regions where hiring is difficult, and for the customers who fall in love with the reliable, low cost service, H-E-B will be a leader in autonomous delivery.
At Udelv, we're excited to partner with H-E-B. Each new ADV in the market helps us improve as a delivery company, as an autonomous driving company, and as a smart, experienced leader in this growing industry.
Texas- see you soon!</v>
      </c>
      <c r="P141" s="60" t="str">
        <v>We're exciting to announce that H-E-B and Udelv are partnering to bring autonomous grocery delivery to Texas.
Udelv's ADVs will be delivering for H-E-B customers in late 2019.</v>
      </c>
      <c r="Q141" s="60" t="str">
        <v>Strategic Alliance</v>
      </c>
      <c r="R141" s="60" t="str">
        <v>n.a.</v>
      </c>
      <c r="S141" s="60" t="str">
        <v>One time service</v>
      </c>
      <c r="T141" s="60" t="str">
        <v>-</v>
      </c>
      <c r="U141" s="60" t="str">
        <v>-</v>
      </c>
      <c r="V141" s="60" t="str">
        <v>-</v>
      </c>
      <c r="W141" s="60" t="str">
        <v>2.1. Short term Alliance (no exclusivity / previous experience)</v>
      </c>
      <c r="X141" s="60">
        <v>0</v>
      </c>
      <c r="Y141" s="60" t="str">
        <v>We're exciting to announce that H-E-B and Udelv are partnering to bring autonomous grocery delivery to Texas.</v>
      </c>
      <c r="Z141" s="60" t="str">
        <v>Joint Service Agreement</v>
      </c>
      <c r="AA141" s="60" t="str">
        <v>We're exciting to announce that H-E-B and Udelv are partnering to bring autonomous grocery delivery to Texas.</v>
      </c>
      <c r="AB141" s="60">
        <v>0</v>
      </c>
      <c r="AC141" s="60">
        <v>0</v>
      </c>
      <c r="AD141" s="60">
        <v>0</v>
      </c>
      <c r="AE141" s="60">
        <v>0</v>
      </c>
      <c r="AF141" s="60" t="str">
        <v xml:space="preserve">H-E-B and Udelv </v>
      </c>
      <c r="AG141" s="60" t="str">
        <v>announce our partnership</v>
      </c>
      <c r="AH141"/>
      <c r="AI141"/>
      <c r="AJ141"/>
      <c r="AK141"/>
    </row>
    <row r="142" spans="1:51" s="55" customFormat="1" x14ac:dyDescent="0.35">
      <c r="A142" s="60" t="str">
        <v>https://techcrunch.com/2021/04/12/ntels-mobileye-teams-with-udelv-to-launch-35000-driverless-delivery-vehicles-by-2028/#new_tab</v>
      </c>
      <c r="B142" s="60" t="str">
        <v>2021, 4, 12</v>
      </c>
      <c r="C142" s="105">
        <v>44298</v>
      </c>
      <c r="D142" s="60" t="str">
        <v>Intel's Mobileye teams with Udelv</v>
      </c>
      <c r="E142" s="60" t="str">
        <v>Udelv</v>
      </c>
      <c r="F142" s="60" t="str">
        <v>L2</v>
      </c>
      <c r="G142" s="60" t="str">
        <v>Udelv-ATV</v>
      </c>
      <c r="H142" s="60" t="str">
        <v>ATV</v>
      </c>
      <c r="I142" s="60" t="str">
        <v>Last-Mile</v>
      </c>
      <c r="J142" s="60" t="str">
        <v>Last-Mile</v>
      </c>
      <c r="K142" s="60" t="str">
        <v>Mobileye</v>
      </c>
      <c r="L142" s="60" t="str">
        <v>Mobileye</v>
      </c>
      <c r="M142" s="60">
        <v>0</v>
      </c>
      <c r="N142" s="60">
        <v>0</v>
      </c>
      <c r="O142" s="60" t="str">
        <v>Intel subsidiary Mobileye is ratcheting up its autonomous vehicle ambitions and getting into delivery.
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
Donlen, a U.S. commercial fleet leasing and management company, has made the first preorder for 1,000 of these Udelv Transporters.
The announcement is notable for both companies. Udelv, which initially launched as an autonomous vehicle delivery startup, has opted to adopt Mobileye's self-driving system and focus on "creating the hardware and software that allows for autonomous deliveries," its CEO Daniel Laury said in an emailed statement to TechCrunch.
"This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
For Mobileye it marks yet another expansion for a company that got its start as a developer of camera-based sensors, which are now used by most automakers to support advanced driver assistance systems. Today, more than 54 million vehicles have Mobileye technology.
"This is a great combination of the two partners together and we expect some great scale," Jack Weast, a senior principal engineer at Intel and the vice president of Automated Vehicle Standards at Mobileye, said in a recent interview. "And this does kind of mark, officially, the first proof point of Mobileye's technology getting into goods delivery in addition to all the other spaces that we've already announced."
The company, which was acquired by Intel for $15.3 billion in 2017, has widened its scope in recent years, moving beyond its advanced driver assistance technology and toward the development of a self-driving vehicle system. More than two years ago, Mobileye announced plans to launch a kit that includes visual perception, sensor fusion, its REM mapping system and software algorithms. And in 2018, the company made an unlikely turn and announced plans to become a robotaxi operator, not just a supplier. Mobileye also plans to deploy autonomous shuttles with Transdev ATS and Lohr Group beginning in Europe. Mobileye also plans to begin operating an autonomous ride-hailing service in Israel in early 2022.</v>
      </c>
      <c r="P142" s="60" t="str">
        <v>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v>
      </c>
      <c r="Q142" s="60" t="str">
        <v>Strategic Alliance</v>
      </c>
      <c r="R142" s="60" t="str">
        <v>n.a.</v>
      </c>
      <c r="S142" s="60" t="str">
        <v>Product cooperation</v>
      </c>
      <c r="T142" s="60" t="str">
        <v>Long term - 2028 (&gt;6 years)</v>
      </c>
      <c r="U142" s="60" t="str">
        <v>-</v>
      </c>
      <c r="V142" s="60" t="str">
        <v>-</v>
      </c>
      <c r="W142" s="60" t="str">
        <v>2.3. Long term Alliance</v>
      </c>
      <c r="X142" s="60">
        <v>0</v>
      </c>
      <c r="Y142" s="60" t="str">
        <v>"This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v>
      </c>
      <c r="Z142" s="60" t="str">
        <v>Joint D&amp;D</v>
      </c>
      <c r="AA142" s="60" t="str">
        <v>"This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v>
      </c>
      <c r="AB142" s="60">
        <v>0</v>
      </c>
      <c r="AC142" s="60">
        <v>0</v>
      </c>
      <c r="AD142" s="60">
        <v>0</v>
      </c>
      <c r="AE142" s="60">
        <v>0</v>
      </c>
      <c r="AF142" s="60" t="str">
        <v>Intel's Mobileye teams with Udelv</v>
      </c>
      <c r="AG142" s="60">
        <v>0</v>
      </c>
      <c r="AH142"/>
      <c r="AI142"/>
      <c r="AJ142"/>
      <c r="AK142"/>
    </row>
    <row r="143" spans="1:51" s="107" customFormat="1" x14ac:dyDescent="0.35">
      <c r="A143" s="60" t="str">
        <v>https://waabi.ai/mit/</v>
      </c>
      <c r="B143" s="60" t="str">
        <v>2023, 11, 2</v>
      </c>
      <c r="C143" s="105">
        <v>44928</v>
      </c>
      <c r="D143" s="60" t="str">
        <v>Waabi Partners with MIT Center for Transportation &amp; Logistics, Becomes First AV Company to Join the Supply Partnership Exchange</v>
      </c>
      <c r="E143" s="60" t="str">
        <v>Waabi</v>
      </c>
      <c r="F143" s="60" t="str">
        <v>L1</v>
      </c>
      <c r="G143" s="60" t="str">
        <v>Waabi-ATV</v>
      </c>
      <c r="H143" s="60" t="str">
        <v>ATV</v>
      </c>
      <c r="I143" s="60" t="str">
        <v>Trucking</v>
      </c>
      <c r="J143" s="60" t="str">
        <v>Trucking</v>
      </c>
      <c r="K143" s="60" t="str">
        <v>MIT Center for Transportation &amp; Logistics</v>
      </c>
      <c r="L143" s="60" t="str">
        <v>MIT Center for Transportation &amp; Logistics</v>
      </c>
      <c r="M143" s="60">
        <v>0</v>
      </c>
      <c r="N143" s="60">
        <v>0</v>
      </c>
      <c r="O143" s="60" t="str">
        <v>Since day one, Waabi has been hyper-focused on revolutionizing transportation and building the next generation of self-driving technology. Our breakthrough AI-first approach has enabled us to progress safely at an unprecedented speed, commercially deploying generative AI-powered autonomous trucks on the road within just two years of launching as a company.
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
The strategic partnership represents a turning point for autonomous trucking's role in the most important conversations shaping Supply Partnerships. Teaming up with MIT CTL will also enable us to work alongside an elite group of thought leaders powering Supply Partnership transformation, including: leading manufacturers, distributors, retailers, transportation resources, carriers, 3PL providers and logistics service providers to jointly build a roadmap for the future of logistics.  
Bringing Autonomous Vehicles to the forefront of logistics
MIT CTL has been at the helm of Supply Partnership management research and education for 50 years, driving innovation in freight transportation and turning breakthrough ideas into practical solutions for the industry's biggest hurdles ” including a lingering labor shortage, inefficient truck routes and "empty miles," drivers' quality of life, and road safety for all. As part of MIT CTL, the Supply Partnership Exchange brings together the industry's leading minds and players to solve these challenges, continually pushing the cutting-edge of freight innovation.
The introduction of Waabi, as a leader in both autonomous trucks and next generation AI, will bring an essential AV perspective to future initiatives, as well as provide our team with a seat at the table for the industry's emerging innovations.
"Autonomous trucking technology has the potential to dramatically change the way that Supply Partnerships function. Waabi's approach to developing this technology is truly unique. We are excited to collaborate with the Waabi team to consider what an autonomous freight future could look like from every angle."
"Dr. David Correll, Co-Director, MIT FreightLab "
Collaborating on the future of Supply Partnerships
This partnership with MIT CTL will result in deep collaboration across multiple Supply Partnership touchpoints aimed at improving efficiency, sustainability, and safety of freight transportation. Our focus areas include labor, road safety, insurance, network optimization and Supply Partnership efficiency
Our collaborative efforts have started and will continue to expand over time. We are kicking off the partnership with research initiatives around network optimization opportunities enabled by autonomous trucks and a deep dive into the future of logistics infrastructure, specifically what infrastructure will be required to deploy autonomous assets at scale. Our initial collaboration also includes organizing and leading an AV roundtable in early 2024, with Waabi providing the voice of AV in a conversation with partners across the logistics landscape on the future of autonomy in Supply Partnerships.
"MIT is at the forefront of innovation across emerging technologies and critical industries, and freight is no different. We are firm believers in their leading role in and collaborative approach to transforming Supply Partnerships at scale. We look forward to being the voice of AV in this elite group committed to driving real change and shaping a safer, more sustainable, and more efficient future for logistics."
"Raquel Urtasun, CEO and Founder, Waabi "
Leveraging critical learnings for scaling autonomous truck deployment
Joining the Supply Partnership Exchange will not only allow Waabi to help shape how freight stakeholders successfully adopt autonomous technology, it will also enable our team to bring critical learnings to our own development and deployment.
Insights gleaned from this group of industry leaders will be especially important as we continue to make strides towards large-scale commercialization. For example, as we advance our work with Uber Freight, which includes deploying billions of miles of Waabi Driver capacity over the next ten years as well as an industry-first turnkey driver-as-a-service solution, our membership in MIT CTL's Supply Partnership Exchange will be especially valuable for informing lane expansions and ensuring we're building the best possible products for shippers and carriers.
We're excited to dive in with MIT CTL and the Supply Partnership Exchange. Stay tuned for more as we work together to scale the benefits of autonomous trucks across the logistics landscape.</v>
      </c>
      <c r="P143" s="60" t="str">
        <v>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v>
      </c>
      <c r="Q143" s="60" t="str">
        <v>Strategic Alliance</v>
      </c>
      <c r="R143" s="60" t="str">
        <v>n.a.</v>
      </c>
      <c r="S143" s="60" t="str">
        <v>Membership</v>
      </c>
      <c r="T143" s="60" t="str">
        <v>-</v>
      </c>
      <c r="U143" s="60" t="str">
        <v>-</v>
      </c>
      <c r="V143" s="60" t="str">
        <v>-</v>
      </c>
      <c r="W143" s="60" t="str">
        <v>2.1. Short term Alliance (no exclusivity / previous experience)</v>
      </c>
      <c r="X143" s="60">
        <v>0</v>
      </c>
      <c r="Y143" s="60" t="str">
        <v xml:space="preserve">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v>
      </c>
      <c r="Z143" s="60" t="str">
        <v>Research &amp; Collaboration</v>
      </c>
      <c r="AA143" s="60" t="str">
        <v xml:space="preserve">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v>
      </c>
      <c r="AB143" s="60">
        <v>0</v>
      </c>
      <c r="AC143" s="60">
        <v>0</v>
      </c>
      <c r="AD143" s="60">
        <v>0</v>
      </c>
      <c r="AE143" s="60">
        <v>0</v>
      </c>
      <c r="AF143" s="60" t="str">
        <v>Waabi Partners with MIT Center for Transportation &amp; Logistics, Becomes First AV Company to Join the Supply Partnership Exchange</v>
      </c>
      <c r="AG143" s="60">
        <v>0</v>
      </c>
      <c r="AH143"/>
      <c r="AI143"/>
      <c r="AJ143"/>
      <c r="AK143"/>
    </row>
    <row r="144" spans="1:51" x14ac:dyDescent="0.35">
      <c r="A144" s="60" t="str">
        <v>https://waabi.ai/waabi-uber-freight/</v>
      </c>
      <c r="B144" s="60" t="str">
        <v>2023, 9, 21</v>
      </c>
      <c r="C144" s="105">
        <v>45190</v>
      </c>
      <c r="D144" s="60" t="str">
        <v>Partnering with Uber Freight to build an industry-first solution for AI-powered autonomous truck deployment at scale</v>
      </c>
      <c r="E144" s="60" t="str">
        <v>Waabi</v>
      </c>
      <c r="F144" s="60" t="str">
        <v>L1</v>
      </c>
      <c r="G144" s="60" t="str">
        <v>Waabi-ATV</v>
      </c>
      <c r="H144" s="60" t="str">
        <v>ATV</v>
      </c>
      <c r="I144" s="60" t="str">
        <v>Trucking</v>
      </c>
      <c r="J144" s="60" t="str">
        <v>Trucking</v>
      </c>
      <c r="K144" s="60" t="str">
        <v>Uber Freight</v>
      </c>
      <c r="L144" s="60" t="str">
        <v>Uber Freight</v>
      </c>
      <c r="M144" s="60">
        <v>0</v>
      </c>
      <c r="N144" s="60">
        <v>0</v>
      </c>
      <c r="O144" s="60" t="str">
        <v>Today marks a significant milestone for Waabi and the logistics industry. We're excited to announce a strategic partnership with Uber Freight to accelerate the safe deployment of AI-powered autonomous trucks at scale.
The agreement pairs Waabi's core technology ”the Waabi Driver”with Uber Freight's vast logistics platform and marketplace technology to deliver a turnkey driver-as-a-service solution that will be the first of its kind. This unique solution will empower carriers to dynamically and effectively deploy the Waabi Driver while also unlocking critical capacity for shippers and driving value throughout the Supply Partnership.
By providing carriers with the services and infrastructure to deploy, maintain and manage their autonomous assets seamlessly, our bundled solution can help increase asset utilization significantly as well as drive profitability for carriers of all sizes. Over the next ten years, Waabi and Uber Freight also intend to deploy billions of miles of Waabi Driver capacity alongside carrier partners on the Uber Freight network, ensuring the technology will have a meaningful impact for shippers and carriers over the long term.
To gather valuable insights for the joint solution, our autonomous trucks have already been deployed on the Uber Freight network, giving their customers early access to autonomous freight capacity. The autonomous commercial loads, the first of which ran this week, will run regularly between Dallas and Houston and give the thousands of shippers and carriers on the Uber Freight network an opportunity to better understand what the future of Supply Partnership operations will look like and how autonomous trucks can improve overall network efficiency. As the partnership continues to advance, we will quickly expand to other key lanes in Texas and beyond.
A new model for AI-powered autonomous truck adoption and deployment
While autonomous trucks represent a huge opportunity for the logistics industry to increase asset utilization, improve road safety, lower carbon emissions, and improve drivers' livelihoods, reaching their full potential hinges on integrating into a scaled freight network that can optimize load matching, orchestrate hub-to-hub operations, and provide carriers a streamlined experience for onboarding, load booking and execution, trailer hand-offs, payments and asset maintenance.
The industry-first driver-as-a-service solution at the center of our partnership will pair the Waabi Driver with Uber Freight's technology and services to offer carriers the most technologically advanced, operationally efficient and holistic model for safely and effectively adopting autonomous trucks within their fleets. In the future, carriers with Waabi Driver-enabled trucks will have the option to deploy their assets instantly and seamlessly on the Uber Freight network, taking advantage of continuously optimized routes, as well as an ecosystem of partnerships with transfer hub infrastructure, roadside assistance, and national maintenance providers.
A robust technical integration will enable shippers to tap directly into Waabi Driver capacity from Uber Freight's digital tools, making it easy to transform procurement strategies and incorporate efficient and reliable autonomous capacity into their day-to-day operations. With $18 billion of Freight Under Management, Uber Freight is uniquely positioned to improve reliability and cost-effectiveness for shippers by optimizing routes and combining shipments, ultimately maximizing utilization of autonomous and human-driven trucks across entire networks.
Importantly, this partnership will make it effortless for carriers and shippers to unleash our generative AI-powered technology within their own operations. We're tackling autonomous driving in a new way, the Waabi Driver is the first and only autonomous truck solution to be built around a foundation AI model, which unlike traditional approaches that require painstaking manual code adjustments, can automatically learn from data and generalize its learnings to all the situations it might encounter on the road, including those that it has never seen before.
The Waabi Driver's development is front loaded within our revolutionary simulator, Waabi World ” the most scalable, highest fidelity closed-loop simulator to ever exist. In Waabi World, generative AI reconstructs digital twins automatically from raw sensor data. These digital twins can then be modified to create infinite potential new scenarios, exposing the Waabi Driver to the vast diversity of experiences needed to hone its driving skills, including common scenarios and safety-critical edge cases. This approach drastically reduces the need to drive in the real world, resulting in a solution for carriers and shippers that is not only more sustainable, but also smarter, safer, and more scalable.
Accelerating the future of logistics and driving positive change across safety, efficiency, jobs and the environment
This partnership comes at a time when logistics innovation is needed most. Not only is the industry facing considerable inefficiencies across Supply Partnerships, with an estimated ~20-35% of miles being driven empty, and a looming shortage of truck drivers, expected to reach 160,000 by 2028, but persistent safety issues continue to plague the industry. The National Highway Traffic Safety Administration (NHTSA) reported that in 2019, large truck crashes accounted for more than 5,000 lives lost”and 87% of large truck crashes involve human error, according to historical data from the Federal Motor Carrier Safety Administration (FMCSA). Additionally, transportation is the only sector with emissions that are still growing in US &amp; Europe and freight trucking, in particular, accounts for nearly 7% of US CO2 emissions.
Autonomous trucks have tremendous potential to address these issues, significantly increasing asset utilization, reducing carbon emissions, improving road safety, and positively reimagining the career outlook and quality of life for truck drivers. A recent study by the Department of Transportation found that autonomous trucks could actually stimulate job growth and increase total U.S. employment by 26,400 to 35,100 jobs per year on average. Together, we look forward to advancing logistics and delivering on the promise of autonomous trucks.</v>
      </c>
      <c r="P144" s="60" t="str">
        <v>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v>
      </c>
      <c r="Q144" s="60" t="str">
        <v>Strategic Alliance</v>
      </c>
      <c r="R144" s="60" t="str">
        <v>n.a.</v>
      </c>
      <c r="S144" s="60" t="str">
        <v>Product integration</v>
      </c>
      <c r="T144" s="60" t="str">
        <v>Long term - 10 years</v>
      </c>
      <c r="U144" s="60" t="str">
        <v>Yes</v>
      </c>
      <c r="V144" s="60" t="str">
        <v>-</v>
      </c>
      <c r="W144" s="60" t="str">
        <v>2.3. Long term Alliance</v>
      </c>
      <c r="X144" s="60">
        <v>0</v>
      </c>
      <c r="Y144" s="60" t="str">
        <v xml:space="preserve">The agreement pairs Waabi's core technology”the Waabi Driver”with Uber Freight's vast logistics platform and marketplace technology to deliver a turnkey driver-as-a-service solution that will be the first of its kind. </v>
      </c>
      <c r="Z144" s="60" t="str">
        <v>Joint Service Agreement</v>
      </c>
      <c r="AA144" s="60" t="str">
        <v xml:space="preserve">The agreement pairs Waabi's core technology”the Waabi Driver”with Uber Freight's vast logistics platform and marketplace technology to deliver a turnkey driver-as-a-service solution that will be the first of its kind. </v>
      </c>
      <c r="AB144" s="60">
        <v>0</v>
      </c>
      <c r="AC144" s="60">
        <v>0</v>
      </c>
      <c r="AD144" s="60">
        <v>0</v>
      </c>
      <c r="AE144" s="60">
        <v>0</v>
      </c>
      <c r="AF144" s="60" t="str">
        <v>Partnering with Uber Freight to build an industry-first solution for AI-powered autonomous truck deployment at scale</v>
      </c>
      <c r="AG144" s="60">
        <v>0</v>
      </c>
    </row>
    <row r="145" spans="1:60" x14ac:dyDescent="0.35">
      <c r="A145" s="60" t="str">
        <v>https://wayve.ai/press/wayve-announces-autonomous-van-trial-in-partnership-with-asda/</v>
      </c>
      <c r="B145" s="60" t="str">
        <v>2021, 9, 21</v>
      </c>
      <c r="C145" s="105">
        <v>44460</v>
      </c>
      <c r="D145" s="60" t="str">
        <v>Wayve Announces Autonomous Van Trial in Partnership with Asda</v>
      </c>
      <c r="E145" s="60" t="str">
        <v>Wayve</v>
      </c>
      <c r="F145" s="60" t="str">
        <v>L1</v>
      </c>
      <c r="G145" s="60" t="str">
        <v>Wayve-ATV</v>
      </c>
      <c r="H145" s="60" t="str">
        <v>ATV</v>
      </c>
      <c r="I145" s="60" t="str">
        <v>Last-Mile</v>
      </c>
      <c r="J145" s="60" t="str">
        <v>Last-Mile</v>
      </c>
      <c r="K145" s="60" t="str">
        <v>Asda</v>
      </c>
      <c r="L145" s="60" t="str">
        <v>Asda</v>
      </c>
      <c r="M145" s="60">
        <v>0</v>
      </c>
      <c r="N145" s="60">
        <v>0</v>
      </c>
      <c r="O145" s="60" t="str">
        <v xml:space="preserve">The trial will begin in early 2022 and Asda will be the first to commercially test the solution, using Wayve's expertise in deep learning to help navigate complex urban delivery routes in London.
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
Alex Kendall, Wayve CEO, said:
"Last mile delivery represents an ideal first use case for the Wayve AI Driver, which can navigate the complexities of urban driving and easily adapt to new routes. We are excited to be working with Asda as our first commercial partner. They have a proven track record of delivering innovations in online grocery shopping that improve customer experiences. This makes them an ideal partner to support the development of autonomous vehicle technology. "
Simon Gregg, Vice President Online Grocery at Asda, commented:
"We want to explore how autonomous vehicle technology can enhance our operating model as well as the experience for our colleagues and customers. We are pleased to partner with Wayve on this trial. Over the course of the last year, demand for online groceries has grown significantly, and we continue to push new boundaries in terms of retail innovation and technologies that can help us develop the most sustainable last mile solutions for our business."
</v>
      </c>
      <c r="P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Q145" s="60" t="str">
        <v>Strategic Alliance</v>
      </c>
      <c r="R145" s="60" t="str">
        <v>n.a.</v>
      </c>
      <c r="S145" s="60" t="str">
        <v>Research cooperation</v>
      </c>
      <c r="T145" s="60" t="str">
        <v>Long term - 12 months</v>
      </c>
      <c r="U145" s="60" t="str">
        <v>-</v>
      </c>
      <c r="V145" s="60" t="str">
        <v>-</v>
      </c>
      <c r="W145" s="60" t="str">
        <v>2.3. Long term Alliance</v>
      </c>
      <c r="X145" s="60">
        <v>0</v>
      </c>
      <c r="Y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Z145" s="60" t="str">
        <v>Research &amp; Collaboration</v>
      </c>
      <c r="AA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AB145" s="60" t="str">
        <v>Joint Service Agreement</v>
      </c>
      <c r="AC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AD145" s="60">
        <v>0</v>
      </c>
      <c r="AE145" s="60">
        <v>0</v>
      </c>
      <c r="AF145" s="60" t="str">
        <v>Wayve Announces Autonomous Van Trial</v>
      </c>
      <c r="AG145" s="60" t="str">
        <v>in Partnership with Asda</v>
      </c>
    </row>
    <row r="146" spans="1:60" x14ac:dyDescent="0.35">
      <c r="A146" s="60" t="str">
        <v>https://wayve.ai/press/wayve-and-ocado-group-partner-to-develop-autonomous-grocery-deliveries-for-osp-retailers-globally/</v>
      </c>
      <c r="B146" s="60" t="str">
        <v>2021, 10, 6</v>
      </c>
      <c r="C146" s="105">
        <v>44202</v>
      </c>
      <c r="D146" s="60" t="str">
        <v>Wayve and Ocado Group Partner to Develop Autonomous Grocery Deliveries for OSP Retailers Globally</v>
      </c>
      <c r="E146" s="60" t="str">
        <v>Wayve</v>
      </c>
      <c r="F146" s="60" t="str">
        <v>L1</v>
      </c>
      <c r="G146" s="60" t="str">
        <v>Wayve-ATV</v>
      </c>
      <c r="H146" s="60" t="str">
        <v>ATV</v>
      </c>
      <c r="I146" s="60" t="str">
        <v>Last-Mile</v>
      </c>
      <c r="J146" s="60" t="str">
        <v>Last-Mile</v>
      </c>
      <c r="K146" s="60" t="str">
        <v>Ocado Group</v>
      </c>
      <c r="L146" s="60" t="str">
        <v>Ocado Group</v>
      </c>
      <c r="M146" s="60">
        <v>0</v>
      </c>
      <c r="N146" s="60">
        <v>0</v>
      </c>
      <c r="O146" s="60" t="str">
        <v>Wayve’s advanced deep learning and camera-first technology has the ability to adapt to new, unstructured, highly complex environments, without the need for pre-programming, human-designed rules, or high definition mapping.
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
Alex Harvey, Chief of Advanced Technology, Ocado Group commented:
"Ocado is on a journey to develop highly intelligent autonomous mobility systems to further transform the operational economics, and proposition, of the Ocado Smart Platform for our OSP retail partners. We’ve been impressed with Wayve’s approach to solving this most complex of challenges and are excited to accelerate our capabilities so that our retail partners globally can take advantage of them at the earliest opportunity.”
Alex Kendall, CEO of Wayve says:
"Ocado Group has been driving innovation in global grocery logistics for decades. Their cutting-edge approach to grocery operations and international reach aligns strongly with Wayve’s culture and global ambitions. I am incredibly excited to collaborate with Ocado Group and learn from their vast expertise. Globally, there is huge momentum to transform mobility in grocery operations right now. We are focused on delivering an autonomous last mile solution to support the needs of grocery retailers everywhere. Through this partnership with Ocado Group we aim to unlock autonomous delivery faster in more places worldwide.”</v>
      </c>
      <c r="P146" s="60" t="str">
        <v>The collaboration includes an autonomous delivery trial that will see Wayve’s technology fitted onto a selection of Ocado delivery vans and trialed on urban delivery routes. This trial will help Ocado explore first-hand how Wayve can handle t</v>
      </c>
      <c r="Q146" s="60" t="str">
        <v>Strategic Alliance</v>
      </c>
      <c r="R146" s="60" t="str">
        <v>n.a.</v>
      </c>
      <c r="S146" s="60" t="str">
        <v>One time - Research cooperation</v>
      </c>
      <c r="T146" s="60" t="str">
        <v>-</v>
      </c>
      <c r="U146" s="60" t="str">
        <v>-</v>
      </c>
      <c r="V146" s="60" t="str">
        <v>-</v>
      </c>
      <c r="W146" s="60" t="str">
        <v>2.1. Short term Alliance (no exclusivity / previous experience)</v>
      </c>
      <c r="X146" s="60">
        <v>0</v>
      </c>
      <c r="Y146" s="60" t="str">
        <v>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v>
      </c>
      <c r="Z146" s="60" t="str">
        <v>Joint Service Agreement</v>
      </c>
      <c r="AA146" s="60" t="str">
        <v xml:space="preserve">The collaboration includes an autonomous delivery trial that will see Wayve’s technology fitted onto a selection of Ocado delivery vans and trialed on urban delivery routes. </v>
      </c>
      <c r="AB146" s="60" t="str">
        <v>Research &amp; Collaboration</v>
      </c>
      <c r="AC146" s="60" t="str">
        <v>A portion of Ocado’s existing delivery fleet will also be outfitted with Wayve’s data collection devices to provide data for training and validating Wayve’s technology.</v>
      </c>
      <c r="AD146" s="60">
        <v>0</v>
      </c>
      <c r="AE146" s="60">
        <v>0</v>
      </c>
      <c r="AF146" s="60" t="str">
        <v xml:space="preserve">Wayve and Ocado Group Partner </v>
      </c>
      <c r="AG146" s="60" t="str">
        <v>to Develop Autonomous Grocery Deliveries for OSP Retailers Globally</v>
      </c>
    </row>
    <row r="147" spans="1:60" x14ac:dyDescent="0.35">
      <c r="A147" s="60" t="str">
        <v>https://bolt.eu/en/blog/bolt-starship-technologies-partnership/</v>
      </c>
      <c r="B147" s="60" t="str">
        <v>2023, 6, 21</v>
      </c>
      <c r="C147" s="105">
        <v>45098</v>
      </c>
      <c r="D147" s="60" t="str">
        <v>Bolt teams up with Starship Technologies for autonomous deliveries</v>
      </c>
      <c r="E147" s="60" t="str">
        <v>Starship Technologies</v>
      </c>
      <c r="F147" s="60" t="str">
        <v>L2</v>
      </c>
      <c r="G147" s="60" t="str">
        <v>Starship Technologies-ATV</v>
      </c>
      <c r="H147" s="60" t="str">
        <v>ATV</v>
      </c>
      <c r="I147" s="60" t="str">
        <v>Last-Mile</v>
      </c>
      <c r="J147" s="60" t="str">
        <v>Last-Mile</v>
      </c>
      <c r="K147" s="60" t="str">
        <v>Bolt</v>
      </c>
      <c r="L147" s="60" t="str">
        <v>Bolt</v>
      </c>
      <c r="M147" s="60">
        <v>0</v>
      </c>
      <c r="N147" s="60">
        <v>0</v>
      </c>
      <c r="O147" s="60" t="str">
        <v>At Bolt, we constantly strive to improve our services and positively impact our cities. With this objective at the core of our operations, we needed a partner who shared our values and could work with us to achieve our goals. We're excited to announce our partnership with Starship Technologies, the world leader in autonomous delivery vehicles.Together, we'll transform the way food and grocery deliveries are made, bringing customers a new level of convenience and sustainability right to their door.
The Bolt and Starship Technologies journey so far
Like Bolt, Starship Technologies is an Estonian-born company that's rapidly expanded its global presence. And today's announcement coincides with another significant milestone for the company. Starship Technologies has become the first autonomous delivery company to complete 5 million commercial deliveries worldwide. This was achieved in just 7 months since celebrating 4 million deliveries in November 2022. At Bolt, we have over 100 million users in 45 countries and 500 cities globally, offering services like ride-hailing, micromobility, and food and grocery delivery. By partnering with Starship Technologies, we can now provide a broader range of delivery options that accommodate different order sizes, preferences, and distances.
Partnership objectives and aspirations
The partnership between Bolt and Starship Technologies is driven by shared objectives and a vision to transform cities and delivery services. Both companies have expressed their excitement and optimism about the collaboration. "Both Bolt and Starship have created innovative products which have revolutionised the way people move around and buy and receive goods in cities." Jevgeni Kabanov, Bolt's President According to Jevgeni, the partnership will provide millions of Bolt Food customers with a sustainable delivery option, fulfilled by Starship's successful and intelligent service. Jevgeni's hopeful about expanding the collaboration, too ” making deliveries more affordable and accessible to a larger customer base. Alastair Westgarth, CEO of Starship Technologies, echoes this sentiment, emphasising the shared goal of making local transport more sustainable.
"Bolt and Starship share very similar goals of promoting sustainability in local transport. In our case, we offer a convenient and on-demand autonomous delivery service, perfectly aligning with the mission of making cities more eco-friendly.
Alastair Westgarth, CEO of Starship Technologies. Adding to the discussion, Ahti Heinla, Co-founder and CTO of Starship Technologies, brings up exciting possibilities that lie ahead."We think the synergy with Bolt's overall portfolio of services will not only help Starship expand to new markets but also provide some fun, fully electric, future-proofed delivery options to the markets Bolt serves." Ahti Heinla, Co-founder and CTO of Starship Technologies
Shaping the future of delivery today
With shared goals and aspirations, Bolt and Starship Technologies are committed to improving the delivery landscape and bringing positive change to customers and cities. Starship delivery robots will begin delivering with Bolt Food in Tallinn as a pilot programme, working in tandem with courier partners. You'll hear more exciting updates about this partnership as we work together to change how people receive meals and groceries.</v>
      </c>
      <c r="P147" s="60" t="str">
        <v xml:space="preserve"> We're excited to announce our partnership with Starship Technologies, the world leader in autonomous delivery vehicles
 Jevgeni's hopeful about expanding the collaboration, too ” making deliveries more affordable and accessible to a larger customer base. Alastair Westgarth, CEO of Starship Technologies, echoes this sentiment, emphasising the shared goal of making local transport more sustainable.</v>
      </c>
      <c r="Q147" s="60" t="str">
        <v>Strategic Alliance</v>
      </c>
      <c r="R147" s="60" t="str">
        <v>n.a.</v>
      </c>
      <c r="S147" s="60" t="str">
        <v>Service Integration</v>
      </c>
      <c r="T147" s="60" t="str">
        <v>-</v>
      </c>
      <c r="U147" s="60" t="str">
        <v>-</v>
      </c>
      <c r="V147" s="60" t="str">
        <v>-</v>
      </c>
      <c r="W147" s="60" t="str">
        <v>2.1. Short term Alliance (no exclusivity / previous experience)</v>
      </c>
      <c r="X147" s="60">
        <v>0</v>
      </c>
      <c r="Y147" s="60" t="str">
        <v>Together, we'll transform the way food and grocery deliveries are made, bringing customers a new level of convenience and sustainability right to their door.</v>
      </c>
      <c r="Z147" s="60" t="str">
        <v>Joint Service Agreement</v>
      </c>
      <c r="AA147" s="60" t="str">
        <v>Together, we'll transform the way food and grocery deliveries are made, bringing customers a new level of convenience and sustainability right to their door.</v>
      </c>
      <c r="AB147" s="60">
        <v>0</v>
      </c>
      <c r="AC147" s="60">
        <v>0</v>
      </c>
      <c r="AD147" s="60">
        <v>0</v>
      </c>
      <c r="AE147" s="60">
        <v>0</v>
      </c>
      <c r="AF147" s="60" t="str">
        <v xml:space="preserve">Bolt teams up with Starship Technologies </v>
      </c>
      <c r="AG147" s="60" t="str">
        <v>for autonomous deliveries</v>
      </c>
    </row>
    <row r="148" spans="1:60" x14ac:dyDescent="0.35">
      <c r="A148" s="60" t="str">
        <v>https://www.prnewswire.com/news-releases/uber-and-nuro-announce-10-year-partnership-for-autonomous-food-deliveries-starting-in-california-and-texas-301618947.html</v>
      </c>
      <c r="B148" s="60" t="str">
        <v>2022, 9, 8</v>
      </c>
      <c r="C148" s="105">
        <v>44812</v>
      </c>
      <c r="D148" s="60" t="str">
        <v>Uber and Nuro Announce 10-Year Partnership for Autonomous Food Deliveries Starting in California and Texas</v>
      </c>
      <c r="E148" s="60" t="str">
        <v>Uber Eats</v>
      </c>
      <c r="F148" s="60" t="str">
        <v>L4</v>
      </c>
      <c r="G148" s="60" t="str">
        <v>Uber Eats-ATV</v>
      </c>
      <c r="H148" s="60" t="str">
        <v>ATV</v>
      </c>
      <c r="I148" s="60" t="str">
        <v>Last-Mile</v>
      </c>
      <c r="J148" s="60" t="str">
        <v>Last-Mile</v>
      </c>
      <c r="K148" s="60" t="str">
        <v>Nuro</v>
      </c>
      <c r="L148" s="60" t="str">
        <v>Nuro</v>
      </c>
      <c r="M148" s="60">
        <v>0</v>
      </c>
      <c r="N148" s="60">
        <v>0</v>
      </c>
      <c r="O148" s="60" t="str">
        <v>Uber Technologies, Inc . (NYSE:UBER) and Nuro, a leading autonomous vehicle company, today announced a multi-year partnership to use Nuro's autonomous, electric vehicles for food deliveries in the United States.
Uber Eats consumers will be able to order meals and goods delivered by Nuro's zero-occupant autonomous delivery vehicles, which run on public roads and are built specifically to carry food and other goods. The partnership will kick off this fall with deliveries in Houston, TX and Mountain View, CA. Uber and Nuro plan to expand the service to the greater Bay Area.
"Nuro and Uber share a vision in which technology can make everyday life just a little bit easier," said Noah Zych, Global Head of Autonomous Mobility and Delivery at Uber. "Nuro's distinctive autonomous vehicles are a great match for the Uber platform, and this partnership will bring a compelling combination of innovation alongside the convenience, affordability and reliability our customers and merchants have come to expect."
The partnership highlights the rapidly growing potential for last-mile autonomous delivery of meals, groceries, and other goods and opens up autonomous delivery technology to Uber Eats merchants/restaurants of all sizes. It also serves as an opportunity for Uber and Nuro to join forces to support local businesses and strengthen local commerce.
"Our partnership with Uber underscores Nuro's track record of partnering with the world's leading brands to make autonomous delivery a seamless experience," said Cosimo Leipold, Head of Partnerships at Nuro. "With our unique autonomous delivery vehicles and Uber's phenomenal scale and reach, we can expand food delivery options from your favorite local mom-and-pop restaurants all the way to nationwide chains."
Nuro was the first company to achieve fully autonomous vehicle operations in three states (Arizona, California, and Texas), and also the first to obtain an autonomous deployment permit from the California DMV. It remains one of only three companies to be granted the permit to date. Nuro's delivery vehicles are built with other road users' safety in mind. They can help reduce emissions from car trips and other traditional delivery options that use gas-powered vehicles, leading to cleaner air and better public health outcomes. Nuro's collaboration with Uber follows multiple strategic partnerships with market leaders in grocery, restaurant, parcel logistics, and convenience.
Uber's partnership with Nuro is an expansion of the company's efforts across autonomous mobility and delivery and is expected to unlock greater innovation for consumers and merchant partners in Mountain View and Houston.
Uber Eats delivers instant access to local commerce, helping people across the world discover restaurants and merchants, order meals, groceries, alcohol, and more at the touch of a button”and get it delivered reliably and quickly. The business leverages Uber's technology and logistics expertise to partner with 825,000 merchants in 11,000+ cities globally, while keeping average delivery time under 30 minutes.</v>
      </c>
      <c r="P148" s="60" t="str">
        <v>Nuro , a leading autonomous vehicle company, today announced a multi-year partnership to use Nuro's autonomous, electric vehicles for food deliveries in the United States.</v>
      </c>
      <c r="Q148" s="60" t="str">
        <v>Strategic Alliance</v>
      </c>
      <c r="R148" s="60" t="str">
        <v>n.a.</v>
      </c>
      <c r="S148" s="60" t="str">
        <v>Product Integration</v>
      </c>
      <c r="T148" s="60" t="str">
        <v>Long term - multi year</v>
      </c>
      <c r="U148" s="60" t="str">
        <v>-</v>
      </c>
      <c r="V148" s="60" t="str">
        <v>-</v>
      </c>
      <c r="W148" s="60" t="str">
        <v>2.3. Long term Alliance</v>
      </c>
      <c r="X148" s="60">
        <v>0</v>
      </c>
      <c r="Y148" s="60" t="str">
        <v>today announced a multi-year partnership to use Nuro's autonomous, electric vehicles for food deliveries in the United States.</v>
      </c>
      <c r="Z148" s="60" t="str">
        <v>Joint Service Agreement</v>
      </c>
      <c r="AA148" s="60" t="str">
        <v>today announced a multi-year partnership to use Nuro's autonomous, electric vehicles for food deliveries in the United States.</v>
      </c>
      <c r="AB148" s="60">
        <v>0</v>
      </c>
      <c r="AC148" s="60">
        <v>0</v>
      </c>
      <c r="AD148" s="60">
        <v>0</v>
      </c>
      <c r="AE148" s="60">
        <v>0</v>
      </c>
      <c r="AF148" s="60" t="str">
        <v>Uber and Nuro Announce 10-Year Partnership for Autonomous Food Deliveries Starting in California and Texas</v>
      </c>
      <c r="AG148" s="60">
        <v>0</v>
      </c>
    </row>
    <row r="149" spans="1:60" x14ac:dyDescent="0.35">
      <c r="A149" s="60" t="str">
        <v>https://www.serverobotics.com/uber-eats-partnership</v>
      </c>
      <c r="B149" s="60" t="str">
        <v>2021, 11, 8</v>
      </c>
      <c r="C149" s="105">
        <v>44204</v>
      </c>
      <c r="D149" s="60" t="str">
        <v>Serve Robotics and Uber Expand Partnership to Bring Robotic Delivery to Uber Eats</v>
      </c>
      <c r="E149" s="60" t="str">
        <v>Uber Eats</v>
      </c>
      <c r="F149" s="60" t="str">
        <v>L4</v>
      </c>
      <c r="G149" s="60" t="str">
        <v>Uber Eats-ATV</v>
      </c>
      <c r="H149" s="60" t="str">
        <v>ATV</v>
      </c>
      <c r="I149" s="60" t="str">
        <v>Last-Mile</v>
      </c>
      <c r="J149" s="60" t="str">
        <v>Last-Mile</v>
      </c>
      <c r="K149" s="60" t="str">
        <v>ServeRobotics</v>
      </c>
      <c r="L149" s="60" t="str">
        <v>ServeRobotics</v>
      </c>
      <c r="M149" s="60">
        <v>0</v>
      </c>
      <c r="N149" s="60">
        <v>0</v>
      </c>
      <c r="O149" s="60" t="str">
        <v xml:space="preserve">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
Serve Robotics is shaping the future of sustainable, self-driving delivery. Founded in 2017 as the robotics division of Postmates, Serve is now an independent company on a mission to make delivery more affordable, sustainable and accessible for everyone. Guided by its proprietary autonomous technology, the company's self-driving robots have successfully completed tens of thousands of contactless deliveries in major U.S. cities. Serve is backed by Uber, alongside other leading investors.
"Serve Robotics is looking forward to delivering great convenience for Uber Eats merchants and customers," said Dr. Ali Kashani, co-founder and CEO of Serve Robotics. "Uber is our first commercial partner and will be a strong source of demand for us as we use contactless delivery to power community commerce at scale."
"We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
</v>
      </c>
      <c r="P149" s="60" t="str">
        <v>SAN FRANCISCO, November 8, 2021 ” 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v>
      </c>
      <c r="Q149" s="60" t="str">
        <v>Strategic Alliance</v>
      </c>
      <c r="R149" s="60" t="str">
        <v>n.a.</v>
      </c>
      <c r="S149" s="60" t="str">
        <v>Product integration</v>
      </c>
      <c r="T149" s="60" t="str">
        <v>-</v>
      </c>
      <c r="U149" s="60" t="str">
        <v>-</v>
      </c>
      <c r="V149" s="60" t="str">
        <v>-</v>
      </c>
      <c r="W149" s="60" t="str">
        <v>2.1. Short term Alliance (no exclusivity / previous experience)</v>
      </c>
      <c r="X149" s="60">
        <v>0</v>
      </c>
      <c r="Y149"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Z149" s="60" t="str">
        <v>Joint Service Agreement</v>
      </c>
      <c r="AA149"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AB149" s="60">
        <v>0</v>
      </c>
      <c r="AC149" s="60">
        <v>0</v>
      </c>
      <c r="AD149" s="60">
        <v>0</v>
      </c>
      <c r="AE149" s="60">
        <v>0</v>
      </c>
      <c r="AF149" s="60" t="str">
        <v>Serve Robotics and Uber Expand Partnership to Bring Robotic Delivery to Uber Eats</v>
      </c>
      <c r="AG149" s="60">
        <v>0</v>
      </c>
    </row>
    <row r="150" spans="1:60" x14ac:dyDescent="0.35">
      <c r="A150" s="60" t="str">
        <v>https://www.prnewswire.com/news-releases/tusimple-and-zf-partner-to-develop-technology-for-mass-produced-autonomous-trucks-301030033.html</v>
      </c>
      <c r="B150" s="60" t="str">
        <v>2020, 3, 26</v>
      </c>
      <c r="C150" s="105">
        <v>43916</v>
      </c>
      <c r="D150" s="60" t="str">
        <v>TuSimple and ZF Partner to Develop Technology for Mass Produced Autonomous Trucks</v>
      </c>
      <c r="E150" s="60" t="str">
        <v>ZF</v>
      </c>
      <c r="F150" s="60" t="str">
        <v>L2</v>
      </c>
      <c r="G150" s="60" t="str">
        <v>ZF-ATV</v>
      </c>
      <c r="H150" s="60" t="str">
        <v>ATV</v>
      </c>
      <c r="I150" s="60" t="str">
        <v>Trucking</v>
      </c>
      <c r="J150" s="60" t="str">
        <v>Trucking</v>
      </c>
      <c r="K150" s="60" t="str">
        <v>TuSimple</v>
      </c>
      <c r="L150" s="60" t="str">
        <v>TuSimple</v>
      </c>
      <c r="M150" s="60">
        <v>0</v>
      </c>
      <c r="N150" s="60">
        <v>0</v>
      </c>
      <c r="O150"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
TuSimple and ZF will co-develop production-quality technologies including cameras, LiDAR, radar, steering and ZF's automotive-grade central computer ZF ProAI. Concurrently, ZF will support TuSimple's pre-production driverless autonomous system, and will ultimately serve as the default supplier for their production-ready system for commercialized vehicles.
"A partnership with world-class supplier ZF is an important milestone for our company as we prepare to bring autonomous-ready trucks to market," said Chuck Price, Chief Product Officer, TuSimple. "Working side-by-side with ZF to refine and integrate our production-ready technology has allowed us to optimize our hardware stack and focus on scaling these technologies to make it possible for autonomous ready trucks to be mass produced."
As part of the partnership, ZF will contribute engineering support to validate and integrate TuSimple's autonomous system into the vehicle.
"Our integrated solutions enable the next generation of mobility, and we are thrilled to partner with TuSimple, a leader in autonomous trucking," said Torsten Gollewski, Executive Vice President Autonomous Mobility Systems at ZF. "A key success factor for virtual driver software is to ensure the system is based on an automotive grade level, including component development and production. The combination of ZF automotive system competencies and TuSimple's virtual driver software will create the first commercial-ready automotive grade autonomous truck technology platform."
TuSimple aims to transform the $800 billion U.S. trucking industry by enhancing safety, increasing efficiency and significantly reducing operating costs. The company operates a fleet of more than 40 autonomous trucks, has 18 contracted customers and makes 20 autonomous trips between Arizona and Texas for companies like UPS every week. The company plans to start driverless operations in 2021.</v>
      </c>
      <c r="P150"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v>
      </c>
      <c r="Q150" s="60" t="str">
        <v>Strategic Alliance</v>
      </c>
      <c r="R150" s="60" t="str">
        <v>n.a.</v>
      </c>
      <c r="S150" s="60" t="str">
        <v>Product cooperation</v>
      </c>
      <c r="T150" s="60" t="str">
        <v>-</v>
      </c>
      <c r="U150" s="60" t="str">
        <v>-</v>
      </c>
      <c r="V150" s="60" t="str">
        <v>-</v>
      </c>
      <c r="W150" s="60" t="str">
        <v>2.1. Short term Alliance (no exclusivity / previous experience)</v>
      </c>
      <c r="X150" s="60">
        <v>0</v>
      </c>
      <c r="Y150" s="60" t="str">
        <v>TuSimple and ZF will co-develop production-quality technologies including cameras, LiDAR, radar, steering and ZF's automotive-grade central computer ZF ProAI.</v>
      </c>
      <c r="Z150" s="60" t="str">
        <v>Joint D&amp;D</v>
      </c>
      <c r="AA150" s="60" t="str">
        <v>TuSimple and ZF will co-develop production-quality technologies including cameras, LiDAR, radar, steering and ZF's automotive-grade central computer ZF ProAI.</v>
      </c>
      <c r="AB150" s="60" t="str">
        <v>Supply Partnership (traditional)</v>
      </c>
      <c r="AC150" s="60" t="str">
        <v>Concurrently, ZF will support TuSimple's pre-production driverless autonomous system, and will ultimately serve as the default supplier for their production-ready system for commercialized vehicles.</v>
      </c>
      <c r="AD150" s="60">
        <v>0</v>
      </c>
      <c r="AE150" s="60">
        <v>0</v>
      </c>
      <c r="AF150" s="60" t="str">
        <v xml:space="preserve">Partner to Develop Technology </v>
      </c>
      <c r="AG150" s="60" t="str">
        <v>for Mass Produced Autonomous Trucks</v>
      </c>
      <c r="AO150" s="55"/>
      <c r="AP150" s="55"/>
      <c r="AQ150" s="55"/>
      <c r="AR150" s="55"/>
      <c r="AS150" s="55"/>
      <c r="AT150" s="55"/>
      <c r="AU150" s="55"/>
      <c r="AV150" s="55"/>
      <c r="AW150" s="55"/>
      <c r="AX150" s="55"/>
      <c r="AY150" s="55"/>
      <c r="AZ150" s="55"/>
      <c r="BA150" s="55"/>
      <c r="BB150" s="55"/>
      <c r="BC150" s="55"/>
      <c r="BD150" s="55"/>
      <c r="BE150" s="55"/>
      <c r="BF150" s="55"/>
      <c r="BG150" s="55"/>
      <c r="BH150" s="55"/>
    </row>
    <row r="151" spans="1:60" x14ac:dyDescent="0.35">
      <c r="A151" s="55" t="str">
        <v>https://www.uberfreight.com/blog/uber-freight-and-waymo-via-partnership/</v>
      </c>
      <c r="B151" s="55" t="str">
        <v>2022, 6, 7</v>
      </c>
      <c r="C151" s="55">
        <v>44719</v>
      </c>
      <c r="D151" s="55" t="str">
        <v>Uber Freight and Waymo Via partner to accelerate the future of logistics</v>
      </c>
      <c r="E151" s="55" t="str">
        <v>Waymo</v>
      </c>
      <c r="F151" s="55" t="str">
        <v>L1</v>
      </c>
      <c r="G151" s="106" t="str">
        <v>Waymo-ATV</v>
      </c>
      <c r="H151" s="55" t="str">
        <v>ATV</v>
      </c>
      <c r="I151" s="55" t="str">
        <v>Trucking</v>
      </c>
      <c r="J151" s="55" t="str">
        <v>Trucking</v>
      </c>
      <c r="K151" s="55" t="str">
        <v>Uber Freight</v>
      </c>
      <c r="L151" s="55" t="str">
        <v>Uber Freight</v>
      </c>
      <c r="M151" s="55">
        <v>0</v>
      </c>
      <c r="N151" s="55">
        <v>0</v>
      </c>
      <c r="O151" s="55" t="str">
        <v>Today Uber Freight and Waymo Via announce a long-term strategic partnership to connect their technologies and deploy autonomous trucks at scale on the Uber Freight network. This partnership brings together the power of Waymo's autonomous driving technology with the scale of Uber Freight's network and leading marketplace technology, unlocking a road map for the thoughtful and safe implementation of autonomous trucks on roads across the US.
The agreement is an important milestone that includes a deep product integration and long-term collaboration roadmap that involves building the tools and infrastructure specific to the successful deployment of autonomous trucks for Uber Freight's shipper and carrier customers. Carriers that purchase trucks equipped with the Waymo Driver in the future will be able to opt in to Uber Freight's marketplace through user-friendly applications letting them seamlessly deploy their autonomous assets on the Uber Freight network.
These applications will provide a streamlined experience for onboarding, load booking and execution, trailer transfers, and payment while also enabling an ecosystem where human drivers and autonomous trucks can collaborate effortlessly in a hybrid network to move freight. Both companies envision a future where autonomous trucks tackle the long-haul portion of driving, easing some of the burden of the increasing demand for freight while also enabling drivers to shift into short-haul jobs that enhance the occupation's quality of life. Additionally, the companies will explore what the transfer hub model could look like with Uber Freight's universal trailer pool program, Powerloop, for easy and fast transfers between autonomous trucks and human drivers, streamlining operations between the first, middle, and final mile.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how best to adjust their supply-chain strategies for a hybrid network future ” where autonomously-driven trucks and human-driven trucks operate side by side to move freight more efficiently and safely. Uber Freight is also uniquely positioned to combine shipments from its $17 billion of freight under management to maximize utilization of autonomous and human-driven trucks, and continuously optimize routes once the technology is deployed, driving savings and improving service and reliability for shippers.
"Uber Freight's extensive, efficient, and reliable digital network is essential to making autonomous trucks a reality," says Lior Ron, Head of Uber Freight. "We are uniquely positioned to be the preferred network for autonomous trucks, with the scale and the marketplace expertise to deploy autonomous trucks in a way that benefits the entire industry. This partnership is an exciting leap forward, and ‹‹we are proud to work alongside the amazing team at Waymo Via to pioneer a hybrid freight network that truly empowers carriers and will ring in a new era of logistics."
The milestone agreement includes a deep product integration between Uber Freight and Waymo Via. [Product imagery is conceptual only]
"Uber Freight's network of shippers, carriers, and marketplace technology is a great match for the Waymo Driver," says Charlie Jatt, Head of Commercialization for Trucking, Waymo Via. "Through this partnership, we can empower carriers to fully utilize their investments in the Waymo Via solution through Uber Freight and create a great experience for shippers, while keeping our focus on developing the core Driver technology. We're really excited to see how this partnership can impact the logistics industry and solve critical challenges over the next decade and beyond."
"Partnering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We can't wait to see what else comes from this deep collaboration."
This partnership comes at a time of high fuel costs, a shortage of drivers, and rapidly increasing demand. The future of the industry will rely on a combination of autonomously driven and human-driven trucks deployed efficiently and at scale across a digital and optimized network. The innovative hybrid freight model between Uber Freight and Waymo Via will be the key to unlocking much-needed capacity for shippers, increasing fuel efficiency, providing carriers with the opportunity to scale their businesses, and ultimately streamlining global Supply Partnerships to the benefit of everyone.</v>
      </c>
      <c r="P151" s="55" t="str">
        <v xml:space="preserve">Today Uber Freight and Waymo Via announce a long-term strategic partnership to connect their technologies and deploy autonomous trucks at scale on the Uber Freight network.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v>
      </c>
      <c r="Q151" s="55" t="str">
        <v>Strategic Alliance</v>
      </c>
      <c r="R151" s="55" t="str">
        <v>n.a.</v>
      </c>
      <c r="S151" s="55" t="str">
        <v>Service integration</v>
      </c>
      <c r="T151" s="55" t="str">
        <v>Long term - n.a</v>
      </c>
      <c r="U151" s="55" t="str">
        <v>-</v>
      </c>
      <c r="V151" s="55" t="str">
        <v>-</v>
      </c>
      <c r="W151" s="55" t="str">
        <v>2.3. Long term Alliance</v>
      </c>
      <c r="X151" s="55">
        <v>0</v>
      </c>
      <c r="Y151" s="55" t="str">
        <v>This partnership brings together the power of Waymo's autonomous driving technology with the scale of Uber Freight's network and leading marketplace technology, unlocking a road map for the thoughtful and safe implementation of autonomous trucks on roads across the US.</v>
      </c>
      <c r="Z151" s="55" t="str">
        <v>Joint Service Agreement</v>
      </c>
      <c r="AA151" s="55" t="str">
        <v>This partnership brings together the power of Waymo's autonomous driving technology with the scale of Uber Freight's network and leading marketplace technology, unlocking a road map for the thoughtful and safe implementation of autonomous trucks on roads across the US.</v>
      </c>
      <c r="AB151" s="55">
        <v>0</v>
      </c>
      <c r="AC151" s="55">
        <v>0</v>
      </c>
      <c r="AD151" s="55">
        <v>0</v>
      </c>
      <c r="AE151" s="55">
        <v>0</v>
      </c>
      <c r="AF151" s="55" t="str">
        <v>Uber Freight and Waymo Via partner to accelerate the future of logistics</v>
      </c>
      <c r="AG151" s="55">
        <v>0</v>
      </c>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row>
    <row r="152" spans="1:60" x14ac:dyDescent="0.35">
      <c r="A152" s="55" t="str">
        <v>https://waabi.ai/waabi-uber-freight/</v>
      </c>
      <c r="B152" s="55" t="str">
        <v>2023, 9, 21</v>
      </c>
      <c r="C152" s="55">
        <v>45190</v>
      </c>
      <c r="D152" s="55" t="str">
        <v>Partnering with Uber Freight to build an industry-first solution for AI-powered autonomous truck deployment at scale</v>
      </c>
      <c r="E152" s="55" t="str">
        <v>Uber Freight</v>
      </c>
      <c r="F152" s="55" t="str">
        <v>L4</v>
      </c>
      <c r="G152" s="106" t="str">
        <v>Uber Freight-ATV</v>
      </c>
      <c r="H152" s="55" t="str">
        <v>ATV</v>
      </c>
      <c r="I152" s="55" t="str">
        <v>Trucking</v>
      </c>
      <c r="J152" s="55" t="str">
        <v>Trucking</v>
      </c>
      <c r="K152" s="55" t="str">
        <v>Waabi</v>
      </c>
      <c r="L152" s="55" t="str">
        <v>Waabi</v>
      </c>
      <c r="M152" s="55">
        <v>0</v>
      </c>
      <c r="N152" s="55">
        <v>0</v>
      </c>
      <c r="O152" s="55" t="str">
        <v>Today marks a significant milestone for Waabi and the logistics industry. We're excited to announce a strategic partnership with Uber Freight to accelerate the safe deployment of AI-powered autonomous trucks at scale.
The agreement pairs Waabi's core technology ”the Waabi Driver”with Uber Freight's vast logistics platform and marketplace technology to deliver a turnkey driver-as-a-service solution that will be the first of its kind. This unique solution will empower carriers to dynamically and effectively deploy the Waabi Driver while also unlocking critical capacity for shippers and driving value throughout the Supply Partnership.
By providing carriers with the services and infrastructure to deploy, maintain and manage their autonomous assets seamlessly, our bundled solution can help increase asset utilization significantly as well as drive profitability for carriers of all sizes. Over the next ten years, Waabi and Uber Freight also intend to deploy billions of miles of Waabi Driver capacity alongside carrier partners on the Uber Freight network, ensuring the technology will have a meaningful impact for shippers and carriers over the long term.
To gather valuable insights for the joint solution, our autonomous trucks have already been deployed on the Uber Freight network, giving their customers early access to autonomous freight capacity. The autonomous commercial loads, the first of which ran this week, will run regularly between Dallas and Houston and give the thousands of shippers and carriers on the Uber Freight network an opportunity to better understand what the future of Supply Partnership operations will look like and how autonomous trucks can improve overall network efficiency. As the partnership continues to advance, we will quickly expand to other key lanes in Texas and beyond.
A new model for AI-powered autonomous truck adoption and deployment
While autonomous trucks represent a huge opportunity for the logistics industry to increase asset utilization, improve road safety, lower carbon emissions, and improve drivers' livelihoods, reaching their full potential hinges on integrating into a scaled freight network that can optimize load matching, orchestrate hub-to-hub operations, and provide carriers a streamlined experience for onboarding, load booking and execution, trailer hand-offs, payments and asset maintenance.
The industry-first driver-as-a-service solution at the center of our partnership will pair the Waabi Driver with Uber Freight's technology and services to offer carriers the most technologically advanced, operationally efficient and holistic model for safely and effectively adopting autonomous trucks within their fleets. In the future, carriers with Waabi Driver-enabled trucks will have the option to deploy their assets instantly and seamlessly on the Uber Freight network, taking advantage of continuously optimized routes, as well as an ecosystem of partnerships with transfer hub infrastructure, roadside assistance, and national maintenance providers.
A robust technical integration will enable shippers to tap directly into Waabi Driver capacity from Uber Freight's digital tools, making it easy to transform procurement strategies and incorporate efficient and reliable autonomous capacity into their day-to-day operations. With $18 billion of Freight Under Management, Uber Freight is uniquely positioned to improve reliability and cost-effectiveness for shippers by optimizing routes and combining shipments, ultimately maximizing utilization of autonomous and human-driven trucks across entire networks.
Importantly, this partnership will make it effortless for carriers and shippers to unleash our generative AI-powered technology within their own operations. We're tackling autonomous driving in a new way, the Waabi Driver is the first and only autonomous truck solution to be built around a foundation AI model, which unlike traditional approaches that require painstaking manual code adjustments, can automatically learn from data and generalize its learnings to all the situations it might encounter on the road, including those that it has never seen before.
The Waabi Driver's development is front loaded within our revolutionary simulator, Waabi World ” the most scalable, highest fidelity closed-loop simulator to ever exist. In Waabi World, generative AI reconstructs digital twins automatically from raw sensor data. These digital twins can then be modified to create infinite potential new scenarios, exposing the Waabi Driver to the vast diversity of experiences needed to hone its driving skills, including common scenarios and safety-critical edge cases. This approach drastically reduces the need to drive in the real world, resulting in a solution for carriers and shippers that is not only more sustainable, but also smarter, safer, and more scalable.
Accelerating the future of logistics and driving positive change across safety, efficiency, jobs and the environment
This partnership comes at a time when logistics innovation is needed most. Not only is the industry facing considerable inefficiencies across Supply Partnerships, with an estimated ~20-35% of miles being driven empty, and a looming shortage of truck drivers, expected to reach 160,000 by 2028, but persistent safety issues continue to plague the industry. The National Highway Traffic Safety Administration (NHTSA) reported that in 2019, large truck crashes accounted for more than 5,000 lives lost”and 87% of large truck crashes involve human error, according to historical data from the Federal Motor Carrier Safety Administration (FMCSA). Additionally, transportation is the only sector with emissions that are still growing in US &amp; Europe and freight trucking, in particular, accounts for nearly 7% of US CO2 emissions.
Autonomous trucks have tremendous potential to address these issues, significantly increasing asset utilization, reducing carbon emissions, improving road safety, and positively reimagining the career outlook and quality of life for truck drivers. A recent study by the Department of Transportation found that autonomous trucks could actually stimulate job growth and increase total U.S. employment by 26,400 to 35,100 jobs per year on average. Together, we look forward to advancing logistics and delivering on the promise of autonomous trucks.</v>
      </c>
      <c r="P152" s="55" t="str">
        <v>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v>
      </c>
      <c r="Q152" s="55" t="str">
        <v>Strategic Alliance</v>
      </c>
      <c r="R152" s="55" t="str">
        <v>n.a.</v>
      </c>
      <c r="S152" s="55" t="str">
        <v>Product integration</v>
      </c>
      <c r="T152" s="55" t="str">
        <v>Long term - 10 years</v>
      </c>
      <c r="U152" s="55" t="str">
        <v>Yes</v>
      </c>
      <c r="V152" s="55" t="str">
        <v>-</v>
      </c>
      <c r="W152" s="55" t="str">
        <v>2.3. Long term Alliance</v>
      </c>
      <c r="X152" s="55">
        <v>0</v>
      </c>
      <c r="Y152" s="55" t="str">
        <v xml:space="preserve">The agreement pairs Waabi's core technology”the Waabi Driver”with Uber Freight's vast logistics platform and marketplace technology to deliver a turnkey driver-as-a-service solution that will be the first of its kind. </v>
      </c>
      <c r="Z152" s="55" t="str">
        <v>Joint Service Agreement</v>
      </c>
      <c r="AA152" s="55" t="str">
        <v xml:space="preserve">The agreement pairs Waabi's core technology”the Waabi Driver”with Uber Freight's vast logistics platform and marketplace technology to deliver a turnkey driver-as-a-service solution that will be the first of its kind. </v>
      </c>
      <c r="AB152" s="55">
        <v>0</v>
      </c>
      <c r="AC152" s="55">
        <v>0</v>
      </c>
      <c r="AD152" s="55">
        <v>0</v>
      </c>
      <c r="AE152" s="55">
        <v>0</v>
      </c>
      <c r="AF152" s="55" t="str">
        <v>Partnering with Uber Freight to build an industry-first solution for AI-powered autonomous truck deployment at scale</v>
      </c>
      <c r="AG152" s="55">
        <v>0</v>
      </c>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107"/>
    </row>
    <row r="153" spans="1:60" x14ac:dyDescent="0.35">
      <c r="A153" t="str">
        <v>https://waymo.com/blog/2019/06/partnering-with-alliance-in-france-japan-and-beyond/</v>
      </c>
      <c r="B153" t="str">
        <v>2019, 6, 19</v>
      </c>
      <c r="C153">
        <v>43635</v>
      </c>
      <c r="D153" t="str">
        <v>Partnering with The Alliance in France, Japan, and beyond</v>
      </c>
      <c r="E153" t="str">
        <v>Waymo</v>
      </c>
      <c r="F153" t="str">
        <v>L1</v>
      </c>
      <c r="G153" t="str">
        <v>Waymo-ATV</v>
      </c>
      <c r="H153" t="str">
        <v>ATV</v>
      </c>
      <c r="I153" t="str">
        <v>Ridehailing; Last-Mile</v>
      </c>
      <c r="J153" t="str">
        <v>Last-Mile</v>
      </c>
      <c r="K153" t="str">
        <v>Alliance Ventures (Renault, Nissan, Mitsubishi)</v>
      </c>
      <c r="L153" t="str">
        <v>Alliance Ventures (Renault, Nissan, Mitsubishi)</v>
      </c>
      <c r="M153">
        <v>0</v>
      </c>
      <c r="N153">
        <v>0</v>
      </c>
      <c r="O153"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153" t="str">
        <v>Today we're announcing that Waymo has entered into an exclusive partnership with Renault and Nissan on behalf of The Alliance to explore driverless mobility services for passengers and deliveries in France and Japan.</v>
      </c>
      <c r="Q153" t="str">
        <v>Strategic Alliance</v>
      </c>
      <c r="R153" t="str">
        <v>n.a.</v>
      </c>
      <c r="S153" t="str">
        <v>Research cooperation</v>
      </c>
      <c r="T153" t="str">
        <v>-</v>
      </c>
      <c r="U153" t="str">
        <v>-</v>
      </c>
      <c r="V153" t="str">
        <v>Yes</v>
      </c>
      <c r="W153" t="str">
        <v>2.4. Exclusive Alliance</v>
      </c>
      <c r="X153">
        <v>0</v>
      </c>
      <c r="Y153" t="str">
        <v>By teaming up with Renault and Nissan initially to research commercial, legal, and regulatory issues related to transportation-as-a-service in France and Japan, we're on the path to creating long-term driverless solutions hand-in-hand with the world's largest automaker.</v>
      </c>
      <c r="Z153" t="str">
        <v>Research &amp; Collaboration</v>
      </c>
      <c r="AA153" t="str">
        <v>By teaming up with Renault and Nissan initially to research commercial, legal, and regulatory issues related to transportation-as-a-service in France and Japan, we're on the path to creating long-term driverless solutions hand-in-hand with the world's largest automaker.</v>
      </c>
      <c r="AB153">
        <v>0</v>
      </c>
      <c r="AC153">
        <v>0</v>
      </c>
      <c r="AD153">
        <v>0</v>
      </c>
      <c r="AE153">
        <v>0</v>
      </c>
      <c r="AF153" t="str">
        <v>Partnering with The Alliance in France, Japan, and beyond</v>
      </c>
      <c r="AG153">
        <v>0</v>
      </c>
    </row>
    <row r="184" spans="1:59" x14ac:dyDescent="0.35">
      <c r="A184" s="59" t="s">
        <v>2101</v>
      </c>
      <c r="B184" s="59" t="str">
        <f>IF(ISNUMBER(#REF!),AVERAGE(#REF!),"")</f>
        <v/>
      </c>
      <c r="C184" s="59" t="str">
        <f>IF(ISNUMBER(#REF!),AVERAGE(#REF!),"")</f>
        <v/>
      </c>
      <c r="D184" s="59" t="str">
        <f>IF(ISNUMBER(#REF!),AVERAGE(#REF!),"")</f>
        <v/>
      </c>
      <c r="E184" s="59" t="str">
        <f>IF(ISNUMBER(#REF!),AVERAGE(#REF!),"")</f>
        <v/>
      </c>
      <c r="F184" s="59" t="str">
        <f>IF(ISNUMBER(#REF!),AVERAGE(#REF!),"")</f>
        <v/>
      </c>
      <c r="G184" s="59" t="str">
        <f>IF(ISNUMBER(#REF!),AVERAGE(#REF!),"")</f>
        <v/>
      </c>
      <c r="H184" s="59" t="str">
        <f>IF(ISNUMBER(#REF!),AVERAGE(#REF!),"")</f>
        <v/>
      </c>
      <c r="I184" s="59" t="str">
        <f>IF(ISNUMBER(#REF!),AVERAGE(#REF!),"")</f>
        <v/>
      </c>
      <c r="J184" s="59" t="str">
        <f>IF(ISNUMBER(#REF!),AVERAGE(#REF!),"")</f>
        <v/>
      </c>
      <c r="K184" s="59" t="str">
        <f>IF(ISNUMBER(#REF!),AVERAGE(#REF!),"")</f>
        <v/>
      </c>
      <c r="L184" s="59" t="str">
        <f>IF(ISNUMBER(#REF!),AVERAGE(#REF!),"")</f>
        <v/>
      </c>
      <c r="M184" s="59" t="str">
        <f>IF(ISNUMBER(#REF!),AVERAGE(#REF!),"")</f>
        <v/>
      </c>
      <c r="N184" s="59" t="str">
        <f>IF(ISNUMBER(#REF!),AVERAGE(#REF!),"")</f>
        <v/>
      </c>
      <c r="O184" s="59" t="str">
        <f>IF(ISNUMBER(#REF!),AVERAGE(#REF!),"")</f>
        <v/>
      </c>
      <c r="P184" s="59" t="str">
        <f>IF(ISNUMBER(#REF!),AVERAGE(#REF!),"")</f>
        <v/>
      </c>
      <c r="Q184" s="59" t="str">
        <f>IF(ISNUMBER(#REF!),AVERAGE(#REF!),"")</f>
        <v/>
      </c>
      <c r="R184" s="59" t="str">
        <f>IF(ISNUMBER(#REF!),AVERAGE(#REF!),"")</f>
        <v/>
      </c>
      <c r="S184" s="59" t="str">
        <f>IF(ISNUMBER(#REF!),AVERAGE(#REF!),"")</f>
        <v/>
      </c>
      <c r="T184" s="59" t="str">
        <f>IF(ISNUMBER(#REF!),AVERAGE(#REF!),"")</f>
        <v/>
      </c>
      <c r="U184" s="59" t="str">
        <f>IF(ISNUMBER(#REF!),AVERAGE(#REF!),"")</f>
        <v/>
      </c>
      <c r="V184" s="59" t="str">
        <f>IF(ISNUMBER(#REF!),AVERAGE(#REF!),"")</f>
        <v/>
      </c>
      <c r="W184" s="59" t="str">
        <f>IF(ISNUMBER(#REF!),AVERAGE(#REF!),"")</f>
        <v/>
      </c>
      <c r="X184" s="59" t="str">
        <f>IF(ISNUMBER(#REF!),AVERAGE(#REF!),"")</f>
        <v/>
      </c>
      <c r="Y184" s="59" t="str">
        <f>IF(ISNUMBER(#REF!),AVERAGE(#REF!),"")</f>
        <v/>
      </c>
      <c r="Z184" s="59" t="str">
        <f>IF(ISNUMBER(#REF!),AVERAGE(#REF!),"")</f>
        <v/>
      </c>
      <c r="AA184" s="59" t="str">
        <f>IF(ISNUMBER(#REF!),AVERAGE(#REF!),"")</f>
        <v/>
      </c>
      <c r="AB184" s="59" t="str">
        <f>IF(ISNUMBER(#REF!),AVERAGE(#REF!),"")</f>
        <v/>
      </c>
      <c r="AC184" s="59" t="str">
        <f>IF(ISNUMBER(#REF!),AVERAGE(#REF!),"")</f>
        <v/>
      </c>
      <c r="AD184" s="59" t="str">
        <f>IF(ISNUMBER(#REF!),AVERAGE(#REF!),"")</f>
        <v/>
      </c>
      <c r="AE184" s="59" t="str">
        <f>IF(ISNUMBER(#REF!),AVERAGE(#REF!),"")</f>
        <v/>
      </c>
      <c r="AF184" s="59" t="str">
        <f>IF(ISNUMBER(#REF!),AVERAGE(#REF!),"")</f>
        <v/>
      </c>
      <c r="AG184" s="59" t="str">
        <f>IF(ISNUMBER(#REF!),AVERAGE(#REF!),"")</f>
        <v/>
      </c>
      <c r="AH184" s="59" t="str">
        <f>IF(ISNUMBER(#REF!),AVERAGE(#REF!),"")</f>
        <v/>
      </c>
      <c r="AI184" s="59" t="str">
        <f>IF(ISNUMBER(#REF!),AVERAGE(#REF!),"")</f>
        <v/>
      </c>
      <c r="AJ184" s="59" t="str">
        <f>IF(ISNUMBER(#REF!),AVERAGE(#REF!),"")</f>
        <v/>
      </c>
      <c r="AK184" s="59" t="str">
        <f>IF(ISNUMBER(#REF!),AVERAGE(#REF!),"")</f>
        <v/>
      </c>
      <c r="AL184" s="59" t="str">
        <f>IF(ISNUMBER(#REF!),AVERAGE(#REF!),"")</f>
        <v/>
      </c>
      <c r="AM184" s="59" t="str">
        <f>IF(ISNUMBER(#REF!),AVERAGE(#REF!),"")</f>
        <v/>
      </c>
      <c r="AN184" s="59" t="str">
        <f>IF(ISNUMBER(#REF!),AVERAGE(#REF!),"")</f>
        <v/>
      </c>
      <c r="AO184" s="59" t="str">
        <f>IF(ISNUMBER(#REF!),AVERAGE(#REF!),"")</f>
        <v/>
      </c>
      <c r="AP184" s="59" t="str">
        <f>IF(ISNUMBER(#REF!),AVERAGE(#REF!),"")</f>
        <v/>
      </c>
      <c r="AQ184" s="59" t="str">
        <f>IF(ISNUMBER(#REF!),AVERAGE(#REF!),"")</f>
        <v/>
      </c>
      <c r="AR184" s="59" t="str">
        <f>IF(ISNUMBER(#REF!),AVERAGE(#REF!),"")</f>
        <v/>
      </c>
      <c r="AS184" s="59" t="str">
        <f>IF(ISNUMBER(#REF!),AVERAGE(#REF!),"")</f>
        <v/>
      </c>
      <c r="AT184" s="59" t="str">
        <f>IF(ISNUMBER(#REF!),AVERAGE(#REF!),"")</f>
        <v/>
      </c>
      <c r="AU184" s="59" t="str">
        <f>IF(ISNUMBER(#REF!),AVERAGE(#REF!),"")</f>
        <v/>
      </c>
      <c r="AV184" s="59" t="str">
        <f>IF(ISNUMBER(#REF!),AVERAGE(#REF!),"")</f>
        <v/>
      </c>
      <c r="AW184" s="59" t="str">
        <f>IF(ISNUMBER(#REF!),AVERAGE(#REF!),"")</f>
        <v/>
      </c>
      <c r="AX184" s="59" t="str">
        <f>IF(ISNUMBER(#REF!),AVERAGE(#REF!),"")</f>
        <v/>
      </c>
      <c r="AY184" s="59" t="str">
        <f>IF(ISNUMBER(#REF!),AVERAGE(#REF!),"")</f>
        <v/>
      </c>
      <c r="AZ184" s="59" t="str">
        <f>IF(ISNUMBER(#REF!),AVERAGE(#REF!),"")</f>
        <v/>
      </c>
      <c r="BA184" s="132" t="str">
        <f>IF(ISNUMBER(#REF!),AVERAGE(#REF!),"")</f>
        <v/>
      </c>
      <c r="BB184" s="132" t="str">
        <f>IF(ISNUMBER(#REF!),AVERAGE(#REF!),"")</f>
        <v/>
      </c>
      <c r="BC184" s="132" t="str">
        <f>IF(ISNUMBER(#REF!),AVERAGE(#REF!),"")</f>
        <v/>
      </c>
      <c r="BD184" s="132" t="str">
        <f>IF(ISNUMBER(#REF!),AVERAGE(#REF!),"")</f>
        <v/>
      </c>
      <c r="BE184" s="132" t="str">
        <f>IF(ISNUMBER(#REF!),AVERAGE(#REF!),"")</f>
        <v/>
      </c>
      <c r="BF184" s="132" t="str">
        <f>IF(ISNUMBER(#REF!),AVERAGE(#REF!),"")</f>
        <v/>
      </c>
      <c r="BG184" s="132" t="str">
        <f>IF(ISNUMBER(#REF!),AVERAGE(#REF!),"")</f>
        <v/>
      </c>
    </row>
    <row r="185" spans="1:59" x14ac:dyDescent="0.35">
      <c r="A185" s="59" t="s">
        <v>2102</v>
      </c>
      <c r="B185" t="str">
        <f>IF(ISNUMBER(#REF!),MEDIAN(#REF!),"")</f>
        <v/>
      </c>
      <c r="C185" t="str">
        <f>IF(ISNUMBER(#REF!),MEDIAN(#REF!),"")</f>
        <v/>
      </c>
      <c r="D185" t="str">
        <f>IF(ISNUMBER(#REF!),MEDIAN(#REF!),"")</f>
        <v/>
      </c>
      <c r="E185" t="str">
        <f>IF(ISNUMBER(#REF!),MEDIAN(#REF!),"")</f>
        <v/>
      </c>
      <c r="F185" t="str">
        <f>IF(ISNUMBER(#REF!),MEDIAN(#REF!),"")</f>
        <v/>
      </c>
      <c r="G185" t="str">
        <f>IF(ISNUMBER(#REF!),MEDIAN(#REF!),"")</f>
        <v/>
      </c>
      <c r="H185" t="str">
        <f>IF(ISNUMBER(#REF!),MEDIAN(#REF!),"")</f>
        <v/>
      </c>
      <c r="I185" t="str">
        <f>IF(ISNUMBER(#REF!),MEDIAN(#REF!),"")</f>
        <v/>
      </c>
      <c r="J185" t="str">
        <f>IF(ISNUMBER(#REF!),MEDIAN(#REF!),"")</f>
        <v/>
      </c>
      <c r="K185" t="str">
        <f>IF(ISNUMBER(#REF!),MEDIAN(#REF!),"")</f>
        <v/>
      </c>
      <c r="L185" t="str">
        <f>IF(ISNUMBER(#REF!),MEDIAN(#REF!),"")</f>
        <v/>
      </c>
      <c r="M185" t="str">
        <f>IF(ISNUMBER(#REF!),MEDIAN(#REF!),"")</f>
        <v/>
      </c>
      <c r="N185" t="str">
        <f>IF(ISNUMBER(#REF!),MEDIAN(#REF!),"")</f>
        <v/>
      </c>
      <c r="O185" t="str">
        <f>IF(ISNUMBER(#REF!),MEDIAN(#REF!),"")</f>
        <v/>
      </c>
      <c r="P185" t="str">
        <f>IF(ISNUMBER(#REF!),MEDIAN(#REF!),"")</f>
        <v/>
      </c>
      <c r="Q185" t="str">
        <f>IF(ISNUMBER(#REF!),MEDIAN(#REF!),"")</f>
        <v/>
      </c>
      <c r="R185" t="str">
        <f>IF(ISNUMBER(#REF!),MEDIAN(#REF!),"")</f>
        <v/>
      </c>
      <c r="S185" t="str">
        <f>IF(ISNUMBER(#REF!),MEDIAN(#REF!),"")</f>
        <v/>
      </c>
      <c r="T185" t="str">
        <f>IF(ISNUMBER(#REF!),MEDIAN(#REF!),"")</f>
        <v/>
      </c>
      <c r="U185" t="str">
        <f>IF(ISNUMBER(#REF!),MEDIAN(#REF!),"")</f>
        <v/>
      </c>
      <c r="V185" t="str">
        <f>IF(ISNUMBER(#REF!),MEDIAN(#REF!),"")</f>
        <v/>
      </c>
      <c r="W185" t="str">
        <f>IF(ISNUMBER(#REF!),MEDIAN(#REF!),"")</f>
        <v/>
      </c>
      <c r="X185" t="str">
        <f>IF(ISNUMBER(#REF!),MEDIAN(#REF!),"")</f>
        <v/>
      </c>
      <c r="Y185" t="str">
        <f>IF(ISNUMBER(#REF!),MEDIAN(#REF!),"")</f>
        <v/>
      </c>
      <c r="Z185" t="str">
        <f>IF(ISNUMBER(#REF!),MEDIAN(#REF!),"")</f>
        <v/>
      </c>
      <c r="AA185" t="str">
        <f>IF(ISNUMBER(#REF!),MEDIAN(#REF!),"")</f>
        <v/>
      </c>
      <c r="AB185" t="str">
        <f>IF(ISNUMBER(#REF!),MEDIAN(#REF!),"")</f>
        <v/>
      </c>
      <c r="AC185" t="str">
        <f>IF(ISNUMBER(#REF!),MEDIAN(#REF!),"")</f>
        <v/>
      </c>
      <c r="AD185" t="str">
        <f>IF(ISNUMBER(#REF!),MEDIAN(#REF!),"")</f>
        <v/>
      </c>
      <c r="AE185" t="str">
        <f>IF(ISNUMBER(#REF!),MEDIAN(#REF!),"")</f>
        <v/>
      </c>
      <c r="AF185" t="str">
        <f>IF(ISNUMBER(#REF!),MEDIAN(#REF!),"")</f>
        <v/>
      </c>
      <c r="AG185" t="str">
        <f>IF(ISNUMBER(#REF!),MEDIAN(#REF!),"")</f>
        <v/>
      </c>
      <c r="AH185" t="str">
        <f>IF(ISNUMBER(#REF!),MEDIAN(#REF!),"")</f>
        <v/>
      </c>
      <c r="AI185" t="str">
        <f>IF(ISNUMBER(#REF!),MEDIAN(#REF!),"")</f>
        <v/>
      </c>
      <c r="AJ185" t="str">
        <f>IF(ISNUMBER(#REF!),MEDIAN(#REF!),"")</f>
        <v/>
      </c>
      <c r="AK185" t="str">
        <f>IF(ISNUMBER(#REF!),MEDIAN(#REF!),"")</f>
        <v/>
      </c>
      <c r="AL185" t="str">
        <f>IF(ISNUMBER(#REF!),MEDIAN(#REF!),"")</f>
        <v/>
      </c>
      <c r="AM185" t="str">
        <f>IF(ISNUMBER(#REF!),MEDIAN(#REF!),"")</f>
        <v/>
      </c>
      <c r="AN185" t="str">
        <f>IF(ISNUMBER(#REF!),MEDIAN(#REF!),"")</f>
        <v/>
      </c>
      <c r="AO185" t="str">
        <f>IF(ISNUMBER(#REF!),MEDIAN(#REF!),"")</f>
        <v/>
      </c>
      <c r="AP185" t="str">
        <f>IF(ISNUMBER(#REF!),MEDIAN(#REF!),"")</f>
        <v/>
      </c>
      <c r="AQ185" t="str">
        <f>IF(ISNUMBER(#REF!),MEDIAN(#REF!),"")</f>
        <v/>
      </c>
      <c r="AR185" t="str">
        <f>IF(ISNUMBER(#REF!),MEDIAN(#REF!),"")</f>
        <v/>
      </c>
      <c r="AS185" t="str">
        <f>IF(ISNUMBER(#REF!),MEDIAN(#REF!),"")</f>
        <v/>
      </c>
      <c r="AT185" t="str">
        <f>IF(ISNUMBER(#REF!),MEDIAN(#REF!),"")</f>
        <v/>
      </c>
      <c r="AU185" t="str">
        <f>IF(ISNUMBER(#REF!),MEDIAN(#REF!),"")</f>
        <v/>
      </c>
      <c r="AV185" t="str">
        <f>IF(ISNUMBER(#REF!),MEDIAN(#REF!),"")</f>
        <v/>
      </c>
      <c r="AW185" t="str">
        <f>IF(ISNUMBER(#REF!),MEDIAN(#REF!),"")</f>
        <v/>
      </c>
      <c r="AX185" t="str">
        <f>IF(ISNUMBER(#REF!),MEDIAN(#REF!),"")</f>
        <v/>
      </c>
      <c r="AY185" t="str">
        <f>IF(ISNUMBER(#REF!),MEDIAN(#REF!),"")</f>
        <v/>
      </c>
      <c r="AZ185" t="str">
        <f>IF(ISNUMBER(#REF!),MEDIAN(#REF!),"")</f>
        <v/>
      </c>
      <c r="BA185" s="114" t="str">
        <f>IF(ISNUMBER(#REF!),MEDIAN(#REF!),"")</f>
        <v/>
      </c>
      <c r="BB185" s="114" t="str">
        <f>IF(ISNUMBER(#REF!),MEDIAN(#REF!),"")</f>
        <v/>
      </c>
      <c r="BC185" s="114" t="str">
        <f>IF(ISNUMBER(#REF!),MEDIAN(#REF!),"")</f>
        <v/>
      </c>
      <c r="BD185" s="114" t="str">
        <f>IF(ISNUMBER(#REF!),MEDIAN(#REF!),"")</f>
        <v/>
      </c>
      <c r="BE185" s="114" t="str">
        <f>IF(ISNUMBER(#REF!),MEDIAN(#REF!),"")</f>
        <v/>
      </c>
      <c r="BF185" s="114" t="str">
        <f>IF(ISNUMBER(#REF!),MEDIAN(#REF!),"")</f>
        <v/>
      </c>
      <c r="BG185" s="114" t="str">
        <f>IF(ISNUMBER(#REF!),MEDIAN(#REF!),"")</f>
        <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EA8F8-A0BA-4778-8774-187B8E03AF37}">
  <dimension ref="A1:AC38"/>
  <sheetViews>
    <sheetView showGridLines="0" zoomScale="40" zoomScaleNormal="40" workbookViewId="0">
      <selection activeCell="F27" sqref="F27"/>
    </sheetView>
  </sheetViews>
  <sheetFormatPr defaultRowHeight="14.5" x14ac:dyDescent="0.35"/>
  <cols>
    <col min="1" max="1" width="28.7265625" customWidth="1"/>
    <col min="2" max="2" width="9.36328125" customWidth="1"/>
    <col min="3" max="3" width="10.1796875" customWidth="1"/>
    <col min="4" max="4" width="11.26953125" customWidth="1"/>
    <col min="6" max="6" width="10.36328125" customWidth="1"/>
    <col min="8" max="9" width="11.1796875" customWidth="1"/>
    <col min="12" max="12" width="8.7265625" customWidth="1"/>
    <col min="18" max="18" width="10" customWidth="1"/>
    <col min="23" max="23" width="10.453125" customWidth="1"/>
    <col min="25" max="25" width="9.1796875" bestFit="1" customWidth="1"/>
  </cols>
  <sheetData>
    <row r="1" spans="1:29" ht="15.5" thickTop="1" thickBot="1" x14ac:dyDescent="0.4">
      <c r="A1" s="404"/>
      <c r="B1" s="398"/>
      <c r="C1" s="398"/>
      <c r="D1" s="398"/>
      <c r="E1" s="398"/>
      <c r="F1" s="398"/>
      <c r="G1" s="399" t="s">
        <v>2254</v>
      </c>
      <c r="H1" s="398"/>
      <c r="I1" s="398"/>
      <c r="J1" s="398"/>
      <c r="K1" s="398"/>
      <c r="L1" s="398"/>
      <c r="M1" s="398"/>
      <c r="N1" s="398"/>
      <c r="O1" s="398"/>
      <c r="P1" s="398"/>
      <c r="Q1" s="398"/>
      <c r="R1" s="398"/>
      <c r="S1" s="402"/>
      <c r="T1" s="399" t="s">
        <v>2255</v>
      </c>
      <c r="U1" s="398"/>
      <c r="V1" s="398"/>
      <c r="W1" s="397"/>
      <c r="X1" s="400"/>
    </row>
    <row r="2" spans="1:29" ht="116.5" thickBot="1" x14ac:dyDescent="0.4">
      <c r="A2" s="405" t="s">
        <v>2330</v>
      </c>
      <c r="B2" s="389" t="s">
        <v>15</v>
      </c>
      <c r="C2" s="390" t="s">
        <v>12</v>
      </c>
      <c r="D2" s="390" t="s">
        <v>8</v>
      </c>
      <c r="E2" s="390" t="s">
        <v>1200</v>
      </c>
      <c r="F2" s="390" t="s">
        <v>24</v>
      </c>
      <c r="G2" s="390" t="s">
        <v>38</v>
      </c>
      <c r="H2" s="390" t="s">
        <v>41</v>
      </c>
      <c r="I2" s="393" t="s">
        <v>1201</v>
      </c>
      <c r="J2" s="391" t="s">
        <v>2241</v>
      </c>
      <c r="K2" s="391" t="s">
        <v>2234</v>
      </c>
      <c r="L2" s="391" t="s">
        <v>2235</v>
      </c>
      <c r="M2" s="395" t="s">
        <v>1205</v>
      </c>
      <c r="N2" s="392" t="s">
        <v>2339</v>
      </c>
      <c r="O2" s="392" t="s">
        <v>2340</v>
      </c>
      <c r="P2" s="392" t="s">
        <v>2338</v>
      </c>
      <c r="Q2" s="392" t="s">
        <v>2342</v>
      </c>
      <c r="R2" s="403" t="s">
        <v>2341</v>
      </c>
      <c r="S2" s="392" t="s">
        <v>2096</v>
      </c>
      <c r="T2" s="392" t="s">
        <v>2097</v>
      </c>
      <c r="U2" s="392" t="s">
        <v>2099</v>
      </c>
      <c r="V2" s="392" t="s">
        <v>2329</v>
      </c>
      <c r="W2" s="396" t="s">
        <v>2307</v>
      </c>
    </row>
    <row r="3" spans="1:29" ht="15.5" thickTop="1" thickBot="1" x14ac:dyDescent="0.4">
      <c r="A3" s="388" t="s">
        <v>2250</v>
      </c>
      <c r="B3" s="275" t="s">
        <v>2326</v>
      </c>
      <c r="C3" s="278" t="s">
        <v>277</v>
      </c>
      <c r="D3" s="278" t="s">
        <v>277</v>
      </c>
      <c r="E3" s="278" t="s">
        <v>277</v>
      </c>
      <c r="F3" s="278" t="s">
        <v>277</v>
      </c>
      <c r="G3" s="276" t="s">
        <v>277</v>
      </c>
      <c r="H3" s="276" t="s">
        <v>277</v>
      </c>
      <c r="I3" s="394" t="s">
        <v>277</v>
      </c>
      <c r="J3" s="276" t="s">
        <v>277</v>
      </c>
      <c r="K3" s="276" t="s">
        <v>277</v>
      </c>
      <c r="L3" s="276" t="s">
        <v>2318</v>
      </c>
      <c r="M3" s="394" t="s">
        <v>2319</v>
      </c>
      <c r="N3" s="276" t="s">
        <v>277</v>
      </c>
      <c r="O3" s="276" t="s">
        <v>2328</v>
      </c>
      <c r="P3" s="276" t="s">
        <v>277</v>
      </c>
      <c r="Q3" s="276" t="s">
        <v>2318</v>
      </c>
      <c r="R3" s="394" t="s">
        <v>277</v>
      </c>
      <c r="S3" s="276" t="s">
        <v>2322</v>
      </c>
      <c r="T3" s="276" t="s">
        <v>2334</v>
      </c>
      <c r="U3" s="276" t="s">
        <v>2327</v>
      </c>
      <c r="V3" s="276" t="s">
        <v>2322</v>
      </c>
      <c r="W3" s="394" t="s">
        <v>2321</v>
      </c>
    </row>
    <row r="4" spans="1:29" ht="27" thickTop="1" thickBot="1" x14ac:dyDescent="0.4">
      <c r="A4" s="388" t="s">
        <v>2024</v>
      </c>
      <c r="B4" s="276" t="s">
        <v>2320</v>
      </c>
      <c r="C4" s="278" t="s">
        <v>277</v>
      </c>
      <c r="D4" s="277" t="s">
        <v>2321</v>
      </c>
      <c r="E4" s="278" t="s">
        <v>2322</v>
      </c>
      <c r="F4" s="278" t="s">
        <v>277</v>
      </c>
      <c r="G4" s="276" t="s">
        <v>2318</v>
      </c>
      <c r="H4" s="276" t="s">
        <v>277</v>
      </c>
      <c r="I4" s="394" t="s">
        <v>277</v>
      </c>
      <c r="J4" s="276" t="s">
        <v>2323</v>
      </c>
      <c r="K4" s="276" t="s">
        <v>2317</v>
      </c>
      <c r="L4" s="276" t="s">
        <v>277</v>
      </c>
      <c r="M4" s="394" t="s">
        <v>277</v>
      </c>
      <c r="N4" s="276" t="s">
        <v>2321</v>
      </c>
      <c r="O4" s="276" t="s">
        <v>2316</v>
      </c>
      <c r="P4" s="276" t="s">
        <v>2324</v>
      </c>
      <c r="Q4" s="276" t="s">
        <v>277</v>
      </c>
      <c r="R4" s="394" t="s">
        <v>2325</v>
      </c>
      <c r="S4" s="276" t="s">
        <v>2336</v>
      </c>
      <c r="T4" s="276" t="s">
        <v>2321</v>
      </c>
      <c r="U4" s="276" t="s">
        <v>277</v>
      </c>
      <c r="V4" s="276" t="s">
        <v>277</v>
      </c>
      <c r="W4" s="394"/>
    </row>
    <row r="5" spans="1:29" ht="40" thickTop="1" thickBot="1" x14ac:dyDescent="0.4">
      <c r="A5" s="388" t="s">
        <v>2061</v>
      </c>
      <c r="B5" s="276" t="s">
        <v>2316</v>
      </c>
      <c r="C5" s="387" t="s">
        <v>2331</v>
      </c>
      <c r="D5" s="276" t="s">
        <v>2317</v>
      </c>
      <c r="E5" s="387" t="s">
        <v>277</v>
      </c>
      <c r="F5" s="387" t="s">
        <v>2332</v>
      </c>
      <c r="G5" s="276" t="s">
        <v>2316</v>
      </c>
      <c r="H5" s="276" t="s">
        <v>2333</v>
      </c>
      <c r="I5" s="394" t="s">
        <v>2333</v>
      </c>
      <c r="J5" s="276" t="s">
        <v>2318</v>
      </c>
      <c r="K5" s="276" t="s">
        <v>277</v>
      </c>
      <c r="L5" s="276" t="s">
        <v>277</v>
      </c>
      <c r="M5" s="394" t="s">
        <v>277</v>
      </c>
      <c r="N5" s="276" t="s">
        <v>2334</v>
      </c>
      <c r="O5" s="276" t="s">
        <v>2316</v>
      </c>
      <c r="P5" s="276" t="s">
        <v>2335</v>
      </c>
      <c r="Q5" s="276" t="s">
        <v>2319</v>
      </c>
      <c r="R5" s="394" t="s">
        <v>2316</v>
      </c>
      <c r="S5" s="276" t="s">
        <v>2316</v>
      </c>
      <c r="T5" s="276" t="s">
        <v>277</v>
      </c>
      <c r="U5" s="276" t="s">
        <v>2337</v>
      </c>
      <c r="V5" s="276"/>
      <c r="W5" s="394" t="s">
        <v>277</v>
      </c>
    </row>
    <row r="6" spans="1:29" ht="15" thickTop="1" x14ac:dyDescent="0.35"/>
    <row r="8" spans="1:29" ht="145" x14ac:dyDescent="0.35">
      <c r="B8" s="225" t="s">
        <v>15</v>
      </c>
      <c r="C8" s="155" t="s">
        <v>12</v>
      </c>
      <c r="D8" s="155" t="s">
        <v>8</v>
      </c>
      <c r="E8" s="155" t="s">
        <v>1200</v>
      </c>
      <c r="F8" s="155" t="s">
        <v>24</v>
      </c>
      <c r="G8" s="155" t="s">
        <v>38</v>
      </c>
      <c r="H8" s="155" t="s">
        <v>49</v>
      </c>
      <c r="I8" s="155" t="s">
        <v>41</v>
      </c>
      <c r="J8" s="155" t="s">
        <v>1201</v>
      </c>
      <c r="K8" s="156" t="s">
        <v>1203</v>
      </c>
      <c r="L8" s="156" t="s">
        <v>2233</v>
      </c>
      <c r="M8" s="156" t="s">
        <v>2234</v>
      </c>
      <c r="N8" s="156" t="s">
        <v>2235</v>
      </c>
      <c r="O8" s="156" t="s">
        <v>2236</v>
      </c>
      <c r="P8" s="156" t="s">
        <v>1204</v>
      </c>
      <c r="Q8" s="156" t="s">
        <v>1205</v>
      </c>
      <c r="R8" s="157" t="s">
        <v>2096</v>
      </c>
      <c r="S8" s="157" t="s">
        <v>2097</v>
      </c>
      <c r="T8" s="157" t="s">
        <v>2098</v>
      </c>
      <c r="U8" s="157" t="s">
        <v>2099</v>
      </c>
      <c r="V8" s="157" t="s">
        <v>2247</v>
      </c>
      <c r="W8" s="228" t="s">
        <v>2248</v>
      </c>
      <c r="X8" s="228" t="s">
        <v>2249</v>
      </c>
      <c r="Y8" s="157" t="s">
        <v>2228</v>
      </c>
      <c r="Z8" s="157" t="s">
        <v>2169</v>
      </c>
      <c r="AA8" s="157" t="s">
        <v>2081</v>
      </c>
      <c r="AB8" s="157" t="s">
        <v>2061</v>
      </c>
      <c r="AC8" s="157" t="s">
        <v>2024</v>
      </c>
    </row>
    <row r="9" spans="1:29" ht="29" x14ac:dyDescent="0.35">
      <c r="A9" s="125" t="s">
        <v>2061</v>
      </c>
      <c r="B9" t="str">
        <f>IF(ISBLANK('Ridepooling Correlation'!B60),"",
IF(AND('Ridepooling Correlation'!B60&gt;0.1,'Ridepooling Correlation'!B60&lt;=0.15),CONCATENATE(IF(LEFT('Ridepooling Correlation'!B28,1)="-","(-)","(+)"),"*","1"),
IF(AND('Ridepooling Correlation'!B60&gt;0.05,'Ridepooling Correlation'!B60&lt;=0.1),CONCATENATE(IF(LEFT('Ridepooling Correlation'!B28,1)="-","(-)","(+)"),"**","1"),
IF('Ridepooling Correlation'!B60&lt;=0.05,CONCATENATE(IF(LEFT('Ridepooling Correlation'!B28,1)="-","(-)","(+)"),"***","1"),""))))</f>
        <v/>
      </c>
      <c r="C9" t="str">
        <f>IF(ISBLANK('Ridepooling Correlation'!C60),"",
IF(AND('Ridepooling Correlation'!C60&gt;0.1,'Ridepooling Correlation'!C60&lt;=0.15),CONCATENATE(IF(LEFT('Ridepooling Correlation'!C28,1)="-","(-)","(+)"),"*","1"),
IF(AND('Ridepooling Correlation'!C60&gt;0.05,'Ridepooling Correlation'!C60&lt;=0.1),CONCATENATE(IF(LEFT('Ridepooling Correlation'!C28,1)="-","(-)","(+)"),"**","1"),
IF('Ridepooling Correlation'!C60&lt;=0.05,CONCATENATE(IF(LEFT('Ridepooling Correlation'!C28,1)="-","(-)","(+)"),"***","1"),""))))</f>
        <v/>
      </c>
      <c r="D9" t="str">
        <f>IF(ISBLANK('Ridepooling Correlation'!D60),"",
IF(AND('Ridepooling Correlation'!D60&gt;0.1,'Ridepooling Correlation'!D60&lt;=0.15),CONCATENATE(IF(LEFT('Ridepooling Correlation'!D28,1)="-","(-)","(+)"),"*","1"),
IF(AND('Ridepooling Correlation'!D60&gt;0.05,'Ridepooling Correlation'!D60&lt;=0.1),CONCATENATE(IF(LEFT('Ridepooling Correlation'!D28,1)="-","(-)","(+)"),"**","1"),
IF('Ridepooling Correlation'!D60&lt;=0.05,CONCATENATE(IF(LEFT('Ridepooling Correlation'!D28,1)="-","(-)","(+)"),"***","1"),""))))</f>
        <v/>
      </c>
      <c r="E9" t="str">
        <f>IF(ISBLANK('Ridepooling Correlation'!E60),"",
IF(AND('Ridepooling Correlation'!E60&gt;0.1,'Ridepooling Correlation'!E60&lt;=0.15),CONCATENATE(IF(LEFT('Ridepooling Correlation'!E28,1)="-","(-)","(+)"),"*","1"),
IF(AND('Ridepooling Correlation'!E60&gt;0.05,'Ridepooling Correlation'!E60&lt;=0.1),CONCATENATE(IF(LEFT('Ridepooling Correlation'!E28,1)="-","(-)","(+)"),"**","1"),
IF('Ridepooling Correlation'!E60&lt;=0.05,CONCATENATE(IF(LEFT('Ridepooling Correlation'!E28,1)="-","(-)","(+)"),"***","1"),""))))</f>
        <v/>
      </c>
      <c r="F9" t="str">
        <f>IF(ISBLANK('Ridepooling Correlation'!F60),"",
IF(AND('Ridepooling Correlation'!F60&gt;0.1,'Ridepooling Correlation'!F60&lt;=0.15),CONCATENATE(IF(LEFT('Ridepooling Correlation'!F28,1)="-","(-)","(+)"),"*","1"),
IF(AND('Ridepooling Correlation'!F60&gt;0.05,'Ridepooling Correlation'!F60&lt;=0.1),CONCATENATE(IF(LEFT('Ridepooling Correlation'!F28,1)="-","(-)","(+)"),"**","1"),
IF('Ridepooling Correlation'!F60&lt;=0.05,CONCATENATE(IF(LEFT('Ridepooling Correlation'!F28,1)="-","(-)","(+)"),"***","1"),""))))</f>
        <v>(+)***1</v>
      </c>
      <c r="G9" t="str">
        <f>IF(ISBLANK('Ridepooling Correlation'!G60),"",
IF(AND('Ridepooling Correlation'!G60&gt;0.1,'Ridepooling Correlation'!G60&lt;=0.15),CONCATENATE(IF(LEFT('Ridepooling Correlation'!G28,1)="-","(-)","(+)"),"*","1"),
IF(AND('Ridepooling Correlation'!G60&gt;0.05,'Ridepooling Correlation'!G60&lt;=0.1),CONCATENATE(IF(LEFT('Ridepooling Correlation'!G28,1)="-","(-)","(+)"),"**","1"),
IF('Ridepooling Correlation'!G60&lt;=0.05,CONCATENATE(IF(LEFT('Ridepooling Correlation'!G28,1)="-","(-)","(+)"),"***","1"),""))))</f>
        <v/>
      </c>
      <c r="H9" t="str">
        <f>IF(ISBLANK('Ridepooling Correlation'!H60),"",
IF(AND('Ridepooling Correlation'!H60&gt;0.1,'Ridepooling Correlation'!H60&lt;=0.15),CONCATENATE(IF(LEFT('Ridepooling Correlation'!H28,1)="-","(-)","(+)"),"*","1"),
IF(AND('Ridepooling Correlation'!H60&gt;0.05,'Ridepooling Correlation'!H60&lt;=0.1),CONCATENATE(IF(LEFT('Ridepooling Correlation'!H28,1)="-","(-)","(+)"),"**","1"),
IF('Ridepooling Correlation'!H60&lt;=0.05,CONCATENATE(IF(LEFT('Ridepooling Correlation'!H28,1)="-","(-)","(+)"),"***","1"),""))))</f>
        <v/>
      </c>
      <c r="I9" t="str">
        <f>IF(ISBLANK('Ridepooling Correlation'!I60),"",
IF(AND('Ridepooling Correlation'!I60&gt;0.1,'Ridepooling Correlation'!I60&lt;=0.15),CONCATENATE(IF(LEFT('Ridepooling Correlation'!I28,1)="-","(-)","(+)"),"*","1"),
IF(AND('Ridepooling Correlation'!I60&gt;0.05,'Ridepooling Correlation'!I60&lt;=0.1),CONCATENATE(IF(LEFT('Ridepooling Correlation'!I28,1)="-","(-)","(+)"),"**","1"),
IF('Ridepooling Correlation'!I60&lt;=0.05,CONCATENATE(IF(LEFT('Ridepooling Correlation'!I28,1)="-","(-)","(+)"),"***","1"),""))))</f>
        <v>(+)**1</v>
      </c>
      <c r="J9" t="str">
        <f>IF(ISBLANK('Ridepooling Correlation'!J60),"",
IF(AND('Ridepooling Correlation'!J60&gt;0.1,'Ridepooling Correlation'!J60&lt;=0.15),CONCATENATE(IF(LEFT('Ridepooling Correlation'!J28,1)="-","(-)","(+)"),"*","1"),
IF(AND('Ridepooling Correlation'!J60&gt;0.05,'Ridepooling Correlation'!J60&lt;=0.1),CONCATENATE(IF(LEFT('Ridepooling Correlation'!J28,1)="-","(-)","(+)"),"**","1"),
IF('Ridepooling Correlation'!J60&lt;=0.05,CONCATENATE(IF(LEFT('Ridepooling Correlation'!J28,1)="-","(-)","(+)"),"***","1"),""))))</f>
        <v>(+)**1</v>
      </c>
      <c r="K9" t="str">
        <f>IF(ISBLANK('Ridepooling Correlation'!K60),"",
IF(AND('Ridepooling Correlation'!K60&gt;0.1,'Ridepooling Correlation'!K60&lt;=0.15),CONCATENATE(IF(LEFT('Ridepooling Correlation'!K28,1)="-","(-)","(+)"),"*","1"),
IF(AND('Ridepooling Correlation'!K60&gt;0.05,'Ridepooling Correlation'!K60&lt;=0.1),CONCATENATE(IF(LEFT('Ridepooling Correlation'!K28,1)="-","(-)","(+)"),"**","1"),
IF('Ridepooling Correlation'!K60&lt;=0.05,CONCATENATE(IF(LEFT('Ridepooling Correlation'!K28,1)="-","(-)","(+)"),"***","1"),""))))</f>
        <v/>
      </c>
      <c r="L9" t="str">
        <f>IF(ISBLANK('Ridepooling Correlation'!L60),"",
IF(AND('Ridepooling Correlation'!L60&gt;0.1,'Ridepooling Correlation'!L60&lt;=0.15),CONCATENATE(IF(LEFT('Ridepooling Correlation'!L28,1)="-","(-)","(+)"),"*","1"),
IF(AND('Ridepooling Correlation'!L60&gt;0.05,'Ridepooling Correlation'!L60&lt;=0.1),CONCATENATE(IF(LEFT('Ridepooling Correlation'!L28,1)="-","(-)","(+)"),"**","1"),
IF('Ridepooling Correlation'!L60&lt;=0.05,CONCATENATE(IF(LEFT('Ridepooling Correlation'!L28,1)="-","(-)","(+)"),"***","1"),""))))</f>
        <v/>
      </c>
      <c r="M9" t="str">
        <f>IF(ISBLANK('Ridepooling Correlation'!M60),"",
IF(AND('Ridepooling Correlation'!M60&gt;0.1,'Ridepooling Correlation'!M60&lt;=0.15),CONCATENATE(IF(LEFT('Ridepooling Correlation'!M28,1)="-","(-)","(+)"),"*","1"),
IF(AND('Ridepooling Correlation'!M60&gt;0.05,'Ridepooling Correlation'!M60&lt;=0.1),CONCATENATE(IF(LEFT('Ridepooling Correlation'!M28,1)="-","(-)","(+)"),"**","1"),
IF('Ridepooling Correlation'!M60&lt;=0.05,CONCATENATE(IF(LEFT('Ridepooling Correlation'!M28,1)="-","(-)","(+)"),"***","1"),""))))</f>
        <v/>
      </c>
      <c r="N9" t="str">
        <f>IF(ISBLANK('Ridepooling Correlation'!N60),"",
IF(AND('Ridepooling Correlation'!N60&gt;0.1,'Ridepooling Correlation'!N60&lt;=0.15),CONCATENATE(IF(LEFT('Ridepooling Correlation'!N28,1)="-","(-)","(+)"),"*","1"),
IF(AND('Ridepooling Correlation'!N60&gt;0.05,'Ridepooling Correlation'!N60&lt;=0.1),CONCATENATE(IF(LEFT('Ridepooling Correlation'!N28,1)="-","(-)","(+)"),"**","1"),
IF('Ridepooling Correlation'!N60&lt;=0.05,CONCATENATE(IF(LEFT('Ridepooling Correlation'!N28,1)="-","(-)","(+)"),"***","1"),""))))</f>
        <v/>
      </c>
      <c r="O9" t="str">
        <f>IF(ISBLANK('Ridepooling Correlation'!O60),"",
IF(AND('Ridepooling Correlation'!O60&gt;0.1,'Ridepooling Correlation'!O60&lt;=0.15),CONCATENATE(IF(LEFT('Ridepooling Correlation'!O28,1)="-","(-)","(+)"),"*","1"),
IF(AND('Ridepooling Correlation'!O60&gt;0.05,'Ridepooling Correlation'!O60&lt;=0.1),CONCATENATE(IF(LEFT('Ridepooling Correlation'!O28,1)="-","(-)","(+)"),"**","1"),
IF('Ridepooling Correlation'!O60&lt;=0.05,CONCATENATE(IF(LEFT('Ridepooling Correlation'!O28,1)="-","(-)","(+)"),"***","1"),""))))</f>
        <v/>
      </c>
      <c r="P9" t="str">
        <f>IF(ISBLANK('Ridepooling Correlation'!P60),"",
IF(AND('Ridepooling Correlation'!P60&gt;0.1,'Ridepooling Correlation'!P60&lt;=0.15),CONCATENATE(IF(LEFT('Ridepooling Correlation'!P28,1)="-","(-)","(+)"),"*","1"),
IF(AND('Ridepooling Correlation'!P60&gt;0.05,'Ridepooling Correlation'!P60&lt;=0.1),CONCATENATE(IF(LEFT('Ridepooling Correlation'!P28,1)="-","(-)","(+)"),"**","1"),
IF('Ridepooling Correlation'!P60&lt;=0.05,CONCATENATE(IF(LEFT('Ridepooling Correlation'!P28,1)="-","(-)","(+)"),"***","1"),""))))</f>
        <v/>
      </c>
      <c r="Q9" t="str">
        <f>IF(ISBLANK('Ridepooling Correlation'!Q60),"",
IF(AND('Ridepooling Correlation'!Q60&gt;0.1,'Ridepooling Correlation'!Q60&lt;=0.15),CONCATENATE(IF(LEFT('Ridepooling Correlation'!Q28,1)="-","(-)","(+)"),"*","1"),
IF(AND('Ridepooling Correlation'!Q60&gt;0.05,'Ridepooling Correlation'!Q60&lt;=0.1),CONCATENATE(IF(LEFT('Ridepooling Correlation'!Q28,1)="-","(-)","(+)"),"**","1"),
IF('Ridepooling Correlation'!Q60&lt;=0.05,CONCATENATE(IF(LEFT('Ridepooling Correlation'!Q28,1)="-","(-)","(+)"),"***","1"),""))))</f>
        <v/>
      </c>
      <c r="R9" t="str">
        <f>IF(ISBLANK('Ridepooling Correlation'!R60),"",
IF(AND('Ridepooling Correlation'!R60&gt;0.1,'Ridepooling Correlation'!R60&lt;=0.15),CONCATENATE(IF(LEFT('Ridepooling Correlation'!R28,1)="-","(-)","(+)"),"*","1"),
IF(AND('Ridepooling Correlation'!R60&gt;0.05,'Ridepooling Correlation'!R60&lt;=0.1),CONCATENATE(IF(LEFT('Ridepooling Correlation'!R28,1)="-","(-)","(+)"),"**","1"),
IF('Ridepooling Correlation'!R60&lt;=0.05,CONCATENATE(IF(LEFT('Ridepooling Correlation'!R28,1)="-","(-)","(+)"),"***","1"),""))))</f>
        <v/>
      </c>
      <c r="S9" t="str">
        <f>IF(ISBLANK('Ridepooling Correlation'!S60),"",
IF(AND('Ridepooling Correlation'!S60&gt;0.1,'Ridepooling Correlation'!S60&lt;=0.15),CONCATENATE(IF(LEFT('Ridepooling Correlation'!S28,1)="-","(-)","(+)"),"*","1"),
IF(AND('Ridepooling Correlation'!S60&gt;0.05,'Ridepooling Correlation'!S60&lt;=0.1),CONCATENATE(IF(LEFT('Ridepooling Correlation'!S28,1)="-","(-)","(+)"),"**","1"),
IF('Ridepooling Correlation'!S60&lt;=0.05,CONCATENATE(IF(LEFT('Ridepooling Correlation'!S28,1)="-","(-)","(+)"),"***","1"),""))))</f>
        <v/>
      </c>
      <c r="T9" t="str">
        <f>IF(ISBLANK('Ridepooling Correlation'!T60),"",
IF(AND('Ridepooling Correlation'!T60&gt;0.1,'Ridepooling Correlation'!T60&lt;=0.15),CONCATENATE(IF(LEFT('Ridepooling Correlation'!T28,1)="-","(-)","(+)"),"*","1"),
IF(AND('Ridepooling Correlation'!T60&gt;0.05,'Ridepooling Correlation'!T60&lt;=0.1),CONCATENATE(IF(LEFT('Ridepooling Correlation'!T28,1)="-","(-)","(+)"),"**","1"),
IF('Ridepooling Correlation'!T60&lt;=0.05,CONCATENATE(IF(LEFT('Ridepooling Correlation'!T28,1)="-","(-)","(+)"),"***","1"),""))))</f>
        <v/>
      </c>
      <c r="U9" t="str">
        <f>IF(ISBLANK('Ridepooling Correlation'!U60),"",
IF(AND('Ridepooling Correlation'!U60&gt;0.1,'Ridepooling Correlation'!U60&lt;=0.15),CONCATENATE(IF(LEFT('Ridepooling Correlation'!U28,1)="-","(-)","(+)"),"*","1"),
IF(AND('Ridepooling Correlation'!U60&gt;0.05,'Ridepooling Correlation'!U60&lt;=0.1),CONCATENATE(IF(LEFT('Ridepooling Correlation'!U28,1)="-","(-)","(+)"),"**","1"),
IF('Ridepooling Correlation'!U60&lt;=0.05,CONCATENATE(IF(LEFT('Ridepooling Correlation'!U28,1)="-","(-)","(+)"),"***","1"),""))))</f>
        <v/>
      </c>
      <c r="V9" t="str">
        <f>IF(ISBLANK('Ridepooling Correlation'!V60),"",
IF(AND('Ridepooling Correlation'!V60&gt;0.1,'Ridepooling Correlation'!V60&lt;=0.15),CONCATENATE(IF(LEFT('Ridepooling Correlation'!V28,1)="-","(-)","(+)"),"*","1"),
IF(AND('Ridepooling Correlation'!V60&gt;0.05,'Ridepooling Correlation'!V60&lt;=0.1),CONCATENATE(IF(LEFT('Ridepooling Correlation'!V28,1)="-","(-)","(+)"),"**","1"),
IF('Ridepooling Correlation'!V60&lt;=0.05,CONCATENATE(IF(LEFT('Ridepooling Correlation'!V28,1)="-","(-)","(+)"),"***","1"),""))))</f>
        <v/>
      </c>
      <c r="W9" t="str">
        <f>IF(ISBLANK('Ridepooling Correlation'!W60),"",
IF(AND('Ridepooling Correlation'!W60&gt;0.1,'Ridepooling Correlation'!W60&lt;=0.15),CONCATENATE(IF(LEFT('Ridepooling Correlation'!W28,1)="-","(-)","(+)"),"*","1"),
IF(AND('Ridepooling Correlation'!W60&gt;0.05,'Ridepooling Correlation'!W60&lt;=0.1),CONCATENATE(IF(LEFT('Ridepooling Correlation'!W28,1)="-","(-)","(+)"),"**","1"),
IF('Ridepooling Correlation'!W60&lt;=0.05,CONCATENATE(IF(LEFT('Ridepooling Correlation'!W28,1)="-","(-)","(+)"),"***","1"),""))))</f>
        <v/>
      </c>
      <c r="X9" t="str">
        <f>IF(ISBLANK('Ridepooling Correlation'!X60),"",
IF(AND('Ridepooling Correlation'!X60&gt;0.1,'Ridepooling Correlation'!X60&lt;=0.15),CONCATENATE(IF(LEFT('Ridepooling Correlation'!X28,1)="-","(-)","(+)"),"*","1"),
IF(AND('Ridepooling Correlation'!X60&gt;0.05,'Ridepooling Correlation'!X60&lt;=0.1),CONCATENATE(IF(LEFT('Ridepooling Correlation'!X28,1)="-","(-)","(+)"),"**","1"),
IF('Ridepooling Correlation'!X60&lt;=0.05,CONCATENATE(IF(LEFT('Ridepooling Correlation'!X28,1)="-","(-)","(+)"),"***","1"),""))))</f>
        <v/>
      </c>
      <c r="Y9" t="str">
        <f>IF(ISBLANK('Ridepooling Correlation'!Y60),"",
IF(AND('Ridepooling Correlation'!Y60&gt;0.1,'Ridepooling Correlation'!Y60&lt;=0.15),CONCATENATE(IF(LEFT('Ridepooling Correlation'!Y28,1)="-","(-)","(+)"),"*","1"),
IF(AND('Ridepooling Correlation'!Y60&gt;0.05,'Ridepooling Correlation'!Y60&lt;=0.1),CONCATENATE(IF(LEFT('Ridepooling Correlation'!Y28,1)="-","(-)","(+)"),"**","1"),
IF('Ridepooling Correlation'!Y60&lt;=0.05,CONCATENATE(IF(LEFT('Ridepooling Correlation'!Y28,1)="-","(-)","(+)"),"***","1"),""))))</f>
        <v/>
      </c>
      <c r="Z9" t="str">
        <f>IF(ISBLANK('Ridepooling Correlation'!Z60),"",
IF(AND('Ridepooling Correlation'!Z60&gt;0.1,'Ridepooling Correlation'!Z60&lt;=0.15),CONCATENATE(IF(LEFT('Ridepooling Correlation'!Z28,1)="-","(-)","(+)"),"*","1"),
IF(AND('Ridepooling Correlation'!Z60&gt;0.05,'Ridepooling Correlation'!Z60&lt;=0.1),CONCATENATE(IF(LEFT('Ridepooling Correlation'!Z28,1)="-","(-)","(+)"),"**","1"),
IF('Ridepooling Correlation'!Z60&lt;=0.05,CONCATENATE(IF(LEFT('Ridepooling Correlation'!Z28,1)="-","(-)","(+)"),"***","1"),""))))</f>
        <v/>
      </c>
      <c r="AA9" t="str">
        <f>IF(ISBLANK('Ridepooling Correlation'!AA60),"",
IF(AND('Ridepooling Correlation'!AA60&gt;0.1,'Ridepooling Correlation'!AA60&lt;=0.15),CONCATENATE(IF(LEFT('Ridepooling Correlation'!AA28,1)="-","(-)","(+)"),"*","1"),
IF(AND('Ridepooling Correlation'!AA60&gt;0.05,'Ridepooling Correlation'!AA60&lt;=0.1),CONCATENATE(IF(LEFT('Ridepooling Correlation'!AA28,1)="-","(-)","(+)"),"**","1"),
IF('Ridepooling Correlation'!AA60&lt;=0.05,CONCATENATE(IF(LEFT('Ridepooling Correlation'!AA28,1)="-","(-)","(+)"),"***","1"),""))))</f>
        <v/>
      </c>
      <c r="AB9" t="str">
        <f>IF(ISBLANK('Ridepooling Correlation'!AB60),"",
IF(AND('Ridepooling Correlation'!AB60&gt;0.1,'Ridepooling Correlation'!AB60&lt;=0.15),CONCATENATE(IF(LEFT('Ridepooling Correlation'!AB28,1)="-","(-)","(+)"),"*","1"),
IF(AND('Ridepooling Correlation'!AB60&gt;0.05,'Ridepooling Correlation'!AB60&lt;=0.1),CONCATENATE(IF(LEFT('Ridepooling Correlation'!AB28,1)="-","(-)","(+)"),"**","1"),
IF('Ridepooling Correlation'!AB60&lt;=0.05,CONCATENATE(IF(LEFT('Ridepooling Correlation'!AB28,1)="-","(-)","(+)"),"***","1"),""))))</f>
        <v>(+)***1</v>
      </c>
      <c r="AC9" t="str">
        <f>IF(ISBLANK('Ridepooling Correlation'!AC60),"",
IF(AND('Ridepooling Correlation'!AC60&gt;0.1,'Ridepooling Correlation'!AC60&lt;=0.15),CONCATENATE(IF(LEFT('Ridepooling Correlation'!AC28,1)="-","(-)","(+)"),"*","1"),
IF(AND('Ridepooling Correlation'!AC60&gt;0.05,'Ridepooling Correlation'!AC60&lt;=0.1),CONCATENATE(IF(LEFT('Ridepooling Correlation'!AC28,1)="-","(-)","(+)"),"**","1"),
IF('Ridepooling Correlation'!AC60&lt;=0.05,CONCATENATE(IF(LEFT('Ridepooling Correlation'!AC28,1)="-","(-)","(+)"),"***","1"),""))))</f>
        <v/>
      </c>
    </row>
    <row r="10" spans="1:29" x14ac:dyDescent="0.35">
      <c r="A10" s="125" t="s">
        <v>2024</v>
      </c>
      <c r="B10" t="str">
        <f>IF(ISBLANK('Ridepooling Correlation'!B61),"",
IF(AND('Ridepooling Correlation'!B61&gt;0.1,'Ridepooling Correlation'!B61&lt;=0.15),CONCATENATE(IF(LEFT('Ridepooling Correlation'!B29,1)="-","(-)","(+)"),"*","1"),
IF(AND('Ridepooling Correlation'!B61&gt;0.05,'Ridepooling Correlation'!B61&lt;=0.1),CONCATENATE(IF(LEFT('Ridepooling Correlation'!B29,1)="-","(-)","(+)"),"**","1"),
IF('Ridepooling Correlation'!B61&lt;=0.05,CONCATENATE(IF(LEFT('Ridepooling Correlation'!B29,1)="-","(-)","(+)"),"***","1"),""))))</f>
        <v/>
      </c>
      <c r="C10" t="str">
        <f>IF(ISBLANK('Ridepooling Correlation'!C61),"",
IF(AND('Ridepooling Correlation'!C61&gt;0.1,'Ridepooling Correlation'!C61&lt;=0.15),CONCATENATE(IF(LEFT('Ridepooling Correlation'!C29,1)="-","(-)","(+)"),"*","1"),
IF(AND('Ridepooling Correlation'!C61&gt;0.05,'Ridepooling Correlation'!C61&lt;=0.1),CONCATENATE(IF(LEFT('Ridepooling Correlation'!C29,1)="-","(-)","(+)"),"**","1"),
IF('Ridepooling Correlation'!C61&lt;=0.05,CONCATENATE(IF(LEFT('Ridepooling Correlation'!C29,1)="-","(-)","(+)"),"***","1"),""))))</f>
        <v/>
      </c>
      <c r="D10" t="str">
        <f>IF(ISBLANK('Ridepooling Correlation'!D61),"",
IF(AND('Ridepooling Correlation'!D61&gt;0.1,'Ridepooling Correlation'!D61&lt;=0.15),CONCATENATE(IF(LEFT('Ridepooling Correlation'!D29,1)="-","(-)","(+)"),"*","1"),
IF(AND('Ridepooling Correlation'!D61&gt;0.05,'Ridepooling Correlation'!D61&lt;=0.1),CONCATENATE(IF(LEFT('Ridepooling Correlation'!D29,1)="-","(-)","(+)"),"**","1"),
IF('Ridepooling Correlation'!D61&lt;=0.05,CONCATENATE(IF(LEFT('Ridepooling Correlation'!D29,1)="-","(-)","(+)"),"***","1"),""))))</f>
        <v/>
      </c>
      <c r="E10" t="str">
        <f>IF(ISBLANK('Ridepooling Correlation'!E61),"",
IF(AND('Ridepooling Correlation'!E61&gt;0.1,'Ridepooling Correlation'!E61&lt;=0.15),CONCATENATE(IF(LEFT('Ridepooling Correlation'!E29,1)="-","(-)","(+)"),"*","1"),
IF(AND('Ridepooling Correlation'!E61&gt;0.05,'Ridepooling Correlation'!E61&lt;=0.1),CONCATENATE(IF(LEFT('Ridepooling Correlation'!E29,1)="-","(-)","(+)"),"**","1"),
IF('Ridepooling Correlation'!E61&lt;=0.05,CONCATENATE(IF(LEFT('Ridepooling Correlation'!E29,1)="-","(-)","(+)"),"***","1"),""))))</f>
        <v>(-)***1</v>
      </c>
      <c r="F10" t="str">
        <f>IF(ISBLANK('Ridepooling Correlation'!F61),"",
IF(AND('Ridepooling Correlation'!F61&gt;0.1,'Ridepooling Correlation'!F61&lt;=0.15),CONCATENATE(IF(LEFT('Ridepooling Correlation'!F29,1)="-","(-)","(+)"),"*","1"),
IF(AND('Ridepooling Correlation'!F61&gt;0.05,'Ridepooling Correlation'!F61&lt;=0.1),CONCATENATE(IF(LEFT('Ridepooling Correlation'!F29,1)="-","(-)","(+)"),"**","1"),
IF('Ridepooling Correlation'!F61&lt;=0.05,CONCATENATE(IF(LEFT('Ridepooling Correlation'!F29,1)="-","(-)","(+)"),"***","1"),""))))</f>
        <v/>
      </c>
      <c r="G10" t="str">
        <f>IF(ISBLANK('Ridepooling Correlation'!G61),"",
IF(AND('Ridepooling Correlation'!G61&gt;0.1,'Ridepooling Correlation'!G61&lt;=0.15),CONCATENATE(IF(LEFT('Ridepooling Correlation'!G29,1)="-","(-)","(+)"),"*","1"),
IF(AND('Ridepooling Correlation'!G61&gt;0.05,'Ridepooling Correlation'!G61&lt;=0.1),CONCATENATE(IF(LEFT('Ridepooling Correlation'!G29,1)="-","(-)","(+)"),"**","1"),
IF('Ridepooling Correlation'!G61&lt;=0.05,CONCATENATE(IF(LEFT('Ridepooling Correlation'!G29,1)="-","(-)","(+)"),"***","1"),""))))</f>
        <v/>
      </c>
      <c r="H10" t="str">
        <f>IF(ISBLANK('Ridepooling Correlation'!H61),"",
IF(AND('Ridepooling Correlation'!H61&gt;0.1,'Ridepooling Correlation'!H61&lt;=0.15),CONCATENATE(IF(LEFT('Ridepooling Correlation'!H29,1)="-","(-)","(+)"),"*","1"),
IF(AND('Ridepooling Correlation'!H61&gt;0.05,'Ridepooling Correlation'!H61&lt;=0.1),CONCATENATE(IF(LEFT('Ridepooling Correlation'!H29,1)="-","(-)","(+)"),"**","1"),
IF('Ridepooling Correlation'!H61&lt;=0.05,CONCATENATE(IF(LEFT('Ridepooling Correlation'!H29,1)="-","(-)","(+)"),"***","1"),""))))</f>
        <v/>
      </c>
      <c r="I10" t="str">
        <f>IF(ISBLANK('Ridepooling Correlation'!I61),"",
IF(AND('Ridepooling Correlation'!I61&gt;0.1,'Ridepooling Correlation'!I61&lt;=0.15),CONCATENATE(IF(LEFT('Ridepooling Correlation'!I29,1)="-","(-)","(+)"),"*","1"),
IF(AND('Ridepooling Correlation'!I61&gt;0.05,'Ridepooling Correlation'!I61&lt;=0.1),CONCATENATE(IF(LEFT('Ridepooling Correlation'!I29,1)="-","(-)","(+)"),"**","1"),
IF('Ridepooling Correlation'!I61&lt;=0.05,CONCATENATE(IF(LEFT('Ridepooling Correlation'!I29,1)="-","(-)","(+)"),"***","1"),""))))</f>
        <v/>
      </c>
      <c r="J10" t="str">
        <f>IF(ISBLANK('Ridepooling Correlation'!J61),"",
IF(AND('Ridepooling Correlation'!J61&gt;0.1,'Ridepooling Correlation'!J61&lt;=0.15),CONCATENATE(IF(LEFT('Ridepooling Correlation'!J29,1)="-","(-)","(+)"),"*","1"),
IF(AND('Ridepooling Correlation'!J61&gt;0.05,'Ridepooling Correlation'!J61&lt;=0.1),CONCATENATE(IF(LEFT('Ridepooling Correlation'!J29,1)="-","(-)","(+)"),"**","1"),
IF('Ridepooling Correlation'!J61&lt;=0.05,CONCATENATE(IF(LEFT('Ridepooling Correlation'!J29,1)="-","(-)","(+)"),"***","1"),""))))</f>
        <v/>
      </c>
      <c r="K10" t="str">
        <f>IF(ISBLANK('Ridepooling Correlation'!K61),"",
IF(AND('Ridepooling Correlation'!K61&gt;0.1,'Ridepooling Correlation'!K61&lt;=0.15),CONCATENATE(IF(LEFT('Ridepooling Correlation'!K29,1)="-","(-)","(+)"),"*","1"),
IF(AND('Ridepooling Correlation'!K61&gt;0.05,'Ridepooling Correlation'!K61&lt;=0.1),CONCATENATE(IF(LEFT('Ridepooling Correlation'!K29,1)="-","(-)","(+)"),"**","1"),
IF('Ridepooling Correlation'!K61&lt;=0.05,CONCATENATE(IF(LEFT('Ridepooling Correlation'!K29,1)="-","(-)","(+)"),"***","1"),""))))</f>
        <v/>
      </c>
      <c r="L10" t="str">
        <f>IF(ISBLANK('Ridepooling Correlation'!L61),"",
IF(AND('Ridepooling Correlation'!L61&gt;0.1,'Ridepooling Correlation'!L61&lt;=0.15),CONCATENATE(IF(LEFT('Ridepooling Correlation'!L29,1)="-","(-)","(+)"),"*","1"),
IF(AND('Ridepooling Correlation'!L61&gt;0.05,'Ridepooling Correlation'!L61&lt;=0.1),CONCATENATE(IF(LEFT('Ridepooling Correlation'!L29,1)="-","(-)","(+)"),"**","1"),
IF('Ridepooling Correlation'!L61&lt;=0.05,CONCATENATE(IF(LEFT('Ridepooling Correlation'!L29,1)="-","(-)","(+)"),"***","1"),""))))</f>
        <v/>
      </c>
      <c r="M10" t="str">
        <f>IF(ISBLANK('Ridepooling Correlation'!M61),"",
IF(AND('Ridepooling Correlation'!M61&gt;0.1,'Ridepooling Correlation'!M61&lt;=0.15),CONCATENATE(IF(LEFT('Ridepooling Correlation'!M29,1)="-","(-)","(+)"),"*","1"),
IF(AND('Ridepooling Correlation'!M61&gt;0.05,'Ridepooling Correlation'!M61&lt;=0.1),CONCATENATE(IF(LEFT('Ridepooling Correlation'!M29,1)="-","(-)","(+)"),"**","1"),
IF('Ridepooling Correlation'!M61&lt;=0.05,CONCATENATE(IF(LEFT('Ridepooling Correlation'!M29,1)="-","(-)","(+)"),"***","1"),""))))</f>
        <v/>
      </c>
      <c r="N10" t="str">
        <f>IF(ISBLANK('Ridepooling Correlation'!N61),"",
IF(AND('Ridepooling Correlation'!N61&gt;0.1,'Ridepooling Correlation'!N61&lt;=0.15),CONCATENATE(IF(LEFT('Ridepooling Correlation'!N29,1)="-","(-)","(+)"),"*","1"),
IF(AND('Ridepooling Correlation'!N61&gt;0.05,'Ridepooling Correlation'!N61&lt;=0.1),CONCATENATE(IF(LEFT('Ridepooling Correlation'!N29,1)="-","(-)","(+)"),"**","1"),
IF('Ridepooling Correlation'!N61&lt;=0.05,CONCATENATE(IF(LEFT('Ridepooling Correlation'!N29,1)="-","(-)","(+)"),"***","1"),""))))</f>
        <v/>
      </c>
      <c r="O10" t="str">
        <f>IF(ISBLANK('Ridepooling Correlation'!O61),"",
IF(AND('Ridepooling Correlation'!O61&gt;0.1,'Ridepooling Correlation'!O61&lt;=0.15),CONCATENATE(IF(LEFT('Ridepooling Correlation'!O29,1)="-","(-)","(+)"),"*","1"),
IF(AND('Ridepooling Correlation'!O61&gt;0.05,'Ridepooling Correlation'!O61&lt;=0.1),CONCATENATE(IF(LEFT('Ridepooling Correlation'!O29,1)="-","(-)","(+)"),"**","1"),
IF('Ridepooling Correlation'!O61&lt;=0.05,CONCATENATE(IF(LEFT('Ridepooling Correlation'!O29,1)="-","(-)","(+)"),"***","1"),""))))</f>
        <v/>
      </c>
      <c r="P10" t="str">
        <f>IF(ISBLANK('Ridepooling Correlation'!P61),"",
IF(AND('Ridepooling Correlation'!P61&gt;0.1,'Ridepooling Correlation'!P61&lt;=0.15),CONCATENATE(IF(LEFT('Ridepooling Correlation'!P29,1)="-","(-)","(+)"),"*","1"),
IF(AND('Ridepooling Correlation'!P61&gt;0.05,'Ridepooling Correlation'!P61&lt;=0.1),CONCATENATE(IF(LEFT('Ridepooling Correlation'!P29,1)="-","(-)","(+)"),"**","1"),
IF('Ridepooling Correlation'!P61&lt;=0.05,CONCATENATE(IF(LEFT('Ridepooling Correlation'!P29,1)="-","(-)","(+)"),"***","1"),""))))</f>
        <v/>
      </c>
      <c r="Q10" t="str">
        <f>IF(ISBLANK('Ridepooling Correlation'!Q61),"",
IF(AND('Ridepooling Correlation'!Q61&gt;0.1,'Ridepooling Correlation'!Q61&lt;=0.15),CONCATENATE(IF(LEFT('Ridepooling Correlation'!Q29,1)="-","(-)","(+)"),"*","1"),
IF(AND('Ridepooling Correlation'!Q61&gt;0.05,'Ridepooling Correlation'!Q61&lt;=0.1),CONCATENATE(IF(LEFT('Ridepooling Correlation'!Q29,1)="-","(-)","(+)"),"**","1"),
IF('Ridepooling Correlation'!Q61&lt;=0.05,CONCATENATE(IF(LEFT('Ridepooling Correlation'!Q29,1)="-","(-)","(+)"),"***","1"),""))))</f>
        <v/>
      </c>
      <c r="R10" t="str">
        <f>IF(ISBLANK('Ridepooling Correlation'!R61),"",
IF(AND('Ridepooling Correlation'!R61&gt;0.1,'Ridepooling Correlation'!R61&lt;=0.15),CONCATENATE(IF(LEFT('Ridepooling Correlation'!R29,1)="-","(-)","(+)"),"*","1"),
IF(AND('Ridepooling Correlation'!R61&gt;0.05,'Ridepooling Correlation'!R61&lt;=0.1),CONCATENATE(IF(LEFT('Ridepooling Correlation'!R29,1)="-","(-)","(+)"),"**","1"),
IF('Ridepooling Correlation'!R61&lt;=0.05,CONCATENATE(IF(LEFT('Ridepooling Correlation'!R29,1)="-","(-)","(+)"),"***","1"),""))))</f>
        <v/>
      </c>
      <c r="S10" t="str">
        <f>IF(ISBLANK('Ridepooling Correlation'!S61),"",
IF(AND('Ridepooling Correlation'!S61&gt;0.1,'Ridepooling Correlation'!S61&lt;=0.15),CONCATENATE(IF(LEFT('Ridepooling Correlation'!S29,1)="-","(-)","(+)"),"*","1"),
IF(AND('Ridepooling Correlation'!S61&gt;0.05,'Ridepooling Correlation'!S61&lt;=0.1),CONCATENATE(IF(LEFT('Ridepooling Correlation'!S29,1)="-","(-)","(+)"),"**","1"),
IF('Ridepooling Correlation'!S61&lt;=0.05,CONCATENATE(IF(LEFT('Ridepooling Correlation'!S29,1)="-","(-)","(+)"),"***","1"),""))))</f>
        <v/>
      </c>
      <c r="T10" t="str">
        <f>IF(ISBLANK('Ridepooling Correlation'!T61),"",
IF(AND('Ridepooling Correlation'!T61&gt;0.1,'Ridepooling Correlation'!T61&lt;=0.15),CONCATENATE(IF(LEFT('Ridepooling Correlation'!T29,1)="-","(-)","(+)"),"*","1"),
IF(AND('Ridepooling Correlation'!T61&gt;0.05,'Ridepooling Correlation'!T61&lt;=0.1),CONCATENATE(IF(LEFT('Ridepooling Correlation'!T29,1)="-","(-)","(+)"),"**","1"),
IF('Ridepooling Correlation'!T61&lt;=0.05,CONCATENATE(IF(LEFT('Ridepooling Correlation'!T29,1)="-","(-)","(+)"),"***","1"),""))))</f>
        <v/>
      </c>
      <c r="U10" t="str">
        <f>IF(ISBLANK('Ridepooling Correlation'!U61),"",
IF(AND('Ridepooling Correlation'!U61&gt;0.1,'Ridepooling Correlation'!U61&lt;=0.15),CONCATENATE(IF(LEFT('Ridepooling Correlation'!U29,1)="-","(-)","(+)"),"*","1"),
IF(AND('Ridepooling Correlation'!U61&gt;0.05,'Ridepooling Correlation'!U61&lt;=0.1),CONCATENATE(IF(LEFT('Ridepooling Correlation'!U29,1)="-","(-)","(+)"),"**","1"),
IF('Ridepooling Correlation'!U61&lt;=0.05,CONCATENATE(IF(LEFT('Ridepooling Correlation'!U29,1)="-","(-)","(+)"),"***","1"),""))))</f>
        <v/>
      </c>
      <c r="V10" t="str">
        <f>IF(ISBLANK('Ridepooling Correlation'!V61),"",
IF(AND('Ridepooling Correlation'!V61&gt;0.1,'Ridepooling Correlation'!V61&lt;=0.15),CONCATENATE(IF(LEFT('Ridepooling Correlation'!V29,1)="-","(-)","(+)"),"*","1"),
IF(AND('Ridepooling Correlation'!V61&gt;0.05,'Ridepooling Correlation'!V61&lt;=0.1),CONCATENATE(IF(LEFT('Ridepooling Correlation'!V29,1)="-","(-)","(+)"),"**","1"),
IF('Ridepooling Correlation'!V61&lt;=0.05,CONCATENATE(IF(LEFT('Ridepooling Correlation'!V29,1)="-","(-)","(+)"),"***","1"),""))))</f>
        <v/>
      </c>
      <c r="W10" t="str">
        <f>IF(ISBLANK('Ridepooling Correlation'!W61),"",
IF(AND('Ridepooling Correlation'!W61&gt;0.1,'Ridepooling Correlation'!W61&lt;=0.15),CONCATENATE(IF(LEFT('Ridepooling Correlation'!W29,1)="-","(-)","(+)"),"*","1"),
IF(AND('Ridepooling Correlation'!W61&gt;0.05,'Ridepooling Correlation'!W61&lt;=0.1),CONCATENATE(IF(LEFT('Ridepooling Correlation'!W29,1)="-","(-)","(+)"),"**","1"),
IF('Ridepooling Correlation'!W61&lt;=0.05,CONCATENATE(IF(LEFT('Ridepooling Correlation'!W29,1)="-","(-)","(+)"),"***","1"),""))))</f>
        <v/>
      </c>
      <c r="X10" t="str">
        <f>IF(ISBLANK('Ridepooling Correlation'!X61),"",
IF(AND('Ridepooling Correlation'!X61&gt;0.1,'Ridepooling Correlation'!X61&lt;=0.15),CONCATENATE(IF(LEFT('Ridepooling Correlation'!X29,1)="-","(-)","(+)"),"*","1"),
IF(AND('Ridepooling Correlation'!X61&gt;0.05,'Ridepooling Correlation'!X61&lt;=0.1),CONCATENATE(IF(LEFT('Ridepooling Correlation'!X29,1)="-","(-)","(+)"),"**","1"),
IF('Ridepooling Correlation'!X61&lt;=0.05,CONCATENATE(IF(LEFT('Ridepooling Correlation'!X29,1)="-","(-)","(+)"),"***","1"),""))))</f>
        <v/>
      </c>
      <c r="Y10" t="str">
        <f>IF(ISBLANK('Ridepooling Correlation'!Y61),"",
IF(AND('Ridepooling Correlation'!Y61&gt;0.1,'Ridepooling Correlation'!Y61&lt;=0.15),CONCATENATE(IF(LEFT('Ridepooling Correlation'!Y29,1)="-","(-)","(+)"),"*","1"),
IF(AND('Ridepooling Correlation'!Y61&gt;0.05,'Ridepooling Correlation'!Y61&lt;=0.1),CONCATENATE(IF(LEFT('Ridepooling Correlation'!Y29,1)="-","(-)","(+)"),"**","1"),
IF('Ridepooling Correlation'!Y61&lt;=0.05,CONCATENATE(IF(LEFT('Ridepooling Correlation'!Y29,1)="-","(-)","(+)"),"***","1"),""))))</f>
        <v/>
      </c>
      <c r="Z10" t="str">
        <f>IF(ISBLANK('Ridepooling Correlation'!Z61),"",
IF(AND('Ridepooling Correlation'!Z61&gt;0.1,'Ridepooling Correlation'!Z61&lt;=0.15),CONCATENATE(IF(LEFT('Ridepooling Correlation'!Z29,1)="-","(-)","(+)"),"*","1"),
IF(AND('Ridepooling Correlation'!Z61&gt;0.05,'Ridepooling Correlation'!Z61&lt;=0.1),CONCATENATE(IF(LEFT('Ridepooling Correlation'!Z29,1)="-","(-)","(+)"),"**","1"),
IF('Ridepooling Correlation'!Z61&lt;=0.05,CONCATENATE(IF(LEFT('Ridepooling Correlation'!Z29,1)="-","(-)","(+)"),"***","1"),""))))</f>
        <v/>
      </c>
      <c r="AA10" t="str">
        <f>IF(ISBLANK('Ridepooling Correlation'!AA61),"",
IF(AND('Ridepooling Correlation'!AA61&gt;0.1,'Ridepooling Correlation'!AA61&lt;=0.15),CONCATENATE(IF(LEFT('Ridepooling Correlation'!AA29,1)="-","(-)","(+)"),"*","1"),
IF(AND('Ridepooling Correlation'!AA61&gt;0.05,'Ridepooling Correlation'!AA61&lt;=0.1),CONCATENATE(IF(LEFT('Ridepooling Correlation'!AA29,1)="-","(-)","(+)"),"**","1"),
IF('Ridepooling Correlation'!AA61&lt;=0.05,CONCATENATE(IF(LEFT('Ridepooling Correlation'!AA29,1)="-","(-)","(+)"),"***","1"),""))))</f>
        <v/>
      </c>
      <c r="AB10" t="str">
        <f>IF(ISBLANK('Ridepooling Correlation'!AB61),"",
IF(AND('Ridepooling Correlation'!AB61&gt;0.1,'Ridepooling Correlation'!AB61&lt;=0.15),CONCATENATE(IF(LEFT('Ridepooling Correlation'!AB29,1)="-","(-)","(+)"),"*","1"),
IF(AND('Ridepooling Correlation'!AB61&gt;0.05,'Ridepooling Correlation'!AB61&lt;=0.1),CONCATENATE(IF(LEFT('Ridepooling Correlation'!AB29,1)="-","(-)","(+)"),"**","1"),
IF('Ridepooling Correlation'!AB61&lt;=0.05,CONCATENATE(IF(LEFT('Ridepooling Correlation'!AB29,1)="-","(-)","(+)"),"***","1"),""))))</f>
        <v/>
      </c>
      <c r="AC10" t="str">
        <f>IF(ISBLANK('Ridepooling Correlation'!AC61),"",
IF(AND('Ridepooling Correlation'!AC61&gt;0.1,'Ridepooling Correlation'!AC61&lt;=0.15),CONCATENATE(IF(LEFT('Ridepooling Correlation'!AC29,1)="-","(-)","(+)"),"*","1"),
IF(AND('Ridepooling Correlation'!AC61&gt;0.05,'Ridepooling Correlation'!AC61&lt;=0.1),CONCATENATE(IF(LEFT('Ridepooling Correlation'!AC29,1)="-","(-)","(+)"),"**","1"),
IF('Ridepooling Correlation'!AC61&lt;=0.05,CONCATENATE(IF(LEFT('Ridepooling Correlation'!AC29,1)="-","(-)","(+)"),"***","1"),""))))</f>
        <v>(+)***1</v>
      </c>
    </row>
    <row r="11" spans="1:29" x14ac:dyDescent="0.35">
      <c r="A11" s="224" t="s">
        <v>2250</v>
      </c>
      <c r="B11" t="str">
        <f>IF(ISBLANK('Ridepooling Correlation'!B62),"",
IF(AND('Ridepooling Correlation'!B62&gt;0.1,'Ridepooling Correlation'!B62&lt;=0.15),CONCATENATE(IF(LEFT('Ridepooling Correlation'!B30,1)="-","(-)","(+)"),"*","1"),
IF(AND('Ridepooling Correlation'!B62&gt;0.05,'Ridepooling Correlation'!B62&lt;=0.1),CONCATENATE(IF(LEFT('Ridepooling Correlation'!B30,1)="-","(-)","(+)"),"**","1"),
IF('Ridepooling Correlation'!B62&lt;=0.05,CONCATENATE(IF(LEFT('Ridepooling Correlation'!B30,1)="-","(-)","(+)"),"***","1"),""))))</f>
        <v>(-)*1</v>
      </c>
      <c r="C11" t="str">
        <f>IF(ISBLANK('Ridepooling Correlation'!C62),"",
IF(AND('Ridepooling Correlation'!C62&gt;0.1,'Ridepooling Correlation'!C62&lt;=0.15),CONCATENATE(IF(LEFT('Ridepooling Correlation'!C30,1)="-","(-)","(+)"),"*","1"),
IF(AND('Ridepooling Correlation'!C62&gt;0.05,'Ridepooling Correlation'!C62&lt;=0.1),CONCATENATE(IF(LEFT('Ridepooling Correlation'!C30,1)="-","(-)","(+)"),"**","1"),
IF('Ridepooling Correlation'!C62&lt;=0.05,CONCATENATE(IF(LEFT('Ridepooling Correlation'!C30,1)="-","(-)","(+)"),"***","1"),""))))</f>
        <v/>
      </c>
      <c r="D11" t="str">
        <f>IF(ISBLANK('Ridepooling Correlation'!D62),"",
IF(AND('Ridepooling Correlation'!D62&gt;0.1,'Ridepooling Correlation'!D62&lt;=0.15),CONCATENATE(IF(LEFT('Ridepooling Correlation'!D30,1)="-","(-)","(+)"),"*","1"),
IF(AND('Ridepooling Correlation'!D62&gt;0.05,'Ridepooling Correlation'!D62&lt;=0.1),CONCATENATE(IF(LEFT('Ridepooling Correlation'!D30,1)="-","(-)","(+)"),"**","1"),
IF('Ridepooling Correlation'!D62&lt;=0.05,CONCATENATE(IF(LEFT('Ridepooling Correlation'!D30,1)="-","(-)","(+)"),"***","1"),""))))</f>
        <v/>
      </c>
      <c r="E11" t="str">
        <f>IF(ISBLANK('Ridepooling Correlation'!E62),"",
IF(AND('Ridepooling Correlation'!E62&gt;0.1,'Ridepooling Correlation'!E62&lt;=0.15),CONCATENATE(IF(LEFT('Ridepooling Correlation'!E30,1)="-","(-)","(+)"),"*","1"),
IF(AND('Ridepooling Correlation'!E62&gt;0.05,'Ridepooling Correlation'!E62&lt;=0.1),CONCATENATE(IF(LEFT('Ridepooling Correlation'!E30,1)="-","(-)","(+)"),"**","1"),
IF('Ridepooling Correlation'!E62&lt;=0.05,CONCATENATE(IF(LEFT('Ridepooling Correlation'!E30,1)="-","(-)","(+)"),"***","1"),""))))</f>
        <v/>
      </c>
      <c r="F11" t="str">
        <f>IF(ISBLANK('Ridepooling Correlation'!F62),"",
IF(AND('Ridepooling Correlation'!F62&gt;0.1,'Ridepooling Correlation'!F62&lt;=0.15),CONCATENATE(IF(LEFT('Ridepooling Correlation'!F30,1)="-","(-)","(+)"),"*","1"),
IF(AND('Ridepooling Correlation'!F62&gt;0.05,'Ridepooling Correlation'!F62&lt;=0.1),CONCATENATE(IF(LEFT('Ridepooling Correlation'!F30,1)="-","(-)","(+)"),"**","1"),
IF('Ridepooling Correlation'!F62&lt;=0.05,CONCATENATE(IF(LEFT('Ridepooling Correlation'!F30,1)="-","(-)","(+)"),"***","1"),""))))</f>
        <v/>
      </c>
      <c r="G11" t="str">
        <f>IF(ISBLANK('Ridepooling Correlation'!G62),"",
IF(AND('Ridepooling Correlation'!G62&gt;0.1,'Ridepooling Correlation'!G62&lt;=0.15),CONCATENATE(IF(LEFT('Ridepooling Correlation'!G30,1)="-","(-)","(+)"),"*","1"),
IF(AND('Ridepooling Correlation'!G62&gt;0.05,'Ridepooling Correlation'!G62&lt;=0.1),CONCATENATE(IF(LEFT('Ridepooling Correlation'!G30,1)="-","(-)","(+)"),"**","1"),
IF('Ridepooling Correlation'!G62&lt;=0.05,CONCATENATE(IF(LEFT('Ridepooling Correlation'!G30,1)="-","(-)","(+)"),"***","1"),""))))</f>
        <v/>
      </c>
      <c r="H11" t="str">
        <f>IF(ISBLANK('Ridepooling Correlation'!H62),"",
IF(AND('Ridepooling Correlation'!H62&gt;0.1,'Ridepooling Correlation'!H62&lt;=0.15),CONCATENATE(IF(LEFT('Ridepooling Correlation'!H30,1)="-","(-)","(+)"),"*","1"),
IF(AND('Ridepooling Correlation'!H62&gt;0.05,'Ridepooling Correlation'!H62&lt;=0.1),CONCATENATE(IF(LEFT('Ridepooling Correlation'!H30,1)="-","(-)","(+)"),"**","1"),
IF('Ridepooling Correlation'!H62&lt;=0.05,CONCATENATE(IF(LEFT('Ridepooling Correlation'!H30,1)="-","(-)","(+)"),"***","1"),""))))</f>
        <v/>
      </c>
      <c r="I11" t="str">
        <f>IF(ISBLANK('Ridepooling Correlation'!I62),"",
IF(AND('Ridepooling Correlation'!I62&gt;0.1,'Ridepooling Correlation'!I62&lt;=0.15),CONCATENATE(IF(LEFT('Ridepooling Correlation'!I30,1)="-","(-)","(+)"),"*","1"),
IF(AND('Ridepooling Correlation'!I62&gt;0.05,'Ridepooling Correlation'!I62&lt;=0.1),CONCATENATE(IF(LEFT('Ridepooling Correlation'!I30,1)="-","(-)","(+)"),"**","1"),
IF('Ridepooling Correlation'!I62&lt;=0.05,CONCATENATE(IF(LEFT('Ridepooling Correlation'!I30,1)="-","(-)","(+)"),"***","1"),""))))</f>
        <v/>
      </c>
      <c r="J11" t="str">
        <f>IF(ISBLANK('Ridepooling Correlation'!J62),"",
IF(AND('Ridepooling Correlation'!J62&gt;0.1,'Ridepooling Correlation'!J62&lt;=0.15),CONCATENATE(IF(LEFT('Ridepooling Correlation'!J30,1)="-","(-)","(+)"),"*","1"),
IF(AND('Ridepooling Correlation'!J62&gt;0.05,'Ridepooling Correlation'!J62&lt;=0.1),CONCATENATE(IF(LEFT('Ridepooling Correlation'!J30,1)="-","(-)","(+)"),"**","1"),
IF('Ridepooling Correlation'!J62&lt;=0.05,CONCATENATE(IF(LEFT('Ridepooling Correlation'!J30,1)="-","(-)","(+)"),"***","1"),""))))</f>
        <v/>
      </c>
      <c r="K11" t="str">
        <f>IF(ISBLANK('Ridepooling Correlation'!K62),"",
IF(AND('Ridepooling Correlation'!K62&gt;0.1,'Ridepooling Correlation'!K62&lt;=0.15),CONCATENATE(IF(LEFT('Ridepooling Correlation'!K30,1)="-","(-)","(+)"),"*","1"),
IF(AND('Ridepooling Correlation'!K62&gt;0.05,'Ridepooling Correlation'!K62&lt;=0.1),CONCATENATE(IF(LEFT('Ridepooling Correlation'!K30,1)="-","(-)","(+)"),"**","1"),
IF('Ridepooling Correlation'!K62&lt;=0.05,CONCATENATE(IF(LEFT('Ridepooling Correlation'!K30,1)="-","(-)","(+)"),"***","1"),""))))</f>
        <v/>
      </c>
      <c r="L11" t="str">
        <f>IF(ISBLANK('Ridepooling Correlation'!L62),"",
IF(AND('Ridepooling Correlation'!L62&gt;0.1,'Ridepooling Correlation'!L62&lt;=0.15),CONCATENATE(IF(LEFT('Ridepooling Correlation'!L30,1)="-","(-)","(+)"),"*","1"),
IF(AND('Ridepooling Correlation'!L62&gt;0.05,'Ridepooling Correlation'!L62&lt;=0.1),CONCATENATE(IF(LEFT('Ridepooling Correlation'!L30,1)="-","(-)","(+)"),"**","1"),
IF('Ridepooling Correlation'!L62&lt;=0.05,CONCATENATE(IF(LEFT('Ridepooling Correlation'!L30,1)="-","(-)","(+)"),"***","1"),""))))</f>
        <v/>
      </c>
      <c r="M11" t="str">
        <f>IF(ISBLANK('Ridepooling Correlation'!M62),"",
IF(AND('Ridepooling Correlation'!M62&gt;0.1,'Ridepooling Correlation'!M62&lt;=0.15),CONCATENATE(IF(LEFT('Ridepooling Correlation'!M30,1)="-","(-)","(+)"),"*","1"),
IF(AND('Ridepooling Correlation'!M62&gt;0.05,'Ridepooling Correlation'!M62&lt;=0.1),CONCATENATE(IF(LEFT('Ridepooling Correlation'!M30,1)="-","(-)","(+)"),"**","1"),
IF('Ridepooling Correlation'!M62&lt;=0.05,CONCATENATE(IF(LEFT('Ridepooling Correlation'!M30,1)="-","(-)","(+)"),"***","1"),""))))</f>
        <v/>
      </c>
      <c r="N11" t="str">
        <f>IF(ISBLANK('Ridepooling Correlation'!N62),"",
IF(AND('Ridepooling Correlation'!N62&gt;0.1,'Ridepooling Correlation'!N62&lt;=0.15),CONCATENATE(IF(LEFT('Ridepooling Correlation'!N30,1)="-","(-)","(+)"),"*","1"),
IF(AND('Ridepooling Correlation'!N62&gt;0.05,'Ridepooling Correlation'!N62&lt;=0.1),CONCATENATE(IF(LEFT('Ridepooling Correlation'!N30,1)="-","(-)","(+)"),"**","1"),
IF('Ridepooling Correlation'!N62&lt;=0.05,CONCATENATE(IF(LEFT('Ridepooling Correlation'!N30,1)="-","(-)","(+)"),"***","1"),""))))</f>
        <v/>
      </c>
      <c r="O11" t="str">
        <f>IF(ISBLANK('Ridepooling Correlation'!O62),"",
IF(AND('Ridepooling Correlation'!O62&gt;0.1,'Ridepooling Correlation'!O62&lt;=0.15),CONCATENATE(IF(LEFT('Ridepooling Correlation'!O30,1)="-","(-)","(+)"),"*","1"),
IF(AND('Ridepooling Correlation'!O62&gt;0.05,'Ridepooling Correlation'!O62&lt;=0.1),CONCATENATE(IF(LEFT('Ridepooling Correlation'!O30,1)="-","(-)","(+)"),"**","1"),
IF('Ridepooling Correlation'!O62&lt;=0.05,CONCATENATE(IF(LEFT('Ridepooling Correlation'!O30,1)="-","(-)","(+)"),"***","1"),""))))</f>
        <v/>
      </c>
      <c r="P11" t="str">
        <f>IF(ISBLANK('Ridepooling Correlation'!P62),"",
IF(AND('Ridepooling Correlation'!P62&gt;0.1,'Ridepooling Correlation'!P62&lt;=0.15),CONCATENATE(IF(LEFT('Ridepooling Correlation'!P30,1)="-","(-)","(+)"),"*","1"),
IF(AND('Ridepooling Correlation'!P62&gt;0.05,'Ridepooling Correlation'!P62&lt;=0.1),CONCATENATE(IF(LEFT('Ridepooling Correlation'!P30,1)="-","(-)","(+)"),"**","1"),
IF('Ridepooling Correlation'!P62&lt;=0.05,CONCATENATE(IF(LEFT('Ridepooling Correlation'!P30,1)="-","(-)","(+)"),"***","1"),""))))</f>
        <v/>
      </c>
      <c r="Q11" t="str">
        <f>IF(ISBLANK('Ridepooling Correlation'!Q62),"",
IF(AND('Ridepooling Correlation'!Q62&gt;0.1,'Ridepooling Correlation'!Q62&lt;=0.15),CONCATENATE(IF(LEFT('Ridepooling Correlation'!Q30,1)="-","(-)","(+)"),"*","1"),
IF(AND('Ridepooling Correlation'!Q62&gt;0.05,'Ridepooling Correlation'!Q62&lt;=0.1),CONCATENATE(IF(LEFT('Ridepooling Correlation'!Q30,1)="-","(-)","(+)"),"**","1"),
IF('Ridepooling Correlation'!Q62&lt;=0.05,CONCATENATE(IF(LEFT('Ridepooling Correlation'!Q30,1)="-","(-)","(+)"),"***","1"),""))))</f>
        <v/>
      </c>
      <c r="R11" t="str">
        <f>IF(ISBLANK('Ridepooling Correlation'!R62),"",
IF(AND('Ridepooling Correlation'!R62&gt;0.1,'Ridepooling Correlation'!R62&lt;=0.15),CONCATENATE(IF(LEFT('Ridepooling Correlation'!R30,1)="-","(-)","(+)"),"*","1"),
IF(AND('Ridepooling Correlation'!R62&gt;0.05,'Ridepooling Correlation'!R62&lt;=0.1),CONCATENATE(IF(LEFT('Ridepooling Correlation'!R30,1)="-","(-)","(+)"),"**","1"),
IF('Ridepooling Correlation'!R62&lt;=0.05,CONCATENATE(IF(LEFT('Ridepooling Correlation'!R30,1)="-","(-)","(+)"),"***","1"),""))))</f>
        <v>(-)***1</v>
      </c>
      <c r="S11" t="str">
        <f>IF(ISBLANK('Ridepooling Correlation'!S62),"",
IF(AND('Ridepooling Correlation'!S62&gt;0.1,'Ridepooling Correlation'!S62&lt;=0.15),CONCATENATE(IF(LEFT('Ridepooling Correlation'!S30,1)="-","(-)","(+)"),"*","1"),
IF(AND('Ridepooling Correlation'!S62&gt;0.05,'Ridepooling Correlation'!S62&lt;=0.1),CONCATENATE(IF(LEFT('Ridepooling Correlation'!S30,1)="-","(-)","(+)"),"**","1"),
IF('Ridepooling Correlation'!S62&lt;=0.05,CONCATENATE(IF(LEFT('Ridepooling Correlation'!S30,1)="-","(-)","(+)"),"***","1"),""))))</f>
        <v/>
      </c>
      <c r="T11" t="str">
        <f>IF(ISBLANK('Ridepooling Correlation'!T62),"",
IF(AND('Ridepooling Correlation'!T62&gt;0.1,'Ridepooling Correlation'!T62&lt;=0.15),CONCATENATE(IF(LEFT('Ridepooling Correlation'!T30,1)="-","(-)","(+)"),"*","1"),
IF(AND('Ridepooling Correlation'!T62&gt;0.05,'Ridepooling Correlation'!T62&lt;=0.1),CONCATENATE(IF(LEFT('Ridepooling Correlation'!T30,1)="-","(-)","(+)"),"**","1"),
IF('Ridepooling Correlation'!T62&lt;=0.05,CONCATENATE(IF(LEFT('Ridepooling Correlation'!T30,1)="-","(-)","(+)"),"***","1"),""))))</f>
        <v/>
      </c>
      <c r="U11" t="str">
        <f>IF(ISBLANK('Ridepooling Correlation'!U62),"",
IF(AND('Ridepooling Correlation'!U62&gt;0.1,'Ridepooling Correlation'!U62&lt;=0.15),CONCATENATE(IF(LEFT('Ridepooling Correlation'!U30,1)="-","(-)","(+)"),"*","1"),
IF(AND('Ridepooling Correlation'!U62&gt;0.05,'Ridepooling Correlation'!U62&lt;=0.1),CONCATENATE(IF(LEFT('Ridepooling Correlation'!U30,1)="-","(-)","(+)"),"**","1"),
IF('Ridepooling Correlation'!U62&lt;=0.05,CONCATENATE(IF(LEFT('Ridepooling Correlation'!U30,1)="-","(-)","(+)"),"***","1"),""))))</f>
        <v/>
      </c>
      <c r="V11" t="str">
        <f>IF(ISBLANK('Ridepooling Correlation'!V62),"",
IF(AND('Ridepooling Correlation'!V62&gt;0.1,'Ridepooling Correlation'!V62&lt;=0.15),CONCATENATE(IF(LEFT('Ridepooling Correlation'!V30,1)="-","(-)","(+)"),"*","1"),
IF(AND('Ridepooling Correlation'!V62&gt;0.05,'Ridepooling Correlation'!V62&lt;=0.1),CONCATENATE(IF(LEFT('Ridepooling Correlation'!V30,1)="-","(-)","(+)"),"**","1"),
IF('Ridepooling Correlation'!V62&lt;=0.05,CONCATENATE(IF(LEFT('Ridepooling Correlation'!V30,1)="-","(-)","(+)"),"***","1"),""))))</f>
        <v/>
      </c>
      <c r="W11" t="str">
        <f>IF(ISBLANK('Ridepooling Correlation'!W62),"",
IF(AND('Ridepooling Correlation'!W62&gt;0.1,'Ridepooling Correlation'!W62&lt;=0.15),CONCATENATE(IF(LEFT('Ridepooling Correlation'!W30,1)="-","(-)","(+)"),"*","1"),
IF(AND('Ridepooling Correlation'!W62&gt;0.05,'Ridepooling Correlation'!W62&lt;=0.1),CONCATENATE(IF(LEFT('Ridepooling Correlation'!W30,1)="-","(-)","(+)"),"**","1"),
IF('Ridepooling Correlation'!W62&lt;=0.05,CONCATENATE(IF(LEFT('Ridepooling Correlation'!W30,1)="-","(-)","(+)"),"***","1"),""))))</f>
        <v>(-)**1</v>
      </c>
      <c r="X11" t="str">
        <f>IF(ISBLANK('Ridepooling Correlation'!X62),"",
IF(AND('Ridepooling Correlation'!X62&gt;0.1,'Ridepooling Correlation'!X62&lt;=0.15),CONCATENATE(IF(LEFT('Ridepooling Correlation'!X30,1)="-","(-)","(+)"),"*","1"),
IF(AND('Ridepooling Correlation'!X62&gt;0.05,'Ridepooling Correlation'!X62&lt;=0.1),CONCATENATE(IF(LEFT('Ridepooling Correlation'!X30,1)="-","(-)","(+)"),"**","1"),
IF('Ridepooling Correlation'!X62&lt;=0.05,CONCATENATE(IF(LEFT('Ridepooling Correlation'!X30,1)="-","(-)","(+)"),"***","1"),""))))</f>
        <v/>
      </c>
      <c r="Y11" t="str">
        <f>IF(ISBLANK('Ridepooling Correlation'!Y62),"",
IF(AND('Ridepooling Correlation'!Y62&gt;0.1,'Ridepooling Correlation'!Y62&lt;=0.15),CONCATENATE(IF(LEFT('Ridepooling Correlation'!Y30,1)="-","(-)","(+)"),"*","1"),
IF(AND('Ridepooling Correlation'!Y62&gt;0.05,'Ridepooling Correlation'!Y62&lt;=0.1),CONCATENATE(IF(LEFT('Ridepooling Correlation'!Y30,1)="-","(-)","(+)"),"**","1"),
IF('Ridepooling Correlation'!Y62&lt;=0.05,CONCATENATE(IF(LEFT('Ridepooling Correlation'!Y30,1)="-","(-)","(+)"),"***","1"),""))))</f>
        <v/>
      </c>
      <c r="Z11" t="str">
        <f>IF(ISBLANK('Ridepooling Correlation'!Z62),"",
IF(AND('Ridepooling Correlation'!Z62&gt;0.1,'Ridepooling Correlation'!Z62&lt;=0.15),CONCATENATE(IF(LEFT('Ridepooling Correlation'!Z30,1)="-","(-)","(+)"),"*","1"),
IF(AND('Ridepooling Correlation'!Z62&gt;0.05,'Ridepooling Correlation'!Z62&lt;=0.1),CONCATENATE(IF(LEFT('Ridepooling Correlation'!Z30,1)="-","(-)","(+)"),"**","1"),
IF('Ridepooling Correlation'!Z62&lt;=0.05,CONCATENATE(IF(LEFT('Ridepooling Correlation'!Z30,1)="-","(-)","(+)"),"***","1"),""))))</f>
        <v/>
      </c>
      <c r="AA11" t="str">
        <f>IF(ISBLANK('Ridepooling Correlation'!AA62),"",
IF(AND('Ridepooling Correlation'!AA62&gt;0.1,'Ridepooling Correlation'!AA62&lt;=0.15),CONCATENATE(IF(LEFT('Ridepooling Correlation'!AA30,1)="-","(-)","(+)"),"*","1"),
IF(AND('Ridepooling Correlation'!AA62&gt;0.05,'Ridepooling Correlation'!AA62&lt;=0.1),CONCATENATE(IF(LEFT('Ridepooling Correlation'!AA30,1)="-","(-)","(+)"),"**","1"),
IF('Ridepooling Correlation'!AA62&lt;=0.05,CONCATENATE(IF(LEFT('Ridepooling Correlation'!AA30,1)="-","(-)","(+)"),"***","1"),""))))</f>
        <v/>
      </c>
      <c r="AB11" t="str">
        <f>IF(ISBLANK('Ridepooling Correlation'!AB62),"",
IF(AND('Ridepooling Correlation'!AB62&gt;0.1,'Ridepooling Correlation'!AB62&lt;=0.15),CONCATENATE(IF(LEFT('Ridepooling Correlation'!AB30,1)="-","(-)","(+)"),"*","1"),
IF(AND('Ridepooling Correlation'!AB62&gt;0.05,'Ridepooling Correlation'!AB62&lt;=0.1),CONCATENATE(IF(LEFT('Ridepooling Correlation'!AB30,1)="-","(-)","(+)"),"**","1"),
IF('Ridepooling Correlation'!AB62&lt;=0.05,CONCATENATE(IF(LEFT('Ridepooling Correlation'!AB30,1)="-","(-)","(+)"),"***","1"),""))))</f>
        <v>(-)***1</v>
      </c>
      <c r="AC11" t="str">
        <f>IF(ISBLANK('Ridepooling Correlation'!AC62),"",
IF(AND('Ridepooling Correlation'!AC62&gt;0.1,'Ridepooling Correlation'!AC62&lt;=0.15),CONCATENATE(IF(LEFT('Ridepooling Correlation'!AC30,1)="-","(-)","(+)"),"*","1"),
IF(AND('Ridepooling Correlation'!AC62&gt;0.05,'Ridepooling Correlation'!AC62&lt;=0.1),CONCATENATE(IF(LEFT('Ridepooling Correlation'!AC30,1)="-","(-)","(+)"),"**","1"),
IF('Ridepooling Correlation'!AC62&lt;=0.05,CONCATENATE(IF(LEFT('Ridepooling Correlation'!AC30,1)="-","(-)","(+)"),"***","1"),""))))</f>
        <v/>
      </c>
    </row>
    <row r="13" spans="1:29" ht="29" x14ac:dyDescent="0.35">
      <c r="A13" s="125" t="s">
        <v>2061</v>
      </c>
      <c r="B13" s="45" t="str">
        <f>IF(ISBLANK('Ridehailing Correlation'!B60),"",
IF(AND('Ridehailing Correlation'!B60&gt;0.1,'Ridehailing Correlation'!B60&lt;=0.15),CONCATENATE(IF(LEFT('Ridehailing Correlation'!B28,1)="-","(-)","(+)"),"*","2"),
IF(AND('Ridehailing Correlation'!B60&gt;0.05,'Ridehailing Correlation'!B60&lt;=0.1),CONCATENATE(IF(LEFT('Ridehailing Correlation'!B28,1)="-","(-)","(+)"),"**","2"),
IF('Ridehailing Correlation'!B60&lt;=0.05,CONCATENATE(IF(LEFT('Ridehailing Correlation'!B28,1)="-","(-)","(+)"),"***","2"),""))))</f>
        <v>(-)***2</v>
      </c>
      <c r="C13" s="45" t="str">
        <f>IF(ISBLANK('Ridehailing Correlation'!C60),"",
IF(AND('Ridehailing Correlation'!C60&gt;0.1,'Ridehailing Correlation'!C60&lt;=0.15),CONCATENATE(IF(LEFT('Ridehailing Correlation'!C28,1)="-","(-)","(+)"),"*","2"),
IF(AND('Ridehailing Correlation'!C60&gt;0.05,'Ridehailing Correlation'!C60&lt;=0.1),CONCATENATE(IF(LEFT('Ridehailing Correlation'!C28,1)="-","(-)","(+)"),"**","2"),
IF('Ridehailing Correlation'!C60&lt;=0.05,CONCATENATE(IF(LEFT('Ridehailing Correlation'!C28,1)="-","(-)","(+)"),"***","2"),""))))</f>
        <v/>
      </c>
      <c r="D13" s="45" t="str">
        <f>IF(ISBLANK('Ridehailing Correlation'!D60),"",
IF(AND('Ridehailing Correlation'!D60&gt;0.1,'Ridehailing Correlation'!D60&lt;=0.15),CONCATENATE(IF(LEFT('Ridehailing Correlation'!D28,1)="-","(-)","(+)"),"*","2"),
IF(AND('Ridehailing Correlation'!D60&gt;0.05,'Ridehailing Correlation'!D60&lt;=0.1),CONCATENATE(IF(LEFT('Ridehailing Correlation'!D28,1)="-","(-)","(+)"),"**","2"),
IF('Ridehailing Correlation'!D60&lt;=0.05,CONCATENATE(IF(LEFT('Ridehailing Correlation'!D28,1)="-","(-)","(+)"),"***","2"),""))))</f>
        <v/>
      </c>
      <c r="E13" s="45" t="str">
        <f>IF(ISBLANK('Ridehailing Correlation'!E60),"",
IF(AND('Ridehailing Correlation'!E60&gt;0.1,'Ridehailing Correlation'!E60&lt;=0.15),CONCATENATE(IF(LEFT('Ridehailing Correlation'!E28,1)="-","(-)","(+)"),"*","2"),
IF(AND('Ridehailing Correlation'!E60&gt;0.05,'Ridehailing Correlation'!E60&lt;=0.1),CONCATENATE(IF(LEFT('Ridehailing Correlation'!E28,1)="-","(-)","(+)"),"**","2"),
IF('Ridehailing Correlation'!E60&lt;=0.05,CONCATENATE(IF(LEFT('Ridehailing Correlation'!E28,1)="-","(-)","(+)"),"***","2"),""))))</f>
        <v/>
      </c>
      <c r="F13" s="45" t="str">
        <f>IF(ISBLANK('Ridehailing Correlation'!F60),"",
IF(AND('Ridehailing Correlation'!F60&gt;0.1,'Ridehailing Correlation'!F60&lt;=0.15),CONCATENATE(IF(LEFT('Ridehailing Correlation'!F28,1)="-","(-)","(+)"),"*","2"),
IF(AND('Ridehailing Correlation'!F60&gt;0.05,'Ridehailing Correlation'!F60&lt;=0.1),CONCATENATE(IF(LEFT('Ridehailing Correlation'!F28,1)="-","(-)","(+)"),"**","2"),
IF('Ridehailing Correlation'!F60&lt;=0.05,CONCATENATE(IF(LEFT('Ridehailing Correlation'!F28,1)="-","(-)","(+)"),"***","2"),""))))</f>
        <v/>
      </c>
      <c r="G13" s="45" t="str">
        <f>IF(ISBLANK('Ridehailing Correlation'!G60),"",
IF(AND('Ridehailing Correlation'!G60&gt;0.1,'Ridehailing Correlation'!G60&lt;=0.15),CONCATENATE(IF(LEFT('Ridehailing Correlation'!G28,1)="-","(-)","(+)"),"*","2"),
IF(AND('Ridehailing Correlation'!G60&gt;0.05,'Ridehailing Correlation'!G60&lt;=0.1),CONCATENATE(IF(LEFT('Ridehailing Correlation'!G28,1)="-","(-)","(+)"),"**","2"),
IF('Ridehailing Correlation'!G60&lt;=0.05,CONCATENATE(IF(LEFT('Ridehailing Correlation'!G28,1)="-","(-)","(+)"),"***","2"),""))))</f>
        <v>(-)***2</v>
      </c>
      <c r="H13" s="45" t="str">
        <f>IF(ISBLANK('Ridehailing Correlation'!H60),"",
IF(AND('Ridehailing Correlation'!H60&gt;0.1,'Ridehailing Correlation'!H60&lt;=0.15),CONCATENATE(IF(LEFT('Ridehailing Correlation'!H28,1)="-","(-)","(+)"),"*","2"),
IF(AND('Ridehailing Correlation'!H60&gt;0.05,'Ridehailing Correlation'!H60&lt;=0.1),CONCATENATE(IF(LEFT('Ridehailing Correlation'!H28,1)="-","(-)","(+)"),"**","2"),
IF('Ridehailing Correlation'!H60&lt;=0.05,CONCATENATE(IF(LEFT('Ridehailing Correlation'!H28,1)="-","(-)","(+)"),"***","2"),""))))</f>
        <v/>
      </c>
      <c r="I13" s="45" t="str">
        <f>IF(ISBLANK('Ridehailing Correlation'!I60),"",
IF(AND('Ridehailing Correlation'!I60&gt;0.1,'Ridehailing Correlation'!I60&lt;=0.15),CONCATENATE(IF(LEFT('Ridehailing Correlation'!I28,1)="-","(-)","(+)"),"*","2"),
IF(AND('Ridehailing Correlation'!I60&gt;0.05,'Ridehailing Correlation'!I60&lt;=0.1),CONCATENATE(IF(LEFT('Ridehailing Correlation'!I28,1)="-","(-)","(+)"),"**","2"),
IF('Ridehailing Correlation'!I60&lt;=0.05,CONCATENATE(IF(LEFT('Ridehailing Correlation'!I28,1)="-","(-)","(+)"),"***","2"),""))))</f>
        <v/>
      </c>
      <c r="J13" s="45" t="str">
        <f>IF(ISBLANK('Ridehailing Correlation'!J60),"",
IF(AND('Ridehailing Correlation'!J60&gt;0.1,'Ridehailing Correlation'!J60&lt;=0.15),CONCATENATE(IF(LEFT('Ridehailing Correlation'!J28,1)="-","(-)","(+)"),"*","2"),
IF(AND('Ridehailing Correlation'!J60&gt;0.05,'Ridehailing Correlation'!J60&lt;=0.1),CONCATENATE(IF(LEFT('Ridehailing Correlation'!J28,1)="-","(-)","(+)"),"**","2"),
IF('Ridehailing Correlation'!J60&lt;=0.05,CONCATENATE(IF(LEFT('Ridehailing Correlation'!J28,1)="-","(-)","(+)"),"***","2"),""))))</f>
        <v/>
      </c>
      <c r="K13" s="45" t="str">
        <f>IF(ISBLANK('Ridehailing Correlation'!K60),"",
IF(AND('Ridehailing Correlation'!K60&gt;0.1,'Ridehailing Correlation'!K60&lt;=0.15),CONCATENATE(IF(LEFT('Ridehailing Correlation'!K28,1)="-","(-)","(+)"),"*","2"),
IF(AND('Ridehailing Correlation'!K60&gt;0.05,'Ridehailing Correlation'!K60&lt;=0.1),CONCATENATE(IF(LEFT('Ridehailing Correlation'!K28,1)="-","(-)","(+)"),"**","2"),
IF('Ridehailing Correlation'!K60&lt;=0.05,CONCATENATE(IF(LEFT('Ridehailing Correlation'!K28,1)="-","(-)","(+)"),"***","2"),""))))</f>
        <v/>
      </c>
      <c r="L13" s="45" t="str">
        <f>IF(ISBLANK('Ridehailing Correlation'!L60),"",
IF(AND('Ridehailing Correlation'!L60&gt;0.1,'Ridehailing Correlation'!L60&lt;=0.15),CONCATENATE(IF(LEFT('Ridehailing Correlation'!L28,1)="-","(-)","(+)"),"*","2"),
IF(AND('Ridehailing Correlation'!L60&gt;0.05,'Ridehailing Correlation'!L60&lt;=0.1),CONCATENATE(IF(LEFT('Ridehailing Correlation'!L28,1)="-","(-)","(+)"),"**","2"),
IF('Ridehailing Correlation'!L60&lt;=0.05,CONCATENATE(IF(LEFT('Ridehailing Correlation'!L28,1)="-","(-)","(+)"),"***","2"),""))))</f>
        <v>(-)**2</v>
      </c>
      <c r="M13" s="45" t="str">
        <f>IF(ISBLANK('Ridehailing Correlation'!M60),"",
IF(AND('Ridehailing Correlation'!M60&gt;0.1,'Ridehailing Correlation'!M60&lt;=0.15),CONCATENATE(IF(LEFT('Ridehailing Correlation'!M28,1)="-","(-)","(+)"),"*","2"),
IF(AND('Ridehailing Correlation'!M60&gt;0.05,'Ridehailing Correlation'!M60&lt;=0.1),CONCATENATE(IF(LEFT('Ridehailing Correlation'!M28,1)="-","(-)","(+)"),"**","2"),
IF('Ridehailing Correlation'!M60&lt;=0.05,CONCATENATE(IF(LEFT('Ridehailing Correlation'!M28,1)="-","(-)","(+)"),"***","2"),""))))</f>
        <v/>
      </c>
      <c r="N13" s="45" t="str">
        <f>IF(ISBLANK('Ridehailing Correlation'!N60),"",
IF(AND('Ridehailing Correlation'!N60&gt;0.1,'Ridehailing Correlation'!N60&lt;=0.15),CONCATENATE(IF(LEFT('Ridehailing Correlation'!N28,1)="-","(-)","(+)"),"*","2"),
IF(AND('Ridehailing Correlation'!N60&gt;0.05,'Ridehailing Correlation'!N60&lt;=0.1),CONCATENATE(IF(LEFT('Ridehailing Correlation'!N28,1)="-","(-)","(+)"),"**","2"),
IF('Ridehailing Correlation'!N60&lt;=0.05,CONCATENATE(IF(LEFT('Ridehailing Correlation'!N28,1)="-","(-)","(+)"),"***","2"),""))))</f>
        <v/>
      </c>
      <c r="O13" s="45" t="str">
        <f>IF(ISBLANK('Ridehailing Correlation'!O60),"",
IF(AND('Ridehailing Correlation'!O60&gt;0.1,'Ridehailing Correlation'!O60&lt;=0.15),CONCATENATE(IF(LEFT('Ridehailing Correlation'!O28,1)="-","(-)","(+)"),"*","2"),
IF(AND('Ridehailing Correlation'!O60&gt;0.05,'Ridehailing Correlation'!O60&lt;=0.1),CONCATENATE(IF(LEFT('Ridehailing Correlation'!O28,1)="-","(-)","(+)"),"**","2"),
IF('Ridehailing Correlation'!O60&lt;=0.05,CONCATENATE(IF(LEFT('Ridehailing Correlation'!O28,1)="-","(-)","(+)"),"***","2"),""))))</f>
        <v/>
      </c>
      <c r="P13" s="45" t="str">
        <f>IF(ISBLANK('Ridehailing Correlation'!P60),"",
IF(AND('Ridehailing Correlation'!P60&gt;0.1,'Ridehailing Correlation'!P60&lt;=0.15),CONCATENATE(IF(LEFT('Ridehailing Correlation'!P28,1)="-","(-)","(+)"),"*","2"),
IF(AND('Ridehailing Correlation'!P60&gt;0.05,'Ridehailing Correlation'!P60&lt;=0.1),CONCATENATE(IF(LEFT('Ridehailing Correlation'!P28,1)="-","(-)","(+)"),"**","2"),
IF('Ridehailing Correlation'!P60&lt;=0.05,CONCATENATE(IF(LEFT('Ridehailing Correlation'!P28,1)="-","(-)","(+)"),"***","2"),""))))</f>
        <v/>
      </c>
      <c r="Q13" s="45" t="str">
        <f>IF(ISBLANK('Ridehailing Correlation'!Q60),"",
IF(AND('Ridehailing Correlation'!Q60&gt;0.1,'Ridehailing Correlation'!Q60&lt;=0.15),CONCATENATE(IF(LEFT('Ridehailing Correlation'!Q28,1)="-","(-)","(+)"),"*","2"),
IF(AND('Ridehailing Correlation'!Q60&gt;0.05,'Ridehailing Correlation'!Q60&lt;=0.1),CONCATENATE(IF(LEFT('Ridehailing Correlation'!Q28,1)="-","(-)","(+)"),"**","2"),
IF('Ridehailing Correlation'!Q60&lt;=0.05,CONCATENATE(IF(LEFT('Ridehailing Correlation'!Q28,1)="-","(-)","(+)"),"***","2"),""))))</f>
        <v/>
      </c>
      <c r="R13" s="45" t="str">
        <f>IF(ISBLANK('Ridehailing Correlation'!R60),"",
IF(AND('Ridehailing Correlation'!R60&gt;0.1,'Ridehailing Correlation'!R60&lt;=0.15),CONCATENATE(IF(LEFT('Ridehailing Correlation'!R28,1)="-","(-)","(+)"),"*","2"),
IF(AND('Ridehailing Correlation'!R60&gt;0.05,'Ridehailing Correlation'!R60&lt;=0.1),CONCATENATE(IF(LEFT('Ridehailing Correlation'!R28,1)="-","(-)","(+)"),"**","2"),
IF('Ridehailing Correlation'!R60&lt;=0.05,CONCATENATE(IF(LEFT('Ridehailing Correlation'!R28,1)="-","(-)","(+)"),"***","2"),""))))</f>
        <v>(-)***2</v>
      </c>
      <c r="S13" s="45" t="str">
        <f>IF(ISBLANK('Ridehailing Correlation'!S60),"",
IF(AND('Ridehailing Correlation'!S60&gt;0.1,'Ridehailing Correlation'!S60&lt;=0.15),CONCATENATE(IF(LEFT('Ridehailing Correlation'!S28,1)="-","(-)","(+)"),"*","2"),
IF(AND('Ridehailing Correlation'!S60&gt;0.05,'Ridehailing Correlation'!S60&lt;=0.1),CONCATENATE(IF(LEFT('Ridehailing Correlation'!S28,1)="-","(-)","(+)"),"**","2"),
IF('Ridehailing Correlation'!S60&lt;=0.05,CONCATENATE(IF(LEFT('Ridehailing Correlation'!S28,1)="-","(-)","(+)"),"***","2"),""))))</f>
        <v/>
      </c>
      <c r="T13" s="45" t="str">
        <f>IF(ISBLANK('Ridehailing Correlation'!T60),"",
IF(AND('Ridehailing Correlation'!T60&gt;0.1,'Ridehailing Correlation'!T60&lt;=0.15),CONCATENATE(IF(LEFT('Ridehailing Correlation'!T28,1)="-","(-)","(+)"),"*","2"),
IF(AND('Ridehailing Correlation'!T60&gt;0.05,'Ridehailing Correlation'!T60&lt;=0.1),CONCATENATE(IF(LEFT('Ridehailing Correlation'!T28,1)="-","(-)","(+)"),"**","2"),
IF('Ridehailing Correlation'!T60&lt;=0.05,CONCATENATE(IF(LEFT('Ridehailing Correlation'!T28,1)="-","(-)","(+)"),"***","2"),""))))</f>
        <v/>
      </c>
      <c r="U13" s="45" t="str">
        <f>IF(ISBLANK('Ridehailing Correlation'!U60),"",
IF(AND('Ridehailing Correlation'!U60&gt;0.1,'Ridehailing Correlation'!U60&lt;=0.15),CONCATENATE(IF(LEFT('Ridehailing Correlation'!U28,1)="-","(-)","(+)"),"*","2"),
IF(AND('Ridehailing Correlation'!U60&gt;0.05,'Ridehailing Correlation'!U60&lt;=0.1),CONCATENATE(IF(LEFT('Ridehailing Correlation'!U28,1)="-","(-)","(+)"),"**","2"),
IF('Ridehailing Correlation'!U60&lt;=0.05,CONCATENATE(IF(LEFT('Ridehailing Correlation'!U28,1)="-","(-)","(+)"),"***","2"),""))))</f>
        <v>(+)***2</v>
      </c>
      <c r="V13" s="45" t="str">
        <f>IF(ISBLANK('Ridehailing Correlation'!V60),"",
IF(AND('Ridehailing Correlation'!V60&gt;0.1,'Ridehailing Correlation'!V60&lt;=0.15),CONCATENATE(IF(LEFT('Ridehailing Correlation'!V28,1)="-","(-)","(+)"),"*","2"),
IF(AND('Ridehailing Correlation'!V60&gt;0.05,'Ridehailing Correlation'!V60&lt;=0.1),CONCATENATE(IF(LEFT('Ridehailing Correlation'!V28,1)="-","(-)","(+)"),"**","2"),
IF('Ridehailing Correlation'!V60&lt;=0.05,CONCATENATE(IF(LEFT('Ridehailing Correlation'!V28,1)="-","(-)","(+)"),"***","2"),""))))</f>
        <v/>
      </c>
      <c r="W13" s="45" t="str">
        <f>IF(ISBLANK('Ridehailing Correlation'!W60),"",
IF(AND('Ridehailing Correlation'!W60&gt;0.1,'Ridehailing Correlation'!W60&lt;=0.15),CONCATENATE(IF(LEFT('Ridehailing Correlation'!W28,1)="-","(-)","(+)"),"*","2"),
IF(AND('Ridehailing Correlation'!W60&gt;0.05,'Ridehailing Correlation'!W60&lt;=0.1),CONCATENATE(IF(LEFT('Ridehailing Correlation'!W28,1)="-","(-)","(+)"),"**","2"),
IF('Ridehailing Correlation'!W60&lt;=0.05,CONCATENATE(IF(LEFT('Ridehailing Correlation'!W28,1)="-","(-)","(+)"),"***","2"),""))))</f>
        <v>(-)***2</v>
      </c>
      <c r="X13" s="45" t="str">
        <f>IF(ISBLANK('Ridehailing Correlation'!X60),"",
IF(AND('Ridehailing Correlation'!X60&gt;0.1,'Ridehailing Correlation'!X60&lt;=0.15),CONCATENATE(IF(LEFT('Ridehailing Correlation'!X28,1)="-","(-)","(+)"),"*","2"),
IF(AND('Ridehailing Correlation'!X60&gt;0.05,'Ridehailing Correlation'!X60&lt;=0.1),CONCATENATE(IF(LEFT('Ridehailing Correlation'!X28,1)="-","(-)","(+)"),"**","2"),
IF('Ridehailing Correlation'!X60&lt;=0.05,CONCATENATE(IF(LEFT('Ridehailing Correlation'!X28,1)="-","(-)","(+)"),"***","2"),""))))</f>
        <v>(-)*2</v>
      </c>
      <c r="Y13" s="45" t="str">
        <f>IF(ISBLANK('Ridehailing Correlation'!Y60),"",
IF(AND('Ridehailing Correlation'!Y60&gt;0.1,'Ridehailing Correlation'!Y60&lt;=0.15),CONCATENATE(IF(LEFT('Ridehailing Correlation'!Y28,1)="-","(-)","(+)"),"*","2"),
IF(AND('Ridehailing Correlation'!Y60&gt;0.05,'Ridehailing Correlation'!Y60&lt;=0.1),CONCATENATE(IF(LEFT('Ridehailing Correlation'!Y28,1)="-","(-)","(+)"),"**","2"),
IF('Ridehailing Correlation'!Y60&lt;=0.05,CONCATENATE(IF(LEFT('Ridehailing Correlation'!Y28,1)="-","(-)","(+)"),"***","2"),""))))</f>
        <v>(-)*2</v>
      </c>
      <c r="Z13" s="45" t="str">
        <f>IF(ISBLANK('Ridehailing Correlation'!Z60),"",
IF(AND('Ridehailing Correlation'!Z60&gt;0.1,'Ridehailing Correlation'!Z60&lt;=0.15),CONCATENATE(IF(LEFT('Ridehailing Correlation'!Z28,1)="-","(-)","(+)"),"*","2"),
IF(AND('Ridehailing Correlation'!Z60&gt;0.05,'Ridehailing Correlation'!Z60&lt;=0.1),CONCATENATE(IF(LEFT('Ridehailing Correlation'!Z28,1)="-","(-)","(+)"),"**","2"),
IF('Ridehailing Correlation'!Z60&lt;=0.05,CONCATENATE(IF(LEFT('Ridehailing Correlation'!Z28,1)="-","(-)","(+)"),"***","2"),""))))</f>
        <v>(-)***2</v>
      </c>
      <c r="AA13" s="45" t="str">
        <f>IF(ISBLANK('Ridehailing Correlation'!AA60),"",
IF(AND('Ridehailing Correlation'!AA60&gt;0.1,'Ridehailing Correlation'!AA60&lt;=0.15),CONCATENATE(IF(LEFT('Ridehailing Correlation'!AA28,1)="-","(-)","(+)"),"*","2"),
IF(AND('Ridehailing Correlation'!AA60&gt;0.05,'Ridehailing Correlation'!AA60&lt;=0.1),CONCATENATE(IF(LEFT('Ridehailing Correlation'!AA28,1)="-","(-)","(+)"),"**","2"),
IF('Ridehailing Correlation'!AA60&lt;=0.05,CONCATENATE(IF(LEFT('Ridehailing Correlation'!AA28,1)="-","(-)","(+)"),"***","2"),""))))</f>
        <v>(-)*2</v>
      </c>
      <c r="AB13" s="45" t="str">
        <f>IF(ISBLANK('Ridehailing Correlation'!AB60),"",
IF(AND('Ridehailing Correlation'!AB60&gt;0.1,'Ridehailing Correlation'!AB60&lt;=0.15),CONCATENATE(IF(LEFT('Ridehailing Correlation'!AB28,1)="-","(-)","(+)"),"*","2"),
IF(AND('Ridehailing Correlation'!AB60&gt;0.05,'Ridehailing Correlation'!AB60&lt;=0.1),CONCATENATE(IF(LEFT('Ridehailing Correlation'!AB28,1)="-","(-)","(+)"),"**","2"),
IF('Ridehailing Correlation'!AB60&lt;=0.05,CONCATENATE(IF(LEFT('Ridehailing Correlation'!AB28,1)="-","(-)","(+)"),"***","2"),""))))</f>
        <v>(+)***2</v>
      </c>
      <c r="AC13" s="45" t="str">
        <f>IF(ISBLANK('Ridehailing Correlation'!AC60),"",
IF(AND('Ridehailing Correlation'!AC60&gt;0.1,'Ridehailing Correlation'!AC60&lt;=0.15),CONCATENATE(IF(LEFT('Ridehailing Correlation'!AC28,1)="-","(-)","(+)"),"*","2"),
IF(AND('Ridehailing Correlation'!AC60&gt;0.05,'Ridehailing Correlation'!AC60&lt;=0.1),CONCATENATE(IF(LEFT('Ridehailing Correlation'!AC28,1)="-","(-)","(+)"),"**","2"),
IF('Ridehailing Correlation'!AC60&lt;=0.05,CONCATENATE(IF(LEFT('Ridehailing Correlation'!AC28,1)="-","(-)","(+)"),"***","2"),""))))</f>
        <v/>
      </c>
    </row>
    <row r="14" spans="1:29" x14ac:dyDescent="0.35">
      <c r="A14" s="125" t="s">
        <v>2024</v>
      </c>
      <c r="B14" s="45" t="str">
        <f>IF(ISBLANK('Ridehailing Correlation'!B61),"",
IF(AND('Ridehailing Correlation'!B61&gt;0.1,'Ridehailing Correlation'!B61&lt;=0.15),CONCATENATE(IF(LEFT('Ridehailing Correlation'!B29,1)="-","(-)","(+)"),"*","2"),
IF(AND('Ridehailing Correlation'!B61&gt;0.05,'Ridehailing Correlation'!B61&lt;=0.1),CONCATENATE(IF(LEFT('Ridehailing Correlation'!B29,1)="-","(-)","(+)"),"**","2"),
IF('Ridehailing Correlation'!B61&lt;=0.05,CONCATENATE(IF(LEFT('Ridehailing Correlation'!B29,1)="-","(-)","(+)"),"***","2"),""))))</f>
        <v>(-)**2</v>
      </c>
      <c r="C14" s="45" t="str">
        <f>IF(ISBLANK('Ridehailing Correlation'!C61),"",
IF(AND('Ridehailing Correlation'!C61&gt;0.1,'Ridehailing Correlation'!C61&lt;=0.15),CONCATENATE(IF(LEFT('Ridehailing Correlation'!C29,1)="-","(-)","(+)"),"*","2"),
IF(AND('Ridehailing Correlation'!C61&gt;0.05,'Ridehailing Correlation'!C61&lt;=0.1),CONCATENATE(IF(LEFT('Ridehailing Correlation'!C29,1)="-","(-)","(+)"),"**","2"),
IF('Ridehailing Correlation'!C61&lt;=0.05,CONCATENATE(IF(LEFT('Ridehailing Correlation'!C29,1)="-","(-)","(+)"),"***","2"),""))))</f>
        <v/>
      </c>
      <c r="D14" s="45" t="str">
        <f>IF(ISBLANK('Ridehailing Correlation'!D61),"",
IF(AND('Ridehailing Correlation'!D61&gt;0.1,'Ridehailing Correlation'!D61&lt;=0.15),CONCATENATE(IF(LEFT('Ridehailing Correlation'!D29,1)="-","(-)","(+)"),"*","2"),
IF(AND('Ridehailing Correlation'!D61&gt;0.05,'Ridehailing Correlation'!D61&lt;=0.1),CONCATENATE(IF(LEFT('Ridehailing Correlation'!D29,1)="-","(-)","(+)"),"**","2"),
IF('Ridehailing Correlation'!D61&lt;=0.05,CONCATENATE(IF(LEFT('Ridehailing Correlation'!D29,1)="-","(-)","(+)"),"***","2"),""))))</f>
        <v/>
      </c>
      <c r="E14" s="45" t="str">
        <f>IF(ISBLANK('Ridehailing Correlation'!E61),"",
IF(AND('Ridehailing Correlation'!E61&gt;0.1,'Ridehailing Correlation'!E61&lt;=0.15),CONCATENATE(IF(LEFT('Ridehailing Correlation'!E29,1)="-","(-)","(+)"),"*","2"),
IF(AND('Ridehailing Correlation'!E61&gt;0.05,'Ridehailing Correlation'!E61&lt;=0.1),CONCATENATE(IF(LEFT('Ridehailing Correlation'!E29,1)="-","(-)","(+)"),"**","2"),
IF('Ridehailing Correlation'!E61&lt;=0.05,CONCATENATE(IF(LEFT('Ridehailing Correlation'!E29,1)="-","(-)","(+)"),"***","2"),""))))</f>
        <v/>
      </c>
      <c r="F14" s="45" t="str">
        <f>IF(ISBLANK('Ridehailing Correlation'!F61),"",
IF(AND('Ridehailing Correlation'!F61&gt;0.1,'Ridehailing Correlation'!F61&lt;=0.15),CONCATENATE(IF(LEFT('Ridehailing Correlation'!F29,1)="-","(-)","(+)"),"*","2"),
IF(AND('Ridehailing Correlation'!F61&gt;0.05,'Ridehailing Correlation'!F61&lt;=0.1),CONCATENATE(IF(LEFT('Ridehailing Correlation'!F29,1)="-","(-)","(+)"),"**","2"),
IF('Ridehailing Correlation'!F61&lt;=0.05,CONCATENATE(IF(LEFT('Ridehailing Correlation'!F29,1)="-","(-)","(+)"),"***","2"),""))))</f>
        <v/>
      </c>
      <c r="G14" s="45" t="str">
        <f>IF(ISBLANK('Ridehailing Correlation'!G61),"",
IF(AND('Ridehailing Correlation'!G61&gt;0.1,'Ridehailing Correlation'!G61&lt;=0.15),CONCATENATE(IF(LEFT('Ridehailing Correlation'!G29,1)="-","(-)","(+)"),"*","2"),
IF(AND('Ridehailing Correlation'!G61&gt;0.05,'Ridehailing Correlation'!G61&lt;=0.1),CONCATENATE(IF(LEFT('Ridehailing Correlation'!G29,1)="-","(-)","(+)"),"**","2"),
IF('Ridehailing Correlation'!G61&lt;=0.05,CONCATENATE(IF(LEFT('Ridehailing Correlation'!G29,1)="-","(-)","(+)"),"***","2"),""))))</f>
        <v>(-)**2</v>
      </c>
      <c r="H14" s="45" t="str">
        <f>IF(ISBLANK('Ridehailing Correlation'!H61),"",
IF(AND('Ridehailing Correlation'!H61&gt;0.1,'Ridehailing Correlation'!H61&lt;=0.15),CONCATENATE(IF(LEFT('Ridehailing Correlation'!H29,1)="-","(-)","(+)"),"*","2"),
IF(AND('Ridehailing Correlation'!H61&gt;0.05,'Ridehailing Correlation'!H61&lt;=0.1),CONCATENATE(IF(LEFT('Ridehailing Correlation'!H29,1)="-","(-)","(+)"),"**","2"),
IF('Ridehailing Correlation'!H61&lt;=0.05,CONCATENATE(IF(LEFT('Ridehailing Correlation'!H29,1)="-","(-)","(+)"),"***","2"),""))))</f>
        <v/>
      </c>
      <c r="I14" s="45" t="str">
        <f>IF(ISBLANK('Ridehailing Correlation'!I61),"",
IF(AND('Ridehailing Correlation'!I61&gt;0.1,'Ridehailing Correlation'!I61&lt;=0.15),CONCATENATE(IF(LEFT('Ridehailing Correlation'!I29,1)="-","(-)","(+)"),"*","2"),
IF(AND('Ridehailing Correlation'!I61&gt;0.05,'Ridehailing Correlation'!I61&lt;=0.1),CONCATENATE(IF(LEFT('Ridehailing Correlation'!I29,1)="-","(-)","(+)"),"**","2"),
IF('Ridehailing Correlation'!I61&lt;=0.05,CONCATENATE(IF(LEFT('Ridehailing Correlation'!I29,1)="-","(-)","(+)"),"***","2"),""))))</f>
        <v/>
      </c>
      <c r="J14" s="45" t="str">
        <f>IF(ISBLANK('Ridehailing Correlation'!J61),"",
IF(AND('Ridehailing Correlation'!J61&gt;0.1,'Ridehailing Correlation'!J61&lt;=0.15),CONCATENATE(IF(LEFT('Ridehailing Correlation'!J29,1)="-","(-)","(+)"),"*","2"),
IF(AND('Ridehailing Correlation'!J61&gt;0.05,'Ridehailing Correlation'!J61&lt;=0.1),CONCATENATE(IF(LEFT('Ridehailing Correlation'!J29,1)="-","(-)","(+)"),"**","2"),
IF('Ridehailing Correlation'!J61&lt;=0.05,CONCATENATE(IF(LEFT('Ridehailing Correlation'!J29,1)="-","(-)","(+)"),"***","2"),""))))</f>
        <v/>
      </c>
      <c r="K14" s="45" t="str">
        <f>IF(ISBLANK('Ridehailing Correlation'!K61),"",
IF(AND('Ridehailing Correlation'!K61&gt;0.1,'Ridehailing Correlation'!K61&lt;=0.15),CONCATENATE(IF(LEFT('Ridehailing Correlation'!K29,1)="-","(-)","(+)"),"*","2"),
IF(AND('Ridehailing Correlation'!K61&gt;0.05,'Ridehailing Correlation'!K61&lt;=0.1),CONCATENATE(IF(LEFT('Ridehailing Correlation'!K29,1)="-","(-)","(+)"),"**","2"),
IF('Ridehailing Correlation'!K61&lt;=0.05,CONCATENATE(IF(LEFT('Ridehailing Correlation'!K29,1)="-","(-)","(+)"),"***","2"),""))))</f>
        <v/>
      </c>
      <c r="L14" s="45" t="str">
        <f>IF(ISBLANK('Ridehailing Correlation'!L61),"",
IF(AND('Ridehailing Correlation'!L61&gt;0.1,'Ridehailing Correlation'!L61&lt;=0.15),CONCATENATE(IF(LEFT('Ridehailing Correlation'!L29,1)="-","(-)","(+)"),"*","2"),
IF(AND('Ridehailing Correlation'!L61&gt;0.05,'Ridehailing Correlation'!L61&lt;=0.1),CONCATENATE(IF(LEFT('Ridehailing Correlation'!L29,1)="-","(-)","(+)"),"**","2"),
IF('Ridehailing Correlation'!L61&lt;=0.05,CONCATENATE(IF(LEFT('Ridehailing Correlation'!L29,1)="-","(-)","(+)"),"***","2"),""))))</f>
        <v>(-)***2</v>
      </c>
      <c r="M14" s="45" t="str">
        <f>IF(ISBLANK('Ridehailing Correlation'!M61),"",
IF(AND('Ridehailing Correlation'!M61&gt;0.1,'Ridehailing Correlation'!M61&lt;=0.15),CONCATENATE(IF(LEFT('Ridehailing Correlation'!M29,1)="-","(-)","(+)"),"*","2"),
IF(AND('Ridehailing Correlation'!M61&gt;0.05,'Ridehailing Correlation'!M61&lt;=0.1),CONCATENATE(IF(LEFT('Ridehailing Correlation'!M29,1)="-","(-)","(+)"),"**","2"),
IF('Ridehailing Correlation'!M61&lt;=0.05,CONCATENATE(IF(LEFT('Ridehailing Correlation'!M29,1)="-","(-)","(+)"),"***","2"),""))))</f>
        <v/>
      </c>
      <c r="N14" s="45" t="str">
        <f>IF(ISBLANK('Ridehailing Correlation'!N61),"",
IF(AND('Ridehailing Correlation'!N61&gt;0.1,'Ridehailing Correlation'!N61&lt;=0.15),CONCATENATE(IF(LEFT('Ridehailing Correlation'!N29,1)="-","(-)","(+)"),"*","2"),
IF(AND('Ridehailing Correlation'!N61&gt;0.05,'Ridehailing Correlation'!N61&lt;=0.1),CONCATENATE(IF(LEFT('Ridehailing Correlation'!N29,1)="-","(-)","(+)"),"**","2"),
IF('Ridehailing Correlation'!N61&lt;=0.05,CONCATENATE(IF(LEFT('Ridehailing Correlation'!N29,1)="-","(-)","(+)"),"***","2"),""))))</f>
        <v/>
      </c>
      <c r="O14" s="45" t="str">
        <f>IF(ISBLANK('Ridehailing Correlation'!O61),"",
IF(AND('Ridehailing Correlation'!O61&gt;0.1,'Ridehailing Correlation'!O61&lt;=0.15),CONCATENATE(IF(LEFT('Ridehailing Correlation'!O29,1)="-","(-)","(+)"),"*","2"),
IF(AND('Ridehailing Correlation'!O61&gt;0.05,'Ridehailing Correlation'!O61&lt;=0.1),CONCATENATE(IF(LEFT('Ridehailing Correlation'!O29,1)="-","(-)","(+)"),"**","2"),
IF('Ridehailing Correlation'!O61&lt;=0.05,CONCATENATE(IF(LEFT('Ridehailing Correlation'!O29,1)="-","(-)","(+)"),"***","2"),""))))</f>
        <v/>
      </c>
      <c r="P14" s="45" t="str">
        <f>IF(ISBLANK('Ridehailing Correlation'!P61),"",
IF(AND('Ridehailing Correlation'!P61&gt;0.1,'Ridehailing Correlation'!P61&lt;=0.15),CONCATENATE(IF(LEFT('Ridehailing Correlation'!P29,1)="-","(-)","(+)"),"*","2"),
IF(AND('Ridehailing Correlation'!P61&gt;0.05,'Ridehailing Correlation'!P61&lt;=0.1),CONCATENATE(IF(LEFT('Ridehailing Correlation'!P29,1)="-","(-)","(+)"),"**","2"),
IF('Ridehailing Correlation'!P61&lt;=0.05,CONCATENATE(IF(LEFT('Ridehailing Correlation'!P29,1)="-","(-)","(+)"),"***","2"),""))))</f>
        <v/>
      </c>
      <c r="Q14" s="45" t="str">
        <f>IF(ISBLANK('Ridehailing Correlation'!Q61),"",
IF(AND('Ridehailing Correlation'!Q61&gt;0.1,'Ridehailing Correlation'!Q61&lt;=0.15),CONCATENATE(IF(LEFT('Ridehailing Correlation'!Q29,1)="-","(-)","(+)"),"*","2"),
IF(AND('Ridehailing Correlation'!Q61&gt;0.05,'Ridehailing Correlation'!Q61&lt;=0.1),CONCATENATE(IF(LEFT('Ridehailing Correlation'!Q29,1)="-","(-)","(+)"),"**","2"),
IF('Ridehailing Correlation'!Q61&lt;=0.05,CONCATENATE(IF(LEFT('Ridehailing Correlation'!Q29,1)="-","(-)","(+)"),"***","2"),""))))</f>
        <v/>
      </c>
      <c r="R14" s="45" t="str">
        <f>IF(ISBLANK('Ridehailing Correlation'!R61),"",
IF(AND('Ridehailing Correlation'!R61&gt;0.1,'Ridehailing Correlation'!R61&lt;=0.15),CONCATENATE(IF(LEFT('Ridehailing Correlation'!R29,1)="-","(-)","(+)"),"*","2"),
IF(AND('Ridehailing Correlation'!R61&gt;0.05,'Ridehailing Correlation'!R61&lt;=0.1),CONCATENATE(IF(LEFT('Ridehailing Correlation'!R29,1)="-","(-)","(+)"),"**","2"),
IF('Ridehailing Correlation'!R61&lt;=0.05,CONCATENATE(IF(LEFT('Ridehailing Correlation'!R29,1)="-","(-)","(+)"),"***","2"),""))))</f>
        <v/>
      </c>
      <c r="S14" s="45" t="str">
        <f>IF(ISBLANK('Ridehailing Correlation'!S61),"",
IF(AND('Ridehailing Correlation'!S61&gt;0.1,'Ridehailing Correlation'!S61&lt;=0.15),CONCATENATE(IF(LEFT('Ridehailing Correlation'!S29,1)="-","(-)","(+)"),"*","2"),
IF(AND('Ridehailing Correlation'!S61&gt;0.05,'Ridehailing Correlation'!S61&lt;=0.1),CONCATENATE(IF(LEFT('Ridehailing Correlation'!S29,1)="-","(-)","(+)"),"**","2"),
IF('Ridehailing Correlation'!S61&lt;=0.05,CONCATENATE(IF(LEFT('Ridehailing Correlation'!S29,1)="-","(-)","(+)"),"***","2"),""))))</f>
        <v/>
      </c>
      <c r="T14" s="45" t="str">
        <f>IF(ISBLANK('Ridehailing Correlation'!T61),"",
IF(AND('Ridehailing Correlation'!T61&gt;0.1,'Ridehailing Correlation'!T61&lt;=0.15),CONCATENATE(IF(LEFT('Ridehailing Correlation'!T29,1)="-","(-)","(+)"),"*","2"),
IF(AND('Ridehailing Correlation'!T61&gt;0.05,'Ridehailing Correlation'!T61&lt;=0.1),CONCATENATE(IF(LEFT('Ridehailing Correlation'!T29,1)="-","(-)","(+)"),"**","2"),
IF('Ridehailing Correlation'!T61&lt;=0.05,CONCATENATE(IF(LEFT('Ridehailing Correlation'!T29,1)="-","(-)","(+)"),"***","2"),""))))</f>
        <v/>
      </c>
      <c r="U14" s="45" t="str">
        <f>IF(ISBLANK('Ridehailing Correlation'!U61),"",
IF(AND('Ridehailing Correlation'!U61&gt;0.1,'Ridehailing Correlation'!U61&lt;=0.15),CONCATENATE(IF(LEFT('Ridehailing Correlation'!U29,1)="-","(-)","(+)"),"*","2"),
IF(AND('Ridehailing Correlation'!U61&gt;0.05,'Ridehailing Correlation'!U61&lt;=0.1),CONCATENATE(IF(LEFT('Ridehailing Correlation'!U29,1)="-","(-)","(+)"),"**","2"),
IF('Ridehailing Correlation'!U61&lt;=0.05,CONCATENATE(IF(LEFT('Ridehailing Correlation'!U29,1)="-","(-)","(+)"),"***","2"),""))))</f>
        <v/>
      </c>
      <c r="V14" s="45" t="str">
        <f>IF(ISBLANK('Ridehailing Correlation'!V61),"",
IF(AND('Ridehailing Correlation'!V61&gt;0.1,'Ridehailing Correlation'!V61&lt;=0.15),CONCATENATE(IF(LEFT('Ridehailing Correlation'!V29,1)="-","(-)","(+)"),"*","2"),
IF(AND('Ridehailing Correlation'!V61&gt;0.05,'Ridehailing Correlation'!V61&lt;=0.1),CONCATENATE(IF(LEFT('Ridehailing Correlation'!V29,1)="-","(-)","(+)"),"**","2"),
IF('Ridehailing Correlation'!V61&lt;=0.05,CONCATENATE(IF(LEFT('Ridehailing Correlation'!V29,1)="-","(-)","(+)"),"***","2"),""))))</f>
        <v/>
      </c>
      <c r="W14" s="45" t="str">
        <f>IF(ISBLANK('Ridehailing Correlation'!W61),"",
IF(AND('Ridehailing Correlation'!W61&gt;0.1,'Ridehailing Correlation'!W61&lt;=0.15),CONCATENATE(IF(LEFT('Ridehailing Correlation'!W29,1)="-","(-)","(+)"),"*","2"),
IF(AND('Ridehailing Correlation'!W61&gt;0.05,'Ridehailing Correlation'!W61&lt;=0.1),CONCATENATE(IF(LEFT('Ridehailing Correlation'!W29,1)="-","(-)","(+)"),"**","2"),
IF('Ridehailing Correlation'!W61&lt;=0.05,CONCATENATE(IF(LEFT('Ridehailing Correlation'!W29,1)="-","(-)","(+)"),"***","2"),""))))</f>
        <v>(-)***2</v>
      </c>
      <c r="X14" s="45" t="str">
        <f>IF(ISBLANK('Ridehailing Correlation'!X61),"",
IF(AND('Ridehailing Correlation'!X61&gt;0.1,'Ridehailing Correlation'!X61&lt;=0.15),CONCATENATE(IF(LEFT('Ridehailing Correlation'!X29,1)="-","(-)","(+)"),"*","2"),
IF(AND('Ridehailing Correlation'!X61&gt;0.05,'Ridehailing Correlation'!X61&lt;=0.1),CONCATENATE(IF(LEFT('Ridehailing Correlation'!X29,1)="-","(-)","(+)"),"**","2"),
IF('Ridehailing Correlation'!X61&lt;=0.05,CONCATENATE(IF(LEFT('Ridehailing Correlation'!X29,1)="-","(-)","(+)"),"***","2"),""))))</f>
        <v>(-)***2</v>
      </c>
      <c r="Y14" s="45" t="str">
        <f>IF(ISBLANK('Ridehailing Correlation'!Y61),"",
IF(AND('Ridehailing Correlation'!Y61&gt;0.1,'Ridehailing Correlation'!Y61&lt;=0.15),CONCATENATE(IF(LEFT('Ridehailing Correlation'!Y29,1)="-","(-)","(+)"),"*","2"),
IF(AND('Ridehailing Correlation'!Y61&gt;0.05,'Ridehailing Correlation'!Y61&lt;=0.1),CONCATENATE(IF(LEFT('Ridehailing Correlation'!Y29,1)="-","(-)","(+)"),"**","2"),
IF('Ridehailing Correlation'!Y61&lt;=0.05,CONCATENATE(IF(LEFT('Ridehailing Correlation'!Y29,1)="-","(-)","(+)"),"***","2"),""))))</f>
        <v/>
      </c>
      <c r="Z14" s="45" t="str">
        <f>IF(ISBLANK('Ridehailing Correlation'!Z61),"",
IF(AND('Ridehailing Correlation'!Z61&gt;0.1,'Ridehailing Correlation'!Z61&lt;=0.15),CONCATENATE(IF(LEFT('Ridehailing Correlation'!Z29,1)="-","(-)","(+)"),"*","2"),
IF(AND('Ridehailing Correlation'!Z61&gt;0.05,'Ridehailing Correlation'!Z61&lt;=0.1),CONCATENATE(IF(LEFT('Ridehailing Correlation'!Z29,1)="-","(-)","(+)"),"**","2"),
IF('Ridehailing Correlation'!Z61&lt;=0.05,CONCATENATE(IF(LEFT('Ridehailing Correlation'!Z29,1)="-","(-)","(+)"),"***","2"),""))))</f>
        <v>(-)**2</v>
      </c>
      <c r="AA14" s="45" t="str">
        <f>IF(ISBLANK('Ridehailing Correlation'!AA61),"",
IF(AND('Ridehailing Correlation'!AA61&gt;0.1,'Ridehailing Correlation'!AA61&lt;=0.15),CONCATENATE(IF(LEFT('Ridehailing Correlation'!AA29,1)="-","(-)","(+)"),"*","2"),
IF(AND('Ridehailing Correlation'!AA61&gt;0.05,'Ridehailing Correlation'!AA61&lt;=0.1),CONCATENATE(IF(LEFT('Ridehailing Correlation'!AA29,1)="-","(-)","(+)"),"**","2"),
IF('Ridehailing Correlation'!AA61&lt;=0.05,CONCATENATE(IF(LEFT('Ridehailing Correlation'!AA29,1)="-","(-)","(+)"),"***","2"),""))))</f>
        <v>(-)*2</v>
      </c>
      <c r="AB14" s="45" t="str">
        <f>IF(ISBLANK('Ridehailing Correlation'!AB61),"",
IF(AND('Ridehailing Correlation'!AB61&gt;0.1,'Ridehailing Correlation'!AB61&lt;=0.15),CONCATENATE(IF(LEFT('Ridehailing Correlation'!AB29,1)="-","(-)","(+)"),"*","2"),
IF(AND('Ridehailing Correlation'!AB61&gt;0.05,'Ridehailing Correlation'!AB61&lt;=0.1),CONCATENATE(IF(LEFT('Ridehailing Correlation'!AB29,1)="-","(-)","(+)"),"**","2"),
IF('Ridehailing Correlation'!AB61&lt;=0.05,CONCATENATE(IF(LEFT('Ridehailing Correlation'!AB29,1)="-","(-)","(+)"),"***","2"),""))))</f>
        <v/>
      </c>
      <c r="AC14" s="45" t="str">
        <f>IF(ISBLANK('Ridehailing Correlation'!AC61),"",
IF(AND('Ridehailing Correlation'!AC61&gt;0.1,'Ridehailing Correlation'!AC61&lt;=0.15),CONCATENATE(IF(LEFT('Ridehailing Correlation'!AC29,1)="-","(-)","(+)"),"*","2"),
IF(AND('Ridehailing Correlation'!AC61&gt;0.05,'Ridehailing Correlation'!AC61&lt;=0.1),CONCATENATE(IF(LEFT('Ridehailing Correlation'!AC29,1)="-","(-)","(+)"),"**","2"),
IF('Ridehailing Correlation'!AC61&lt;=0.05,CONCATENATE(IF(LEFT('Ridehailing Correlation'!AC29,1)="-","(-)","(+)"),"***","2"),""))))</f>
        <v>(+)***2</v>
      </c>
    </row>
    <row r="15" spans="1:29" x14ac:dyDescent="0.35">
      <c r="A15" s="224" t="s">
        <v>2250</v>
      </c>
      <c r="B15" s="45" t="str">
        <f>IF(ISBLANK('Ridehailing Correlation'!B62),"",
IF(AND('Ridehailing Correlation'!B62&gt;0.1,'Ridehailing Correlation'!B62&lt;=0.15),CONCATENATE(IF(LEFT('Ridehailing Correlation'!B30,1)="-","(-)","(+)"),"*","2"),
IF(AND('Ridehailing Correlation'!B62&gt;0.05,'Ridehailing Correlation'!B62&lt;=0.1),CONCATENATE(IF(LEFT('Ridehailing Correlation'!B30,1)="-","(-)","(+)"),"**","2"),
IF('Ridehailing Correlation'!B62&lt;=0.05,CONCATENATE(IF(LEFT('Ridehailing Correlation'!B30,1)="-","(-)","(+)"),"***","2"),""))))</f>
        <v/>
      </c>
      <c r="C15" s="45" t="str">
        <f>IF(ISBLANK('Ridehailing Correlation'!C62),"",
IF(AND('Ridehailing Correlation'!C62&gt;0.1,'Ridehailing Correlation'!C62&lt;=0.15),CONCATENATE(IF(LEFT('Ridehailing Correlation'!C30,1)="-","(-)","(+)"),"*","2"),
IF(AND('Ridehailing Correlation'!C62&gt;0.05,'Ridehailing Correlation'!C62&lt;=0.1),CONCATENATE(IF(LEFT('Ridehailing Correlation'!C30,1)="-","(-)","(+)"),"**","2"),
IF('Ridehailing Correlation'!C62&lt;=0.05,CONCATENATE(IF(LEFT('Ridehailing Correlation'!C30,1)="-","(-)","(+)"),"***","2"),""))))</f>
        <v/>
      </c>
      <c r="D15" s="45" t="str">
        <f>IF(ISBLANK('Ridehailing Correlation'!D62),"",
IF(AND('Ridehailing Correlation'!D62&gt;0.1,'Ridehailing Correlation'!D62&lt;=0.15),CONCATENATE(IF(LEFT('Ridehailing Correlation'!D30,1)="-","(-)","(+)"),"*","2"),
IF(AND('Ridehailing Correlation'!D62&gt;0.05,'Ridehailing Correlation'!D62&lt;=0.1),CONCATENATE(IF(LEFT('Ridehailing Correlation'!D30,1)="-","(-)","(+)"),"**","2"),
IF('Ridehailing Correlation'!D62&lt;=0.05,CONCATENATE(IF(LEFT('Ridehailing Correlation'!D30,1)="-","(-)","(+)"),"***","2"),""))))</f>
        <v/>
      </c>
      <c r="E15" s="45" t="str">
        <f>IF(ISBLANK('Ridehailing Correlation'!E62),"",
IF(AND('Ridehailing Correlation'!E62&gt;0.1,'Ridehailing Correlation'!E62&lt;=0.15),CONCATENATE(IF(LEFT('Ridehailing Correlation'!E30,1)="-","(-)","(+)"),"*","2"),
IF(AND('Ridehailing Correlation'!E62&gt;0.05,'Ridehailing Correlation'!E62&lt;=0.1),CONCATENATE(IF(LEFT('Ridehailing Correlation'!E30,1)="-","(-)","(+)"),"**","2"),
IF('Ridehailing Correlation'!E62&lt;=0.05,CONCATENATE(IF(LEFT('Ridehailing Correlation'!E30,1)="-","(-)","(+)"),"***","2"),""))))</f>
        <v/>
      </c>
      <c r="F15" s="45" t="str">
        <f>IF(ISBLANK('Ridehailing Correlation'!F62),"",
IF(AND('Ridehailing Correlation'!F62&gt;0.1,'Ridehailing Correlation'!F62&lt;=0.15),CONCATENATE(IF(LEFT('Ridehailing Correlation'!F30,1)="-","(-)","(+)"),"*","2"),
IF(AND('Ridehailing Correlation'!F62&gt;0.05,'Ridehailing Correlation'!F62&lt;=0.1),CONCATENATE(IF(LEFT('Ridehailing Correlation'!F30,1)="-","(-)","(+)"),"**","2"),
IF('Ridehailing Correlation'!F62&lt;=0.05,CONCATENATE(IF(LEFT('Ridehailing Correlation'!F30,1)="-","(-)","(+)"),"***","2"),""))))</f>
        <v/>
      </c>
      <c r="G15" s="45" t="str">
        <f>IF(ISBLANK('Ridehailing Correlation'!G62),"",
IF(AND('Ridehailing Correlation'!G62&gt;0.1,'Ridehailing Correlation'!G62&lt;=0.15),CONCATENATE(IF(LEFT('Ridehailing Correlation'!G30,1)="-","(-)","(+)"),"*","2"),
IF(AND('Ridehailing Correlation'!G62&gt;0.05,'Ridehailing Correlation'!G62&lt;=0.1),CONCATENATE(IF(LEFT('Ridehailing Correlation'!G30,1)="-","(-)","(+)"),"**","2"),
IF('Ridehailing Correlation'!G62&lt;=0.05,CONCATENATE(IF(LEFT('Ridehailing Correlation'!G30,1)="-","(-)","(+)"),"***","2"),""))))</f>
        <v/>
      </c>
      <c r="H15" s="45" t="str">
        <f>IF(ISBLANK('Ridehailing Correlation'!H62),"",
IF(AND('Ridehailing Correlation'!H62&gt;0.1,'Ridehailing Correlation'!H62&lt;=0.15),CONCATENATE(IF(LEFT('Ridehailing Correlation'!H30,1)="-","(-)","(+)"),"*","2"),
IF(AND('Ridehailing Correlation'!H62&gt;0.05,'Ridehailing Correlation'!H62&lt;=0.1),CONCATENATE(IF(LEFT('Ridehailing Correlation'!H30,1)="-","(-)","(+)"),"**","2"),
IF('Ridehailing Correlation'!H62&lt;=0.05,CONCATENATE(IF(LEFT('Ridehailing Correlation'!H30,1)="-","(-)","(+)"),"***","2"),""))))</f>
        <v/>
      </c>
      <c r="I15" s="45" t="str">
        <f>IF(ISBLANK('Ridehailing Correlation'!I62),"",
IF(AND('Ridehailing Correlation'!I62&gt;0.1,'Ridehailing Correlation'!I62&lt;=0.15),CONCATENATE(IF(LEFT('Ridehailing Correlation'!I30,1)="-","(-)","(+)"),"*","2"),
IF(AND('Ridehailing Correlation'!I62&gt;0.05,'Ridehailing Correlation'!I62&lt;=0.1),CONCATENATE(IF(LEFT('Ridehailing Correlation'!I30,1)="-","(-)","(+)"),"**","2"),
IF('Ridehailing Correlation'!I62&lt;=0.05,CONCATENATE(IF(LEFT('Ridehailing Correlation'!I30,1)="-","(-)","(+)"),"***","2"),""))))</f>
        <v/>
      </c>
      <c r="J15" s="45" t="str">
        <f>IF(ISBLANK('Ridehailing Correlation'!J62),"",
IF(AND('Ridehailing Correlation'!J62&gt;0.1,'Ridehailing Correlation'!J62&lt;=0.15),CONCATENATE(IF(LEFT('Ridehailing Correlation'!J30,1)="-","(-)","(+)"),"*","2"),
IF(AND('Ridehailing Correlation'!J62&gt;0.05,'Ridehailing Correlation'!J62&lt;=0.1),CONCATENATE(IF(LEFT('Ridehailing Correlation'!J30,1)="-","(-)","(+)"),"**","2"),
IF('Ridehailing Correlation'!J62&lt;=0.05,CONCATENATE(IF(LEFT('Ridehailing Correlation'!J30,1)="-","(-)","(+)"),"***","2"),""))))</f>
        <v/>
      </c>
      <c r="K15" s="45" t="str">
        <f>IF(ISBLANK('Ridehailing Correlation'!K62),"",
IF(AND('Ridehailing Correlation'!K62&gt;0.1,'Ridehailing Correlation'!K62&lt;=0.15),CONCATENATE(IF(LEFT('Ridehailing Correlation'!K30,1)="-","(-)","(+)"),"*","2"),
IF(AND('Ridehailing Correlation'!K62&gt;0.05,'Ridehailing Correlation'!K62&lt;=0.1),CONCATENATE(IF(LEFT('Ridehailing Correlation'!K30,1)="-","(-)","(+)"),"**","2"),
IF('Ridehailing Correlation'!K62&lt;=0.05,CONCATENATE(IF(LEFT('Ridehailing Correlation'!K30,1)="-","(-)","(+)"),"***","2"),""))))</f>
        <v/>
      </c>
      <c r="L15" s="45" t="str">
        <f>IF(ISBLANK('Ridehailing Correlation'!L62),"",
IF(AND('Ridehailing Correlation'!L62&gt;0.1,'Ridehailing Correlation'!L62&lt;=0.15),CONCATENATE(IF(LEFT('Ridehailing Correlation'!L30,1)="-","(-)","(+)"),"*","2"),
IF(AND('Ridehailing Correlation'!L62&gt;0.05,'Ridehailing Correlation'!L62&lt;=0.1),CONCATENATE(IF(LEFT('Ridehailing Correlation'!L30,1)="-","(-)","(+)"),"**","2"),
IF('Ridehailing Correlation'!L62&lt;=0.05,CONCATENATE(IF(LEFT('Ridehailing Correlation'!L30,1)="-","(-)","(+)"),"***","2"),""))))</f>
        <v/>
      </c>
      <c r="M15" s="45" t="str">
        <f>IF(ISBLANK('Ridehailing Correlation'!M62),"",
IF(AND('Ridehailing Correlation'!M62&gt;0.1,'Ridehailing Correlation'!M62&lt;=0.15),CONCATENATE(IF(LEFT('Ridehailing Correlation'!M30,1)="-","(-)","(+)"),"*","2"),
IF(AND('Ridehailing Correlation'!M62&gt;0.05,'Ridehailing Correlation'!M62&lt;=0.1),CONCATENATE(IF(LEFT('Ridehailing Correlation'!M30,1)="-","(-)","(+)"),"**","2"),
IF('Ridehailing Correlation'!M62&lt;=0.05,CONCATENATE(IF(LEFT('Ridehailing Correlation'!M30,1)="-","(-)","(+)"),"***","2"),""))))</f>
        <v/>
      </c>
      <c r="N15" s="45" t="str">
        <f>IF(ISBLANK('Ridehailing Correlation'!N62),"",
IF(AND('Ridehailing Correlation'!N62&gt;0.1,'Ridehailing Correlation'!N62&lt;=0.15),CONCATENATE(IF(LEFT('Ridehailing Correlation'!N30,1)="-","(-)","(+)"),"*","2"),
IF(AND('Ridehailing Correlation'!N62&gt;0.05,'Ridehailing Correlation'!N62&lt;=0.1),CONCATENATE(IF(LEFT('Ridehailing Correlation'!N30,1)="-","(-)","(+)"),"**","2"),
IF('Ridehailing Correlation'!N62&lt;=0.05,CONCATENATE(IF(LEFT('Ridehailing Correlation'!N30,1)="-","(-)","(+)"),"***","2"),""))))</f>
        <v>(-)**2</v>
      </c>
      <c r="O15" s="45" t="str">
        <f>IF(ISBLANK('Ridehailing Correlation'!O62),"",
IF(AND('Ridehailing Correlation'!O62&gt;0.1,'Ridehailing Correlation'!O62&lt;=0.15),CONCATENATE(IF(LEFT('Ridehailing Correlation'!O30,1)="-","(-)","(+)"),"*","2"),
IF(AND('Ridehailing Correlation'!O62&gt;0.05,'Ridehailing Correlation'!O62&lt;=0.1),CONCATENATE(IF(LEFT('Ridehailing Correlation'!O30,1)="-","(-)","(+)"),"**","2"),
IF('Ridehailing Correlation'!O62&lt;=0.05,CONCATENATE(IF(LEFT('Ridehailing Correlation'!O30,1)="-","(-)","(+)"),"***","2"),""))))</f>
        <v/>
      </c>
      <c r="P15" s="45" t="str">
        <f>IF(ISBLANK('Ridehailing Correlation'!P62),"",
IF(AND('Ridehailing Correlation'!P62&gt;0.1,'Ridehailing Correlation'!P62&lt;=0.15),CONCATENATE(IF(LEFT('Ridehailing Correlation'!P30,1)="-","(-)","(+)"),"*","2"),
IF(AND('Ridehailing Correlation'!P62&gt;0.05,'Ridehailing Correlation'!P62&lt;=0.1),CONCATENATE(IF(LEFT('Ridehailing Correlation'!P30,1)="-","(-)","(+)"),"**","2"),
IF('Ridehailing Correlation'!P62&lt;=0.05,CONCATENATE(IF(LEFT('Ridehailing Correlation'!P30,1)="-","(-)","(+)"),"***","2"),""))))</f>
        <v/>
      </c>
      <c r="Q15" s="45" t="str">
        <f>IF(ISBLANK('Ridehailing Correlation'!Q62),"",
IF(AND('Ridehailing Correlation'!Q62&gt;0.1,'Ridehailing Correlation'!Q62&lt;=0.15),CONCATENATE(IF(LEFT('Ridehailing Correlation'!Q30,1)="-","(-)","(+)"),"*","2"),
IF(AND('Ridehailing Correlation'!Q62&gt;0.05,'Ridehailing Correlation'!Q62&lt;=0.1),CONCATENATE(IF(LEFT('Ridehailing Correlation'!Q30,1)="-","(-)","(+)"),"**","2"),
IF('Ridehailing Correlation'!Q62&lt;=0.05,CONCATENATE(IF(LEFT('Ridehailing Correlation'!Q30,1)="-","(-)","(+)"),"***","2"),""))))</f>
        <v>(-)*2</v>
      </c>
      <c r="R15" s="45" t="str">
        <f>IF(ISBLANK('Ridehailing Correlation'!R62),"",
IF(AND('Ridehailing Correlation'!R62&gt;0.1,'Ridehailing Correlation'!R62&lt;=0.15),CONCATENATE(IF(LEFT('Ridehailing Correlation'!R30,1)="-","(-)","(+)"),"*","2"),
IF(AND('Ridehailing Correlation'!R62&gt;0.05,'Ridehailing Correlation'!R62&lt;=0.1),CONCATENATE(IF(LEFT('Ridehailing Correlation'!R30,1)="-","(-)","(+)"),"**","2"),
IF('Ridehailing Correlation'!R62&lt;=0.05,CONCATENATE(IF(LEFT('Ridehailing Correlation'!R30,1)="-","(-)","(+)"),"***","2"),""))))</f>
        <v/>
      </c>
      <c r="S15" s="45" t="str">
        <f>IF(ISBLANK('Ridehailing Correlation'!S62),"",
IF(AND('Ridehailing Correlation'!S62&gt;0.1,'Ridehailing Correlation'!S62&lt;=0.15),CONCATENATE(IF(LEFT('Ridehailing Correlation'!S30,1)="-","(-)","(+)"),"*","2"),
IF(AND('Ridehailing Correlation'!S62&gt;0.05,'Ridehailing Correlation'!S62&lt;=0.1),CONCATENATE(IF(LEFT('Ridehailing Correlation'!S30,1)="-","(-)","(+)"),"**","2"),
IF('Ridehailing Correlation'!S62&lt;=0.05,CONCATENATE(IF(LEFT('Ridehailing Correlation'!S30,1)="-","(-)","(+)"),"***","2"),""))))</f>
        <v/>
      </c>
      <c r="T15" s="45" t="str">
        <f>IF(ISBLANK('Ridehailing Correlation'!T62),"",
IF(AND('Ridehailing Correlation'!T62&gt;0.1,'Ridehailing Correlation'!T62&lt;=0.15),CONCATENATE(IF(LEFT('Ridehailing Correlation'!T30,1)="-","(-)","(+)"),"*","2"),
IF(AND('Ridehailing Correlation'!T62&gt;0.05,'Ridehailing Correlation'!T62&lt;=0.1),CONCATENATE(IF(LEFT('Ridehailing Correlation'!T30,1)="-","(-)","(+)"),"**","2"),
IF('Ridehailing Correlation'!T62&lt;=0.05,CONCATENATE(IF(LEFT('Ridehailing Correlation'!T30,1)="-","(-)","(+)"),"***","2"),""))))</f>
        <v/>
      </c>
      <c r="U15" s="45" t="str">
        <f>IF(ISBLANK('Ridehailing Correlation'!U62),"",
IF(AND('Ridehailing Correlation'!U62&gt;0.1,'Ridehailing Correlation'!U62&lt;=0.15),CONCATENATE(IF(LEFT('Ridehailing Correlation'!U30,1)="-","(-)","(+)"),"*","2"),
IF(AND('Ridehailing Correlation'!U62&gt;0.05,'Ridehailing Correlation'!U62&lt;=0.1),CONCATENATE(IF(LEFT('Ridehailing Correlation'!U30,1)="-","(-)","(+)"),"**","2"),
IF('Ridehailing Correlation'!U62&lt;=0.05,CONCATENATE(IF(LEFT('Ridehailing Correlation'!U30,1)="-","(-)","(+)"),"***","2"),""))))</f>
        <v/>
      </c>
      <c r="V15" s="45" t="str">
        <f>IF(ISBLANK('Ridehailing Correlation'!V62),"",
IF(AND('Ridehailing Correlation'!V62&gt;0.1,'Ridehailing Correlation'!V62&lt;=0.15),CONCATENATE(IF(LEFT('Ridehailing Correlation'!V30,1)="-","(-)","(+)"),"*","2"),
IF(AND('Ridehailing Correlation'!V62&gt;0.05,'Ridehailing Correlation'!V62&lt;=0.1),CONCATENATE(IF(LEFT('Ridehailing Correlation'!V30,1)="-","(-)","(+)"),"**","2"),
IF('Ridehailing Correlation'!V62&lt;=0.05,CONCATENATE(IF(LEFT('Ridehailing Correlation'!V30,1)="-","(-)","(+)"),"***","2"),""))))</f>
        <v/>
      </c>
      <c r="W15" s="45" t="str">
        <f>IF(ISBLANK('Ridehailing Correlation'!W62),"",
IF(AND('Ridehailing Correlation'!W62&gt;0.1,'Ridehailing Correlation'!W62&lt;=0.15),CONCATENATE(IF(LEFT('Ridehailing Correlation'!W30,1)="-","(-)","(+)"),"*","2"),
IF(AND('Ridehailing Correlation'!W62&gt;0.05,'Ridehailing Correlation'!W62&lt;=0.1),CONCATENATE(IF(LEFT('Ridehailing Correlation'!W30,1)="-","(-)","(+)"),"**","2"),
IF('Ridehailing Correlation'!W62&lt;=0.05,CONCATENATE(IF(LEFT('Ridehailing Correlation'!W30,1)="-","(-)","(+)"),"***","2"),""))))</f>
        <v/>
      </c>
      <c r="X15" s="45" t="str">
        <f>IF(ISBLANK('Ridehailing Correlation'!X62),"",
IF(AND('Ridehailing Correlation'!X62&gt;0.1,'Ridehailing Correlation'!X62&lt;=0.15),CONCATENATE(IF(LEFT('Ridehailing Correlation'!X30,1)="-","(-)","(+)"),"*","2"),
IF(AND('Ridehailing Correlation'!X62&gt;0.05,'Ridehailing Correlation'!X62&lt;=0.1),CONCATENATE(IF(LEFT('Ridehailing Correlation'!X30,1)="-","(-)","(+)"),"**","2"),
IF('Ridehailing Correlation'!X62&lt;=0.05,CONCATENATE(IF(LEFT('Ridehailing Correlation'!X30,1)="-","(-)","(+)"),"***","2"),""))))</f>
        <v/>
      </c>
      <c r="Y15" s="45" t="str">
        <f>IF(ISBLANK('Ridehailing Correlation'!Y62),"",
IF(AND('Ridehailing Correlation'!Y62&gt;0.1,'Ridehailing Correlation'!Y62&lt;=0.15),CONCATENATE(IF(LEFT('Ridehailing Correlation'!Y30,1)="-","(-)","(+)"),"*","2"),
IF(AND('Ridehailing Correlation'!Y62&gt;0.05,'Ridehailing Correlation'!Y62&lt;=0.1),CONCATENATE(IF(LEFT('Ridehailing Correlation'!Y30,1)="-","(-)","(+)"),"**","2"),
IF('Ridehailing Correlation'!Y62&lt;=0.05,CONCATENATE(IF(LEFT('Ridehailing Correlation'!Y30,1)="-","(-)","(+)"),"***","2"),""))))</f>
        <v>(-)**2</v>
      </c>
      <c r="Z15" s="45" t="str">
        <f>IF(ISBLANK('Ridehailing Correlation'!Z62),"",
IF(AND('Ridehailing Correlation'!Z62&gt;0.1,'Ridehailing Correlation'!Z62&lt;=0.15),CONCATENATE(IF(LEFT('Ridehailing Correlation'!Z30,1)="-","(-)","(+)"),"*","2"),
IF(AND('Ridehailing Correlation'!Z62&gt;0.05,'Ridehailing Correlation'!Z62&lt;=0.1),CONCATENATE(IF(LEFT('Ridehailing Correlation'!Z30,1)="-","(-)","(+)"),"**","2"),
IF('Ridehailing Correlation'!Z62&lt;=0.05,CONCATENATE(IF(LEFT('Ridehailing Correlation'!Z30,1)="-","(-)","(+)"),"***","2"),""))))</f>
        <v/>
      </c>
      <c r="AA15" s="45" t="str">
        <f>IF(ISBLANK('Ridehailing Correlation'!AA62),"",
IF(AND('Ridehailing Correlation'!AA62&gt;0.1,'Ridehailing Correlation'!AA62&lt;=0.15),CONCATENATE(IF(LEFT('Ridehailing Correlation'!AA30,1)="-","(-)","(+)"),"*","2"),
IF(AND('Ridehailing Correlation'!AA62&gt;0.05,'Ridehailing Correlation'!AA62&lt;=0.1),CONCATENATE(IF(LEFT('Ridehailing Correlation'!AA30,1)="-","(-)","(+)"),"**","2"),
IF('Ridehailing Correlation'!AA62&lt;=0.05,CONCATENATE(IF(LEFT('Ridehailing Correlation'!AA30,1)="-","(-)","(+)"),"***","2"),""))))</f>
        <v/>
      </c>
      <c r="AB15" s="45" t="str">
        <f>IF(ISBLANK('Ridehailing Correlation'!AB62),"",
IF(AND('Ridehailing Correlation'!AB62&gt;0.1,'Ridehailing Correlation'!AB62&lt;=0.15),CONCATENATE(IF(LEFT('Ridehailing Correlation'!AB30,1)="-","(-)","(+)"),"*","2"),
IF(AND('Ridehailing Correlation'!AB62&gt;0.05,'Ridehailing Correlation'!AB62&lt;=0.1),CONCATENATE(IF(LEFT('Ridehailing Correlation'!AB30,1)="-","(-)","(+)"),"**","2"),
IF('Ridehailing Correlation'!AB62&lt;=0.05,CONCATENATE(IF(LEFT('Ridehailing Correlation'!AB30,1)="-","(-)","(+)"),"***","2"),""))))</f>
        <v/>
      </c>
      <c r="AC15" s="45" t="str">
        <f>IF(ISBLANK('Ridehailing Correlation'!AC62),"",
IF(AND('Ridehailing Correlation'!AC62&gt;0.1,'Ridehailing Correlation'!AC62&lt;=0.15),CONCATENATE(IF(LEFT('Ridehailing Correlation'!AC30,1)="-","(-)","(+)"),"*","2"),
IF(AND('Ridehailing Correlation'!AC62&gt;0.05,'Ridehailing Correlation'!AC62&lt;=0.1),CONCATENATE(IF(LEFT('Ridehailing Correlation'!AC30,1)="-","(-)","(+)"),"**","2"),
IF('Ridehailing Correlation'!AC62&lt;=0.05,CONCATENATE(IF(LEFT('Ridehailing Correlation'!AC30,1)="-","(-)","(+)"),"***","2"),""))))</f>
        <v/>
      </c>
    </row>
    <row r="17" spans="1:29" ht="29" x14ac:dyDescent="0.35">
      <c r="A17" s="125" t="s">
        <v>2061</v>
      </c>
      <c r="B17" s="379" t="str">
        <f>IF(ISBLANK('Trucking Correlation'!B60),"",
IF(AND('Trucking Correlation'!B60&gt;0.1,'Trucking Correlation'!B60&lt;=0.15),CONCATENATE(IF(LEFT('Trucking Correlation'!B28,1)="-","(-)","(+)"),"*","3"),
IF(AND('Trucking Correlation'!B60&gt;0.05,'Trucking Correlation'!B60&lt;=0.1),CONCATENATE(IF(LEFT('Trucking Correlation'!B28,1)="-","(-)","(+)"),"**","3"),
IF('Trucking Correlation'!B60&lt;=0.05,CONCATENATE(IF(LEFT('Trucking Correlation'!B28,1)="-","(-)","(+)"),"***","3"),""))))</f>
        <v/>
      </c>
      <c r="C17" s="379" t="str">
        <f>IF(ISBLANK('Trucking Correlation'!C60),"",
IF(AND('Trucking Correlation'!C60&gt;0.1,'Trucking Correlation'!C60&lt;=0.15),CONCATENATE(IF(LEFT('Trucking Correlation'!C28,1)="-","(-)","(+)"),"*","3"),
IF(AND('Trucking Correlation'!C60&gt;0.05,'Trucking Correlation'!C60&lt;=0.1),CONCATENATE(IF(LEFT('Trucking Correlation'!C28,1)="-","(-)","(+)"),"**","3"),
IF('Trucking Correlation'!C60&lt;=0.05,CONCATENATE(IF(LEFT('Trucking Correlation'!C28,1)="-","(-)","(+)"),"***","3"),""))))</f>
        <v>(+)***3</v>
      </c>
      <c r="D17" s="379" t="str">
        <f>IF(ISBLANK('Trucking Correlation'!D60),"",
IF(AND('Trucking Correlation'!D60&gt;0.1,'Trucking Correlation'!D60&lt;=0.15),CONCATENATE(IF(LEFT('Trucking Correlation'!D28,1)="-","(-)","(+)"),"*","3"),
IF(AND('Trucking Correlation'!D60&gt;0.05,'Trucking Correlation'!D60&lt;=0.1),CONCATENATE(IF(LEFT('Trucking Correlation'!D28,1)="-","(-)","(+)"),"**","3"),
IF('Trucking Correlation'!D60&lt;=0.05,CONCATENATE(IF(LEFT('Trucking Correlation'!D28,1)="-","(-)","(+)"),"***","3"),""))))</f>
        <v/>
      </c>
      <c r="E17" s="379" t="str">
        <f>IF(ISBLANK('Trucking Correlation'!E60),"",
IF(AND('Trucking Correlation'!E60&gt;0.1,'Trucking Correlation'!E60&lt;=0.15),CONCATENATE(IF(LEFT('Trucking Correlation'!E28,1)="-","(-)","(+)"),"*","3"),
IF(AND('Trucking Correlation'!E60&gt;0.05,'Trucking Correlation'!E60&lt;=0.1),CONCATENATE(IF(LEFT('Trucking Correlation'!E28,1)="-","(-)","(+)"),"**","3"),
IF('Trucking Correlation'!E60&lt;=0.05,CONCATENATE(IF(LEFT('Trucking Correlation'!E28,1)="-","(-)","(+)"),"***","3"),""))))</f>
        <v/>
      </c>
      <c r="F17" s="379" t="str">
        <f>IF(ISBLANK('Trucking Correlation'!F60),"",
IF(AND('Trucking Correlation'!F60&gt;0.1,'Trucking Correlation'!F60&lt;=0.15),CONCATENATE(IF(LEFT('Trucking Correlation'!F28,1)="-","(-)","(+)"),"*","3"),
IF(AND('Trucking Correlation'!F60&gt;0.05,'Trucking Correlation'!F60&lt;=0.1),CONCATENATE(IF(LEFT('Trucking Correlation'!F28,1)="-","(-)","(+)"),"**","3"),
IF('Trucking Correlation'!F60&lt;=0.05,CONCATENATE(IF(LEFT('Trucking Correlation'!F28,1)="-","(-)","(+)"),"***","3"),""))))</f>
        <v>(+)**3</v>
      </c>
      <c r="G17" s="379" t="str">
        <f>IF(ISBLANK('Trucking Correlation'!G60),"",
IF(AND('Trucking Correlation'!G60&gt;0.1,'Trucking Correlation'!G60&lt;=0.15),CONCATENATE(IF(LEFT('Trucking Correlation'!G28,1)="-","(-)","(+)"),"*","3"),
IF(AND('Trucking Correlation'!G60&gt;0.05,'Trucking Correlation'!G60&lt;=0.1),CONCATENATE(IF(LEFT('Trucking Correlation'!G28,1)="-","(-)","(+)"),"**","3"),
IF('Trucking Correlation'!G60&lt;=0.05,CONCATENATE(IF(LEFT('Trucking Correlation'!G28,1)="-","(-)","(+)"),"***","3"),""))))</f>
        <v/>
      </c>
      <c r="H17" s="379" t="str">
        <f>IF(ISBLANK('Trucking Correlation'!H60),"",
IF(AND('Trucking Correlation'!H60&gt;0.1,'Trucking Correlation'!H60&lt;=0.15),CONCATENATE(IF(LEFT('Trucking Correlation'!H28,1)="-","(-)","(+)"),"*","3"),
IF(AND('Trucking Correlation'!H60&gt;0.05,'Trucking Correlation'!H60&lt;=0.1),CONCATENATE(IF(LEFT('Trucking Correlation'!H28,1)="-","(-)","(+)"),"**","3"),
IF('Trucking Correlation'!H60&lt;=0.05,CONCATENATE(IF(LEFT('Trucking Correlation'!H28,1)="-","(-)","(+)"),"***","3"),""))))</f>
        <v/>
      </c>
      <c r="I17" s="379" t="str">
        <f>IF(ISBLANK('Trucking Correlation'!I60),"",
IF(AND('Trucking Correlation'!I60&gt;0.1,'Trucking Correlation'!I60&lt;=0.15),CONCATENATE(IF(LEFT('Trucking Correlation'!I28,1)="-","(-)","(+)"),"*","3"),
IF(AND('Trucking Correlation'!I60&gt;0.05,'Trucking Correlation'!I60&lt;=0.1),CONCATENATE(IF(LEFT('Trucking Correlation'!I28,1)="-","(-)","(+)"),"**","3"),
IF('Trucking Correlation'!I60&lt;=0.05,CONCATENATE(IF(LEFT('Trucking Correlation'!I28,1)="-","(-)","(+)"),"***","3"),""))))</f>
        <v/>
      </c>
      <c r="J17" s="379" t="str">
        <f>IF(ISBLANK('Trucking Correlation'!J60),"",
IF(AND('Trucking Correlation'!J60&gt;0.1,'Trucking Correlation'!J60&lt;=0.15),CONCATENATE(IF(LEFT('Trucking Correlation'!J28,1)="-","(-)","(+)"),"*","3"),
IF(AND('Trucking Correlation'!J60&gt;0.05,'Trucking Correlation'!J60&lt;=0.1),CONCATENATE(IF(LEFT('Trucking Correlation'!J28,1)="-","(-)","(+)"),"**","3"),
IF('Trucking Correlation'!J60&lt;=0.05,CONCATENATE(IF(LEFT('Trucking Correlation'!J28,1)="-","(-)","(+)"),"***","3"),""))))</f>
        <v/>
      </c>
      <c r="K17" s="379" t="str">
        <f>IF(ISBLANK('Trucking Correlation'!K60),"",
IF(AND('Trucking Correlation'!K60&gt;0.1,'Trucking Correlation'!K60&lt;=0.15),CONCATENATE(IF(LEFT('Trucking Correlation'!K28,1)="-","(-)","(+)"),"*","3"),
IF(AND('Trucking Correlation'!K60&gt;0.05,'Trucking Correlation'!K60&lt;=0.1),CONCATENATE(IF(LEFT('Trucking Correlation'!K28,1)="-","(-)","(+)"),"**","3"),
IF('Trucking Correlation'!K60&lt;=0.05,CONCATENATE(IF(LEFT('Trucking Correlation'!K28,1)="-","(-)","(+)"),"***","3"),""))))</f>
        <v/>
      </c>
      <c r="L17" s="379" t="str">
        <f>IF(ISBLANK('Trucking Correlation'!L60),"",
IF(AND('Trucking Correlation'!L60&gt;0.1,'Trucking Correlation'!L60&lt;=0.15),CONCATENATE(IF(LEFT('Trucking Correlation'!L28,1)="-","(-)","(+)"),"*","3"),
IF(AND('Trucking Correlation'!L60&gt;0.05,'Trucking Correlation'!L60&lt;=0.1),CONCATENATE(IF(LEFT('Trucking Correlation'!L28,1)="-","(-)","(+)"),"**","3"),
IF('Trucking Correlation'!L60&lt;=0.05,CONCATENATE(IF(LEFT('Trucking Correlation'!L28,1)="-","(-)","(+)"),"***","3"),""))))</f>
        <v/>
      </c>
      <c r="M17" s="379" t="str">
        <f>IF(ISBLANK('Trucking Correlation'!M60),"",
IF(AND('Trucking Correlation'!M60&gt;0.1,'Trucking Correlation'!M60&lt;=0.15),CONCATENATE(IF(LEFT('Trucking Correlation'!M28,1)="-","(-)","(+)"),"*","3"),
IF(AND('Trucking Correlation'!M60&gt;0.05,'Trucking Correlation'!M60&lt;=0.1),CONCATENATE(IF(LEFT('Trucking Correlation'!M28,1)="-","(-)","(+)"),"**","3"),
IF('Trucking Correlation'!M60&lt;=0.05,CONCATENATE(IF(LEFT('Trucking Correlation'!M28,1)="-","(-)","(+)"),"***","3"),""))))</f>
        <v/>
      </c>
      <c r="N17" s="379" t="str">
        <f>IF(ISBLANK('Trucking Correlation'!N60),"",
IF(AND('Trucking Correlation'!N60&gt;0.1,'Trucking Correlation'!N60&lt;=0.15),CONCATENATE(IF(LEFT('Trucking Correlation'!N28,1)="-","(-)","(+)"),"*","3"),
IF(AND('Trucking Correlation'!N60&gt;0.05,'Trucking Correlation'!N60&lt;=0.1),CONCATENATE(IF(LEFT('Trucking Correlation'!N28,1)="-","(-)","(+)"),"**","3"),
IF('Trucking Correlation'!N60&lt;=0.05,CONCATENATE(IF(LEFT('Trucking Correlation'!N28,1)="-","(-)","(+)"),"***","3"),""))))</f>
        <v/>
      </c>
      <c r="O17" s="379" t="str">
        <f>IF(ISBLANK('Trucking Correlation'!O60),"",
IF(AND('Trucking Correlation'!O60&gt;0.1,'Trucking Correlation'!O60&lt;=0.15),CONCATENATE(IF(LEFT('Trucking Correlation'!O28,1)="-","(-)","(+)"),"*","3"),
IF(AND('Trucking Correlation'!O60&gt;0.05,'Trucking Correlation'!O60&lt;=0.1),CONCATENATE(IF(LEFT('Trucking Correlation'!O28,1)="-","(-)","(+)"),"**","3"),
IF('Trucking Correlation'!O60&lt;=0.05,CONCATENATE(IF(LEFT('Trucking Correlation'!O28,1)="-","(-)","(+)"),"***","3"),""))))</f>
        <v/>
      </c>
      <c r="P17" s="379" t="str">
        <f>IF(ISBLANK('Trucking Correlation'!P60),"",
IF(AND('Trucking Correlation'!P60&gt;0.1,'Trucking Correlation'!P60&lt;=0.15),CONCATENATE(IF(LEFT('Trucking Correlation'!P28,1)="-","(-)","(+)"),"*","3"),
IF(AND('Trucking Correlation'!P60&gt;0.05,'Trucking Correlation'!P60&lt;=0.1),CONCATENATE(IF(LEFT('Trucking Correlation'!P28,1)="-","(-)","(+)"),"**","3"),
IF('Trucking Correlation'!P60&lt;=0.05,CONCATENATE(IF(LEFT('Trucking Correlation'!P28,1)="-","(-)","(+)"),"***","3"),""))))</f>
        <v/>
      </c>
      <c r="Q17" s="379" t="str">
        <f>IF(ISBLANK('Trucking Correlation'!Q60),"",
IF(AND('Trucking Correlation'!Q60&gt;0.1,'Trucking Correlation'!Q60&lt;=0.15),CONCATENATE(IF(LEFT('Trucking Correlation'!Q28,1)="-","(-)","(+)"),"*","3"),
IF(AND('Trucking Correlation'!Q60&gt;0.05,'Trucking Correlation'!Q60&lt;=0.1),CONCATENATE(IF(LEFT('Trucking Correlation'!Q28,1)="-","(-)","(+)"),"**","3"),
IF('Trucking Correlation'!Q60&lt;=0.05,CONCATENATE(IF(LEFT('Trucking Correlation'!Q28,1)="-","(-)","(+)"),"***","3"),""))))</f>
        <v/>
      </c>
      <c r="R17" s="379" t="str">
        <f>IF(ISBLANK('Trucking Correlation'!R60),"",
IF(AND('Trucking Correlation'!R60&gt;0.1,'Trucking Correlation'!R60&lt;=0.15),CONCATENATE(IF(LEFT('Trucking Correlation'!R28,1)="-","(-)","(+)"),"*","3"),
IF(AND('Trucking Correlation'!R60&gt;0.05,'Trucking Correlation'!R60&lt;=0.1),CONCATENATE(IF(LEFT('Trucking Correlation'!R28,1)="-","(-)","(+)"),"**","3"),
IF('Trucking Correlation'!R60&lt;=0.05,CONCATENATE(IF(LEFT('Trucking Correlation'!R28,1)="-","(-)","(+)"),"***","3"),""))))</f>
        <v/>
      </c>
      <c r="S17" s="379" t="str">
        <f>IF(ISBLANK('Trucking Correlation'!S60),"",
IF(AND('Trucking Correlation'!S60&gt;0.1,'Trucking Correlation'!S60&lt;=0.15),CONCATENATE(IF(LEFT('Trucking Correlation'!S28,1)="-","(-)","(+)"),"*","3"),
IF(AND('Trucking Correlation'!S60&gt;0.05,'Trucking Correlation'!S60&lt;=0.1),CONCATENATE(IF(LEFT('Trucking Correlation'!S28,1)="-","(-)","(+)"),"**","3"),
IF('Trucking Correlation'!S60&lt;=0.05,CONCATENATE(IF(LEFT('Trucking Correlation'!S28,1)="-","(-)","(+)"),"***","3"),""))))</f>
        <v/>
      </c>
      <c r="T17" s="379" t="str">
        <f>IF(ISBLANK('Trucking Correlation'!T60),"",
IF(AND('Trucking Correlation'!T60&gt;0.1,'Trucking Correlation'!T60&lt;=0.15),CONCATENATE(IF(LEFT('Trucking Correlation'!T28,1)="-","(-)","(+)"),"*","3"),
IF(AND('Trucking Correlation'!T60&gt;0.05,'Trucking Correlation'!T60&lt;=0.1),CONCATENATE(IF(LEFT('Trucking Correlation'!T28,1)="-","(-)","(+)"),"**","3"),
IF('Trucking Correlation'!T60&lt;=0.05,CONCATENATE(IF(LEFT('Trucking Correlation'!T28,1)="-","(-)","(+)"),"***","3"),""))))</f>
        <v/>
      </c>
      <c r="U17" s="379" t="str">
        <f>IF(ISBLANK('Trucking Correlation'!U60),"",
IF(AND('Trucking Correlation'!U60&gt;0.1,'Trucking Correlation'!U60&lt;=0.15),CONCATENATE(IF(LEFT('Trucking Correlation'!U28,1)="-","(-)","(+)"),"*","3"),
IF(AND('Trucking Correlation'!U60&gt;0.05,'Trucking Correlation'!U60&lt;=0.1),CONCATENATE(IF(LEFT('Trucking Correlation'!U28,1)="-","(-)","(+)"),"**","3"),
IF('Trucking Correlation'!U60&lt;=0.05,CONCATENATE(IF(LEFT('Trucking Correlation'!U28,1)="-","(-)","(+)"),"***","3"),""))))</f>
        <v/>
      </c>
      <c r="V17" s="379" t="str">
        <f>IF(ISBLANK('Trucking Correlation'!V60),"",
IF(AND('Trucking Correlation'!V60&gt;0.1,'Trucking Correlation'!V60&lt;=0.15),CONCATENATE(IF(LEFT('Trucking Correlation'!V28,1)="-","(-)","(+)"),"*","3"),
IF(AND('Trucking Correlation'!V60&gt;0.05,'Trucking Correlation'!V60&lt;=0.1),CONCATENATE(IF(LEFT('Trucking Correlation'!V28,1)="-","(-)","(+)"),"**","3"),
IF('Trucking Correlation'!V60&lt;=0.05,CONCATENATE(IF(LEFT('Trucking Correlation'!V28,1)="-","(-)","(+)"),"***","3"),""))))</f>
        <v>(+)*3</v>
      </c>
      <c r="W17" s="379" t="str">
        <f>IF(ISBLANK('Trucking Correlation'!W60),"",
IF(AND('Trucking Correlation'!W60&gt;0.1,'Trucking Correlation'!W60&lt;=0.15),CONCATENATE(IF(LEFT('Trucking Correlation'!W28,1)="-","(-)","(+)"),"*","3"),
IF(AND('Trucking Correlation'!W60&gt;0.05,'Trucking Correlation'!W60&lt;=0.1),CONCATENATE(IF(LEFT('Trucking Correlation'!W28,1)="-","(-)","(+)"),"**","3"),
IF('Trucking Correlation'!W60&lt;=0.05,CONCATENATE(IF(LEFT('Trucking Correlation'!W28,1)="-","(-)","(+)"),"***","3"),""))))</f>
        <v/>
      </c>
      <c r="X17" s="379" t="str">
        <f>IF(ISBLANK('Trucking Correlation'!X60),"",
IF(AND('Trucking Correlation'!X60&gt;0.1,'Trucking Correlation'!X60&lt;=0.15),CONCATENATE(IF(LEFT('Trucking Correlation'!X28,1)="-","(-)","(+)"),"*","3"),
IF(AND('Trucking Correlation'!X60&gt;0.05,'Trucking Correlation'!X60&lt;=0.1),CONCATENATE(IF(LEFT('Trucking Correlation'!X28,1)="-","(-)","(+)"),"**","3"),
IF('Trucking Correlation'!X60&lt;=0.05,CONCATENATE(IF(LEFT('Trucking Correlation'!X28,1)="-","(-)","(+)"),"***","3"),""))))</f>
        <v>(+)*3</v>
      </c>
      <c r="Y17" s="379" t="str">
        <f>IF(ISBLANK('Trucking Correlation'!Y60),"",
IF(AND('Trucking Correlation'!Y60&gt;0.1,'Trucking Correlation'!Y60&lt;=0.15),CONCATENATE(IF(LEFT('Trucking Correlation'!Y28,1)="-","(-)","(+)"),"*","3"),
IF(AND('Trucking Correlation'!Y60&gt;0.05,'Trucking Correlation'!Y60&lt;=0.1),CONCATENATE(IF(LEFT('Trucking Correlation'!Y28,1)="-","(-)","(+)"),"**","3"),
IF('Trucking Correlation'!Y60&lt;=0.05,CONCATENATE(IF(LEFT('Trucking Correlation'!Y28,1)="-","(-)","(+)"),"***","3"),""))))</f>
        <v/>
      </c>
      <c r="Z17" s="379" t="str">
        <f>IF(ISBLANK('Trucking Correlation'!Z60),"",
IF(AND('Trucking Correlation'!Z60&gt;0.1,'Trucking Correlation'!Z60&lt;=0.15),CONCATENATE(IF(LEFT('Trucking Correlation'!Z28,1)="-","(-)","(+)"),"*","3"),
IF(AND('Trucking Correlation'!Z60&gt;0.05,'Trucking Correlation'!Z60&lt;=0.1),CONCATENATE(IF(LEFT('Trucking Correlation'!Z28,1)="-","(-)","(+)"),"**","3"),
IF('Trucking Correlation'!Z60&lt;=0.05,CONCATENATE(IF(LEFT('Trucking Correlation'!Z28,1)="-","(-)","(+)"),"***","3"),""))))</f>
        <v/>
      </c>
      <c r="AA17" s="379" t="str">
        <f>IF(ISBLANK('Trucking Correlation'!AA60),"",
IF(AND('Trucking Correlation'!AA60&gt;0.1,'Trucking Correlation'!AA60&lt;=0.15),CONCATENATE(IF(LEFT('Trucking Correlation'!AA28,1)="-","(-)","(+)"),"*","3"),
IF(AND('Trucking Correlation'!AA60&gt;0.05,'Trucking Correlation'!AA60&lt;=0.1),CONCATENATE(IF(LEFT('Trucking Correlation'!AA28,1)="-","(-)","(+)"),"**","3"),
IF('Trucking Correlation'!AA60&lt;=0.05,CONCATENATE(IF(LEFT('Trucking Correlation'!AA28,1)="-","(-)","(+)"),"***","3"),""))))</f>
        <v/>
      </c>
      <c r="AB17" s="379" t="str">
        <f>IF(ISBLANK('Trucking Correlation'!AB60),"",
IF(AND('Trucking Correlation'!AB60&gt;0.1,'Trucking Correlation'!AB60&lt;=0.15),CONCATENATE(IF(LEFT('Trucking Correlation'!AB28,1)="-","(-)","(+)"),"*","3"),
IF(AND('Trucking Correlation'!AB60&gt;0.05,'Trucking Correlation'!AB60&lt;=0.1),CONCATENATE(IF(LEFT('Trucking Correlation'!AB28,1)="-","(-)","(+)"),"**","3"),
IF('Trucking Correlation'!AB60&lt;=0.05,CONCATENATE(IF(LEFT('Trucking Correlation'!AB28,1)="-","(-)","(+)"),"***","3"),""))))</f>
        <v>(+)***3</v>
      </c>
      <c r="AC17" s="379" t="str">
        <f>IF(ISBLANK('Trucking Correlation'!AC60),"",
IF(AND('Trucking Correlation'!AC60&gt;0.1,'Trucking Correlation'!AC60&lt;=0.15),CONCATENATE(IF(LEFT('Trucking Correlation'!AC28,1)="-","(-)","(+)"),"*","3"),
IF(AND('Trucking Correlation'!AC60&gt;0.05,'Trucking Correlation'!AC60&lt;=0.1),CONCATENATE(IF(LEFT('Trucking Correlation'!AC28,1)="-","(-)","(+)"),"**","3"),
IF('Trucking Correlation'!AC60&lt;=0.05,CONCATENATE(IF(LEFT('Trucking Correlation'!AC28,1)="-","(-)","(+)"),"***","3"),""))))</f>
        <v/>
      </c>
    </row>
    <row r="18" spans="1:29" x14ac:dyDescent="0.35">
      <c r="A18" s="125" t="s">
        <v>2024</v>
      </c>
      <c r="B18" s="379" t="str">
        <f>IF(ISBLANK('Trucking Correlation'!B61),"",
IF(AND('Trucking Correlation'!B61&gt;0.1,'Trucking Correlation'!B61&lt;=0.15),CONCATENATE(IF(LEFT('Trucking Correlation'!B29,1)="-","(-)","(+)"),"*","3"),
IF(AND('Trucking Correlation'!B61&gt;0.05,'Trucking Correlation'!B61&lt;=0.1),CONCATENATE(IF(LEFT('Trucking Correlation'!B29,1)="-","(-)","(+)"),"**","3"),
IF('Trucking Correlation'!B61&lt;=0.05,CONCATENATE(IF(LEFT('Trucking Correlation'!B29,1)="-","(-)","(+)"),"***","3"),""))))</f>
        <v>(-)*3</v>
      </c>
      <c r="C18" s="379" t="str">
        <f>IF(ISBLANK('Trucking Correlation'!C61),"",
IF(AND('Trucking Correlation'!C61&gt;0.1,'Trucking Correlation'!C61&lt;=0.15),CONCATENATE(IF(LEFT('Trucking Correlation'!C29,1)="-","(-)","(+)"),"*","3"),
IF(AND('Trucking Correlation'!C61&gt;0.05,'Trucking Correlation'!C61&lt;=0.1),CONCATENATE(IF(LEFT('Trucking Correlation'!C29,1)="-","(-)","(+)"),"**","3"),
IF('Trucking Correlation'!C61&lt;=0.05,CONCATENATE(IF(LEFT('Trucking Correlation'!C29,1)="-","(-)","(+)"),"***","3"),""))))</f>
        <v/>
      </c>
      <c r="D18" s="379" t="str">
        <f>IF(ISBLANK('Trucking Correlation'!D61),"",
IF(AND('Trucking Correlation'!D61&gt;0.1,'Trucking Correlation'!D61&lt;=0.15),CONCATENATE(IF(LEFT('Trucking Correlation'!D29,1)="-","(-)","(+)"),"*","3"),
IF(AND('Trucking Correlation'!D61&gt;0.05,'Trucking Correlation'!D61&lt;=0.1),CONCATENATE(IF(LEFT('Trucking Correlation'!D29,1)="-","(-)","(+)"),"**","3"),
IF('Trucking Correlation'!D61&lt;=0.05,CONCATENATE(IF(LEFT('Trucking Correlation'!D29,1)="-","(-)","(+)"),"***","3"),""))))</f>
        <v/>
      </c>
      <c r="E18" s="379" t="str">
        <f>IF(ISBLANK('Trucking Correlation'!E61),"",
IF(AND('Trucking Correlation'!E61&gt;0.1,'Trucking Correlation'!E61&lt;=0.15),CONCATENATE(IF(LEFT('Trucking Correlation'!E29,1)="-","(-)","(+)"),"*","3"),
IF(AND('Trucking Correlation'!E61&gt;0.05,'Trucking Correlation'!E61&lt;=0.1),CONCATENATE(IF(LEFT('Trucking Correlation'!E29,1)="-","(-)","(+)"),"**","3"),
IF('Trucking Correlation'!E61&lt;=0.05,CONCATENATE(IF(LEFT('Trucking Correlation'!E29,1)="-","(-)","(+)"),"***","3"),""))))</f>
        <v/>
      </c>
      <c r="F18" s="379" t="str">
        <f>IF(ISBLANK('Trucking Correlation'!F61),"",
IF(AND('Trucking Correlation'!F61&gt;0.1,'Trucking Correlation'!F61&lt;=0.15),CONCATENATE(IF(LEFT('Trucking Correlation'!F29,1)="-","(-)","(+)"),"*","3"),
IF(AND('Trucking Correlation'!F61&gt;0.05,'Trucking Correlation'!F61&lt;=0.1),CONCATENATE(IF(LEFT('Trucking Correlation'!F29,1)="-","(-)","(+)"),"**","3"),
IF('Trucking Correlation'!F61&lt;=0.05,CONCATENATE(IF(LEFT('Trucking Correlation'!F29,1)="-","(-)","(+)"),"***","3"),""))))</f>
        <v/>
      </c>
      <c r="G18" s="379" t="str">
        <f>IF(ISBLANK('Trucking Correlation'!G61),"",
IF(AND('Trucking Correlation'!G61&gt;0.1,'Trucking Correlation'!G61&lt;=0.15),CONCATENATE(IF(LEFT('Trucking Correlation'!G29,1)="-","(-)","(+)"),"*","3"),
IF(AND('Trucking Correlation'!G61&gt;0.05,'Trucking Correlation'!G61&lt;=0.1),CONCATENATE(IF(LEFT('Trucking Correlation'!G29,1)="-","(-)","(+)"),"**","3"),
IF('Trucking Correlation'!G61&lt;=0.05,CONCATENATE(IF(LEFT('Trucking Correlation'!G29,1)="-","(-)","(+)"),"***","3"),""))))</f>
        <v/>
      </c>
      <c r="H18" s="379" t="str">
        <f>IF(ISBLANK('Trucking Correlation'!H61),"",
IF(AND('Trucking Correlation'!H61&gt;0.1,'Trucking Correlation'!H61&lt;=0.15),CONCATENATE(IF(LEFT('Trucking Correlation'!H29,1)="-","(-)","(+)"),"*","3"),
IF(AND('Trucking Correlation'!H61&gt;0.05,'Trucking Correlation'!H61&lt;=0.1),CONCATENATE(IF(LEFT('Trucking Correlation'!H29,1)="-","(-)","(+)"),"**","3"),
IF('Trucking Correlation'!H61&lt;=0.05,CONCATENATE(IF(LEFT('Trucking Correlation'!H29,1)="-","(-)","(+)"),"***","3"),""))))</f>
        <v/>
      </c>
      <c r="I18" s="379" t="str">
        <f>IF(ISBLANK('Trucking Correlation'!I61),"",
IF(AND('Trucking Correlation'!I61&gt;0.1,'Trucking Correlation'!I61&lt;=0.15),CONCATENATE(IF(LEFT('Trucking Correlation'!I29,1)="-","(-)","(+)"),"*","3"),
IF(AND('Trucking Correlation'!I61&gt;0.05,'Trucking Correlation'!I61&lt;=0.1),CONCATENATE(IF(LEFT('Trucking Correlation'!I29,1)="-","(-)","(+)"),"**","3"),
IF('Trucking Correlation'!I61&lt;=0.05,CONCATENATE(IF(LEFT('Trucking Correlation'!I29,1)="-","(-)","(+)"),"***","3"),""))))</f>
        <v/>
      </c>
      <c r="J18" s="379" t="str">
        <f>IF(ISBLANK('Trucking Correlation'!J61),"",
IF(AND('Trucking Correlation'!J61&gt;0.1,'Trucking Correlation'!J61&lt;=0.15),CONCATENATE(IF(LEFT('Trucking Correlation'!J29,1)="-","(-)","(+)"),"*","3"),
IF(AND('Trucking Correlation'!J61&gt;0.05,'Trucking Correlation'!J61&lt;=0.1),CONCATENATE(IF(LEFT('Trucking Correlation'!J29,1)="-","(-)","(+)"),"**","3"),
IF('Trucking Correlation'!J61&lt;=0.05,CONCATENATE(IF(LEFT('Trucking Correlation'!J29,1)="-","(-)","(+)"),"***","3"),""))))</f>
        <v/>
      </c>
      <c r="K18" s="379" t="str">
        <f>IF(ISBLANK('Trucking Correlation'!K61),"",
IF(AND('Trucking Correlation'!K61&gt;0.1,'Trucking Correlation'!K61&lt;=0.15),CONCATENATE(IF(LEFT('Trucking Correlation'!K29,1)="-","(-)","(+)"),"*","3"),
IF(AND('Trucking Correlation'!K61&gt;0.05,'Trucking Correlation'!K61&lt;=0.1),CONCATENATE(IF(LEFT('Trucking Correlation'!K29,1)="-","(-)","(+)"),"**","3"),
IF('Trucking Correlation'!K61&lt;=0.05,CONCATENATE(IF(LEFT('Trucking Correlation'!K29,1)="-","(-)","(+)"),"***","3"),""))))</f>
        <v/>
      </c>
      <c r="L18" s="379" t="str">
        <f>IF(ISBLANK('Trucking Correlation'!L61),"",
IF(AND('Trucking Correlation'!L61&gt;0.1,'Trucking Correlation'!L61&lt;=0.15),CONCATENATE(IF(LEFT('Trucking Correlation'!L29,1)="-","(-)","(+)"),"*","3"),
IF(AND('Trucking Correlation'!L61&gt;0.05,'Trucking Correlation'!L61&lt;=0.1),CONCATENATE(IF(LEFT('Trucking Correlation'!L29,1)="-","(-)","(+)"),"**","3"),
IF('Trucking Correlation'!L61&lt;=0.05,CONCATENATE(IF(LEFT('Trucking Correlation'!L29,1)="-","(-)","(+)"),"***","3"),""))))</f>
        <v/>
      </c>
      <c r="M18" s="379" t="str">
        <f>IF(ISBLANK('Trucking Correlation'!M61),"",
IF(AND('Trucking Correlation'!M61&gt;0.1,'Trucking Correlation'!M61&lt;=0.15),CONCATENATE(IF(LEFT('Trucking Correlation'!M29,1)="-","(-)","(+)"),"*","3"),
IF(AND('Trucking Correlation'!M61&gt;0.05,'Trucking Correlation'!M61&lt;=0.1),CONCATENATE(IF(LEFT('Trucking Correlation'!M29,1)="-","(-)","(+)"),"**","3"),
IF('Trucking Correlation'!M61&lt;=0.05,CONCATENATE(IF(LEFT('Trucking Correlation'!M29,1)="-","(-)","(+)"),"***","3"),""))))</f>
        <v/>
      </c>
      <c r="N18" s="379" t="str">
        <f>IF(ISBLANK('Trucking Correlation'!N61),"",
IF(AND('Trucking Correlation'!N61&gt;0.1,'Trucking Correlation'!N61&lt;=0.15),CONCATENATE(IF(LEFT('Trucking Correlation'!N29,1)="-","(-)","(+)"),"*","3"),
IF(AND('Trucking Correlation'!N61&gt;0.05,'Trucking Correlation'!N61&lt;=0.1),CONCATENATE(IF(LEFT('Trucking Correlation'!N29,1)="-","(-)","(+)"),"**","3"),
IF('Trucking Correlation'!N61&lt;=0.05,CONCATENATE(IF(LEFT('Trucking Correlation'!N29,1)="-","(-)","(+)"),"***","3"),""))))</f>
        <v/>
      </c>
      <c r="O18" s="379" t="str">
        <f>IF(ISBLANK('Trucking Correlation'!O61),"",
IF(AND('Trucking Correlation'!O61&gt;0.1,'Trucking Correlation'!O61&lt;=0.15),CONCATENATE(IF(LEFT('Trucking Correlation'!O29,1)="-","(-)","(+)"),"*","3"),
IF(AND('Trucking Correlation'!O61&gt;0.05,'Trucking Correlation'!O61&lt;=0.1),CONCATENATE(IF(LEFT('Trucking Correlation'!O29,1)="-","(-)","(+)"),"**","3"),
IF('Trucking Correlation'!O61&lt;=0.05,CONCATENATE(IF(LEFT('Trucking Correlation'!O29,1)="-","(-)","(+)"),"***","3"),""))))</f>
        <v/>
      </c>
      <c r="P18" s="379" t="str">
        <f>IF(ISBLANK('Trucking Correlation'!P61),"",
IF(AND('Trucking Correlation'!P61&gt;0.1,'Trucking Correlation'!P61&lt;=0.15),CONCATENATE(IF(LEFT('Trucking Correlation'!P29,1)="-","(-)","(+)"),"*","3"),
IF(AND('Trucking Correlation'!P61&gt;0.05,'Trucking Correlation'!P61&lt;=0.1),CONCATENATE(IF(LEFT('Trucking Correlation'!P29,1)="-","(-)","(+)"),"**","3"),
IF('Trucking Correlation'!P61&lt;=0.05,CONCATENATE(IF(LEFT('Trucking Correlation'!P29,1)="-","(-)","(+)"),"***","3"),""))))</f>
        <v/>
      </c>
      <c r="Q18" s="379" t="str">
        <f>IF(ISBLANK('Trucking Correlation'!Q61),"",
IF(AND('Trucking Correlation'!Q61&gt;0.1,'Trucking Correlation'!Q61&lt;=0.15),CONCATENATE(IF(LEFT('Trucking Correlation'!Q29,1)="-","(-)","(+)"),"*","3"),
IF(AND('Trucking Correlation'!Q61&gt;0.05,'Trucking Correlation'!Q61&lt;=0.1),CONCATENATE(IF(LEFT('Trucking Correlation'!Q29,1)="-","(-)","(+)"),"**","3"),
IF('Trucking Correlation'!Q61&lt;=0.05,CONCATENATE(IF(LEFT('Trucking Correlation'!Q29,1)="-","(-)","(+)"),"***","3"),""))))</f>
        <v/>
      </c>
      <c r="R18" s="379" t="str">
        <f>IF(ISBLANK('Trucking Correlation'!R61),"",
IF(AND('Trucking Correlation'!R61&gt;0.1,'Trucking Correlation'!R61&lt;=0.15),CONCATENATE(IF(LEFT('Trucking Correlation'!R29,1)="-","(-)","(+)"),"*","3"),
IF(AND('Trucking Correlation'!R61&gt;0.05,'Trucking Correlation'!R61&lt;=0.1),CONCATENATE(IF(LEFT('Trucking Correlation'!R29,1)="-","(-)","(+)"),"**","3"),
IF('Trucking Correlation'!R61&lt;=0.05,CONCATENATE(IF(LEFT('Trucking Correlation'!R29,1)="-","(-)","(+)"),"***","3"),""))))</f>
        <v>(-)*3</v>
      </c>
      <c r="S18" s="379" t="str">
        <f>IF(ISBLANK('Trucking Correlation'!S61),"",
IF(AND('Trucking Correlation'!S61&gt;0.1,'Trucking Correlation'!S61&lt;=0.15),CONCATENATE(IF(LEFT('Trucking Correlation'!S29,1)="-","(-)","(+)"),"*","3"),
IF(AND('Trucking Correlation'!S61&gt;0.05,'Trucking Correlation'!S61&lt;=0.1),CONCATENATE(IF(LEFT('Trucking Correlation'!S29,1)="-","(-)","(+)"),"**","3"),
IF('Trucking Correlation'!S61&lt;=0.05,CONCATENATE(IF(LEFT('Trucking Correlation'!S29,1)="-","(-)","(+)"),"***","3"),""))))</f>
        <v/>
      </c>
      <c r="T18" s="379" t="str">
        <f>IF(ISBLANK('Trucking Correlation'!T61),"",
IF(AND('Trucking Correlation'!T61&gt;0.1,'Trucking Correlation'!T61&lt;=0.15),CONCATENATE(IF(LEFT('Trucking Correlation'!T29,1)="-","(-)","(+)"),"*","3"),
IF(AND('Trucking Correlation'!T61&gt;0.05,'Trucking Correlation'!T61&lt;=0.1),CONCATENATE(IF(LEFT('Trucking Correlation'!T29,1)="-","(-)","(+)"),"**","3"),
IF('Trucking Correlation'!T61&lt;=0.05,CONCATENATE(IF(LEFT('Trucking Correlation'!T29,1)="-","(-)","(+)"),"***","3"),""))))</f>
        <v/>
      </c>
      <c r="U18" s="379" t="str">
        <f>IF(ISBLANK('Trucking Correlation'!U61),"",
IF(AND('Trucking Correlation'!U61&gt;0.1,'Trucking Correlation'!U61&lt;=0.15),CONCATENATE(IF(LEFT('Trucking Correlation'!U29,1)="-","(-)","(+)"),"*","3"),
IF(AND('Trucking Correlation'!U61&gt;0.05,'Trucking Correlation'!U61&lt;=0.1),CONCATENATE(IF(LEFT('Trucking Correlation'!U29,1)="-","(-)","(+)"),"**","3"),
IF('Trucking Correlation'!U61&lt;=0.05,CONCATENATE(IF(LEFT('Trucking Correlation'!U29,1)="-","(-)","(+)"),"***","3"),""))))</f>
        <v/>
      </c>
      <c r="V18" s="379" t="str">
        <f>IF(ISBLANK('Trucking Correlation'!V61),"",
IF(AND('Trucking Correlation'!V61&gt;0.1,'Trucking Correlation'!V61&lt;=0.15),CONCATENATE(IF(LEFT('Trucking Correlation'!V29,1)="-","(-)","(+)"),"*","3"),
IF(AND('Trucking Correlation'!V61&gt;0.05,'Trucking Correlation'!V61&lt;=0.1),CONCATENATE(IF(LEFT('Trucking Correlation'!V29,1)="-","(-)","(+)"),"**","3"),
IF('Trucking Correlation'!V61&lt;=0.05,CONCATENATE(IF(LEFT('Trucking Correlation'!V29,1)="-","(-)","(+)"),"***","3"),""))))</f>
        <v/>
      </c>
      <c r="W18" s="379" t="str">
        <f>IF(ISBLANK('Trucking Correlation'!W61),"",
IF(AND('Trucking Correlation'!W61&gt;0.1,'Trucking Correlation'!W61&lt;=0.15),CONCATENATE(IF(LEFT('Trucking Correlation'!W29,1)="-","(-)","(+)"),"*","3"),
IF(AND('Trucking Correlation'!W61&gt;0.05,'Trucking Correlation'!W61&lt;=0.1),CONCATENATE(IF(LEFT('Trucking Correlation'!W29,1)="-","(-)","(+)"),"**","3"),
IF('Trucking Correlation'!W61&lt;=0.05,CONCATENATE(IF(LEFT('Trucking Correlation'!W29,1)="-","(-)","(+)"),"***","3"),""))))</f>
        <v/>
      </c>
      <c r="X18" s="379" t="str">
        <f>IF(ISBLANK('Trucking Correlation'!X61),"",
IF(AND('Trucking Correlation'!X61&gt;0.1,'Trucking Correlation'!X61&lt;=0.15),CONCATENATE(IF(LEFT('Trucking Correlation'!X29,1)="-","(-)","(+)"),"*","3"),
IF(AND('Trucking Correlation'!X61&gt;0.05,'Trucking Correlation'!X61&lt;=0.1),CONCATENATE(IF(LEFT('Trucking Correlation'!X29,1)="-","(-)","(+)"),"**","3"),
IF('Trucking Correlation'!X61&lt;=0.05,CONCATENATE(IF(LEFT('Trucking Correlation'!X29,1)="-","(-)","(+)"),"***","3"),""))))</f>
        <v/>
      </c>
      <c r="Y18" s="379" t="str">
        <f>IF(ISBLANK('Trucking Correlation'!Y61),"",
IF(AND('Trucking Correlation'!Y61&gt;0.1,'Trucking Correlation'!Y61&lt;=0.15),CONCATENATE(IF(LEFT('Trucking Correlation'!Y29,1)="-","(-)","(+)"),"*","3"),
IF(AND('Trucking Correlation'!Y61&gt;0.05,'Trucking Correlation'!Y61&lt;=0.1),CONCATENATE(IF(LEFT('Trucking Correlation'!Y29,1)="-","(-)","(+)"),"**","3"),
IF('Trucking Correlation'!Y61&lt;=0.05,CONCATENATE(IF(LEFT('Trucking Correlation'!Y29,1)="-","(-)","(+)"),"***","3"),""))))</f>
        <v/>
      </c>
      <c r="Z18" s="379" t="str">
        <f>IF(ISBLANK('Trucking Correlation'!Z61),"",
IF(AND('Trucking Correlation'!Z61&gt;0.1,'Trucking Correlation'!Z61&lt;=0.15),CONCATENATE(IF(LEFT('Trucking Correlation'!Z29,1)="-","(-)","(+)"),"*","3"),
IF(AND('Trucking Correlation'!Z61&gt;0.05,'Trucking Correlation'!Z61&lt;=0.1),CONCATENATE(IF(LEFT('Trucking Correlation'!Z29,1)="-","(-)","(+)"),"**","3"),
IF('Trucking Correlation'!Z61&lt;=0.05,CONCATENATE(IF(LEFT('Trucking Correlation'!Z29,1)="-","(-)","(+)"),"***","3"),""))))</f>
        <v/>
      </c>
      <c r="AA18" s="379" t="str">
        <f>IF(ISBLANK('Trucking Correlation'!AA61),"",
IF(AND('Trucking Correlation'!AA61&gt;0.1,'Trucking Correlation'!AA61&lt;=0.15),CONCATENATE(IF(LEFT('Trucking Correlation'!AA29,1)="-","(-)","(+)"),"*","3"),
IF(AND('Trucking Correlation'!AA61&gt;0.05,'Trucking Correlation'!AA61&lt;=0.1),CONCATENATE(IF(LEFT('Trucking Correlation'!AA29,1)="-","(-)","(+)"),"**","3"),
IF('Trucking Correlation'!AA61&lt;=0.05,CONCATENATE(IF(LEFT('Trucking Correlation'!AA29,1)="-","(-)","(+)"),"***","3"),""))))</f>
        <v/>
      </c>
      <c r="AB18" s="379" t="str">
        <f>IF(ISBLANK('Trucking Correlation'!AB61),"",
IF(AND('Trucking Correlation'!AB61&gt;0.1,'Trucking Correlation'!AB61&lt;=0.15),CONCATENATE(IF(LEFT('Trucking Correlation'!AB29,1)="-","(-)","(+)"),"*","3"),
IF(AND('Trucking Correlation'!AB61&gt;0.05,'Trucking Correlation'!AB61&lt;=0.1),CONCATENATE(IF(LEFT('Trucking Correlation'!AB29,1)="-","(-)","(+)"),"**","3"),
IF('Trucking Correlation'!AB61&lt;=0.05,CONCATENATE(IF(LEFT('Trucking Correlation'!AB29,1)="-","(-)","(+)"),"***","3"),""))))</f>
        <v/>
      </c>
      <c r="AC18" s="379" t="str">
        <f>IF(ISBLANK('Trucking Correlation'!AC61),"",
IF(AND('Trucking Correlation'!AC61&gt;0.1,'Trucking Correlation'!AC61&lt;=0.15),CONCATENATE(IF(LEFT('Trucking Correlation'!AC29,1)="-","(-)","(+)"),"*","3"),
IF(AND('Trucking Correlation'!AC61&gt;0.05,'Trucking Correlation'!AC61&lt;=0.1),CONCATENATE(IF(LEFT('Trucking Correlation'!AC29,1)="-","(-)","(+)"),"**","3"),
IF('Trucking Correlation'!AC61&lt;=0.05,CONCATENATE(IF(LEFT('Trucking Correlation'!AC29,1)="-","(-)","(+)"),"***","3"),""))))</f>
        <v>(+)***3</v>
      </c>
    </row>
    <row r="19" spans="1:29" x14ac:dyDescent="0.35">
      <c r="A19" s="224" t="s">
        <v>2250</v>
      </c>
      <c r="B19" s="379" t="str">
        <f>IF(ISBLANK('Trucking Correlation'!B62),"",
IF(AND('Trucking Correlation'!B62&gt;0.1,'Trucking Correlation'!B62&lt;=0.15),CONCATENATE(IF(LEFT('Trucking Correlation'!B30,1)="-","(-)","(+)"),"*","3"),
IF(AND('Trucking Correlation'!B62&gt;0.05,'Trucking Correlation'!B62&lt;=0.1),CONCATENATE(IF(LEFT('Trucking Correlation'!B30,1)="-","(-)","(+)"),"**","3"),
IF('Trucking Correlation'!B62&lt;=0.05,CONCATENATE(IF(LEFT('Trucking Correlation'!B30,1)="-","(-)","(+)"),"***","3"),""))))</f>
        <v/>
      </c>
      <c r="C19" s="379" t="str">
        <f>IF(ISBLANK('Trucking Correlation'!C62),"",
IF(AND('Trucking Correlation'!C62&gt;0.1,'Trucking Correlation'!C62&lt;=0.15),CONCATENATE(IF(LEFT('Trucking Correlation'!C30,1)="-","(-)","(+)"),"*","3"),
IF(AND('Trucking Correlation'!C62&gt;0.05,'Trucking Correlation'!C62&lt;=0.1),CONCATENATE(IF(LEFT('Trucking Correlation'!C30,1)="-","(-)","(+)"),"**","3"),
IF('Trucking Correlation'!C62&lt;=0.05,CONCATENATE(IF(LEFT('Trucking Correlation'!C30,1)="-","(-)","(+)"),"***","3"),""))))</f>
        <v/>
      </c>
      <c r="D19" s="379" t="str">
        <f>IF(ISBLANK('Trucking Correlation'!D62),"",
IF(AND('Trucking Correlation'!D62&gt;0.1,'Trucking Correlation'!D62&lt;=0.15),CONCATENATE(IF(LEFT('Trucking Correlation'!D30,1)="-","(-)","(+)"),"*","3"),
IF(AND('Trucking Correlation'!D62&gt;0.05,'Trucking Correlation'!D62&lt;=0.1),CONCATENATE(IF(LEFT('Trucking Correlation'!D30,1)="-","(-)","(+)"),"**","3"),
IF('Trucking Correlation'!D62&lt;=0.05,CONCATENATE(IF(LEFT('Trucking Correlation'!D30,1)="-","(-)","(+)"),"***","3"),""))))</f>
        <v/>
      </c>
      <c r="E19" s="379" t="str">
        <f>IF(ISBLANK('Trucking Correlation'!E62),"",
IF(AND('Trucking Correlation'!E62&gt;0.1,'Trucking Correlation'!E62&lt;=0.15),CONCATENATE(IF(LEFT('Trucking Correlation'!E30,1)="-","(-)","(+)"),"*","3"),
IF(AND('Trucking Correlation'!E62&gt;0.05,'Trucking Correlation'!E62&lt;=0.1),CONCATENATE(IF(LEFT('Trucking Correlation'!E30,1)="-","(-)","(+)"),"**","3"),
IF('Trucking Correlation'!E62&lt;=0.05,CONCATENATE(IF(LEFT('Trucking Correlation'!E30,1)="-","(-)","(+)"),"***","3"),""))))</f>
        <v/>
      </c>
      <c r="F19" s="379" t="str">
        <f>IF(ISBLANK('Trucking Correlation'!F62),"",
IF(AND('Trucking Correlation'!F62&gt;0.1,'Trucking Correlation'!F62&lt;=0.15),CONCATENATE(IF(LEFT('Trucking Correlation'!F30,1)="-","(-)","(+)"),"*","3"),
IF(AND('Trucking Correlation'!F62&gt;0.05,'Trucking Correlation'!F62&lt;=0.1),CONCATENATE(IF(LEFT('Trucking Correlation'!F30,1)="-","(-)","(+)"),"**","3"),
IF('Trucking Correlation'!F62&lt;=0.05,CONCATENATE(IF(LEFT('Trucking Correlation'!F30,1)="-","(-)","(+)"),"***","3"),""))))</f>
        <v/>
      </c>
      <c r="G19" s="379" t="str">
        <f>IF(ISBLANK('Trucking Correlation'!G62),"",
IF(AND('Trucking Correlation'!G62&gt;0.1,'Trucking Correlation'!G62&lt;=0.15),CONCATENATE(IF(LEFT('Trucking Correlation'!G30,1)="-","(-)","(+)"),"*","3"),
IF(AND('Trucking Correlation'!G62&gt;0.05,'Trucking Correlation'!G62&lt;=0.1),CONCATENATE(IF(LEFT('Trucking Correlation'!G30,1)="-","(-)","(+)"),"**","3"),
IF('Trucking Correlation'!G62&lt;=0.05,CONCATENATE(IF(LEFT('Trucking Correlation'!G30,1)="-","(-)","(+)"),"***","3"),""))))</f>
        <v/>
      </c>
      <c r="H19" s="379" t="str">
        <f>IF(ISBLANK('Trucking Correlation'!H62),"",
IF(AND('Trucking Correlation'!H62&gt;0.1,'Trucking Correlation'!H62&lt;=0.15),CONCATENATE(IF(LEFT('Trucking Correlation'!H30,1)="-","(-)","(+)"),"*","3"),
IF(AND('Trucking Correlation'!H62&gt;0.05,'Trucking Correlation'!H62&lt;=0.1),CONCATENATE(IF(LEFT('Trucking Correlation'!H30,1)="-","(-)","(+)"),"**","3"),
IF('Trucking Correlation'!H62&lt;=0.05,CONCATENATE(IF(LEFT('Trucking Correlation'!H30,1)="-","(-)","(+)"),"***","3"),""))))</f>
        <v/>
      </c>
      <c r="I19" s="379" t="str">
        <f>IF(ISBLANK('Trucking Correlation'!I62),"",
IF(AND('Trucking Correlation'!I62&gt;0.1,'Trucking Correlation'!I62&lt;=0.15),CONCATENATE(IF(LEFT('Trucking Correlation'!I30,1)="-","(-)","(+)"),"*","3"),
IF(AND('Trucking Correlation'!I62&gt;0.05,'Trucking Correlation'!I62&lt;=0.1),CONCATENATE(IF(LEFT('Trucking Correlation'!I30,1)="-","(-)","(+)"),"**","3"),
IF('Trucking Correlation'!I62&lt;=0.05,CONCATENATE(IF(LEFT('Trucking Correlation'!I30,1)="-","(-)","(+)"),"***","3"),""))))</f>
        <v/>
      </c>
      <c r="J19" s="379" t="str">
        <f>IF(ISBLANK('Trucking Correlation'!J62),"",
IF(AND('Trucking Correlation'!J62&gt;0.1,'Trucking Correlation'!J62&lt;=0.15),CONCATENATE(IF(LEFT('Trucking Correlation'!J30,1)="-","(-)","(+)"),"*","3"),
IF(AND('Trucking Correlation'!J62&gt;0.05,'Trucking Correlation'!J62&lt;=0.1),CONCATENATE(IF(LEFT('Trucking Correlation'!J30,1)="-","(-)","(+)"),"**","3"),
IF('Trucking Correlation'!J62&lt;=0.05,CONCATENATE(IF(LEFT('Trucking Correlation'!J30,1)="-","(-)","(+)"),"***","3"),""))))</f>
        <v/>
      </c>
      <c r="K19" s="379" t="str">
        <f>IF(ISBLANK('Trucking Correlation'!K62),"",
IF(AND('Trucking Correlation'!K62&gt;0.1,'Trucking Correlation'!K62&lt;=0.15),CONCATENATE(IF(LEFT('Trucking Correlation'!K30,1)="-","(-)","(+)"),"*","3"),
IF(AND('Trucking Correlation'!K62&gt;0.05,'Trucking Correlation'!K62&lt;=0.1),CONCATENATE(IF(LEFT('Trucking Correlation'!K30,1)="-","(-)","(+)"),"**","3"),
IF('Trucking Correlation'!K62&lt;=0.05,CONCATENATE(IF(LEFT('Trucking Correlation'!K30,1)="-","(-)","(+)"),"***","3"),""))))</f>
        <v/>
      </c>
      <c r="L19" s="379" t="str">
        <f>IF(ISBLANK('Trucking Correlation'!L62),"",
IF(AND('Trucking Correlation'!L62&gt;0.1,'Trucking Correlation'!L62&lt;=0.15),CONCATENATE(IF(LEFT('Trucking Correlation'!L30,1)="-","(-)","(+)"),"*","3"),
IF(AND('Trucking Correlation'!L62&gt;0.05,'Trucking Correlation'!L62&lt;=0.1),CONCATENATE(IF(LEFT('Trucking Correlation'!L30,1)="-","(-)","(+)"),"**","3"),
IF('Trucking Correlation'!L62&lt;=0.05,CONCATENATE(IF(LEFT('Trucking Correlation'!L30,1)="-","(-)","(+)"),"***","3"),""))))</f>
        <v/>
      </c>
      <c r="M19" s="379" t="str">
        <f>IF(ISBLANK('Trucking Correlation'!M62),"",
IF(AND('Trucking Correlation'!M62&gt;0.1,'Trucking Correlation'!M62&lt;=0.15),CONCATENATE(IF(LEFT('Trucking Correlation'!M30,1)="-","(-)","(+)"),"*","3"),
IF(AND('Trucking Correlation'!M62&gt;0.05,'Trucking Correlation'!M62&lt;=0.1),CONCATENATE(IF(LEFT('Trucking Correlation'!M30,1)="-","(-)","(+)"),"**","3"),
IF('Trucking Correlation'!M62&lt;=0.05,CONCATENATE(IF(LEFT('Trucking Correlation'!M30,1)="-","(-)","(+)"),"***","3"),""))))</f>
        <v/>
      </c>
      <c r="N19" s="379" t="str">
        <f>IF(ISBLANK('Trucking Correlation'!N62),"",
IF(AND('Trucking Correlation'!N62&gt;0.1,'Trucking Correlation'!N62&lt;=0.15),CONCATENATE(IF(LEFT('Trucking Correlation'!N30,1)="-","(-)","(+)"),"*","3"),
IF(AND('Trucking Correlation'!N62&gt;0.05,'Trucking Correlation'!N62&lt;=0.1),CONCATENATE(IF(LEFT('Trucking Correlation'!N30,1)="-","(-)","(+)"),"**","3"),
IF('Trucking Correlation'!N62&lt;=0.05,CONCATENATE(IF(LEFT('Trucking Correlation'!N30,1)="-","(-)","(+)"),"***","3"),""))))</f>
        <v/>
      </c>
      <c r="O19" s="379" t="str">
        <f>IF(ISBLANK('Trucking Correlation'!O62),"",
IF(AND('Trucking Correlation'!O62&gt;0.1,'Trucking Correlation'!O62&lt;=0.15),CONCATENATE(IF(LEFT('Trucking Correlation'!O30,1)="-","(-)","(+)"),"*","3"),
IF(AND('Trucking Correlation'!O62&gt;0.05,'Trucking Correlation'!O62&lt;=0.1),CONCATENATE(IF(LEFT('Trucking Correlation'!O30,1)="-","(-)","(+)"),"**","3"),
IF('Trucking Correlation'!O62&lt;=0.05,CONCATENATE(IF(LEFT('Trucking Correlation'!O30,1)="-","(-)","(+)"),"***","3"),""))))</f>
        <v/>
      </c>
      <c r="P19" s="379" t="str">
        <f>IF(ISBLANK('Trucking Correlation'!P62),"",
IF(AND('Trucking Correlation'!P62&gt;0.1,'Trucking Correlation'!P62&lt;=0.15),CONCATENATE(IF(LEFT('Trucking Correlation'!P30,1)="-","(-)","(+)"),"*","3"),
IF(AND('Trucking Correlation'!P62&gt;0.05,'Trucking Correlation'!P62&lt;=0.1),CONCATENATE(IF(LEFT('Trucking Correlation'!P30,1)="-","(-)","(+)"),"**","3"),
IF('Trucking Correlation'!P62&lt;=0.05,CONCATENATE(IF(LEFT('Trucking Correlation'!P30,1)="-","(-)","(+)"),"***","3"),""))))</f>
        <v/>
      </c>
      <c r="Q19" s="379" t="str">
        <f>IF(ISBLANK('Trucking Correlation'!Q62),"",
IF(AND('Trucking Correlation'!Q62&gt;0.1,'Trucking Correlation'!Q62&lt;=0.15),CONCATENATE(IF(LEFT('Trucking Correlation'!Q30,1)="-","(-)","(+)"),"*","3"),
IF(AND('Trucking Correlation'!Q62&gt;0.05,'Trucking Correlation'!Q62&lt;=0.1),CONCATENATE(IF(LEFT('Trucking Correlation'!Q30,1)="-","(-)","(+)"),"**","3"),
IF('Trucking Correlation'!Q62&lt;=0.05,CONCATENATE(IF(LEFT('Trucking Correlation'!Q30,1)="-","(-)","(+)"),"***","3"),""))))</f>
        <v/>
      </c>
      <c r="R19" s="379" t="str">
        <f>IF(ISBLANK('Trucking Correlation'!R62),"",
IF(AND('Trucking Correlation'!R62&gt;0.1,'Trucking Correlation'!R62&lt;=0.15),CONCATENATE(IF(LEFT('Trucking Correlation'!R30,1)="-","(-)","(+)"),"*","3"),
IF(AND('Trucking Correlation'!R62&gt;0.05,'Trucking Correlation'!R62&lt;=0.1),CONCATENATE(IF(LEFT('Trucking Correlation'!R30,1)="-","(-)","(+)"),"**","3"),
IF('Trucking Correlation'!R62&lt;=0.05,CONCATENATE(IF(LEFT('Trucking Correlation'!R30,1)="-","(-)","(+)"),"***","3"),""))))</f>
        <v/>
      </c>
      <c r="S19" s="379" t="str">
        <f>IF(ISBLANK('Trucking Correlation'!S62),"",
IF(AND('Trucking Correlation'!S62&gt;0.1,'Trucking Correlation'!S62&lt;=0.15),CONCATENATE(IF(LEFT('Trucking Correlation'!S30,1)="-","(-)","(+)"),"*","3"),
IF(AND('Trucking Correlation'!S62&gt;0.05,'Trucking Correlation'!S62&lt;=0.1),CONCATENATE(IF(LEFT('Trucking Correlation'!S30,1)="-","(-)","(+)"),"**","3"),
IF('Trucking Correlation'!S62&lt;=0.05,CONCATENATE(IF(LEFT('Trucking Correlation'!S30,1)="-","(-)","(+)"),"***","3"),""))))</f>
        <v>(+)*3</v>
      </c>
      <c r="T19" s="379" t="str">
        <f>IF(ISBLANK('Trucking Correlation'!T62),"",
IF(AND('Trucking Correlation'!T62&gt;0.1,'Trucking Correlation'!T62&lt;=0.15),CONCATENATE(IF(LEFT('Trucking Correlation'!T30,1)="-","(-)","(+)"),"*","3"),
IF(AND('Trucking Correlation'!T62&gt;0.05,'Trucking Correlation'!T62&lt;=0.1),CONCATENATE(IF(LEFT('Trucking Correlation'!T30,1)="-","(-)","(+)"),"**","3"),
IF('Trucking Correlation'!T62&lt;=0.05,CONCATENATE(IF(LEFT('Trucking Correlation'!T30,1)="-","(-)","(+)"),"***","3"),""))))</f>
        <v/>
      </c>
      <c r="U19" s="379" t="str">
        <f>IF(ISBLANK('Trucking Correlation'!U62),"",
IF(AND('Trucking Correlation'!U62&gt;0.1,'Trucking Correlation'!U62&lt;=0.15),CONCATENATE(IF(LEFT('Trucking Correlation'!U30,1)="-","(-)","(+)"),"*","3"),
IF(AND('Trucking Correlation'!U62&gt;0.05,'Trucking Correlation'!U62&lt;=0.1),CONCATENATE(IF(LEFT('Trucking Correlation'!U30,1)="-","(-)","(+)"),"**","3"),
IF('Trucking Correlation'!U62&lt;=0.05,CONCATENATE(IF(LEFT('Trucking Correlation'!U30,1)="-","(-)","(+)"),"***","3"),""))))</f>
        <v>(-)*3</v>
      </c>
      <c r="V19" s="379" t="str">
        <f>IF(ISBLANK('Trucking Correlation'!V62),"",
IF(AND('Trucking Correlation'!V62&gt;0.1,'Trucking Correlation'!V62&lt;=0.15),CONCATENATE(IF(LEFT('Trucking Correlation'!V30,1)="-","(-)","(+)"),"*","3"),
IF(AND('Trucking Correlation'!V62&gt;0.05,'Trucking Correlation'!V62&lt;=0.1),CONCATENATE(IF(LEFT('Trucking Correlation'!V30,1)="-","(-)","(+)"),"**","3"),
IF('Trucking Correlation'!V62&lt;=0.05,CONCATENATE(IF(LEFT('Trucking Correlation'!V30,1)="-","(-)","(+)"),"***","3"),""))))</f>
        <v/>
      </c>
      <c r="W19" s="379" t="str">
        <f>IF(ISBLANK('Trucking Correlation'!W62),"",
IF(AND('Trucking Correlation'!W62&gt;0.1,'Trucking Correlation'!W62&lt;=0.15),CONCATENATE(IF(LEFT('Trucking Correlation'!W30,1)="-","(-)","(+)"),"*","3"),
IF(AND('Trucking Correlation'!W62&gt;0.05,'Trucking Correlation'!W62&lt;=0.1),CONCATENATE(IF(LEFT('Trucking Correlation'!W30,1)="-","(-)","(+)"),"**","3"),
IF('Trucking Correlation'!W62&lt;=0.05,CONCATENATE(IF(LEFT('Trucking Correlation'!W30,1)="-","(-)","(+)"),"***","3"),""))))</f>
        <v/>
      </c>
      <c r="X19" s="379" t="str">
        <f>IF(ISBLANK('Trucking Correlation'!X62),"",
IF(AND('Trucking Correlation'!X62&gt;0.1,'Trucking Correlation'!X62&lt;=0.15),CONCATENATE(IF(LEFT('Trucking Correlation'!X30,1)="-","(-)","(+)"),"*","3"),
IF(AND('Trucking Correlation'!X62&gt;0.05,'Trucking Correlation'!X62&lt;=0.1),CONCATENATE(IF(LEFT('Trucking Correlation'!X30,1)="-","(-)","(+)"),"**","3"),
IF('Trucking Correlation'!X62&lt;=0.05,CONCATENATE(IF(LEFT('Trucking Correlation'!X30,1)="-","(-)","(+)"),"***","3"),""))))</f>
        <v/>
      </c>
      <c r="Y19" s="379" t="str">
        <f>IF(ISBLANK('Trucking Correlation'!Y62),"",
IF(AND('Trucking Correlation'!Y62&gt;0.1,'Trucking Correlation'!Y62&lt;=0.15),CONCATENATE(IF(LEFT('Trucking Correlation'!Y30,1)="-","(-)","(+)"),"*","3"),
IF(AND('Trucking Correlation'!Y62&gt;0.05,'Trucking Correlation'!Y62&lt;=0.1),CONCATENATE(IF(LEFT('Trucking Correlation'!Y30,1)="-","(-)","(+)"),"**","3"),
IF('Trucking Correlation'!Y62&lt;=0.05,CONCATENATE(IF(LEFT('Trucking Correlation'!Y30,1)="-","(-)","(+)"),"***","3"),""))))</f>
        <v/>
      </c>
      <c r="Z19" s="379" t="str">
        <f>IF(ISBLANK('Trucking Correlation'!Z62),"",
IF(AND('Trucking Correlation'!Z62&gt;0.1,'Trucking Correlation'!Z62&lt;=0.15),CONCATENATE(IF(LEFT('Trucking Correlation'!Z30,1)="-","(-)","(+)"),"*","3"),
IF(AND('Trucking Correlation'!Z62&gt;0.05,'Trucking Correlation'!Z62&lt;=0.1),CONCATENATE(IF(LEFT('Trucking Correlation'!Z30,1)="-","(-)","(+)"),"**","3"),
IF('Trucking Correlation'!Z62&lt;=0.05,CONCATENATE(IF(LEFT('Trucking Correlation'!Z30,1)="-","(-)","(+)"),"***","3"),""))))</f>
        <v/>
      </c>
      <c r="AA19" s="379" t="str">
        <f>IF(ISBLANK('Trucking Correlation'!AA62),"",
IF(AND('Trucking Correlation'!AA62&gt;0.1,'Trucking Correlation'!AA62&lt;=0.15),CONCATENATE(IF(LEFT('Trucking Correlation'!AA30,1)="-","(-)","(+)"),"*","3"),
IF(AND('Trucking Correlation'!AA62&gt;0.05,'Trucking Correlation'!AA62&lt;=0.1),CONCATENATE(IF(LEFT('Trucking Correlation'!AA30,1)="-","(-)","(+)"),"**","3"),
IF('Trucking Correlation'!AA62&lt;=0.05,CONCATENATE(IF(LEFT('Trucking Correlation'!AA30,1)="-","(-)","(+)"),"***","3"),""))))</f>
        <v/>
      </c>
      <c r="AB19" s="379" t="str">
        <f>IF(ISBLANK('Trucking Correlation'!AB62),"",
IF(AND('Trucking Correlation'!AB62&gt;0.1,'Trucking Correlation'!AB62&lt;=0.15),CONCATENATE(IF(LEFT('Trucking Correlation'!AB30,1)="-","(-)","(+)"),"*","3"),
IF(AND('Trucking Correlation'!AB62&gt;0.05,'Trucking Correlation'!AB62&lt;=0.1),CONCATENATE(IF(LEFT('Trucking Correlation'!AB30,1)="-","(-)","(+)"),"**","3"),
IF('Trucking Correlation'!AB62&lt;=0.05,CONCATENATE(IF(LEFT('Trucking Correlation'!AB30,1)="-","(-)","(+)"),"***","3"),""))))</f>
        <v/>
      </c>
      <c r="AC19" s="379" t="str">
        <f>IF(ISBLANK('Trucking Correlation'!AC62),"",
IF(AND('Trucking Correlation'!AC62&gt;0.1,'Trucking Correlation'!AC62&lt;=0.15),CONCATENATE(IF(LEFT('Trucking Correlation'!AC30,1)="-","(-)","(+)"),"*","3"),
IF(AND('Trucking Correlation'!AC62&gt;0.05,'Trucking Correlation'!AC62&lt;=0.1),CONCATENATE(IF(LEFT('Trucking Correlation'!AC30,1)="-","(-)","(+)"),"**","3"),
IF('Trucking Correlation'!AC62&lt;=0.05,CONCATENATE(IF(LEFT('Trucking Correlation'!AC30,1)="-","(-)","(+)"),"***","3"),""))))</f>
        <v/>
      </c>
    </row>
    <row r="21" spans="1:29" ht="29" x14ac:dyDescent="0.35">
      <c r="A21" s="125" t="s">
        <v>2061</v>
      </c>
      <c r="B21" s="379" t="str">
        <f>IF(ISBLANK('Last-Mile Correlation'!B60),"",
IF(AND('Last-Mile Correlation'!B60&gt;0.1,'Last-Mile Correlation'!B60&lt;=0.15),CONCATENATE(IF(LEFT('Last-Mile Correlation'!B28,1)="-","(-)","(+)"),"*","4"),
IF(AND('Last-Mile Correlation'!B60&gt;0.05,'Last-Mile Correlation'!B60&lt;=0.1),CONCATENATE(IF(LEFT('Last-Mile Correlation'!B28,1)="-","(-)","(+)"),"**","4"),
IF('Last-Mile Correlation'!B60&lt;=0.05,CONCATENATE(IF(LEFT('Last-Mile Correlation'!B28,1)="-","(-)","(+)"),"***","4"),""))))</f>
        <v/>
      </c>
      <c r="C21" s="379" t="str">
        <f>IF(ISBLANK('Last-Mile Correlation'!C60),"",
IF(AND('Last-Mile Correlation'!C60&gt;0.1,'Last-Mile Correlation'!C60&lt;=0.15),CONCATENATE(IF(LEFT('Last-Mile Correlation'!C28,1)="-","(-)","(+)"),"*","4"),
IF(AND('Last-Mile Correlation'!C60&gt;0.05,'Last-Mile Correlation'!C60&lt;=0.1),CONCATENATE(IF(LEFT('Last-Mile Correlation'!C28,1)="-","(-)","(+)"),"**","4"),
IF('Last-Mile Correlation'!C60&lt;=0.05,CONCATENATE(IF(LEFT('Last-Mile Correlation'!C28,1)="-","(-)","(+)"),"***","4"),""))))</f>
        <v/>
      </c>
      <c r="D21" s="379" t="str">
        <f>IF(ISBLANK('Last-Mile Correlation'!D60),"",
IF(AND('Last-Mile Correlation'!D60&gt;0.1,'Last-Mile Correlation'!D60&lt;=0.15),CONCATENATE(IF(LEFT('Last-Mile Correlation'!D28,1)="-","(-)","(+)"),"*","4"),
IF(AND('Last-Mile Correlation'!D60&gt;0.05,'Last-Mile Correlation'!D60&lt;=0.1),CONCATENATE(IF(LEFT('Last-Mile Correlation'!D28,1)="-","(-)","(+)"),"**","4"),
IF('Last-Mile Correlation'!D60&lt;=0.05,CONCATENATE(IF(LEFT('Last-Mile Correlation'!D28,1)="-","(-)","(+)"),"***","4"),""))))</f>
        <v>(-)*4</v>
      </c>
      <c r="E21" s="379" t="str">
        <f>IF(ISBLANK('Last-Mile Correlation'!E60),"",
IF(AND('Last-Mile Correlation'!E60&gt;0.1,'Last-Mile Correlation'!E60&lt;=0.15),CONCATENATE(IF(LEFT('Last-Mile Correlation'!E28,1)="-","(-)","(+)"),"*","4"),
IF(AND('Last-Mile Correlation'!E60&gt;0.05,'Last-Mile Correlation'!E60&lt;=0.1),CONCATENATE(IF(LEFT('Last-Mile Correlation'!E28,1)="-","(-)","(+)"),"**","4"),
IF('Last-Mile Correlation'!E60&lt;=0.05,CONCATENATE(IF(LEFT('Last-Mile Correlation'!E28,1)="-","(-)","(+)"),"***","4"),""))))</f>
        <v/>
      </c>
      <c r="F21" s="379" t="str">
        <f>IF(ISBLANK('Last-Mile Correlation'!F60),"",
IF(AND('Last-Mile Correlation'!F60&gt;0.1,'Last-Mile Correlation'!F60&lt;=0.15),CONCATENATE(IF(LEFT('Last-Mile Correlation'!F28,1)="-","(-)","(+)"),"*","4"),
IF(AND('Last-Mile Correlation'!F60&gt;0.05,'Last-Mile Correlation'!F60&lt;=0.1),CONCATENATE(IF(LEFT('Last-Mile Correlation'!F28,1)="-","(-)","(+)"),"**","4"),
IF('Last-Mile Correlation'!F60&lt;=0.05,CONCATENATE(IF(LEFT('Last-Mile Correlation'!F28,1)="-","(-)","(+)"),"***","4"),""))))</f>
        <v>(+)***4</v>
      </c>
      <c r="G21" s="379" t="str">
        <f>IF(ISBLANK('Last-Mile Correlation'!G60),"",
IF(AND('Last-Mile Correlation'!G60&gt;0.1,'Last-Mile Correlation'!G60&lt;=0.15),CONCATENATE(IF(LEFT('Last-Mile Correlation'!G28,1)="-","(-)","(+)"),"*","4"),
IF(AND('Last-Mile Correlation'!G60&gt;0.05,'Last-Mile Correlation'!G60&lt;=0.1),CONCATENATE(IF(LEFT('Last-Mile Correlation'!G28,1)="-","(-)","(+)"),"**","4"),
IF('Last-Mile Correlation'!G60&lt;=0.05,CONCATENATE(IF(LEFT('Last-Mile Correlation'!G28,1)="-","(-)","(+)"),"***","4"),""))))</f>
        <v/>
      </c>
      <c r="H21" s="379" t="str">
        <f>IF(ISBLANK('Last-Mile Correlation'!H60),"",
IF(AND('Last-Mile Correlation'!H60&gt;0.1,'Last-Mile Correlation'!H60&lt;=0.15),CONCATENATE(IF(LEFT('Last-Mile Correlation'!H28,1)="-","(-)","(+)"),"*","4"),
IF(AND('Last-Mile Correlation'!H60&gt;0.05,'Last-Mile Correlation'!H60&lt;=0.1),CONCATENATE(IF(LEFT('Last-Mile Correlation'!H28,1)="-","(-)","(+)"),"**","4"),
IF('Last-Mile Correlation'!H60&lt;=0.05,CONCATENATE(IF(LEFT('Last-Mile Correlation'!H28,1)="-","(-)","(+)"),"***","4"),""))))</f>
        <v/>
      </c>
      <c r="I21" s="379" t="str">
        <f>IF(ISBLANK('Last-Mile Correlation'!I60),"",
IF(AND('Last-Mile Correlation'!I60&gt;0.1,'Last-Mile Correlation'!I60&lt;=0.15),CONCATENATE(IF(LEFT('Last-Mile Correlation'!I28,1)="-","(-)","(+)"),"*","4"),
IF(AND('Last-Mile Correlation'!I60&gt;0.05,'Last-Mile Correlation'!I60&lt;=0.1),CONCATENATE(IF(LEFT('Last-Mile Correlation'!I28,1)="-","(-)","(+)"),"**","4"),
IF('Last-Mile Correlation'!I60&lt;=0.05,CONCATENATE(IF(LEFT('Last-Mile Correlation'!I28,1)="-","(-)","(+)"),"***","4"),""))))</f>
        <v/>
      </c>
      <c r="J21" s="379" t="str">
        <f>IF(ISBLANK('Last-Mile Correlation'!J60),"",
IF(AND('Last-Mile Correlation'!J60&gt;0.1,'Last-Mile Correlation'!J60&lt;=0.15),CONCATENATE(IF(LEFT('Last-Mile Correlation'!J28,1)="-","(-)","(+)"),"*","4"),
IF(AND('Last-Mile Correlation'!J60&gt;0.05,'Last-Mile Correlation'!J60&lt;=0.1),CONCATENATE(IF(LEFT('Last-Mile Correlation'!J28,1)="-","(-)","(+)"),"**","4"),
IF('Last-Mile Correlation'!J60&lt;=0.05,CONCATENATE(IF(LEFT('Last-Mile Correlation'!J28,1)="-","(-)","(+)"),"***","4"),""))))</f>
        <v/>
      </c>
      <c r="K21" s="379" t="str">
        <f>IF(ISBLANK('Last-Mile Correlation'!K60),"",
IF(AND('Last-Mile Correlation'!K60&gt;0.1,'Last-Mile Correlation'!K60&lt;=0.15),CONCATENATE(IF(LEFT('Last-Mile Correlation'!K28,1)="-","(-)","(+)"),"*","4"),
IF(AND('Last-Mile Correlation'!K60&gt;0.05,'Last-Mile Correlation'!K60&lt;=0.1),CONCATENATE(IF(LEFT('Last-Mile Correlation'!K28,1)="-","(-)","(+)"),"**","4"),
IF('Last-Mile Correlation'!K60&lt;=0.05,CONCATENATE(IF(LEFT('Last-Mile Correlation'!K28,1)="-","(-)","(+)"),"***","4"),""))))</f>
        <v/>
      </c>
      <c r="L21" s="379" t="str">
        <f>IF(ISBLANK('Last-Mile Correlation'!L60),"",
IF(AND('Last-Mile Correlation'!L60&gt;0.1,'Last-Mile Correlation'!L60&lt;=0.15),CONCATENATE(IF(LEFT('Last-Mile Correlation'!L28,1)="-","(-)","(+)"),"*","4"),
IF(AND('Last-Mile Correlation'!L60&gt;0.05,'Last-Mile Correlation'!L60&lt;=0.1),CONCATENATE(IF(LEFT('Last-Mile Correlation'!L28,1)="-","(-)","(+)"),"**","4"),
IF('Last-Mile Correlation'!L60&lt;=0.05,CONCATENATE(IF(LEFT('Last-Mile Correlation'!L28,1)="-","(-)","(+)"),"***","4"),""))))</f>
        <v/>
      </c>
      <c r="M21" s="379" t="str">
        <f>IF(ISBLANK('Last-Mile Correlation'!M60),"",
IF(AND('Last-Mile Correlation'!M60&gt;0.1,'Last-Mile Correlation'!M60&lt;=0.15),CONCATENATE(IF(LEFT('Last-Mile Correlation'!M28,1)="-","(-)","(+)"),"*","4"),
IF(AND('Last-Mile Correlation'!M60&gt;0.05,'Last-Mile Correlation'!M60&lt;=0.1),CONCATENATE(IF(LEFT('Last-Mile Correlation'!M28,1)="-","(-)","(+)"),"**","4"),
IF('Last-Mile Correlation'!M60&lt;=0.05,CONCATENATE(IF(LEFT('Last-Mile Correlation'!M28,1)="-","(-)","(+)"),"***","4"),""))))</f>
        <v/>
      </c>
      <c r="N21" s="379" t="str">
        <f>IF(ISBLANK('Last-Mile Correlation'!N60),"",
IF(AND('Last-Mile Correlation'!N60&gt;0.1,'Last-Mile Correlation'!N60&lt;=0.15),CONCATENATE(IF(LEFT('Last-Mile Correlation'!N28,1)="-","(-)","(+)"),"*","4"),
IF(AND('Last-Mile Correlation'!N60&gt;0.05,'Last-Mile Correlation'!N60&lt;=0.1),CONCATENATE(IF(LEFT('Last-Mile Correlation'!N28,1)="-","(-)","(+)"),"**","4"),
IF('Last-Mile Correlation'!N60&lt;=0.05,CONCATENATE(IF(LEFT('Last-Mile Correlation'!N28,1)="-","(-)","(+)"),"***","4"),""))))</f>
        <v/>
      </c>
      <c r="O21" s="379" t="str">
        <f>IF(ISBLANK('Last-Mile Correlation'!O60),"",
IF(AND('Last-Mile Correlation'!O60&gt;0.1,'Last-Mile Correlation'!O60&lt;=0.15),CONCATENATE(IF(LEFT('Last-Mile Correlation'!O28,1)="-","(-)","(+)"),"*","4"),
IF(AND('Last-Mile Correlation'!O60&gt;0.05,'Last-Mile Correlation'!O60&lt;=0.1),CONCATENATE(IF(LEFT('Last-Mile Correlation'!O28,1)="-","(-)","(+)"),"**","4"),
IF('Last-Mile Correlation'!O60&lt;=0.05,CONCATENATE(IF(LEFT('Last-Mile Correlation'!O28,1)="-","(-)","(+)"),"***","4"),""))))</f>
        <v/>
      </c>
      <c r="P21" s="379" t="str">
        <f>IF(ISBLANK('Last-Mile Correlation'!P60),"",
IF(AND('Last-Mile Correlation'!P60&gt;0.1,'Last-Mile Correlation'!P60&lt;=0.15),CONCATENATE(IF(LEFT('Last-Mile Correlation'!P28,1)="-","(-)","(+)"),"*","4"),
IF(AND('Last-Mile Correlation'!P60&gt;0.05,'Last-Mile Correlation'!P60&lt;=0.1),CONCATENATE(IF(LEFT('Last-Mile Correlation'!P28,1)="-","(-)","(+)"),"**","4"),
IF('Last-Mile Correlation'!P60&lt;=0.05,CONCATENATE(IF(LEFT('Last-Mile Correlation'!P28,1)="-","(-)","(+)"),"***","4"),""))))</f>
        <v/>
      </c>
      <c r="Q21" s="379" t="str">
        <f>IF(ISBLANK('Last-Mile Correlation'!Q60),"",
IF(AND('Last-Mile Correlation'!Q60&gt;0.1,'Last-Mile Correlation'!Q60&lt;=0.15),CONCATENATE(IF(LEFT('Last-Mile Correlation'!Q28,1)="-","(-)","(+)"),"*","4"),
IF(AND('Last-Mile Correlation'!Q60&gt;0.05,'Last-Mile Correlation'!Q60&lt;=0.1),CONCATENATE(IF(LEFT('Last-Mile Correlation'!Q28,1)="-","(-)","(+)"),"**","4"),
IF('Last-Mile Correlation'!Q60&lt;=0.05,CONCATENATE(IF(LEFT('Last-Mile Correlation'!Q28,1)="-","(-)","(+)"),"***","4"),""))))</f>
        <v/>
      </c>
      <c r="R21" s="379" t="str">
        <f>IF(ISBLANK('Last-Mile Correlation'!R60),"",
IF(AND('Last-Mile Correlation'!R60&gt;0.1,'Last-Mile Correlation'!R60&lt;=0.15),CONCATENATE(IF(LEFT('Last-Mile Correlation'!R28,1)="-","(-)","(+)"),"*","4"),
IF(AND('Last-Mile Correlation'!R60&gt;0.05,'Last-Mile Correlation'!R60&lt;=0.1),CONCATENATE(IF(LEFT('Last-Mile Correlation'!R28,1)="-","(-)","(+)"),"**","4"),
IF('Last-Mile Correlation'!R60&lt;=0.05,CONCATENATE(IF(LEFT('Last-Mile Correlation'!R28,1)="-","(-)","(+)"),"***","4"),""))))</f>
        <v/>
      </c>
      <c r="S21" s="379" t="str">
        <f>IF(ISBLANK('Last-Mile Correlation'!S60),"",
IF(AND('Last-Mile Correlation'!S60&gt;0.1,'Last-Mile Correlation'!S60&lt;=0.15),CONCATENATE(IF(LEFT('Last-Mile Correlation'!S28,1)="-","(-)","(+)"),"*","4"),
IF(AND('Last-Mile Correlation'!S60&gt;0.05,'Last-Mile Correlation'!S60&lt;=0.1),CONCATENATE(IF(LEFT('Last-Mile Correlation'!S28,1)="-","(-)","(+)"),"**","4"),
IF('Last-Mile Correlation'!S60&lt;=0.05,CONCATENATE(IF(LEFT('Last-Mile Correlation'!S28,1)="-","(-)","(+)"),"***","4"),""))))</f>
        <v/>
      </c>
      <c r="T21" s="379" t="str">
        <f>IF(ISBLANK('Last-Mile Correlation'!T60),"",
IF(AND('Last-Mile Correlation'!T60&gt;0.1,'Last-Mile Correlation'!T60&lt;=0.15),CONCATENATE(IF(LEFT('Last-Mile Correlation'!T28,1)="-","(-)","(+)"),"*","4"),
IF(AND('Last-Mile Correlation'!T60&gt;0.05,'Last-Mile Correlation'!T60&lt;=0.1),CONCATENATE(IF(LEFT('Last-Mile Correlation'!T28,1)="-","(-)","(+)"),"**","4"),
IF('Last-Mile Correlation'!T60&lt;=0.05,CONCATENATE(IF(LEFT('Last-Mile Correlation'!T28,1)="-","(-)","(+)"),"***","4"),""))))</f>
        <v/>
      </c>
      <c r="U21" s="379" t="str">
        <f>IF(ISBLANK('Last-Mile Correlation'!U60),"",
IF(AND('Last-Mile Correlation'!U60&gt;0.1,'Last-Mile Correlation'!U60&lt;=0.15),CONCATENATE(IF(LEFT('Last-Mile Correlation'!U28,1)="-","(-)","(+)"),"*","4"),
IF(AND('Last-Mile Correlation'!U60&gt;0.05,'Last-Mile Correlation'!U60&lt;=0.1),CONCATENATE(IF(LEFT('Last-Mile Correlation'!U28,1)="-","(-)","(+)"),"**","4"),
IF('Last-Mile Correlation'!U60&lt;=0.05,CONCATENATE(IF(LEFT('Last-Mile Correlation'!U28,1)="-","(-)","(+)"),"***","4"),""))))</f>
        <v/>
      </c>
      <c r="V21" s="379" t="str">
        <f>IF(ISBLANK('Last-Mile Correlation'!V60),"",
IF(AND('Last-Mile Correlation'!V60&gt;0.1,'Last-Mile Correlation'!V60&lt;=0.15),CONCATENATE(IF(LEFT('Last-Mile Correlation'!V28,1)="-","(-)","(+)"),"*","4"),
IF(AND('Last-Mile Correlation'!V60&gt;0.05,'Last-Mile Correlation'!V60&lt;=0.1),CONCATENATE(IF(LEFT('Last-Mile Correlation'!V28,1)="-","(-)","(+)"),"**","4"),
IF('Last-Mile Correlation'!V60&lt;=0.05,CONCATENATE(IF(LEFT('Last-Mile Correlation'!V28,1)="-","(-)","(+)"),"***","4"),""))))</f>
        <v/>
      </c>
      <c r="W21" s="379" t="str">
        <f>IF(ISBLANK('Last-Mile Correlation'!W60),"",
IF(AND('Last-Mile Correlation'!W60&gt;0.1,'Last-Mile Correlation'!W60&lt;=0.15),CONCATENATE(IF(LEFT('Last-Mile Correlation'!W28,1)="-","(-)","(+)"),"*","4"),
IF(AND('Last-Mile Correlation'!W60&gt;0.05,'Last-Mile Correlation'!W60&lt;=0.1),CONCATENATE(IF(LEFT('Last-Mile Correlation'!W28,1)="-","(-)","(+)"),"**","4"),
IF('Last-Mile Correlation'!W60&lt;=0.05,CONCATENATE(IF(LEFT('Last-Mile Correlation'!W28,1)="-","(-)","(+)"),"***","4"),""))))</f>
        <v/>
      </c>
      <c r="X21" s="379" t="str">
        <f>IF(ISBLANK('Last-Mile Correlation'!X60),"",
IF(AND('Last-Mile Correlation'!X60&gt;0.1,'Last-Mile Correlation'!X60&lt;=0.15),CONCATENATE(IF(LEFT('Last-Mile Correlation'!X28,1)="-","(-)","(+)"),"*","4"),
IF(AND('Last-Mile Correlation'!X60&gt;0.05,'Last-Mile Correlation'!X60&lt;=0.1),CONCATENATE(IF(LEFT('Last-Mile Correlation'!X28,1)="-","(-)","(+)"),"**","4"),
IF('Last-Mile Correlation'!X60&lt;=0.05,CONCATENATE(IF(LEFT('Last-Mile Correlation'!X28,1)="-","(-)","(+)"),"***","4"),""))))</f>
        <v/>
      </c>
      <c r="Y21" s="379" t="str">
        <f>IF(ISBLANK('Last-Mile Correlation'!Y60),"",
IF(AND('Last-Mile Correlation'!Y60&gt;0.1,'Last-Mile Correlation'!Y60&lt;=0.15),CONCATENATE(IF(LEFT('Last-Mile Correlation'!Y28,1)="-","(-)","(+)"),"*","4"),
IF(AND('Last-Mile Correlation'!Y60&gt;0.05,'Last-Mile Correlation'!Y60&lt;=0.1),CONCATENATE(IF(LEFT('Last-Mile Correlation'!Y28,1)="-","(-)","(+)"),"**","4"),
IF('Last-Mile Correlation'!Y60&lt;=0.05,CONCATENATE(IF(LEFT('Last-Mile Correlation'!Y28,1)="-","(-)","(+)"),"***","4"),""))))</f>
        <v/>
      </c>
      <c r="Z21" s="379" t="str">
        <f>IF(ISBLANK('Last-Mile Correlation'!Z60),"",
IF(AND('Last-Mile Correlation'!Z60&gt;0.1,'Last-Mile Correlation'!Z60&lt;=0.15),CONCATENATE(IF(LEFT('Last-Mile Correlation'!Z28,1)="-","(-)","(+)"),"*","4"),
IF(AND('Last-Mile Correlation'!Z60&gt;0.05,'Last-Mile Correlation'!Z60&lt;=0.1),CONCATENATE(IF(LEFT('Last-Mile Correlation'!Z28,1)="-","(-)","(+)"),"**","4"),
IF('Last-Mile Correlation'!Z60&lt;=0.05,CONCATENATE(IF(LEFT('Last-Mile Correlation'!Z28,1)="-","(-)","(+)"),"***","4"),""))))</f>
        <v/>
      </c>
      <c r="AA21" s="379" t="str">
        <f>IF(ISBLANK('Last-Mile Correlation'!AA60),"",
IF(AND('Last-Mile Correlation'!AA60&gt;0.1,'Last-Mile Correlation'!AA60&lt;=0.15),CONCATENATE(IF(LEFT('Last-Mile Correlation'!AA28,1)="-","(-)","(+)"),"*","4"),
IF(AND('Last-Mile Correlation'!AA60&gt;0.05,'Last-Mile Correlation'!AA60&lt;=0.1),CONCATENATE(IF(LEFT('Last-Mile Correlation'!AA28,1)="-","(-)","(+)"),"**","4"),
IF('Last-Mile Correlation'!AA60&lt;=0.05,CONCATENATE(IF(LEFT('Last-Mile Correlation'!AA28,1)="-","(-)","(+)"),"***","4"),""))))</f>
        <v/>
      </c>
      <c r="AB21" s="379" t="str">
        <f>IF(ISBLANK('Last-Mile Correlation'!AB60),"",
IF(AND('Last-Mile Correlation'!AB60&gt;0.1,'Last-Mile Correlation'!AB60&lt;=0.15),CONCATENATE(IF(LEFT('Last-Mile Correlation'!AB28,1)="-","(-)","(+)"),"*","4"),
IF(AND('Last-Mile Correlation'!AB60&gt;0.05,'Last-Mile Correlation'!AB60&lt;=0.1),CONCATENATE(IF(LEFT('Last-Mile Correlation'!AB28,1)="-","(-)","(+)"),"**","4"),
IF('Last-Mile Correlation'!AB60&lt;=0.05,CONCATENATE(IF(LEFT('Last-Mile Correlation'!AB28,1)="-","(-)","(+)"),"***","4"),""))))</f>
        <v>(+)***4</v>
      </c>
      <c r="AC21" s="379" t="str">
        <f>IF(ISBLANK('Last-Mile Correlation'!AC60),"",
IF(AND('Last-Mile Correlation'!AC60&gt;0.1,'Last-Mile Correlation'!AC60&lt;=0.15),CONCATENATE(IF(LEFT('Last-Mile Correlation'!AC28,1)="-","(-)","(+)"),"*","4"),
IF(AND('Last-Mile Correlation'!AC60&gt;0.05,'Last-Mile Correlation'!AC60&lt;=0.1),CONCATENATE(IF(LEFT('Last-Mile Correlation'!AC28,1)="-","(-)","(+)"),"**","4"),
IF('Last-Mile Correlation'!AC60&lt;=0.05,CONCATENATE(IF(LEFT('Last-Mile Correlation'!AC28,1)="-","(-)","(+)"),"***","4"),""))))</f>
        <v/>
      </c>
    </row>
    <row r="22" spans="1:29" x14ac:dyDescent="0.35">
      <c r="A22" s="125" t="s">
        <v>2024</v>
      </c>
      <c r="B22" s="379" t="str">
        <f>IF(ISBLANK('Last-Mile Correlation'!B61),"",
IF(AND('Last-Mile Correlation'!B61&gt;0.1,'Last-Mile Correlation'!B61&lt;=0.15),CONCATENATE(IF(LEFT('Last-Mile Correlation'!B29,1)="-","(-)","(+)"),"*","4"),
IF(AND('Last-Mile Correlation'!B61&gt;0.05,'Last-Mile Correlation'!B61&lt;=0.1),CONCATENATE(IF(LEFT('Last-Mile Correlation'!B29,1)="-","(-)","(+)"),"**","4"),
IF('Last-Mile Correlation'!B61&lt;=0.05,CONCATENATE(IF(LEFT('Last-Mile Correlation'!B29,1)="-","(-)","(+)"),"***","4"),""))))</f>
        <v/>
      </c>
      <c r="C22" s="379" t="str">
        <f>IF(ISBLANK('Last-Mile Correlation'!C61),"",
IF(AND('Last-Mile Correlation'!C61&gt;0.1,'Last-Mile Correlation'!C61&lt;=0.15),CONCATENATE(IF(LEFT('Last-Mile Correlation'!C29,1)="-","(-)","(+)"),"*","4"),
IF(AND('Last-Mile Correlation'!C61&gt;0.05,'Last-Mile Correlation'!C61&lt;=0.1),CONCATENATE(IF(LEFT('Last-Mile Correlation'!C29,1)="-","(-)","(+)"),"**","4"),
IF('Last-Mile Correlation'!C61&lt;=0.05,CONCATENATE(IF(LEFT('Last-Mile Correlation'!C29,1)="-","(-)","(+)"),"***","4"),""))))</f>
        <v/>
      </c>
      <c r="D22" s="379" t="str">
        <f>IF(ISBLANK('Last-Mile Correlation'!D61),"",
IF(AND('Last-Mile Correlation'!D61&gt;0.1,'Last-Mile Correlation'!D61&lt;=0.15),CONCATENATE(IF(LEFT('Last-Mile Correlation'!D29,1)="-","(-)","(+)"),"*","4"),
IF(AND('Last-Mile Correlation'!D61&gt;0.05,'Last-Mile Correlation'!D61&lt;=0.1),CONCATENATE(IF(LEFT('Last-Mile Correlation'!D29,1)="-","(-)","(+)"),"**","4"),
IF('Last-Mile Correlation'!D61&lt;=0.05,CONCATENATE(IF(LEFT('Last-Mile Correlation'!D29,1)="-","(-)","(+)"),"***","4"),""))))</f>
        <v>(-)***4</v>
      </c>
      <c r="E22" s="379" t="str">
        <f>IF(ISBLANK('Last-Mile Correlation'!E61),"",
IF(AND('Last-Mile Correlation'!E61&gt;0.1,'Last-Mile Correlation'!E61&lt;=0.15),CONCATENATE(IF(LEFT('Last-Mile Correlation'!E29,1)="-","(-)","(+)"),"*","4"),
IF(AND('Last-Mile Correlation'!E61&gt;0.05,'Last-Mile Correlation'!E61&lt;=0.1),CONCATENATE(IF(LEFT('Last-Mile Correlation'!E29,1)="-","(-)","(+)"),"**","4"),
IF('Last-Mile Correlation'!E61&lt;=0.05,CONCATENATE(IF(LEFT('Last-Mile Correlation'!E29,1)="-","(-)","(+)"),"***","4"),""))))</f>
        <v/>
      </c>
      <c r="F22" s="379" t="str">
        <f>IF(ISBLANK('Last-Mile Correlation'!F61),"",
IF(AND('Last-Mile Correlation'!F61&gt;0.1,'Last-Mile Correlation'!F61&lt;=0.15),CONCATENATE(IF(LEFT('Last-Mile Correlation'!F29,1)="-","(-)","(+)"),"*","4"),
IF(AND('Last-Mile Correlation'!F61&gt;0.05,'Last-Mile Correlation'!F61&lt;=0.1),CONCATENATE(IF(LEFT('Last-Mile Correlation'!F29,1)="-","(-)","(+)"),"**","4"),
IF('Last-Mile Correlation'!F61&lt;=0.05,CONCATENATE(IF(LEFT('Last-Mile Correlation'!F29,1)="-","(-)","(+)"),"***","4"),""))))</f>
        <v/>
      </c>
      <c r="G22" s="379" t="str">
        <f>IF(ISBLANK('Last-Mile Correlation'!G61),"",
IF(AND('Last-Mile Correlation'!G61&gt;0.1,'Last-Mile Correlation'!G61&lt;=0.15),CONCATENATE(IF(LEFT('Last-Mile Correlation'!G29,1)="-","(-)","(+)"),"*","4"),
IF(AND('Last-Mile Correlation'!G61&gt;0.05,'Last-Mile Correlation'!G61&lt;=0.1),CONCATENATE(IF(LEFT('Last-Mile Correlation'!G29,1)="-","(-)","(+)"),"**","4"),
IF('Last-Mile Correlation'!G61&lt;=0.05,CONCATENATE(IF(LEFT('Last-Mile Correlation'!G29,1)="-","(-)","(+)"),"***","4"),""))))</f>
        <v/>
      </c>
      <c r="H22" s="379" t="str">
        <f>IF(ISBLANK('Last-Mile Correlation'!H61),"",
IF(AND('Last-Mile Correlation'!H61&gt;0.1,'Last-Mile Correlation'!H61&lt;=0.15),CONCATENATE(IF(LEFT('Last-Mile Correlation'!H29,1)="-","(-)","(+)"),"*","4"),
IF(AND('Last-Mile Correlation'!H61&gt;0.05,'Last-Mile Correlation'!H61&lt;=0.1),CONCATENATE(IF(LEFT('Last-Mile Correlation'!H29,1)="-","(-)","(+)"),"**","4"),
IF('Last-Mile Correlation'!H61&lt;=0.05,CONCATENATE(IF(LEFT('Last-Mile Correlation'!H29,1)="-","(-)","(+)"),"***","4"),""))))</f>
        <v/>
      </c>
      <c r="I22" s="379" t="str">
        <f>IF(ISBLANK('Last-Mile Correlation'!I61),"",
IF(AND('Last-Mile Correlation'!I61&gt;0.1,'Last-Mile Correlation'!I61&lt;=0.15),CONCATENATE(IF(LEFT('Last-Mile Correlation'!I29,1)="-","(-)","(+)"),"*","4"),
IF(AND('Last-Mile Correlation'!I61&gt;0.05,'Last-Mile Correlation'!I61&lt;=0.1),CONCATENATE(IF(LEFT('Last-Mile Correlation'!I29,1)="-","(-)","(+)"),"**","4"),
IF('Last-Mile Correlation'!I61&lt;=0.05,CONCATENATE(IF(LEFT('Last-Mile Correlation'!I29,1)="-","(-)","(+)"),"***","4"),""))))</f>
        <v/>
      </c>
      <c r="J22" s="379" t="str">
        <f>IF(ISBLANK('Last-Mile Correlation'!J61),"",
IF(AND('Last-Mile Correlation'!J61&gt;0.1,'Last-Mile Correlation'!J61&lt;=0.15),CONCATENATE(IF(LEFT('Last-Mile Correlation'!J29,1)="-","(-)","(+)"),"*","4"),
IF(AND('Last-Mile Correlation'!J61&gt;0.05,'Last-Mile Correlation'!J61&lt;=0.1),CONCATENATE(IF(LEFT('Last-Mile Correlation'!J29,1)="-","(-)","(+)"),"**","4"),
IF('Last-Mile Correlation'!J61&lt;=0.05,CONCATENATE(IF(LEFT('Last-Mile Correlation'!J29,1)="-","(-)","(+)"),"***","4"),""))))</f>
        <v/>
      </c>
      <c r="K22" s="379" t="str">
        <f>IF(ISBLANK('Last-Mile Correlation'!K61),"",
IF(AND('Last-Mile Correlation'!K61&gt;0.1,'Last-Mile Correlation'!K61&lt;=0.15),CONCATENATE(IF(LEFT('Last-Mile Correlation'!K29,1)="-","(-)","(+)"),"*","4"),
IF(AND('Last-Mile Correlation'!K61&gt;0.05,'Last-Mile Correlation'!K61&lt;=0.1),CONCATENATE(IF(LEFT('Last-Mile Correlation'!K29,1)="-","(-)","(+)"),"**","4"),
IF('Last-Mile Correlation'!K61&lt;=0.05,CONCATENATE(IF(LEFT('Last-Mile Correlation'!K29,1)="-","(-)","(+)"),"***","4"),""))))</f>
        <v/>
      </c>
      <c r="L22" s="379" t="str">
        <f>IF(ISBLANK('Last-Mile Correlation'!L61),"",
IF(AND('Last-Mile Correlation'!L61&gt;0.1,'Last-Mile Correlation'!L61&lt;=0.15),CONCATENATE(IF(LEFT('Last-Mile Correlation'!L29,1)="-","(-)","(+)"),"*","4"),
IF(AND('Last-Mile Correlation'!L61&gt;0.05,'Last-Mile Correlation'!L61&lt;=0.1),CONCATENATE(IF(LEFT('Last-Mile Correlation'!L29,1)="-","(-)","(+)"),"**","4"),
IF('Last-Mile Correlation'!L61&lt;=0.05,CONCATENATE(IF(LEFT('Last-Mile Correlation'!L29,1)="-","(-)","(+)"),"***","4"),""))))</f>
        <v>(-)*4</v>
      </c>
      <c r="M22" s="379" t="str">
        <f>IF(ISBLANK('Last-Mile Correlation'!M61),"",
IF(AND('Last-Mile Correlation'!M61&gt;0.1,'Last-Mile Correlation'!M61&lt;=0.15),CONCATENATE(IF(LEFT('Last-Mile Correlation'!M29,1)="-","(-)","(+)"),"*","4"),
IF(AND('Last-Mile Correlation'!M61&gt;0.05,'Last-Mile Correlation'!M61&lt;=0.1),CONCATENATE(IF(LEFT('Last-Mile Correlation'!M29,1)="-","(-)","(+)"),"**","4"),
IF('Last-Mile Correlation'!M61&lt;=0.05,CONCATENATE(IF(LEFT('Last-Mile Correlation'!M29,1)="-","(-)","(+)"),"***","4"),""))))</f>
        <v>(-)*4</v>
      </c>
      <c r="N22" s="379" t="str">
        <f>IF(ISBLANK('Last-Mile Correlation'!N61),"",
IF(AND('Last-Mile Correlation'!N61&gt;0.1,'Last-Mile Correlation'!N61&lt;=0.15),CONCATENATE(IF(LEFT('Last-Mile Correlation'!N29,1)="-","(-)","(+)"),"*","4"),
IF(AND('Last-Mile Correlation'!N61&gt;0.05,'Last-Mile Correlation'!N61&lt;=0.1),CONCATENATE(IF(LEFT('Last-Mile Correlation'!N29,1)="-","(-)","(+)"),"**","4"),
IF('Last-Mile Correlation'!N61&lt;=0.05,CONCATENATE(IF(LEFT('Last-Mile Correlation'!N29,1)="-","(-)","(+)"),"***","4"),""))))</f>
        <v/>
      </c>
      <c r="O22" s="379" t="str">
        <f>IF(ISBLANK('Last-Mile Correlation'!O61),"",
IF(AND('Last-Mile Correlation'!O61&gt;0.1,'Last-Mile Correlation'!O61&lt;=0.15),CONCATENATE(IF(LEFT('Last-Mile Correlation'!O29,1)="-","(-)","(+)"),"*","4"),
IF(AND('Last-Mile Correlation'!O61&gt;0.05,'Last-Mile Correlation'!O61&lt;=0.1),CONCATENATE(IF(LEFT('Last-Mile Correlation'!O29,1)="-","(-)","(+)"),"**","4"),
IF('Last-Mile Correlation'!O61&lt;=0.05,CONCATENATE(IF(LEFT('Last-Mile Correlation'!O29,1)="-","(-)","(+)"),"***","4"),""))))</f>
        <v/>
      </c>
      <c r="P22" s="379" t="str">
        <f>IF(ISBLANK('Last-Mile Correlation'!P61),"",
IF(AND('Last-Mile Correlation'!P61&gt;0.1,'Last-Mile Correlation'!P61&lt;=0.15),CONCATENATE(IF(LEFT('Last-Mile Correlation'!P29,1)="-","(-)","(+)"),"*","4"),
IF(AND('Last-Mile Correlation'!P61&gt;0.05,'Last-Mile Correlation'!P61&lt;=0.1),CONCATENATE(IF(LEFT('Last-Mile Correlation'!P29,1)="-","(-)","(+)"),"**","4"),
IF('Last-Mile Correlation'!P61&lt;=0.05,CONCATENATE(IF(LEFT('Last-Mile Correlation'!P29,1)="-","(-)","(+)"),"***","4"),""))))</f>
        <v/>
      </c>
      <c r="Q22" s="379" t="str">
        <f>IF(ISBLANK('Last-Mile Correlation'!Q61),"",
IF(AND('Last-Mile Correlation'!Q61&gt;0.1,'Last-Mile Correlation'!Q61&lt;=0.15),CONCATENATE(IF(LEFT('Last-Mile Correlation'!Q29,1)="-","(-)","(+)"),"*","4"),
IF(AND('Last-Mile Correlation'!Q61&gt;0.05,'Last-Mile Correlation'!Q61&lt;=0.1),CONCATENATE(IF(LEFT('Last-Mile Correlation'!Q29,1)="-","(-)","(+)"),"**","4"),
IF('Last-Mile Correlation'!Q61&lt;=0.05,CONCATENATE(IF(LEFT('Last-Mile Correlation'!Q29,1)="-","(-)","(+)"),"***","4"),""))))</f>
        <v/>
      </c>
      <c r="R22" s="379" t="str">
        <f>IF(ISBLANK('Last-Mile Correlation'!R61),"",
IF(AND('Last-Mile Correlation'!R61&gt;0.1,'Last-Mile Correlation'!R61&lt;=0.15),CONCATENATE(IF(LEFT('Last-Mile Correlation'!R29,1)="-","(-)","(+)"),"*","4"),
IF(AND('Last-Mile Correlation'!R61&gt;0.05,'Last-Mile Correlation'!R61&lt;=0.1),CONCATENATE(IF(LEFT('Last-Mile Correlation'!R29,1)="-","(-)","(+)"),"**","4"),
IF('Last-Mile Correlation'!R61&lt;=0.05,CONCATENATE(IF(LEFT('Last-Mile Correlation'!R29,1)="-","(-)","(+)"),"***","4"),""))))</f>
        <v>(+)*4</v>
      </c>
      <c r="S22" s="379" t="str">
        <f>IF(ISBLANK('Last-Mile Correlation'!S61),"",
IF(AND('Last-Mile Correlation'!S61&gt;0.1,'Last-Mile Correlation'!S61&lt;=0.15),CONCATENATE(IF(LEFT('Last-Mile Correlation'!S29,1)="-","(-)","(+)"),"*","4"),
IF(AND('Last-Mile Correlation'!S61&gt;0.05,'Last-Mile Correlation'!S61&lt;=0.1),CONCATENATE(IF(LEFT('Last-Mile Correlation'!S29,1)="-","(-)","(+)"),"**","4"),
IF('Last-Mile Correlation'!S61&lt;=0.05,CONCATENATE(IF(LEFT('Last-Mile Correlation'!S29,1)="-","(-)","(+)"),"***","4"),""))))</f>
        <v>(-)***4</v>
      </c>
      <c r="T22" s="379" t="str">
        <f>IF(ISBLANK('Last-Mile Correlation'!T61),"",
IF(AND('Last-Mile Correlation'!T61&gt;0.1,'Last-Mile Correlation'!T61&lt;=0.15),CONCATENATE(IF(LEFT('Last-Mile Correlation'!T29,1)="-","(-)","(+)"),"*","4"),
IF(AND('Last-Mile Correlation'!T61&gt;0.05,'Last-Mile Correlation'!T61&lt;=0.1),CONCATENATE(IF(LEFT('Last-Mile Correlation'!T29,1)="-","(-)","(+)"),"**","4"),
IF('Last-Mile Correlation'!T61&lt;=0.05,CONCATENATE(IF(LEFT('Last-Mile Correlation'!T29,1)="-","(-)","(+)"),"***","4"),""))))</f>
        <v/>
      </c>
      <c r="U22" s="379" t="str">
        <f>IF(ISBLANK('Last-Mile Correlation'!U61),"",
IF(AND('Last-Mile Correlation'!U61&gt;0.1,'Last-Mile Correlation'!U61&lt;=0.15),CONCATENATE(IF(LEFT('Last-Mile Correlation'!U29,1)="-","(-)","(+)"),"*","4"),
IF(AND('Last-Mile Correlation'!U61&gt;0.05,'Last-Mile Correlation'!U61&lt;=0.1),CONCATENATE(IF(LEFT('Last-Mile Correlation'!U29,1)="-","(-)","(+)"),"**","4"),
IF('Last-Mile Correlation'!U61&lt;=0.05,CONCATENATE(IF(LEFT('Last-Mile Correlation'!U29,1)="-","(-)","(+)"),"***","4"),""))))</f>
        <v/>
      </c>
      <c r="V22" s="379" t="str">
        <f>IF(ISBLANK('Last-Mile Correlation'!V61),"",
IF(AND('Last-Mile Correlation'!V61&gt;0.1,'Last-Mile Correlation'!V61&lt;=0.15),CONCATENATE(IF(LEFT('Last-Mile Correlation'!V29,1)="-","(-)","(+)"),"*","4"),
IF(AND('Last-Mile Correlation'!V61&gt;0.05,'Last-Mile Correlation'!V61&lt;=0.1),CONCATENATE(IF(LEFT('Last-Mile Correlation'!V29,1)="-","(-)","(+)"),"**","4"),
IF('Last-Mile Correlation'!V61&lt;=0.05,CONCATENATE(IF(LEFT('Last-Mile Correlation'!V29,1)="-","(-)","(+)"),"***","4"),""))))</f>
        <v>(-)***4</v>
      </c>
      <c r="W22" s="379" t="str">
        <f>IF(ISBLANK('Last-Mile Correlation'!W61),"",
IF(AND('Last-Mile Correlation'!W61&gt;0.1,'Last-Mile Correlation'!W61&lt;=0.15),CONCATENATE(IF(LEFT('Last-Mile Correlation'!W29,1)="-","(-)","(+)"),"*","4"),
IF(AND('Last-Mile Correlation'!W61&gt;0.05,'Last-Mile Correlation'!W61&lt;=0.1),CONCATENATE(IF(LEFT('Last-Mile Correlation'!W29,1)="-","(-)","(+)"),"**","4"),
IF('Last-Mile Correlation'!W61&lt;=0.05,CONCATENATE(IF(LEFT('Last-Mile Correlation'!W29,1)="-","(-)","(+)"),"***","4"),""))))</f>
        <v/>
      </c>
      <c r="X22" s="379" t="str">
        <f>IF(ISBLANK('Last-Mile Correlation'!X61),"",
IF(AND('Last-Mile Correlation'!X61&gt;0.1,'Last-Mile Correlation'!X61&lt;=0.15),CONCATENATE(IF(LEFT('Last-Mile Correlation'!X29,1)="-","(-)","(+)"),"*","4"),
IF(AND('Last-Mile Correlation'!X61&gt;0.05,'Last-Mile Correlation'!X61&lt;=0.1),CONCATENATE(IF(LEFT('Last-Mile Correlation'!X29,1)="-","(-)","(+)"),"**","4"),
IF('Last-Mile Correlation'!X61&lt;=0.05,CONCATENATE(IF(LEFT('Last-Mile Correlation'!X29,1)="-","(-)","(+)"),"***","4"),""))))</f>
        <v>(-)***4</v>
      </c>
      <c r="Y22" s="379" t="str">
        <f>IF(ISBLANK('Last-Mile Correlation'!Y61),"",
IF(AND('Last-Mile Correlation'!Y61&gt;0.1,'Last-Mile Correlation'!Y61&lt;=0.15),CONCATENATE(IF(LEFT('Last-Mile Correlation'!Y29,1)="-","(-)","(+)"),"*","4"),
IF(AND('Last-Mile Correlation'!Y61&gt;0.05,'Last-Mile Correlation'!Y61&lt;=0.1),CONCATENATE(IF(LEFT('Last-Mile Correlation'!Y29,1)="-","(-)","(+)"),"**","4"),
IF('Last-Mile Correlation'!Y61&lt;=0.05,CONCATENATE(IF(LEFT('Last-Mile Correlation'!Y29,1)="-","(-)","(+)"),"***","4"),""))))</f>
        <v/>
      </c>
      <c r="Z22" s="379" t="str">
        <f>IF(ISBLANK('Last-Mile Correlation'!Z61),"",
IF(AND('Last-Mile Correlation'!Z61&gt;0.1,'Last-Mile Correlation'!Z61&lt;=0.15),CONCATENATE(IF(LEFT('Last-Mile Correlation'!Z29,1)="-","(-)","(+)"),"*","4"),
IF(AND('Last-Mile Correlation'!Z61&gt;0.05,'Last-Mile Correlation'!Z61&lt;=0.1),CONCATENATE(IF(LEFT('Last-Mile Correlation'!Z29,1)="-","(-)","(+)"),"**","4"),
IF('Last-Mile Correlation'!Z61&lt;=0.05,CONCATENATE(IF(LEFT('Last-Mile Correlation'!Z29,1)="-","(-)","(+)"),"***","4"),""))))</f>
        <v>(-)***4</v>
      </c>
      <c r="AA22" s="379" t="str">
        <f>IF(ISBLANK('Last-Mile Correlation'!AA61),"",
IF(AND('Last-Mile Correlation'!AA61&gt;0.1,'Last-Mile Correlation'!AA61&lt;=0.15),CONCATENATE(IF(LEFT('Last-Mile Correlation'!AA29,1)="-","(-)","(+)"),"*","4"),
IF(AND('Last-Mile Correlation'!AA61&gt;0.05,'Last-Mile Correlation'!AA61&lt;=0.1),CONCATENATE(IF(LEFT('Last-Mile Correlation'!AA29,1)="-","(-)","(+)"),"**","4"),
IF('Last-Mile Correlation'!AA61&lt;=0.05,CONCATENATE(IF(LEFT('Last-Mile Correlation'!AA29,1)="-","(-)","(+)"),"***","4"),""))))</f>
        <v>(-)*4</v>
      </c>
      <c r="AB22" s="379" t="str">
        <f>IF(ISBLANK('Last-Mile Correlation'!AB61),"",
IF(AND('Last-Mile Correlation'!AB61&gt;0.1,'Last-Mile Correlation'!AB61&lt;=0.15),CONCATENATE(IF(LEFT('Last-Mile Correlation'!AB29,1)="-","(-)","(+)"),"*","4"),
IF(AND('Last-Mile Correlation'!AB61&gt;0.05,'Last-Mile Correlation'!AB61&lt;=0.1),CONCATENATE(IF(LEFT('Last-Mile Correlation'!AB29,1)="-","(-)","(+)"),"**","4"),
IF('Last-Mile Correlation'!AB61&lt;=0.05,CONCATENATE(IF(LEFT('Last-Mile Correlation'!AB29,1)="-","(-)","(+)"),"***","4"),""))))</f>
        <v/>
      </c>
      <c r="AC22" s="379" t="str">
        <f>IF(ISBLANK('Last-Mile Correlation'!AC61),"",
IF(AND('Last-Mile Correlation'!AC61&gt;0.1,'Last-Mile Correlation'!AC61&lt;=0.15),CONCATENATE(IF(LEFT('Last-Mile Correlation'!AC29,1)="-","(-)","(+)"),"*","4"),
IF(AND('Last-Mile Correlation'!AC61&gt;0.05,'Last-Mile Correlation'!AC61&lt;=0.1),CONCATENATE(IF(LEFT('Last-Mile Correlation'!AC29,1)="-","(-)","(+)"),"**","4"),
IF('Last-Mile Correlation'!AC61&lt;=0.05,CONCATENATE(IF(LEFT('Last-Mile Correlation'!AC29,1)="-","(-)","(+)"),"***","4"),""))))</f>
        <v>(+)***4</v>
      </c>
    </row>
    <row r="23" spans="1:29" x14ac:dyDescent="0.35">
      <c r="A23" s="224" t="s">
        <v>2250</v>
      </c>
      <c r="B23" s="379" t="str">
        <f>IF(ISBLANK('Last-Mile Correlation'!B62),"",
IF(AND('Last-Mile Correlation'!B62&gt;0.1,'Last-Mile Correlation'!B62&lt;=0.15),CONCATENATE(IF(LEFT('Last-Mile Correlation'!B30,1)="-","(-)","(+)"),"*","4"),
IF(AND('Last-Mile Correlation'!B62&gt;0.05,'Last-Mile Correlation'!B62&lt;=0.1),CONCATENATE(IF(LEFT('Last-Mile Correlation'!B30,1)="-","(-)","(+)"),"**","4"),
IF('Last-Mile Correlation'!B62&lt;=0.05,CONCATENATE(IF(LEFT('Last-Mile Correlation'!B30,1)="-","(-)","(+)"),"***","4"),""))))</f>
        <v/>
      </c>
      <c r="C23" s="379" t="str">
        <f>IF(ISBLANK('Last-Mile Correlation'!C62),"",
IF(AND('Last-Mile Correlation'!C62&gt;0.1,'Last-Mile Correlation'!C62&lt;=0.15),CONCATENATE(IF(LEFT('Last-Mile Correlation'!C30,1)="-","(-)","(+)"),"*","4"),
IF(AND('Last-Mile Correlation'!C62&gt;0.05,'Last-Mile Correlation'!C62&lt;=0.1),CONCATENATE(IF(LEFT('Last-Mile Correlation'!C30,1)="-","(-)","(+)"),"**","4"),
IF('Last-Mile Correlation'!C62&lt;=0.05,CONCATENATE(IF(LEFT('Last-Mile Correlation'!C30,1)="-","(-)","(+)"),"***","4"),""))))</f>
        <v/>
      </c>
      <c r="D23" s="379" t="str">
        <f>IF(ISBLANK('Last-Mile Correlation'!D62),"",
IF(AND('Last-Mile Correlation'!D62&gt;0.1,'Last-Mile Correlation'!D62&lt;=0.15),CONCATENATE(IF(LEFT('Last-Mile Correlation'!D30,1)="-","(-)","(+)"),"*","4"),
IF(AND('Last-Mile Correlation'!D62&gt;0.05,'Last-Mile Correlation'!D62&lt;=0.1),CONCATENATE(IF(LEFT('Last-Mile Correlation'!D30,1)="-","(-)","(+)"),"**","4"),
IF('Last-Mile Correlation'!D62&lt;=0.05,CONCATENATE(IF(LEFT('Last-Mile Correlation'!D30,1)="-","(-)","(+)"),"***","4"),""))))</f>
        <v/>
      </c>
      <c r="E23" s="379" t="str">
        <f>IF(ISBLANK('Last-Mile Correlation'!E62),"",
IF(AND('Last-Mile Correlation'!E62&gt;0.1,'Last-Mile Correlation'!E62&lt;=0.15),CONCATENATE(IF(LEFT('Last-Mile Correlation'!E30,1)="-","(-)","(+)"),"*","4"),
IF(AND('Last-Mile Correlation'!E62&gt;0.05,'Last-Mile Correlation'!E62&lt;=0.1),CONCATENATE(IF(LEFT('Last-Mile Correlation'!E30,1)="-","(-)","(+)"),"**","4"),
IF('Last-Mile Correlation'!E62&lt;=0.05,CONCATENATE(IF(LEFT('Last-Mile Correlation'!E30,1)="-","(-)","(+)"),"***","4"),""))))</f>
        <v/>
      </c>
      <c r="F23" s="379" t="str">
        <f>IF(ISBLANK('Last-Mile Correlation'!F62),"",
IF(AND('Last-Mile Correlation'!F62&gt;0.1,'Last-Mile Correlation'!F62&lt;=0.15),CONCATENATE(IF(LEFT('Last-Mile Correlation'!F30,1)="-","(-)","(+)"),"*","4"),
IF(AND('Last-Mile Correlation'!F62&gt;0.05,'Last-Mile Correlation'!F62&lt;=0.1),CONCATENATE(IF(LEFT('Last-Mile Correlation'!F30,1)="-","(-)","(+)"),"**","4"),
IF('Last-Mile Correlation'!F62&lt;=0.05,CONCATENATE(IF(LEFT('Last-Mile Correlation'!F30,1)="-","(-)","(+)"),"***","4"),""))))</f>
        <v/>
      </c>
      <c r="G23" s="379" t="str">
        <f>IF(ISBLANK('Last-Mile Correlation'!G62),"",
IF(AND('Last-Mile Correlation'!G62&gt;0.1,'Last-Mile Correlation'!G62&lt;=0.15),CONCATENATE(IF(LEFT('Last-Mile Correlation'!G30,1)="-","(-)","(+)"),"*","4"),
IF(AND('Last-Mile Correlation'!G62&gt;0.05,'Last-Mile Correlation'!G62&lt;=0.1),CONCATENATE(IF(LEFT('Last-Mile Correlation'!G30,1)="-","(-)","(+)"),"**","4"),
IF('Last-Mile Correlation'!G62&lt;=0.05,CONCATENATE(IF(LEFT('Last-Mile Correlation'!G30,1)="-","(-)","(+)"),"***","4"),""))))</f>
        <v/>
      </c>
      <c r="H23" s="379" t="str">
        <f>IF(ISBLANK('Last-Mile Correlation'!H62),"",
IF(AND('Last-Mile Correlation'!H62&gt;0.1,'Last-Mile Correlation'!H62&lt;=0.15),CONCATENATE(IF(LEFT('Last-Mile Correlation'!H30,1)="-","(-)","(+)"),"*","4"),
IF(AND('Last-Mile Correlation'!H62&gt;0.05,'Last-Mile Correlation'!H62&lt;=0.1),CONCATENATE(IF(LEFT('Last-Mile Correlation'!H30,1)="-","(-)","(+)"),"**","4"),
IF('Last-Mile Correlation'!H62&lt;=0.05,CONCATENATE(IF(LEFT('Last-Mile Correlation'!H30,1)="-","(-)","(+)"),"***","4"),""))))</f>
        <v/>
      </c>
      <c r="I23" s="379" t="str">
        <f>IF(ISBLANK('Last-Mile Correlation'!I62),"",
IF(AND('Last-Mile Correlation'!I62&gt;0.1,'Last-Mile Correlation'!I62&lt;=0.15),CONCATENATE(IF(LEFT('Last-Mile Correlation'!I30,1)="-","(-)","(+)"),"*","4"),
IF(AND('Last-Mile Correlation'!I62&gt;0.05,'Last-Mile Correlation'!I62&lt;=0.1),CONCATENATE(IF(LEFT('Last-Mile Correlation'!I30,1)="-","(-)","(+)"),"**","4"),
IF('Last-Mile Correlation'!I62&lt;=0.05,CONCATENATE(IF(LEFT('Last-Mile Correlation'!I30,1)="-","(-)","(+)"),"***","4"),""))))</f>
        <v/>
      </c>
      <c r="J23" s="379" t="str">
        <f>IF(ISBLANK('Last-Mile Correlation'!J62),"",
IF(AND('Last-Mile Correlation'!J62&gt;0.1,'Last-Mile Correlation'!J62&lt;=0.15),CONCATENATE(IF(LEFT('Last-Mile Correlation'!J30,1)="-","(-)","(+)"),"*","4"),
IF(AND('Last-Mile Correlation'!J62&gt;0.05,'Last-Mile Correlation'!J62&lt;=0.1),CONCATENATE(IF(LEFT('Last-Mile Correlation'!J30,1)="-","(-)","(+)"),"**","4"),
IF('Last-Mile Correlation'!J62&lt;=0.05,CONCATENATE(IF(LEFT('Last-Mile Correlation'!J30,1)="-","(-)","(+)"),"***","4"),""))))</f>
        <v/>
      </c>
      <c r="K23" s="379" t="str">
        <f>IF(ISBLANK('Last-Mile Correlation'!K62),"",
IF(AND('Last-Mile Correlation'!K62&gt;0.1,'Last-Mile Correlation'!K62&lt;=0.15),CONCATENATE(IF(LEFT('Last-Mile Correlation'!K30,1)="-","(-)","(+)"),"*","4"),
IF(AND('Last-Mile Correlation'!K62&gt;0.05,'Last-Mile Correlation'!K62&lt;=0.1),CONCATENATE(IF(LEFT('Last-Mile Correlation'!K30,1)="-","(-)","(+)"),"**","4"),
IF('Last-Mile Correlation'!K62&lt;=0.05,CONCATENATE(IF(LEFT('Last-Mile Correlation'!K30,1)="-","(-)","(+)"),"***","4"),""))))</f>
        <v/>
      </c>
      <c r="L23" s="379" t="str">
        <f>IF(ISBLANK('Last-Mile Correlation'!L62),"",
IF(AND('Last-Mile Correlation'!L62&gt;0.1,'Last-Mile Correlation'!L62&lt;=0.15),CONCATENATE(IF(LEFT('Last-Mile Correlation'!L30,1)="-","(-)","(+)"),"*","4"),
IF(AND('Last-Mile Correlation'!L62&gt;0.05,'Last-Mile Correlation'!L62&lt;=0.1),CONCATENATE(IF(LEFT('Last-Mile Correlation'!L30,1)="-","(-)","(+)"),"**","4"),
IF('Last-Mile Correlation'!L62&lt;=0.05,CONCATENATE(IF(LEFT('Last-Mile Correlation'!L30,1)="-","(-)","(+)"),"***","4"),""))))</f>
        <v/>
      </c>
      <c r="M23" s="379" t="str">
        <f>IF(ISBLANK('Last-Mile Correlation'!M62),"",
IF(AND('Last-Mile Correlation'!M62&gt;0.1,'Last-Mile Correlation'!M62&lt;=0.15),CONCATENATE(IF(LEFT('Last-Mile Correlation'!M30,1)="-","(-)","(+)"),"*","4"),
IF(AND('Last-Mile Correlation'!M62&gt;0.05,'Last-Mile Correlation'!M62&lt;=0.1),CONCATENATE(IF(LEFT('Last-Mile Correlation'!M30,1)="-","(-)","(+)"),"**","4"),
IF('Last-Mile Correlation'!M62&lt;=0.05,CONCATENATE(IF(LEFT('Last-Mile Correlation'!M30,1)="-","(-)","(+)"),"***","4"),""))))</f>
        <v/>
      </c>
      <c r="N23" s="379" t="str">
        <f>IF(ISBLANK('Last-Mile Correlation'!N62),"",
IF(AND('Last-Mile Correlation'!N62&gt;0.1,'Last-Mile Correlation'!N62&lt;=0.15),CONCATENATE(IF(LEFT('Last-Mile Correlation'!N30,1)="-","(-)","(+)"),"*","4"),
IF(AND('Last-Mile Correlation'!N62&gt;0.05,'Last-Mile Correlation'!N62&lt;=0.1),CONCATENATE(IF(LEFT('Last-Mile Correlation'!N30,1)="-","(-)","(+)"),"**","4"),
IF('Last-Mile Correlation'!N62&lt;=0.05,CONCATENATE(IF(LEFT('Last-Mile Correlation'!N30,1)="-","(-)","(+)"),"***","4"),""))))</f>
        <v/>
      </c>
      <c r="O23" s="379" t="str">
        <f>IF(ISBLANK('Last-Mile Correlation'!O62),"",
IF(AND('Last-Mile Correlation'!O62&gt;0.1,'Last-Mile Correlation'!O62&lt;=0.15),CONCATENATE(IF(LEFT('Last-Mile Correlation'!O30,1)="-","(-)","(+)"),"*","4"),
IF(AND('Last-Mile Correlation'!O62&gt;0.05,'Last-Mile Correlation'!O62&lt;=0.1),CONCATENATE(IF(LEFT('Last-Mile Correlation'!O30,1)="-","(-)","(+)"),"**","4"),
IF('Last-Mile Correlation'!O62&lt;=0.05,CONCATENATE(IF(LEFT('Last-Mile Correlation'!O30,1)="-","(-)","(+)"),"***","4"),""))))</f>
        <v/>
      </c>
      <c r="P23" s="379" t="str">
        <f>IF(ISBLANK('Last-Mile Correlation'!P62),"",
IF(AND('Last-Mile Correlation'!P62&gt;0.1,'Last-Mile Correlation'!P62&lt;=0.15),CONCATENATE(IF(LEFT('Last-Mile Correlation'!P30,1)="-","(-)","(+)"),"*","4"),
IF(AND('Last-Mile Correlation'!P62&gt;0.05,'Last-Mile Correlation'!P62&lt;=0.1),CONCATENATE(IF(LEFT('Last-Mile Correlation'!P30,1)="-","(-)","(+)"),"**","4"),
IF('Last-Mile Correlation'!P62&lt;=0.05,CONCATENATE(IF(LEFT('Last-Mile Correlation'!P30,1)="-","(-)","(+)"),"***","4"),""))))</f>
        <v/>
      </c>
      <c r="Q23" s="379" t="str">
        <f>IF(ISBLANK('Last-Mile Correlation'!Q62),"",
IF(AND('Last-Mile Correlation'!Q62&gt;0.1,'Last-Mile Correlation'!Q62&lt;=0.15),CONCATENATE(IF(LEFT('Last-Mile Correlation'!Q30,1)="-","(-)","(+)"),"*","4"),
IF(AND('Last-Mile Correlation'!Q62&gt;0.05,'Last-Mile Correlation'!Q62&lt;=0.1),CONCATENATE(IF(LEFT('Last-Mile Correlation'!Q30,1)="-","(-)","(+)"),"**","4"),
IF('Last-Mile Correlation'!Q62&lt;=0.05,CONCATENATE(IF(LEFT('Last-Mile Correlation'!Q30,1)="-","(-)","(+)"),"***","4"),""))))</f>
        <v/>
      </c>
      <c r="R23" s="379" t="str">
        <f>IF(ISBLANK('Last-Mile Correlation'!R62),"",
IF(AND('Last-Mile Correlation'!R62&gt;0.1,'Last-Mile Correlation'!R62&lt;=0.15),CONCATENATE(IF(LEFT('Last-Mile Correlation'!R30,1)="-","(-)","(+)"),"*","4"),
IF(AND('Last-Mile Correlation'!R62&gt;0.05,'Last-Mile Correlation'!R62&lt;=0.1),CONCATENATE(IF(LEFT('Last-Mile Correlation'!R30,1)="-","(-)","(+)"),"**","4"),
IF('Last-Mile Correlation'!R62&lt;=0.05,CONCATENATE(IF(LEFT('Last-Mile Correlation'!R30,1)="-","(-)","(+)"),"***","4"),""))))</f>
        <v/>
      </c>
      <c r="S23" s="379" t="str">
        <f>IF(ISBLANK('Last-Mile Correlation'!S62),"",
IF(AND('Last-Mile Correlation'!S62&gt;0.1,'Last-Mile Correlation'!S62&lt;=0.15),CONCATENATE(IF(LEFT('Last-Mile Correlation'!S30,1)="-","(-)","(+)"),"*","4"),
IF(AND('Last-Mile Correlation'!S62&gt;0.05,'Last-Mile Correlation'!S62&lt;=0.1),CONCATENATE(IF(LEFT('Last-Mile Correlation'!S30,1)="-","(-)","(+)"),"**","4"),
IF('Last-Mile Correlation'!S62&lt;=0.05,CONCATENATE(IF(LEFT('Last-Mile Correlation'!S30,1)="-","(-)","(+)"),"***","4"),""))))</f>
        <v/>
      </c>
      <c r="T23" s="379" t="str">
        <f>IF(ISBLANK('Last-Mile Correlation'!T62),"",
IF(AND('Last-Mile Correlation'!T62&gt;0.1,'Last-Mile Correlation'!T62&lt;=0.15),CONCATENATE(IF(LEFT('Last-Mile Correlation'!T30,1)="-","(-)","(+)"),"*","4"),
IF(AND('Last-Mile Correlation'!T62&gt;0.05,'Last-Mile Correlation'!T62&lt;=0.1),CONCATENATE(IF(LEFT('Last-Mile Correlation'!T30,1)="-","(-)","(+)"),"**","4"),
IF('Last-Mile Correlation'!T62&lt;=0.05,CONCATENATE(IF(LEFT('Last-Mile Correlation'!T30,1)="-","(-)","(+)"),"***","4"),""))))</f>
        <v/>
      </c>
      <c r="U23" s="379" t="str">
        <f>IF(ISBLANK('Last-Mile Correlation'!U62),"",
IF(AND('Last-Mile Correlation'!U62&gt;0.1,'Last-Mile Correlation'!U62&lt;=0.15),CONCATENATE(IF(LEFT('Last-Mile Correlation'!U30,1)="-","(-)","(+)"),"*","4"),
IF(AND('Last-Mile Correlation'!U62&gt;0.05,'Last-Mile Correlation'!U62&lt;=0.1),CONCATENATE(IF(LEFT('Last-Mile Correlation'!U30,1)="-","(-)","(+)"),"**","4"),
IF('Last-Mile Correlation'!U62&lt;=0.05,CONCATENATE(IF(LEFT('Last-Mile Correlation'!U30,1)="-","(-)","(+)"),"***","4"),""))))</f>
        <v/>
      </c>
      <c r="V23" s="379" t="str">
        <f>IF(ISBLANK('Last-Mile Correlation'!V62),"",
IF(AND('Last-Mile Correlation'!V62&gt;0.1,'Last-Mile Correlation'!V62&lt;=0.15),CONCATENATE(IF(LEFT('Last-Mile Correlation'!V30,1)="-","(-)","(+)"),"*","4"),
IF(AND('Last-Mile Correlation'!V62&gt;0.05,'Last-Mile Correlation'!V62&lt;=0.1),CONCATENATE(IF(LEFT('Last-Mile Correlation'!V30,1)="-","(-)","(+)"),"**","4"),
IF('Last-Mile Correlation'!V62&lt;=0.05,CONCATENATE(IF(LEFT('Last-Mile Correlation'!V30,1)="-","(-)","(+)"),"***","4"),""))))</f>
        <v/>
      </c>
      <c r="W23" s="379" t="str">
        <f>IF(ISBLANK('Last-Mile Correlation'!W62),"",
IF(AND('Last-Mile Correlation'!W62&gt;0.1,'Last-Mile Correlation'!W62&lt;=0.15),CONCATENATE(IF(LEFT('Last-Mile Correlation'!W30,1)="-","(-)","(+)"),"*","4"),
IF(AND('Last-Mile Correlation'!W62&gt;0.05,'Last-Mile Correlation'!W62&lt;=0.1),CONCATENATE(IF(LEFT('Last-Mile Correlation'!W30,1)="-","(-)","(+)"),"**","4"),
IF('Last-Mile Correlation'!W62&lt;=0.05,CONCATENATE(IF(LEFT('Last-Mile Correlation'!W30,1)="-","(-)","(+)"),"***","4"),""))))</f>
        <v/>
      </c>
      <c r="X23" s="379" t="str">
        <f>IF(ISBLANK('Last-Mile Correlation'!X62),"",
IF(AND('Last-Mile Correlation'!X62&gt;0.1,'Last-Mile Correlation'!X62&lt;=0.15),CONCATENATE(IF(LEFT('Last-Mile Correlation'!X30,1)="-","(-)","(+)"),"*","4"),
IF(AND('Last-Mile Correlation'!X62&gt;0.05,'Last-Mile Correlation'!X62&lt;=0.1),CONCATENATE(IF(LEFT('Last-Mile Correlation'!X30,1)="-","(-)","(+)"),"**","4"),
IF('Last-Mile Correlation'!X62&lt;=0.05,CONCATENATE(IF(LEFT('Last-Mile Correlation'!X30,1)="-","(-)","(+)"),"***","4"),""))))</f>
        <v/>
      </c>
      <c r="Y23" s="379" t="str">
        <f>IF(ISBLANK('Last-Mile Correlation'!Y62),"",
IF(AND('Last-Mile Correlation'!Y62&gt;0.1,'Last-Mile Correlation'!Y62&lt;=0.15),CONCATENATE(IF(LEFT('Last-Mile Correlation'!Y30,1)="-","(-)","(+)"),"*","4"),
IF(AND('Last-Mile Correlation'!Y62&gt;0.05,'Last-Mile Correlation'!Y62&lt;=0.1),CONCATENATE(IF(LEFT('Last-Mile Correlation'!Y30,1)="-","(-)","(+)"),"**","4"),
IF('Last-Mile Correlation'!Y62&lt;=0.05,CONCATENATE(IF(LEFT('Last-Mile Correlation'!Y30,1)="-","(-)","(+)"),"***","4"),""))))</f>
        <v/>
      </c>
      <c r="Z23" s="379" t="str">
        <f>IF(ISBLANK('Last-Mile Correlation'!Z62),"",
IF(AND('Last-Mile Correlation'!Z62&gt;0.1,'Last-Mile Correlation'!Z62&lt;=0.15),CONCATENATE(IF(LEFT('Last-Mile Correlation'!Z30,1)="-","(-)","(+)"),"*","4"),
IF(AND('Last-Mile Correlation'!Z62&gt;0.05,'Last-Mile Correlation'!Z62&lt;=0.1),CONCATENATE(IF(LEFT('Last-Mile Correlation'!Z30,1)="-","(-)","(+)"),"**","4"),
IF('Last-Mile Correlation'!Z62&lt;=0.05,CONCATENATE(IF(LEFT('Last-Mile Correlation'!Z30,1)="-","(-)","(+)"),"***","4"),""))))</f>
        <v/>
      </c>
      <c r="AA23" s="379" t="str">
        <f>IF(ISBLANK('Last-Mile Correlation'!AA62),"",
IF(AND('Last-Mile Correlation'!AA62&gt;0.1,'Last-Mile Correlation'!AA62&lt;=0.15),CONCATENATE(IF(LEFT('Last-Mile Correlation'!AA30,1)="-","(-)","(+)"),"*","4"),
IF(AND('Last-Mile Correlation'!AA62&gt;0.05,'Last-Mile Correlation'!AA62&lt;=0.1),CONCATENATE(IF(LEFT('Last-Mile Correlation'!AA30,1)="-","(-)","(+)"),"**","4"),
IF('Last-Mile Correlation'!AA62&lt;=0.05,CONCATENATE(IF(LEFT('Last-Mile Correlation'!AA30,1)="-","(-)","(+)"),"***","4"),""))))</f>
        <v/>
      </c>
      <c r="AB23" s="379" t="str">
        <f>IF(ISBLANK('Last-Mile Correlation'!AB62),"",
IF(AND('Last-Mile Correlation'!AB62&gt;0.1,'Last-Mile Correlation'!AB62&lt;=0.15),CONCATENATE(IF(LEFT('Last-Mile Correlation'!AB30,1)="-","(-)","(+)"),"*","4"),
IF(AND('Last-Mile Correlation'!AB62&gt;0.05,'Last-Mile Correlation'!AB62&lt;=0.1),CONCATENATE(IF(LEFT('Last-Mile Correlation'!AB30,1)="-","(-)","(+)"),"**","4"),
IF('Last-Mile Correlation'!AB62&lt;=0.05,CONCATENATE(IF(LEFT('Last-Mile Correlation'!AB30,1)="-","(-)","(+)"),"***","4"),""))))</f>
        <v/>
      </c>
      <c r="AC23" s="379" t="str">
        <f>IF(ISBLANK('Last-Mile Correlation'!AC62),"",
IF(AND('Last-Mile Correlation'!AC62&gt;0.1,'Last-Mile Correlation'!AC62&lt;=0.15),CONCATENATE(IF(LEFT('Last-Mile Correlation'!AC30,1)="-","(-)","(+)"),"*","4"),
IF(AND('Last-Mile Correlation'!AC62&gt;0.05,'Last-Mile Correlation'!AC62&lt;=0.1),CONCATENATE(IF(LEFT('Last-Mile Correlation'!AC30,1)="-","(-)","(+)"),"**","4"),
IF('Last-Mile Correlation'!AC62&lt;=0.05,CONCATENATE(IF(LEFT('Last-Mile Correlation'!AC30,1)="-","(-)","(+)"),"***","4"),""))))</f>
        <v>(-)***4</v>
      </c>
    </row>
    <row r="24" spans="1:29" ht="15" thickBot="1" x14ac:dyDescent="0.4"/>
    <row r="25" spans="1:29" ht="66" thickTop="1" thickBot="1" x14ac:dyDescent="0.4">
      <c r="B25" s="222" t="s">
        <v>15</v>
      </c>
      <c r="C25" s="222" t="s">
        <v>12</v>
      </c>
      <c r="D25" s="222" t="s">
        <v>8</v>
      </c>
      <c r="E25" s="222" t="s">
        <v>1200</v>
      </c>
      <c r="F25" s="222" t="s">
        <v>24</v>
      </c>
      <c r="G25" s="222" t="s">
        <v>2244</v>
      </c>
      <c r="I25" s="239" t="s">
        <v>41</v>
      </c>
      <c r="J25" s="229" t="s">
        <v>1201</v>
      </c>
      <c r="L25" s="223" t="s">
        <v>2241</v>
      </c>
      <c r="M25" s="223" t="s">
        <v>2234</v>
      </c>
      <c r="N25" s="223" t="s">
        <v>2235</v>
      </c>
      <c r="Q25" s="230" t="s">
        <v>1205</v>
      </c>
      <c r="R25" s="231" t="s">
        <v>286</v>
      </c>
      <c r="S25" s="231" t="s">
        <v>309</v>
      </c>
      <c r="U25" s="231" t="s">
        <v>320</v>
      </c>
      <c r="V25" s="231" t="s">
        <v>2252</v>
      </c>
      <c r="W25" s="231" t="s">
        <v>2248</v>
      </c>
      <c r="X25" s="231" t="s">
        <v>2251</v>
      </c>
      <c r="Y25" s="231" t="s">
        <v>2228</v>
      </c>
      <c r="Z25" s="231" t="s">
        <v>2245</v>
      </c>
      <c r="AA25" s="232" t="s">
        <v>2081</v>
      </c>
      <c r="AB25" s="231" t="s">
        <v>2242</v>
      </c>
      <c r="AC25" s="233" t="s">
        <v>2243</v>
      </c>
    </row>
    <row r="26" spans="1:29" s="381" customFormat="1" ht="42.5" customHeight="1" thickTop="1" x14ac:dyDescent="0.35">
      <c r="A26" s="380" t="s">
        <v>2061</v>
      </c>
      <c r="B26" s="103" t="str">
        <f t="shared" ref="B26:G28" si="0">_xlfn.TEXTJOIN(CHAR(10),TRUE,B9,B13,B17,B21)</f>
        <v>(-)***2</v>
      </c>
      <c r="C26" s="103" t="str">
        <f t="shared" si="0"/>
        <v>(+)***3</v>
      </c>
      <c r="D26" s="103" t="str">
        <f t="shared" si="0"/>
        <v>(-)*4</v>
      </c>
      <c r="E26" s="103" t="str">
        <f t="shared" si="0"/>
        <v/>
      </c>
      <c r="F26" s="103" t="str">
        <f t="shared" si="0"/>
        <v>(+)***1
(+)**3
(+)***4</v>
      </c>
      <c r="G26" s="103" t="str">
        <f t="shared" si="0"/>
        <v>(-)***2</v>
      </c>
      <c r="H26" s="103" t="str">
        <f t="shared" ref="H26" si="1">_xlfn.TEXTJOIN(CHAR(10),TRUE,H9,H13,H17,H21)</f>
        <v/>
      </c>
      <c r="I26" s="103" t="str">
        <f t="shared" ref="I26:AA26" si="2">_xlfn.TEXTJOIN(CHAR(10),TRUE,I9,I13,I17,I21)</f>
        <v>(+)**1</v>
      </c>
      <c r="J26" s="103" t="str">
        <f t="shared" si="2"/>
        <v>(+)**1</v>
      </c>
      <c r="K26" s="103" t="str">
        <f t="shared" si="2"/>
        <v/>
      </c>
      <c r="L26" s="103" t="str">
        <f t="shared" si="2"/>
        <v>(-)**2</v>
      </c>
      <c r="M26" s="103" t="str">
        <f t="shared" si="2"/>
        <v/>
      </c>
      <c r="N26" s="103" t="str">
        <f t="shared" si="2"/>
        <v/>
      </c>
      <c r="O26" s="103" t="str">
        <f t="shared" si="2"/>
        <v/>
      </c>
      <c r="P26" s="103" t="str">
        <f t="shared" si="2"/>
        <v/>
      </c>
      <c r="Q26" s="103" t="str">
        <f t="shared" si="2"/>
        <v/>
      </c>
      <c r="R26" s="103" t="str">
        <f t="shared" si="2"/>
        <v>(-)***2</v>
      </c>
      <c r="S26" s="103" t="str">
        <f t="shared" si="2"/>
        <v/>
      </c>
      <c r="T26" s="103" t="str">
        <f t="shared" si="2"/>
        <v/>
      </c>
      <c r="U26" s="103" t="str">
        <f t="shared" si="2"/>
        <v>(+)***2</v>
      </c>
      <c r="V26" s="103" t="str">
        <f t="shared" si="2"/>
        <v>(+)*3</v>
      </c>
      <c r="W26" s="103" t="str">
        <f t="shared" si="2"/>
        <v>(-)***2</v>
      </c>
      <c r="X26" s="103" t="str">
        <f t="shared" si="2"/>
        <v>(-)*2
(+)*3</v>
      </c>
      <c r="Y26" s="103" t="str">
        <f t="shared" si="2"/>
        <v>(-)*2</v>
      </c>
      <c r="Z26" s="103" t="str">
        <f t="shared" si="2"/>
        <v>(-)***2</v>
      </c>
      <c r="AA26" s="103" t="str">
        <f t="shared" si="2"/>
        <v>(-)*2</v>
      </c>
      <c r="AB26" s="103"/>
      <c r="AC26" s="103" t="str">
        <f>_xlfn.TEXTJOIN(CHAR(10),TRUE,AC9,AC13,AC17,AC21)</f>
        <v/>
      </c>
    </row>
    <row r="27" spans="1:29" s="381" customFormat="1" ht="42.5" customHeight="1" x14ac:dyDescent="0.35">
      <c r="A27" s="380" t="s">
        <v>2024</v>
      </c>
      <c r="B27" s="103" t="str">
        <f t="shared" si="0"/>
        <v>(-)**2
(-)*3</v>
      </c>
      <c r="C27" s="103" t="str">
        <f t="shared" si="0"/>
        <v/>
      </c>
      <c r="D27" s="103" t="str">
        <f t="shared" si="0"/>
        <v>(-)***4</v>
      </c>
      <c r="E27" s="103" t="str">
        <f t="shared" si="0"/>
        <v>(-)***1</v>
      </c>
      <c r="F27" s="103" t="str">
        <f t="shared" si="0"/>
        <v/>
      </c>
      <c r="G27" s="103" t="str">
        <f t="shared" si="0"/>
        <v>(-)**2</v>
      </c>
      <c r="H27" s="103" t="str">
        <f t="shared" ref="H27" si="3">_xlfn.TEXTJOIN(CHAR(10),TRUE,H10,H14,H18,H22)</f>
        <v/>
      </c>
      <c r="I27" s="103" t="str">
        <f t="shared" ref="I27:AA27" si="4">_xlfn.TEXTJOIN(CHAR(10),TRUE,I10,I14,I18,I22)</f>
        <v/>
      </c>
      <c r="J27" s="103" t="str">
        <f t="shared" si="4"/>
        <v/>
      </c>
      <c r="K27" s="103" t="str">
        <f t="shared" si="4"/>
        <v/>
      </c>
      <c r="L27" s="103" t="str">
        <f t="shared" si="4"/>
        <v>(-)***2
(-)*4</v>
      </c>
      <c r="M27" s="103" t="str">
        <f t="shared" si="4"/>
        <v>(-)*4</v>
      </c>
      <c r="N27" s="103" t="str">
        <f t="shared" si="4"/>
        <v/>
      </c>
      <c r="O27" s="103" t="str">
        <f t="shared" si="4"/>
        <v/>
      </c>
      <c r="P27" s="103" t="str">
        <f t="shared" si="4"/>
        <v/>
      </c>
      <c r="Q27" s="103" t="str">
        <f t="shared" si="4"/>
        <v/>
      </c>
      <c r="R27" s="103" t="str">
        <f t="shared" si="4"/>
        <v>(-)*3
(+)*4</v>
      </c>
      <c r="S27" s="103" t="str">
        <f t="shared" si="4"/>
        <v>(-)***4</v>
      </c>
      <c r="T27" s="103" t="str">
        <f t="shared" si="4"/>
        <v/>
      </c>
      <c r="U27" s="103" t="str">
        <f t="shared" si="4"/>
        <v/>
      </c>
      <c r="V27" s="103" t="str">
        <f t="shared" si="4"/>
        <v>(-)***4</v>
      </c>
      <c r="W27" s="103" t="str">
        <f t="shared" si="4"/>
        <v>(-)***2</v>
      </c>
      <c r="X27" s="103" t="str">
        <f t="shared" si="4"/>
        <v>(-)***2
(-)***4</v>
      </c>
      <c r="Y27" s="103" t="str">
        <f t="shared" si="4"/>
        <v/>
      </c>
      <c r="Z27" s="103" t="str">
        <f t="shared" si="4"/>
        <v>(-)**2
(-)***4</v>
      </c>
      <c r="AA27" s="103" t="str">
        <f t="shared" si="4"/>
        <v>(-)*2
(-)*4</v>
      </c>
      <c r="AB27" s="103" t="str">
        <f>_xlfn.TEXTJOIN(CHAR(10),TRUE,AB10,AB14,AB18,AB22)</f>
        <v/>
      </c>
      <c r="AC27" s="103"/>
    </row>
    <row r="28" spans="1:29" s="381" customFormat="1" ht="42.5" customHeight="1" x14ac:dyDescent="0.35">
      <c r="A28" s="382" t="s">
        <v>2250</v>
      </c>
      <c r="B28" s="103" t="str">
        <f t="shared" si="0"/>
        <v>(-)*1</v>
      </c>
      <c r="C28" s="103" t="str">
        <f t="shared" si="0"/>
        <v/>
      </c>
      <c r="D28" s="103" t="str">
        <f t="shared" si="0"/>
        <v/>
      </c>
      <c r="E28" s="103" t="str">
        <f t="shared" si="0"/>
        <v/>
      </c>
      <c r="F28" s="103" t="str">
        <f t="shared" si="0"/>
        <v/>
      </c>
      <c r="G28" s="103" t="str">
        <f t="shared" si="0"/>
        <v/>
      </c>
      <c r="H28" s="103" t="str">
        <f t="shared" ref="H28" si="5">_xlfn.TEXTJOIN(CHAR(10),TRUE,H11,H15,H19,H23)</f>
        <v/>
      </c>
      <c r="I28" s="103" t="str">
        <f t="shared" ref="I28:AA28" si="6">_xlfn.TEXTJOIN(CHAR(10),TRUE,I11,I15,I19,I23)</f>
        <v/>
      </c>
      <c r="J28" s="103" t="str">
        <f t="shared" si="6"/>
        <v/>
      </c>
      <c r="K28" s="103" t="str">
        <f t="shared" si="6"/>
        <v/>
      </c>
      <c r="L28" s="103" t="str">
        <f t="shared" si="6"/>
        <v/>
      </c>
      <c r="M28" s="103" t="str">
        <f t="shared" si="6"/>
        <v/>
      </c>
      <c r="N28" s="103" t="str">
        <f t="shared" si="6"/>
        <v>(-)**2</v>
      </c>
      <c r="O28" s="103" t="str">
        <f t="shared" si="6"/>
        <v/>
      </c>
      <c r="P28" s="103" t="str">
        <f t="shared" si="6"/>
        <v/>
      </c>
      <c r="Q28" s="103" t="str">
        <f t="shared" si="6"/>
        <v>(-)*2</v>
      </c>
      <c r="R28" s="103" t="str">
        <f t="shared" si="6"/>
        <v>(-)***1</v>
      </c>
      <c r="S28" s="103" t="str">
        <f t="shared" si="6"/>
        <v>(+)*3</v>
      </c>
      <c r="T28" s="103" t="str">
        <f t="shared" si="6"/>
        <v/>
      </c>
      <c r="U28" s="103" t="str">
        <f t="shared" si="6"/>
        <v>(-)*3</v>
      </c>
      <c r="V28" s="103" t="str">
        <f t="shared" si="6"/>
        <v/>
      </c>
      <c r="W28" s="103" t="str">
        <f t="shared" si="6"/>
        <v>(-)**1</v>
      </c>
      <c r="X28" s="103" t="str">
        <f t="shared" si="6"/>
        <v/>
      </c>
      <c r="Y28" s="103" t="str">
        <f t="shared" si="6"/>
        <v>(-)**2</v>
      </c>
      <c r="Z28" s="103" t="str">
        <f t="shared" si="6"/>
        <v/>
      </c>
      <c r="AA28" s="103" t="str">
        <f t="shared" si="6"/>
        <v/>
      </c>
      <c r="AB28" s="103" t="str">
        <f>_xlfn.TEXTJOIN(CHAR(10),TRUE,AB11,AB15,AB19,AB23)</f>
        <v>(-)***1</v>
      </c>
      <c r="AC28" s="103" t="str">
        <f>_xlfn.TEXTJOIN(CHAR(10),TRUE,AC11,AC15,AC19,AC23)</f>
        <v>(-)***4</v>
      </c>
    </row>
    <row r="31" spans="1:29" x14ac:dyDescent="0.35">
      <c r="B31" s="236"/>
      <c r="C31" s="236"/>
      <c r="D31" s="17"/>
      <c r="E31" s="236"/>
    </row>
    <row r="32" spans="1:29" x14ac:dyDescent="0.35">
      <c r="B32" s="383">
        <v>1</v>
      </c>
      <c r="C32" s="236">
        <v>2</v>
      </c>
      <c r="D32" s="17">
        <v>3</v>
      </c>
      <c r="E32" s="236">
        <v>4</v>
      </c>
    </row>
    <row r="33" spans="1:24" x14ac:dyDescent="0.35">
      <c r="A33" s="234" t="s">
        <v>2259</v>
      </c>
      <c r="B33" s="235">
        <f>COUNTA(F26,I26,J26)</f>
        <v>3</v>
      </c>
      <c r="C33" s="235">
        <f>COUNTA(U26)</f>
        <v>1</v>
      </c>
      <c r="D33" s="235">
        <f>COUNTA(C26,F26,V26,R27,X26,S28)</f>
        <v>6</v>
      </c>
      <c r="E33" s="235">
        <f>COUNTA(F26,R27)</f>
        <v>2</v>
      </c>
    </row>
    <row r="34" spans="1:24" x14ac:dyDescent="0.35">
      <c r="A34" s="234" t="s">
        <v>2260</v>
      </c>
      <c r="B34" s="235">
        <f>COUNTA(E27,B28,R28,W28,AB28)</f>
        <v>5</v>
      </c>
      <c r="C34" s="235">
        <f>COUNTA(B26,G26,L26,R26,W26,X26,Y26,Z26,AA26,B27,G27,L27,W27,X27,Z27,AA27,N28,Q28,Y28)</f>
        <v>19</v>
      </c>
      <c r="D34" s="235">
        <f>COUNTA(B27,R27,U28)</f>
        <v>3</v>
      </c>
      <c r="E34" s="235">
        <f>COUNTA(D26,D27,L27,S27,V27,X27,Z27,AA27,AC28)</f>
        <v>9</v>
      </c>
    </row>
    <row r="35" spans="1:24" x14ac:dyDescent="0.35">
      <c r="B35" s="384">
        <f>SUM(B33:B34)</f>
        <v>8</v>
      </c>
      <c r="C35" s="384">
        <f t="shared" ref="C35:E35" si="7">SUM(C33:C34)</f>
        <v>20</v>
      </c>
      <c r="D35" s="384">
        <f t="shared" si="7"/>
        <v>9</v>
      </c>
      <c r="E35" s="384">
        <f t="shared" si="7"/>
        <v>11</v>
      </c>
    </row>
    <row r="36" spans="1:24" ht="15" thickBot="1" x14ac:dyDescent="0.4">
      <c r="A36" s="400"/>
      <c r="B36" s="401"/>
      <c r="C36" s="401"/>
      <c r="D36" s="401"/>
      <c r="E36" s="401"/>
      <c r="F36" s="400"/>
      <c r="G36" s="400"/>
      <c r="H36" s="400"/>
      <c r="I36" s="400"/>
      <c r="J36" s="400"/>
      <c r="K36" s="400"/>
      <c r="L36" s="400"/>
      <c r="M36" s="400"/>
      <c r="N36" s="400"/>
      <c r="O36" s="400"/>
      <c r="P36" s="400"/>
      <c r="Q36" s="400"/>
      <c r="R36" s="400"/>
      <c r="S36" s="400"/>
      <c r="T36" s="400"/>
      <c r="U36" s="400"/>
      <c r="V36" s="400"/>
      <c r="W36" s="400"/>
      <c r="X36" s="400"/>
    </row>
    <row r="37" spans="1:24" ht="15" thickTop="1" x14ac:dyDescent="0.35"/>
    <row r="38" spans="1:24" ht="85" customHeight="1" x14ac:dyDescent="0.35"/>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B0C9E-4FAE-42ED-8F9C-87FB64BE3A6C}">
  <sheetPr>
    <tabColor rgb="FFC00000"/>
  </sheetPr>
  <dimension ref="A1:CQ116"/>
  <sheetViews>
    <sheetView zoomScale="70" zoomScaleNormal="70" workbookViewId="0">
      <selection sqref="A1:XFD1"/>
    </sheetView>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 min="61" max="61" width="27.6328125" bestFit="1" customWidth="1"/>
    <col min="67" max="67" width="15.6328125" customWidth="1"/>
    <col min="69" max="69" width="15.6328125" customWidth="1"/>
    <col min="70" max="70" width="58.1796875" customWidth="1"/>
    <col min="71" max="83" width="15.6328125" customWidth="1"/>
    <col min="84" max="86" width="15.6328125" style="55" customWidth="1"/>
    <col min="87" max="98" width="15.6328125" customWidth="1"/>
  </cols>
  <sheetData>
    <row r="1" spans="1:95" ht="73"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s="83" t="s">
        <v>2061</v>
      </c>
      <c r="AP1" s="83" t="s">
        <v>2024</v>
      </c>
      <c r="AQ1" s="83" t="s">
        <v>2054</v>
      </c>
      <c r="BR1" t="str" cm="1">
        <f t="array" ref="BR1:BR58">_xlfn._xlws.FILTER(L26:L106,L26:L106&lt;&gt;0)</f>
        <v>SLTN</v>
      </c>
      <c r="BT1" t="str">
        <f>VLOOKUP(BR1,CBIMPORT!$A$1:$B$171,2,FALSE)</f>
        <v>Software Company</v>
      </c>
      <c r="BX1" t="e" cm="1">
        <f t="array" ref="BX1">_xlfn._xlws.FILTER(
CHOOSE(
{1},
$L$25:$L$106),
(($J$25:$J$106=#REF!)*($L$25:$L$106&lt;&gt;0)))</f>
        <v>#REF!</v>
      </c>
      <c r="BY1" t="e">
        <f>VLOOKUP(BX1,CBIMPORT!$A$1:$B$171,2,FALSE)</f>
        <v>#REF!</v>
      </c>
      <c r="CB1" t="e" cm="1">
        <f t="array" ref="CB1">_xlfn._xlws.FILTER(
CHOOSE(
{1},
$L$25:$L$106),
(($J$25:$J$106=#REF!)*($L$25:$L$106&lt;&gt;0)))</f>
        <v>#REF!</v>
      </c>
      <c r="CC1" t="e">
        <f>VLOOKUP(CB1,CBIMPORT!$A$1:$B$171,2,FALSE)</f>
        <v>#REF!</v>
      </c>
      <c r="CD1" s="55"/>
      <c r="CL1" t="s">
        <v>880</v>
      </c>
      <c r="CM1" t="s">
        <v>1992</v>
      </c>
      <c r="CP1" t="s">
        <v>1954</v>
      </c>
      <c r="CQ1" t="s">
        <v>588</v>
      </c>
    </row>
    <row r="2" spans="1:95" x14ac:dyDescent="0.35">
      <c r="A2" t="str" cm="1">
        <f t="array" ref="A2:AQ17">_xlfn._xlws.FILTER('Summary per Company and Use Cas'!A159:AQ215,'Summary per Company and Use Cas'!C159:C215=A19)</f>
        <v>2getthere-Ridepooling</v>
      </c>
      <c r="B2" t="str">
        <v>2getthere</v>
      </c>
      <c r="C2" t="str">
        <v>Ridepooling</v>
      </c>
      <c r="D2">
        <v>5</v>
      </c>
      <c r="E2" t="str">
        <v>SLTN; Benteler; SMRT; United Technical Services; SMRT</v>
      </c>
      <c r="F2">
        <v>0</v>
      </c>
      <c r="G2" t="str">
        <v>Transport Operator</v>
      </c>
      <c r="H2">
        <v>0.4</v>
      </c>
      <c r="I2" t="str">
        <v>Automotive Supplier</v>
      </c>
      <c r="J2">
        <v>0.2</v>
      </c>
      <c r="K2" t="str">
        <v>Automotive Supplier</v>
      </c>
      <c r="L2">
        <v>0.2</v>
      </c>
      <c r="M2" t="str">
        <v>L2</v>
      </c>
      <c r="N2" t="str">
        <v>n.a.</v>
      </c>
      <c r="O2">
        <v>1</v>
      </c>
      <c r="P2">
        <v>1</v>
      </c>
      <c r="Q2" s="178">
        <v>2</v>
      </c>
      <c r="R2" s="178">
        <v>1</v>
      </c>
      <c r="S2">
        <v>0</v>
      </c>
      <c r="T2">
        <v>0</v>
      </c>
      <c r="U2">
        <v>0</v>
      </c>
      <c r="V2">
        <v>0</v>
      </c>
      <c r="W2" s="89">
        <v>0</v>
      </c>
      <c r="X2">
        <v>0</v>
      </c>
      <c r="Y2">
        <v>0</v>
      </c>
      <c r="Z2">
        <v>2</v>
      </c>
      <c r="AA2">
        <v>0</v>
      </c>
      <c r="AB2">
        <v>1</v>
      </c>
      <c r="AC2">
        <v>1</v>
      </c>
      <c r="AD2">
        <v>1</v>
      </c>
      <c r="AE2">
        <v>0</v>
      </c>
      <c r="AF2">
        <v>1</v>
      </c>
      <c r="AG2">
        <v>0</v>
      </c>
      <c r="AH2">
        <v>0</v>
      </c>
      <c r="AI2">
        <v>2</v>
      </c>
      <c r="AJ2">
        <v>2</v>
      </c>
      <c r="AK2">
        <v>2</v>
      </c>
      <c r="AL2">
        <v>2</v>
      </c>
      <c r="AM2">
        <v>5</v>
      </c>
      <c r="AN2">
        <v>0</v>
      </c>
      <c r="AO2">
        <v>0</v>
      </c>
      <c r="AP2">
        <v>60</v>
      </c>
      <c r="AQ2" t="str">
        <v>n.a.</v>
      </c>
      <c r="BR2" t="str">
        <v>Benteler</v>
      </c>
      <c r="BT2" t="str">
        <f>VLOOKUP(BR2,CBIMPORT!$A$1:$B$171,2,FALSE)</f>
        <v>Automotive Supplier</v>
      </c>
      <c r="BY2" t="e">
        <f>VLOOKUP(BX2,CBIMPORT!$A$1:$B$171,2,FALSE)</f>
        <v>#N/A</v>
      </c>
      <c r="CC2" t="e">
        <f>VLOOKUP(CB2,CBIMPORT!$A$1:$B$171,2,FALSE)</f>
        <v>#N/A</v>
      </c>
      <c r="CD2" s="55"/>
      <c r="CL2" t="s">
        <v>1952</v>
      </c>
      <c r="CM2" s="97" t="s">
        <v>481</v>
      </c>
      <c r="CP2" t="s">
        <v>512</v>
      </c>
      <c r="CQ2" s="97" t="s">
        <v>481</v>
      </c>
    </row>
    <row r="3" spans="1:95" x14ac:dyDescent="0.35">
      <c r="A3" t="str">
        <v>ADASTEC-Ridepooling</v>
      </c>
      <c r="B3" t="str">
        <v>ADASTEC</v>
      </c>
      <c r="C3" t="str">
        <v>Ridepooling</v>
      </c>
      <c r="D3">
        <v>2</v>
      </c>
      <c r="E3" t="str">
        <v>Vicinity Motor Corp.; Vicinity Motor Corp.</v>
      </c>
      <c r="F3">
        <v>0</v>
      </c>
      <c r="G3" t="str">
        <v>OEM Commercial Vehicles</v>
      </c>
      <c r="H3">
        <v>1</v>
      </c>
      <c r="I3" t="str">
        <v/>
      </c>
      <c r="J3" t="str">
        <v/>
      </c>
      <c r="K3" t="str">
        <v/>
      </c>
      <c r="L3" t="str">
        <v/>
      </c>
      <c r="M3" t="str">
        <v>L1</v>
      </c>
      <c r="N3" t="str">
        <v>n.a.</v>
      </c>
      <c r="O3">
        <v>2</v>
      </c>
      <c r="P3">
        <v>0</v>
      </c>
      <c r="Q3">
        <v>0</v>
      </c>
      <c r="R3" s="178">
        <v>0</v>
      </c>
      <c r="S3">
        <v>0</v>
      </c>
      <c r="T3">
        <v>0</v>
      </c>
      <c r="U3">
        <v>0</v>
      </c>
      <c r="V3">
        <v>0</v>
      </c>
      <c r="W3" s="89">
        <v>0</v>
      </c>
      <c r="X3">
        <v>0</v>
      </c>
      <c r="Y3">
        <v>2</v>
      </c>
      <c r="Z3">
        <v>0</v>
      </c>
      <c r="AA3">
        <v>0</v>
      </c>
      <c r="AB3">
        <v>0</v>
      </c>
      <c r="AC3">
        <v>0</v>
      </c>
      <c r="AD3">
        <v>0</v>
      </c>
      <c r="AE3">
        <v>1</v>
      </c>
      <c r="AF3">
        <v>0</v>
      </c>
      <c r="AG3">
        <v>0</v>
      </c>
      <c r="AH3">
        <v>0</v>
      </c>
      <c r="AI3">
        <v>0</v>
      </c>
      <c r="AJ3">
        <v>2</v>
      </c>
      <c r="AK3">
        <v>2</v>
      </c>
      <c r="AL3">
        <v>0</v>
      </c>
      <c r="AM3">
        <v>2</v>
      </c>
      <c r="AN3">
        <v>0</v>
      </c>
      <c r="AO3">
        <v>0</v>
      </c>
      <c r="AP3">
        <v>75</v>
      </c>
      <c r="AQ3">
        <v>4.75</v>
      </c>
      <c r="BR3" t="str">
        <v>SMRT</v>
      </c>
      <c r="BT3" t="str">
        <f>VLOOKUP(BR3,CBIMPORT!$A$1:$B$171,2,FALSE)</f>
        <v>Transport Operator</v>
      </c>
      <c r="BY3" t="e">
        <f>VLOOKUP(BX3,CBIMPORT!$A$1:$B$171,2,FALSE)</f>
        <v>#N/A</v>
      </c>
      <c r="CC3" t="e">
        <f>VLOOKUP(CB3,CBIMPORT!$A$1:$B$171,2,FALSE)</f>
        <v>#N/A</v>
      </c>
      <c r="CD3" s="55"/>
      <c r="CL3" t="s">
        <v>922</v>
      </c>
      <c r="CM3" t="s">
        <v>398</v>
      </c>
      <c r="CP3" t="s">
        <v>539</v>
      </c>
      <c r="CQ3" t="s">
        <v>540</v>
      </c>
    </row>
    <row r="4" spans="1:95" x14ac:dyDescent="0.35">
      <c r="A4" t="str">
        <v>Beep-Ridepooling</v>
      </c>
      <c r="B4" t="str">
        <v>Beep</v>
      </c>
      <c r="C4" t="str">
        <v>Ridepooling</v>
      </c>
      <c r="D4">
        <v>4</v>
      </c>
      <c r="E4" t="str">
        <v>North Carolina Department of Transportation; Contra Costa Transportation Authority; ZF; Oxa</v>
      </c>
      <c r="F4">
        <v>0</v>
      </c>
      <c r="G4" t="str">
        <v>Autonomous Vehicles</v>
      </c>
      <c r="H4">
        <v>0.5</v>
      </c>
      <c r="I4" t="str">
        <v>Autonomous Vehicles</v>
      </c>
      <c r="J4">
        <v>0.5</v>
      </c>
      <c r="K4" t="str">
        <v/>
      </c>
      <c r="L4" t="str">
        <v/>
      </c>
      <c r="M4" t="str">
        <v>L3</v>
      </c>
      <c r="N4" t="str">
        <v>n.a.</v>
      </c>
      <c r="O4">
        <v>0</v>
      </c>
      <c r="P4">
        <v>0</v>
      </c>
      <c r="Q4">
        <v>4</v>
      </c>
      <c r="R4" s="178">
        <v>0</v>
      </c>
      <c r="S4">
        <v>0</v>
      </c>
      <c r="T4">
        <v>0</v>
      </c>
      <c r="U4">
        <v>0</v>
      </c>
      <c r="V4">
        <v>0</v>
      </c>
      <c r="W4" s="89">
        <v>0</v>
      </c>
      <c r="X4">
        <v>0</v>
      </c>
      <c r="Y4">
        <v>2</v>
      </c>
      <c r="Z4">
        <v>0</v>
      </c>
      <c r="AA4">
        <v>2</v>
      </c>
      <c r="AB4">
        <v>0</v>
      </c>
      <c r="AC4">
        <v>0</v>
      </c>
      <c r="AD4">
        <v>0</v>
      </c>
      <c r="AE4">
        <v>0</v>
      </c>
      <c r="AF4">
        <v>0</v>
      </c>
      <c r="AG4">
        <v>1</v>
      </c>
      <c r="AH4">
        <v>0</v>
      </c>
      <c r="AI4">
        <v>4</v>
      </c>
      <c r="AJ4">
        <v>0</v>
      </c>
      <c r="AK4">
        <v>2</v>
      </c>
      <c r="AL4">
        <v>0</v>
      </c>
      <c r="AM4">
        <v>4</v>
      </c>
      <c r="AN4">
        <v>0</v>
      </c>
      <c r="AO4">
        <v>0</v>
      </c>
      <c r="AP4">
        <v>50</v>
      </c>
      <c r="AQ4">
        <v>45</v>
      </c>
      <c r="BR4" t="str">
        <v>United Technical Services</v>
      </c>
      <c r="BT4" t="str">
        <f>VLOOKUP(BR4,CBIMPORT!$A$1:$B$171,2,FALSE)</f>
        <v>Industrial</v>
      </c>
      <c r="BY4" t="e">
        <f>VLOOKUP(BX4,CBIMPORT!$A$1:$B$171,2,FALSE)</f>
        <v>#N/A</v>
      </c>
      <c r="CC4" t="e">
        <f>VLOOKUP(CB4,CBIMPORT!$A$1:$B$171,2,FALSE)</f>
        <v>#N/A</v>
      </c>
      <c r="CD4" s="55"/>
      <c r="CL4" t="s">
        <v>922</v>
      </c>
      <c r="CM4" t="s">
        <v>398</v>
      </c>
      <c r="CP4" t="s">
        <v>715</v>
      </c>
      <c r="CQ4" t="s">
        <v>716</v>
      </c>
    </row>
    <row r="5" spans="1:95" x14ac:dyDescent="0.35">
      <c r="A5" t="str">
        <v>EasyMile-Ridepooling</v>
      </c>
      <c r="B5" t="str">
        <v>EasyMile</v>
      </c>
      <c r="C5" t="str">
        <v>Ridepooling</v>
      </c>
      <c r="D5">
        <v>6</v>
      </c>
      <c r="E5" t="str">
        <v>TrustInSoft; Continental; Sono Motors; Phoenix Motorcars; Continental;Shanghai Jiading Industrial Zone; Kalray</v>
      </c>
      <c r="F5">
        <v>5</v>
      </c>
      <c r="G5" t="str">
        <v>Automotive Supplier</v>
      </c>
      <c r="H5">
        <v>0.2857142857142857</v>
      </c>
      <c r="I5" t="str">
        <v>OEM Commercial Vehicles</v>
      </c>
      <c r="J5">
        <v>0.14285714285714285</v>
      </c>
      <c r="K5" t="str">
        <v>OEM Commercial Vehicles</v>
      </c>
      <c r="L5">
        <v>0.14285714285714285</v>
      </c>
      <c r="M5" t="str">
        <v>L2</v>
      </c>
      <c r="N5">
        <v>3</v>
      </c>
      <c r="O5">
        <v>2</v>
      </c>
      <c r="P5">
        <v>0</v>
      </c>
      <c r="Q5">
        <v>0</v>
      </c>
      <c r="R5" s="178">
        <v>0</v>
      </c>
      <c r="S5">
        <v>0</v>
      </c>
      <c r="T5">
        <v>1</v>
      </c>
      <c r="U5">
        <v>1</v>
      </c>
      <c r="V5">
        <v>1</v>
      </c>
      <c r="W5" s="89">
        <v>1</v>
      </c>
      <c r="X5">
        <v>2</v>
      </c>
      <c r="Y5">
        <v>2</v>
      </c>
      <c r="Z5">
        <v>2</v>
      </c>
      <c r="AA5">
        <v>0</v>
      </c>
      <c r="AB5">
        <v>0</v>
      </c>
      <c r="AC5">
        <v>0</v>
      </c>
      <c r="AD5">
        <v>0</v>
      </c>
      <c r="AE5">
        <v>0</v>
      </c>
      <c r="AF5">
        <v>1</v>
      </c>
      <c r="AG5">
        <v>0</v>
      </c>
      <c r="AH5">
        <v>0</v>
      </c>
      <c r="AI5">
        <v>0</v>
      </c>
      <c r="AJ5">
        <v>3</v>
      </c>
      <c r="AK5">
        <v>6</v>
      </c>
      <c r="AL5">
        <v>0</v>
      </c>
      <c r="AM5">
        <v>6</v>
      </c>
      <c r="AN5">
        <v>5</v>
      </c>
      <c r="AO5">
        <v>0</v>
      </c>
      <c r="AP5">
        <v>250</v>
      </c>
      <c r="AQ5">
        <v>82.516926609999999</v>
      </c>
      <c r="BR5" t="str">
        <v>SMRT</v>
      </c>
      <c r="BT5" t="str">
        <f>VLOOKUP(BR5,CBIMPORT!$A$1:$B$171,2,FALSE)</f>
        <v>Transport Operator</v>
      </c>
      <c r="BY5" t="e">
        <f>VLOOKUP(BX5,CBIMPORT!$A$1:$B$171,2,FALSE)</f>
        <v>#N/A</v>
      </c>
      <c r="CC5" t="e">
        <f>VLOOKUP(CB5,CBIMPORT!$A$1:$B$171,2,FALSE)</f>
        <v>#N/A</v>
      </c>
      <c r="CD5" s="55"/>
      <c r="CL5" t="s">
        <v>811</v>
      </c>
      <c r="CM5" t="s">
        <v>784</v>
      </c>
      <c r="CP5" t="s">
        <v>740</v>
      </c>
      <c r="CQ5" t="s">
        <v>319</v>
      </c>
    </row>
    <row r="6" spans="1:95" x14ac:dyDescent="0.35">
      <c r="A6" t="str">
        <v>Ioki-Ridepooling</v>
      </c>
      <c r="B6" t="str">
        <v>Ioki</v>
      </c>
      <c r="C6" t="str">
        <v>Ridepooling</v>
      </c>
      <c r="D6">
        <v>2</v>
      </c>
      <c r="E6" t="str">
        <v>Deutsche Bahn;Berliner Verkehrsbetriebe; MINGA</v>
      </c>
      <c r="F6">
        <v>0</v>
      </c>
      <c r="G6" t="str">
        <v>Transport Operator</v>
      </c>
      <c r="H6">
        <v>0.66666666666666663</v>
      </c>
      <c r="I6" t="str">
        <v>Mobility Project</v>
      </c>
      <c r="J6">
        <v>0.33333333333333331</v>
      </c>
      <c r="K6" t="str">
        <v/>
      </c>
      <c r="L6" t="str">
        <v/>
      </c>
      <c r="M6" t="str">
        <v>L4</v>
      </c>
      <c r="N6" t="str">
        <v>n.a.</v>
      </c>
      <c r="O6">
        <v>1</v>
      </c>
      <c r="P6">
        <v>0</v>
      </c>
      <c r="Q6">
        <v>1</v>
      </c>
      <c r="R6" s="178">
        <v>0</v>
      </c>
      <c r="S6">
        <v>0</v>
      </c>
      <c r="T6">
        <v>0</v>
      </c>
      <c r="U6">
        <v>0</v>
      </c>
      <c r="V6">
        <v>0</v>
      </c>
      <c r="W6" s="89">
        <v>0</v>
      </c>
      <c r="X6">
        <v>0</v>
      </c>
      <c r="Y6">
        <v>2</v>
      </c>
      <c r="Z6">
        <v>0</v>
      </c>
      <c r="AA6">
        <v>0</v>
      </c>
      <c r="AB6">
        <v>0</v>
      </c>
      <c r="AC6">
        <v>0</v>
      </c>
      <c r="AD6">
        <v>0</v>
      </c>
      <c r="AE6">
        <v>0</v>
      </c>
      <c r="AF6">
        <v>0</v>
      </c>
      <c r="AG6">
        <v>0</v>
      </c>
      <c r="AH6">
        <v>1</v>
      </c>
      <c r="AI6">
        <v>1</v>
      </c>
      <c r="AJ6">
        <v>1</v>
      </c>
      <c r="AK6">
        <v>2</v>
      </c>
      <c r="AL6">
        <v>0</v>
      </c>
      <c r="AM6">
        <v>2</v>
      </c>
      <c r="AN6">
        <v>0</v>
      </c>
      <c r="AO6">
        <v>0</v>
      </c>
      <c r="AP6">
        <v>180</v>
      </c>
      <c r="AQ6" t="str">
        <v>n.a.</v>
      </c>
      <c r="BR6" t="str">
        <v>Vicinity Motor Corp.</v>
      </c>
    </row>
    <row r="7" spans="1:95" x14ac:dyDescent="0.35">
      <c r="A7" t="str">
        <v>May Mobility-Ridepooling</v>
      </c>
      <c r="B7" t="str">
        <v>May Mobility</v>
      </c>
      <c r="C7" t="str">
        <v>Ridepooling</v>
      </c>
      <c r="D7">
        <v>1</v>
      </c>
      <c r="E7" t="str">
        <v>Via</v>
      </c>
      <c r="F7">
        <v>0</v>
      </c>
      <c r="G7" t="str">
        <v>Transport Operator</v>
      </c>
      <c r="H7">
        <v>1</v>
      </c>
      <c r="I7" t="str">
        <v/>
      </c>
      <c r="J7" t="str">
        <v/>
      </c>
      <c r="K7" t="str">
        <v/>
      </c>
      <c r="L7" t="str">
        <v/>
      </c>
      <c r="M7" t="str">
        <v>L1</v>
      </c>
      <c r="N7">
        <v>32</v>
      </c>
      <c r="O7">
        <v>0</v>
      </c>
      <c r="P7">
        <v>0</v>
      </c>
      <c r="Q7">
        <v>1</v>
      </c>
      <c r="R7" s="178">
        <v>0</v>
      </c>
      <c r="S7">
        <v>0</v>
      </c>
      <c r="T7">
        <v>0</v>
      </c>
      <c r="U7">
        <v>0</v>
      </c>
      <c r="V7">
        <v>0</v>
      </c>
      <c r="W7" s="89">
        <v>0</v>
      </c>
      <c r="X7">
        <v>0</v>
      </c>
      <c r="Y7">
        <v>0</v>
      </c>
      <c r="Z7">
        <v>0</v>
      </c>
      <c r="AA7">
        <v>0</v>
      </c>
      <c r="AB7">
        <v>0</v>
      </c>
      <c r="AC7">
        <v>1</v>
      </c>
      <c r="AD7">
        <v>0</v>
      </c>
      <c r="AE7">
        <v>1</v>
      </c>
      <c r="AF7">
        <v>0</v>
      </c>
      <c r="AG7">
        <v>0</v>
      </c>
      <c r="AH7">
        <v>0</v>
      </c>
      <c r="AI7">
        <v>1</v>
      </c>
      <c r="AJ7">
        <v>0</v>
      </c>
      <c r="AK7">
        <v>0</v>
      </c>
      <c r="AL7">
        <v>0</v>
      </c>
      <c r="AM7">
        <v>1</v>
      </c>
      <c r="AN7">
        <v>0</v>
      </c>
      <c r="AO7">
        <v>0</v>
      </c>
      <c r="AP7">
        <v>250</v>
      </c>
      <c r="AQ7">
        <v>302.62</v>
      </c>
      <c r="BR7" t="str">
        <v>Vicinity Motor Corp.</v>
      </c>
    </row>
    <row r="8" spans="1:95" x14ac:dyDescent="0.35">
      <c r="A8" t="str">
        <v>Perrone Robotics-Ridepooling</v>
      </c>
      <c r="B8" t="str">
        <v>Perrone Robotics</v>
      </c>
      <c r="C8" t="str">
        <v>Ridepooling</v>
      </c>
      <c r="D8">
        <v>16</v>
      </c>
      <c r="E8" t="str">
        <v>Mission Secure; Global Finance Group; Western Reserve Transit Authority;GreenPower; SAE; Tropos Technologies; Tropos Technologies; Greenpower; Guident; Lightning eMotors; University of California; Sustainability Partners; Rampini; Tropos Technologies; GreenPower;JTA; UVA Foundation; E Charger Systems</v>
      </c>
      <c r="F8">
        <v>4</v>
      </c>
      <c r="G8" t="str">
        <v>OEM Commercial Vehicles</v>
      </c>
      <c r="H8">
        <v>0.35294117647058826</v>
      </c>
      <c r="I8" t="str">
        <v>Financial Services</v>
      </c>
      <c r="J8">
        <v>0.17647058823529413</v>
      </c>
      <c r="K8" t="str">
        <v>Transportation Authority</v>
      </c>
      <c r="L8">
        <v>0.11764705882352941</v>
      </c>
      <c r="M8" t="str">
        <v>L1</v>
      </c>
      <c r="N8">
        <v>7</v>
      </c>
      <c r="O8">
        <v>9</v>
      </c>
      <c r="P8">
        <v>0</v>
      </c>
      <c r="Q8">
        <v>1</v>
      </c>
      <c r="R8" s="178">
        <v>3</v>
      </c>
      <c r="S8">
        <v>0</v>
      </c>
      <c r="T8">
        <v>3</v>
      </c>
      <c r="U8">
        <v>1</v>
      </c>
      <c r="V8">
        <v>0</v>
      </c>
      <c r="W8" s="89">
        <v>0</v>
      </c>
      <c r="X8">
        <v>0</v>
      </c>
      <c r="Y8">
        <v>14</v>
      </c>
      <c r="Z8">
        <v>1</v>
      </c>
      <c r="AA8">
        <v>1</v>
      </c>
      <c r="AB8">
        <v>0</v>
      </c>
      <c r="AC8">
        <v>0</v>
      </c>
      <c r="AD8">
        <v>0</v>
      </c>
      <c r="AE8">
        <v>1</v>
      </c>
      <c r="AF8">
        <v>0</v>
      </c>
      <c r="AG8">
        <v>0</v>
      </c>
      <c r="AH8">
        <v>0</v>
      </c>
      <c r="AI8">
        <v>1</v>
      </c>
      <c r="AJ8">
        <v>9</v>
      </c>
      <c r="AK8">
        <v>15</v>
      </c>
      <c r="AL8">
        <v>0</v>
      </c>
      <c r="AM8">
        <v>16</v>
      </c>
      <c r="AN8">
        <v>4</v>
      </c>
      <c r="AO8">
        <v>0</v>
      </c>
      <c r="AP8">
        <v>30</v>
      </c>
      <c r="AQ8">
        <v>12.615</v>
      </c>
      <c r="BR8" t="str">
        <v>North Carolina Department of Transportation</v>
      </c>
    </row>
    <row r="9" spans="1:95" x14ac:dyDescent="0.35">
      <c r="A9" t="str">
        <v>Mobileye-Ridepooling</v>
      </c>
      <c r="B9" t="str">
        <v>Mobileye</v>
      </c>
      <c r="C9" t="str">
        <v>Ridepooling</v>
      </c>
      <c r="D9">
        <v>2</v>
      </c>
      <c r="E9" t="str">
        <v>MAN Truck &amp; Bus; WILLER</v>
      </c>
      <c r="F9">
        <v>0</v>
      </c>
      <c r="G9" t="str">
        <v>OEM Commercial Vehicles</v>
      </c>
      <c r="H9">
        <v>0.5</v>
      </c>
      <c r="I9" t="str">
        <v>OEM Commercial Vehicles</v>
      </c>
      <c r="J9">
        <v>0.5</v>
      </c>
      <c r="K9" t="str">
        <v/>
      </c>
      <c r="L9" t="str">
        <v/>
      </c>
      <c r="M9" t="str">
        <v>L1</v>
      </c>
      <c r="N9">
        <v>464</v>
      </c>
      <c r="O9">
        <v>1</v>
      </c>
      <c r="P9">
        <v>0</v>
      </c>
      <c r="Q9">
        <v>0</v>
      </c>
      <c r="R9" s="178">
        <v>0</v>
      </c>
      <c r="S9">
        <v>1</v>
      </c>
      <c r="T9">
        <v>0</v>
      </c>
      <c r="U9">
        <v>0</v>
      </c>
      <c r="V9">
        <v>0</v>
      </c>
      <c r="W9" s="89">
        <v>0</v>
      </c>
      <c r="X9">
        <v>0</v>
      </c>
      <c r="Y9">
        <v>1</v>
      </c>
      <c r="Z9">
        <v>0</v>
      </c>
      <c r="AA9">
        <v>1</v>
      </c>
      <c r="AB9">
        <v>0</v>
      </c>
      <c r="AC9">
        <v>0</v>
      </c>
      <c r="AD9">
        <v>0</v>
      </c>
      <c r="AE9">
        <v>1</v>
      </c>
      <c r="AF9">
        <v>0</v>
      </c>
      <c r="AG9">
        <v>0</v>
      </c>
      <c r="AH9">
        <v>0</v>
      </c>
      <c r="AI9">
        <v>1</v>
      </c>
      <c r="AJ9">
        <v>1</v>
      </c>
      <c r="AK9">
        <v>1</v>
      </c>
      <c r="AL9">
        <v>0</v>
      </c>
      <c r="AM9">
        <v>2</v>
      </c>
      <c r="AN9">
        <v>0</v>
      </c>
      <c r="AO9">
        <v>1</v>
      </c>
      <c r="AP9">
        <v>3000</v>
      </c>
      <c r="AQ9">
        <v>2132</v>
      </c>
      <c r="BR9" t="str">
        <v>Contra Costa Transportation Authority</v>
      </c>
    </row>
    <row r="10" spans="1:95" x14ac:dyDescent="0.35">
      <c r="A10" t="str">
        <v>MOIA-Ridepooling</v>
      </c>
      <c r="B10" t="str">
        <v>MOIA</v>
      </c>
      <c r="C10" t="str">
        <v>Ridepooling</v>
      </c>
      <c r="D10">
        <v>2</v>
      </c>
      <c r="E10" t="str">
        <v xml:space="preserve">HOCHBAHN;Volkswagen Commercial Vehicles; </v>
      </c>
      <c r="F10">
        <v>0</v>
      </c>
      <c r="G10" t="str">
        <v>OEM Commercial Vehicles</v>
      </c>
      <c r="H10">
        <v>0.5</v>
      </c>
      <c r="I10" t="str">
        <v>OEM Commercial Vehicles</v>
      </c>
      <c r="J10">
        <v>0.5</v>
      </c>
      <c r="K10" t="str">
        <v/>
      </c>
      <c r="L10" t="str">
        <v/>
      </c>
      <c r="M10" t="str">
        <v>L3</v>
      </c>
      <c r="N10">
        <v>0</v>
      </c>
      <c r="O10">
        <v>0</v>
      </c>
      <c r="P10">
        <v>0</v>
      </c>
      <c r="Q10">
        <v>1</v>
      </c>
      <c r="R10" s="178">
        <v>0</v>
      </c>
      <c r="S10">
        <v>0</v>
      </c>
      <c r="T10">
        <v>1</v>
      </c>
      <c r="U10">
        <v>1</v>
      </c>
      <c r="V10">
        <v>0</v>
      </c>
      <c r="W10" s="89">
        <v>0</v>
      </c>
      <c r="X10">
        <v>0</v>
      </c>
      <c r="Y10">
        <v>1</v>
      </c>
      <c r="Z10">
        <v>0</v>
      </c>
      <c r="AA10">
        <v>1</v>
      </c>
      <c r="AB10">
        <v>0</v>
      </c>
      <c r="AC10">
        <v>0</v>
      </c>
      <c r="AD10">
        <v>0</v>
      </c>
      <c r="AE10">
        <v>0</v>
      </c>
      <c r="AF10">
        <v>0</v>
      </c>
      <c r="AG10">
        <v>1</v>
      </c>
      <c r="AH10">
        <v>0</v>
      </c>
      <c r="AI10">
        <v>1</v>
      </c>
      <c r="AJ10">
        <v>0</v>
      </c>
      <c r="AK10">
        <v>1</v>
      </c>
      <c r="AL10">
        <v>0</v>
      </c>
      <c r="AM10">
        <v>2</v>
      </c>
      <c r="AN10">
        <v>0</v>
      </c>
      <c r="AO10">
        <v>0</v>
      </c>
      <c r="AP10">
        <v>250</v>
      </c>
      <c r="AQ10" t="str">
        <v>n.a.</v>
      </c>
      <c r="BR10" t="str">
        <v>ZF</v>
      </c>
    </row>
    <row r="11" spans="1:95" x14ac:dyDescent="0.35">
      <c r="A11" t="str">
        <v>Navya-Ridepooling</v>
      </c>
      <c r="B11" t="str">
        <v>Navya</v>
      </c>
      <c r="C11" t="str">
        <v>Ridepooling</v>
      </c>
      <c r="D11">
        <v>5</v>
      </c>
      <c r="E11" t="str">
        <v>Valeo; Ion; Valeo; Lohr; Michelin;Beti</v>
      </c>
      <c r="F11">
        <v>3</v>
      </c>
      <c r="G11" t="str">
        <v>Mobility Services</v>
      </c>
      <c r="H11">
        <v>0.33333333333333331</v>
      </c>
      <c r="I11" t="str">
        <v>Mobility Services</v>
      </c>
      <c r="J11">
        <v>0.33333333333333331</v>
      </c>
      <c r="K11" t="str">
        <v>OEM Commercial Vehicles</v>
      </c>
      <c r="L11">
        <v>0.16666666666666666</v>
      </c>
      <c r="M11" t="str">
        <v>L2</v>
      </c>
      <c r="N11" t="str">
        <v>n.a.</v>
      </c>
      <c r="O11">
        <v>1</v>
      </c>
      <c r="P11">
        <v>2</v>
      </c>
      <c r="Q11">
        <v>1</v>
      </c>
      <c r="R11" s="178">
        <v>0</v>
      </c>
      <c r="S11">
        <v>0</v>
      </c>
      <c r="T11">
        <v>3</v>
      </c>
      <c r="U11">
        <v>0</v>
      </c>
      <c r="V11">
        <v>1</v>
      </c>
      <c r="W11" s="89">
        <v>1</v>
      </c>
      <c r="X11">
        <v>0</v>
      </c>
      <c r="Y11">
        <v>1</v>
      </c>
      <c r="Z11">
        <v>3</v>
      </c>
      <c r="AA11">
        <v>1</v>
      </c>
      <c r="AB11">
        <v>0</v>
      </c>
      <c r="AC11">
        <v>0</v>
      </c>
      <c r="AD11">
        <v>0</v>
      </c>
      <c r="AE11">
        <v>0</v>
      </c>
      <c r="AF11">
        <v>1</v>
      </c>
      <c r="AG11">
        <v>0</v>
      </c>
      <c r="AH11">
        <v>0</v>
      </c>
      <c r="AI11">
        <v>1</v>
      </c>
      <c r="AJ11">
        <v>4</v>
      </c>
      <c r="AK11">
        <v>4</v>
      </c>
      <c r="AL11">
        <v>0</v>
      </c>
      <c r="AM11">
        <v>5</v>
      </c>
      <c r="AN11">
        <v>3</v>
      </c>
      <c r="AO11">
        <v>1</v>
      </c>
      <c r="AP11">
        <v>375</v>
      </c>
      <c r="AQ11">
        <v>108.44449893000001</v>
      </c>
      <c r="BR11" t="str">
        <v>Oxa</v>
      </c>
    </row>
    <row r="12" spans="1:95" x14ac:dyDescent="0.35">
      <c r="A12" t="str">
        <v>Oxa-Ridepooling</v>
      </c>
      <c r="B12" t="str">
        <v>Oxa</v>
      </c>
      <c r="C12" t="str">
        <v>Ridepooling</v>
      </c>
      <c r="D12">
        <v>3</v>
      </c>
      <c r="E12" t="str">
        <v>eVersum; NEVS; Beep</v>
      </c>
      <c r="F12">
        <v>0</v>
      </c>
      <c r="G12" t="str">
        <v>Autonomous Vehicles</v>
      </c>
      <c r="H12">
        <v>0.33333333333333331</v>
      </c>
      <c r="I12" t="str">
        <v>Autonomous Vehicles</v>
      </c>
      <c r="J12">
        <v>0.33333333333333331</v>
      </c>
      <c r="K12" t="str">
        <v>Autonomous Vehicles</v>
      </c>
      <c r="L12">
        <v>0.33333333333333331</v>
      </c>
      <c r="M12" t="str">
        <v>L1</v>
      </c>
      <c r="N12">
        <v>10</v>
      </c>
      <c r="O12">
        <v>2</v>
      </c>
      <c r="P12">
        <v>1</v>
      </c>
      <c r="Q12">
        <v>1</v>
      </c>
      <c r="R12" s="178">
        <v>0</v>
      </c>
      <c r="S12">
        <v>0</v>
      </c>
      <c r="T12">
        <v>0</v>
      </c>
      <c r="U12">
        <v>0</v>
      </c>
      <c r="V12">
        <v>0</v>
      </c>
      <c r="W12" s="89">
        <v>0</v>
      </c>
      <c r="X12">
        <v>0</v>
      </c>
      <c r="Y12">
        <v>0</v>
      </c>
      <c r="Z12">
        <v>0</v>
      </c>
      <c r="AA12">
        <v>3</v>
      </c>
      <c r="AB12">
        <v>0</v>
      </c>
      <c r="AC12">
        <v>0</v>
      </c>
      <c r="AD12">
        <v>0</v>
      </c>
      <c r="AE12">
        <v>1</v>
      </c>
      <c r="AF12">
        <v>0</v>
      </c>
      <c r="AG12">
        <v>0</v>
      </c>
      <c r="AH12">
        <v>0</v>
      </c>
      <c r="AI12">
        <v>1</v>
      </c>
      <c r="AJ12">
        <v>3</v>
      </c>
      <c r="AK12">
        <v>0</v>
      </c>
      <c r="AL12">
        <v>0</v>
      </c>
      <c r="AM12">
        <v>3</v>
      </c>
      <c r="AN12">
        <v>0</v>
      </c>
      <c r="AO12">
        <v>0</v>
      </c>
      <c r="AP12">
        <v>300</v>
      </c>
      <c r="AQ12">
        <v>228.816</v>
      </c>
      <c r="BR12" t="str">
        <v>TrustInSoft</v>
      </c>
    </row>
    <row r="13" spans="1:95" x14ac:dyDescent="0.35">
      <c r="A13" t="str">
        <v>Transdev-Ridepooling</v>
      </c>
      <c r="B13" t="str">
        <v>Transdev</v>
      </c>
      <c r="C13" t="str">
        <v>Ridepooling</v>
      </c>
      <c r="D13">
        <v>4</v>
      </c>
      <c r="E13" t="str">
        <v>Torc; LAVTA; Delphi; ZF;e.GO</v>
      </c>
      <c r="F13">
        <v>1</v>
      </c>
      <c r="G13" t="str">
        <v>Autonomous Vehicles</v>
      </c>
      <c r="H13">
        <v>0.4</v>
      </c>
      <c r="I13" t="str">
        <v>Transport Operator</v>
      </c>
      <c r="J13">
        <v>0.2</v>
      </c>
      <c r="K13" t="str">
        <v>Transport Operator</v>
      </c>
      <c r="L13">
        <v>0.2</v>
      </c>
      <c r="M13" t="str">
        <v>L3</v>
      </c>
      <c r="N13">
        <v>0</v>
      </c>
      <c r="O13">
        <v>1</v>
      </c>
      <c r="P13">
        <v>0</v>
      </c>
      <c r="Q13">
        <v>2</v>
      </c>
      <c r="R13" s="178">
        <v>0</v>
      </c>
      <c r="S13">
        <v>0</v>
      </c>
      <c r="T13">
        <v>2</v>
      </c>
      <c r="U13">
        <v>0</v>
      </c>
      <c r="V13">
        <v>0</v>
      </c>
      <c r="W13" s="89">
        <v>0</v>
      </c>
      <c r="X13">
        <v>0</v>
      </c>
      <c r="Y13">
        <v>2</v>
      </c>
      <c r="Z13">
        <v>1</v>
      </c>
      <c r="AA13">
        <v>1</v>
      </c>
      <c r="AB13">
        <v>0</v>
      </c>
      <c r="AC13">
        <v>0</v>
      </c>
      <c r="AD13">
        <v>0</v>
      </c>
      <c r="AE13">
        <v>0</v>
      </c>
      <c r="AF13">
        <v>0</v>
      </c>
      <c r="AG13">
        <v>1</v>
      </c>
      <c r="AH13">
        <v>0</v>
      </c>
      <c r="AI13">
        <v>2</v>
      </c>
      <c r="AJ13">
        <v>1</v>
      </c>
      <c r="AK13">
        <v>3</v>
      </c>
      <c r="AL13">
        <v>0</v>
      </c>
      <c r="AM13">
        <v>4</v>
      </c>
      <c r="AN13">
        <v>1</v>
      </c>
      <c r="AO13">
        <v>0</v>
      </c>
      <c r="AP13">
        <v>74928</v>
      </c>
      <c r="AQ13" t="str">
        <v>n.a.</v>
      </c>
      <c r="BR13" t="str">
        <v>Continental</v>
      </c>
      <c r="CK13" s="55"/>
      <c r="CL13" s="55"/>
      <c r="CM13" s="55"/>
      <c r="CN13" s="55"/>
      <c r="CO13" s="55"/>
      <c r="CP13" s="55"/>
      <c r="CQ13" s="55"/>
    </row>
    <row r="14" spans="1:95" x14ac:dyDescent="0.35">
      <c r="A14" t="str">
        <v>ZF-Ridepooling</v>
      </c>
      <c r="B14" t="str">
        <v>ZF</v>
      </c>
      <c r="C14" t="str">
        <v>Ridepooling</v>
      </c>
      <c r="D14">
        <v>4</v>
      </c>
      <c r="E14" t="str">
        <v>Anheuser - Busch InBev;Bosch;Microsoft; DB Regio; Beep; Transdev;e.GO</v>
      </c>
      <c r="F14">
        <v>1</v>
      </c>
      <c r="G14" t="str">
        <v>Transport Operator</v>
      </c>
      <c r="H14">
        <v>0.42857142857142855</v>
      </c>
      <c r="I14" t="str">
        <v>Food &amp; Beverage</v>
      </c>
      <c r="J14">
        <v>0.14285714285714285</v>
      </c>
      <c r="K14" t="str">
        <v>Food &amp; Beverage</v>
      </c>
      <c r="L14">
        <v>0.14285714285714285</v>
      </c>
      <c r="M14" t="str">
        <v>L2</v>
      </c>
      <c r="N14">
        <v>5.7859999999999996</v>
      </c>
      <c r="O14">
        <v>1</v>
      </c>
      <c r="P14">
        <v>0</v>
      </c>
      <c r="Q14">
        <v>2</v>
      </c>
      <c r="R14" s="178">
        <v>0</v>
      </c>
      <c r="S14">
        <v>0</v>
      </c>
      <c r="T14">
        <v>1</v>
      </c>
      <c r="U14">
        <v>0</v>
      </c>
      <c r="V14">
        <v>0</v>
      </c>
      <c r="W14" s="89">
        <v>0</v>
      </c>
      <c r="X14">
        <v>0</v>
      </c>
      <c r="Y14">
        <v>2</v>
      </c>
      <c r="Z14">
        <v>0</v>
      </c>
      <c r="AA14">
        <v>2</v>
      </c>
      <c r="AB14">
        <v>0</v>
      </c>
      <c r="AC14">
        <v>0</v>
      </c>
      <c r="AD14">
        <v>0</v>
      </c>
      <c r="AE14">
        <v>0</v>
      </c>
      <c r="AF14">
        <v>1</v>
      </c>
      <c r="AG14">
        <v>0</v>
      </c>
      <c r="AH14">
        <v>0</v>
      </c>
      <c r="AI14">
        <v>2</v>
      </c>
      <c r="AJ14">
        <v>1</v>
      </c>
      <c r="AK14">
        <v>2</v>
      </c>
      <c r="AL14">
        <v>0</v>
      </c>
      <c r="AM14">
        <v>4</v>
      </c>
      <c r="AN14">
        <v>1</v>
      </c>
      <c r="AO14">
        <v>0</v>
      </c>
      <c r="AP14">
        <v>3000</v>
      </c>
      <c r="AQ14" t="str">
        <v>n.a.</v>
      </c>
      <c r="BR14" t="str">
        <v>Sono Motors</v>
      </c>
    </row>
    <row r="15" spans="1:95" x14ac:dyDescent="0.35">
      <c r="A15" t="str">
        <v>Via-Ridepooling</v>
      </c>
      <c r="B15" t="str">
        <v>Via</v>
      </c>
      <c r="C15" t="str">
        <v>Ridepooling</v>
      </c>
      <c r="D15">
        <v>1</v>
      </c>
      <c r="E15" t="str">
        <v>May Mobility</v>
      </c>
      <c r="F15">
        <v>0</v>
      </c>
      <c r="G15" t="str">
        <v>Autonomous Vehicles</v>
      </c>
      <c r="H15">
        <v>1</v>
      </c>
      <c r="I15" t="str">
        <v/>
      </c>
      <c r="J15" t="str">
        <v/>
      </c>
      <c r="K15" t="str">
        <v/>
      </c>
      <c r="L15" t="str">
        <v/>
      </c>
      <c r="M15" t="str">
        <v>L3</v>
      </c>
      <c r="N15">
        <v>20</v>
      </c>
      <c r="O15">
        <v>0</v>
      </c>
      <c r="P15">
        <v>0</v>
      </c>
      <c r="Q15">
        <v>1</v>
      </c>
      <c r="R15" s="178">
        <v>0</v>
      </c>
      <c r="S15">
        <v>0</v>
      </c>
      <c r="T15">
        <v>0</v>
      </c>
      <c r="U15">
        <v>0</v>
      </c>
      <c r="V15">
        <v>0</v>
      </c>
      <c r="W15" s="89">
        <v>0</v>
      </c>
      <c r="X15">
        <v>0</v>
      </c>
      <c r="Y15">
        <v>0</v>
      </c>
      <c r="Z15">
        <v>0</v>
      </c>
      <c r="AA15">
        <v>1</v>
      </c>
      <c r="AB15">
        <v>0</v>
      </c>
      <c r="AC15">
        <v>0</v>
      </c>
      <c r="AD15">
        <v>0</v>
      </c>
      <c r="AE15">
        <v>0</v>
      </c>
      <c r="AF15">
        <v>0</v>
      </c>
      <c r="AG15">
        <v>1</v>
      </c>
      <c r="AH15">
        <v>0</v>
      </c>
      <c r="AI15">
        <v>1</v>
      </c>
      <c r="AJ15">
        <v>0</v>
      </c>
      <c r="AK15">
        <v>0</v>
      </c>
      <c r="AL15">
        <v>0</v>
      </c>
      <c r="AM15">
        <v>1</v>
      </c>
      <c r="AN15">
        <v>0</v>
      </c>
      <c r="AO15">
        <v>0</v>
      </c>
      <c r="AP15">
        <v>3000</v>
      </c>
      <c r="AQ15">
        <v>887.06411100000003</v>
      </c>
      <c r="BR15" t="str">
        <v>Phoenix Motorcars</v>
      </c>
    </row>
    <row r="16" spans="1:95" x14ac:dyDescent="0.35">
      <c r="A16" t="str">
        <v>Lohr-Ridepooling</v>
      </c>
      <c r="B16" t="str">
        <v>Lohr</v>
      </c>
      <c r="C16" t="str">
        <v>Ridepooling</v>
      </c>
      <c r="D16">
        <v>1</v>
      </c>
      <c r="E16" t="str">
        <v>Navya</v>
      </c>
      <c r="F16">
        <v>1</v>
      </c>
      <c r="G16" t="str">
        <v>Autonomous Vehicles</v>
      </c>
      <c r="H16">
        <v>1</v>
      </c>
      <c r="I16" t="str">
        <v/>
      </c>
      <c r="J16" t="str">
        <v/>
      </c>
      <c r="K16" t="str">
        <v/>
      </c>
      <c r="L16" t="str">
        <v/>
      </c>
      <c r="M16" t="str">
        <v>L2</v>
      </c>
      <c r="N16" t="str">
        <v>n.a.</v>
      </c>
      <c r="O16" s="58">
        <v>0</v>
      </c>
      <c r="P16" s="58">
        <v>1</v>
      </c>
      <c r="Q16">
        <v>0</v>
      </c>
      <c r="R16" s="58">
        <v>0</v>
      </c>
      <c r="S16" s="58">
        <v>0</v>
      </c>
      <c r="T16">
        <v>0</v>
      </c>
      <c r="U16">
        <v>0</v>
      </c>
      <c r="V16">
        <v>0</v>
      </c>
      <c r="W16" s="89">
        <v>0</v>
      </c>
      <c r="X16">
        <v>0</v>
      </c>
      <c r="Y16">
        <v>1</v>
      </c>
      <c r="Z16">
        <v>0</v>
      </c>
      <c r="AA16">
        <v>0</v>
      </c>
      <c r="AB16">
        <v>0</v>
      </c>
      <c r="AC16">
        <v>0</v>
      </c>
      <c r="AD16">
        <v>0</v>
      </c>
      <c r="AE16">
        <v>0</v>
      </c>
      <c r="AF16">
        <v>1</v>
      </c>
      <c r="AG16">
        <v>0</v>
      </c>
      <c r="AH16">
        <v>0</v>
      </c>
      <c r="AI16">
        <v>0</v>
      </c>
      <c r="AJ16">
        <v>1</v>
      </c>
      <c r="AK16">
        <v>1</v>
      </c>
      <c r="AL16">
        <v>0</v>
      </c>
      <c r="AM16">
        <v>1</v>
      </c>
      <c r="AN16">
        <v>1</v>
      </c>
      <c r="AO16">
        <v>0</v>
      </c>
      <c r="AP16">
        <v>75</v>
      </c>
      <c r="AQ16" t="str">
        <v>n.a.</v>
      </c>
      <c r="BR16" t="str">
        <v>Continental</v>
      </c>
    </row>
    <row r="17" spans="1:76" x14ac:dyDescent="0.35">
      <c r="A17" t="str">
        <v>Torc-Ridepooling</v>
      </c>
      <c r="B17" t="str">
        <v>Torc</v>
      </c>
      <c r="C17" t="str">
        <v>Ridepooling</v>
      </c>
      <c r="D17">
        <v>1</v>
      </c>
      <c r="E17" t="str">
        <v>Transdev</v>
      </c>
      <c r="F17">
        <v>0</v>
      </c>
      <c r="G17" t="str">
        <v>Transport Operator</v>
      </c>
      <c r="H17">
        <v>1</v>
      </c>
      <c r="I17" t="str">
        <v/>
      </c>
      <c r="J17" t="str">
        <v/>
      </c>
      <c r="K17" t="str">
        <v/>
      </c>
      <c r="L17" t="str">
        <v/>
      </c>
      <c r="M17" t="str">
        <v>L1</v>
      </c>
      <c r="N17">
        <v>1</v>
      </c>
      <c r="O17" s="58">
        <v>0</v>
      </c>
      <c r="P17" s="58">
        <v>0</v>
      </c>
      <c r="Q17">
        <v>1</v>
      </c>
      <c r="R17" s="58">
        <v>0</v>
      </c>
      <c r="S17" s="58">
        <v>0</v>
      </c>
      <c r="T17">
        <v>1</v>
      </c>
      <c r="U17">
        <v>0</v>
      </c>
      <c r="V17">
        <v>0</v>
      </c>
      <c r="W17" s="89">
        <v>0</v>
      </c>
      <c r="X17">
        <v>0</v>
      </c>
      <c r="Y17">
        <v>0</v>
      </c>
      <c r="Z17">
        <v>1</v>
      </c>
      <c r="AA17">
        <v>0</v>
      </c>
      <c r="AB17">
        <v>0</v>
      </c>
      <c r="AC17">
        <v>0</v>
      </c>
      <c r="AD17">
        <v>0</v>
      </c>
      <c r="AE17">
        <v>1</v>
      </c>
      <c r="AF17">
        <v>0</v>
      </c>
      <c r="AG17">
        <v>0</v>
      </c>
      <c r="AH17">
        <v>0</v>
      </c>
      <c r="AI17">
        <v>1</v>
      </c>
      <c r="AJ17">
        <v>0</v>
      </c>
      <c r="AK17">
        <v>1</v>
      </c>
      <c r="AL17">
        <v>0</v>
      </c>
      <c r="AM17">
        <v>1</v>
      </c>
      <c r="AN17">
        <v>0</v>
      </c>
      <c r="AO17">
        <v>0</v>
      </c>
      <c r="AP17">
        <v>175</v>
      </c>
      <c r="AQ17" t="str">
        <v>n.a.</v>
      </c>
      <c r="BR17" t="str">
        <v>Kalray</v>
      </c>
    </row>
    <row r="18" spans="1:76" x14ac:dyDescent="0.35">
      <c r="O18" s="58"/>
      <c r="P18" s="58"/>
      <c r="R18" s="58"/>
      <c r="S18" s="58"/>
      <c r="W18" s="414"/>
      <c r="BR18" t="str">
        <v>Deutsche Bahn</v>
      </c>
    </row>
    <row r="19" spans="1:76" x14ac:dyDescent="0.35">
      <c r="A19" s="177" t="s">
        <v>372</v>
      </c>
      <c r="H19" s="92"/>
      <c r="BR19" t="str">
        <v>MINGA</v>
      </c>
    </row>
    <row r="20" spans="1:76" x14ac:dyDescent="0.35">
      <c r="A20" s="92" t="s">
        <v>2055</v>
      </c>
      <c r="B20" s="92" t="s">
        <v>372</v>
      </c>
      <c r="BR20" t="str">
        <v>Via</v>
      </c>
    </row>
    <row r="21" spans="1:76" x14ac:dyDescent="0.35">
      <c r="B21" s="92" t="s">
        <v>341</v>
      </c>
      <c r="BR21" t="str">
        <v>Mission Secure</v>
      </c>
    </row>
    <row r="22" spans="1:76" x14ac:dyDescent="0.35">
      <c r="A22" s="92" t="s">
        <v>2058</v>
      </c>
      <c r="B22" s="92">
        <f>COUNTA(A26:A106)</f>
        <v>59</v>
      </c>
      <c r="BR22" t="str">
        <v>MAN Truck &amp; Bus</v>
      </c>
    </row>
    <row r="23" spans="1:76" x14ac:dyDescent="0.35">
      <c r="A23" s="114" t="s">
        <v>2059</v>
      </c>
      <c r="B23">
        <f>COUNTA(_xlfn.UNIQUE(E26:E106))</f>
        <v>17</v>
      </c>
      <c r="BR23" t="str">
        <v>HOCHBAHN</v>
      </c>
    </row>
    <row r="24" spans="1:76" x14ac:dyDescent="0.35">
      <c r="A24" s="98"/>
      <c r="BR24" t="str">
        <v>Valeo</v>
      </c>
    </row>
    <row r="25" spans="1:76" ht="29" x14ac:dyDescent="0.35">
      <c r="A25" s="23" t="s">
        <v>1422</v>
      </c>
      <c r="B25" s="23" t="s">
        <v>1026</v>
      </c>
      <c r="C25" s="23"/>
      <c r="D25" s="23" t="s">
        <v>0</v>
      </c>
      <c r="E25" s="23" t="s">
        <v>1943</v>
      </c>
      <c r="F25" s="23" t="s">
        <v>1946</v>
      </c>
      <c r="G25" s="23" t="s">
        <v>2052</v>
      </c>
      <c r="H25" s="23" t="s">
        <v>1949</v>
      </c>
      <c r="I25" s="23" t="s">
        <v>1947</v>
      </c>
      <c r="J25" s="23" t="s">
        <v>1948</v>
      </c>
      <c r="K25" s="23" t="s">
        <v>2001</v>
      </c>
      <c r="L25" s="23" t="s">
        <v>1993</v>
      </c>
      <c r="M25" s="23" t="s">
        <v>1994</v>
      </c>
      <c r="N25" s="23" t="s">
        <v>1995</v>
      </c>
      <c r="O25" s="23" t="s">
        <v>1</v>
      </c>
      <c r="P25" s="23" t="s">
        <v>2</v>
      </c>
      <c r="Q25" s="23" t="s">
        <v>3</v>
      </c>
      <c r="R25" s="24" t="s">
        <v>976</v>
      </c>
      <c r="S25" s="24" t="s">
        <v>1193</v>
      </c>
      <c r="T25" s="24" t="s">
        <v>982</v>
      </c>
      <c r="U25" s="24" t="s">
        <v>975</v>
      </c>
      <c r="V25" s="24" t="s">
        <v>956</v>
      </c>
      <c r="W25" s="24" t="s">
        <v>1194</v>
      </c>
      <c r="X25" s="23" t="s">
        <v>2050</v>
      </c>
      <c r="Y25" s="10" t="s">
        <v>4</v>
      </c>
      <c r="Z25" s="23" t="s">
        <v>5</v>
      </c>
      <c r="AA25" s="10" t="s">
        <v>1638</v>
      </c>
      <c r="AB25" s="23" t="s">
        <v>1939</v>
      </c>
      <c r="AC25" s="23" t="s">
        <v>1942</v>
      </c>
      <c r="AD25" s="23" t="s">
        <v>1940</v>
      </c>
      <c r="AE25" s="23" t="s">
        <v>1941</v>
      </c>
      <c r="AF25" s="104" t="s">
        <v>1761</v>
      </c>
      <c r="AG25" s="104" t="s">
        <v>1762</v>
      </c>
      <c r="AH25" s="103"/>
      <c r="BR25" t="str">
        <v>Ion</v>
      </c>
    </row>
    <row r="26" spans="1:76" x14ac:dyDescent="0.35">
      <c r="A26" s="60" t="str" cm="1">
        <f t="array" ref="A26:AG84">_xlfn._xlws.FILTER(ANNOUNCEMENTS!A2:AG180,(ANNOUNCEMENTS!J2:J180=B20))</f>
        <v>https://www.2getthere.eu/news/strategic-cooperation-agreement-with-sltn-extended/</v>
      </c>
      <c r="B26" s="60" t="str">
        <v>2015, 9, 2</v>
      </c>
      <c r="C26" s="105">
        <v>42249</v>
      </c>
      <c r="D26" s="60" t="str">
        <v>Strategic Cooperation Agreement with SLTN extended</v>
      </c>
      <c r="E26" s="60" t="str">
        <v>2getthere</v>
      </c>
      <c r="F26" s="60" t="str">
        <v>L2</v>
      </c>
      <c r="G26" s="60" t="str">
        <v>2getthere-SAV</v>
      </c>
      <c r="H26" s="60" t="str">
        <v>SAV</v>
      </c>
      <c r="I26" s="60" t="str">
        <v>Ridepooling</v>
      </c>
      <c r="J26" s="60" t="str">
        <v>Ridepooling</v>
      </c>
      <c r="K26" s="60" t="str">
        <v>SLTN</v>
      </c>
      <c r="L26" s="60" t="str">
        <v>SLTN</v>
      </c>
      <c r="M26" s="60">
        <v>0</v>
      </c>
      <c r="N26" s="60">
        <v>0</v>
      </c>
      <c r="O26"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26"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26" s="60" t="str">
        <v>Strategic Alliance</v>
      </c>
      <c r="R26" s="60" t="str">
        <v>Yes</v>
      </c>
      <c r="S26" s="60" t="str">
        <v>Service Integration</v>
      </c>
      <c r="T26" s="60" t="str">
        <v>-</v>
      </c>
      <c r="U26" s="60" t="str">
        <v>Yes</v>
      </c>
      <c r="V26" s="60" t="str">
        <v>-</v>
      </c>
      <c r="W26" s="60" t="str">
        <v xml:space="preserve">2.2. Renewed Alliance </v>
      </c>
      <c r="X26" s="60">
        <v>0</v>
      </c>
      <c r="Y26" s="60" t="str">
        <v>The cooperation concerns the realization of 2getthere's innovative automated people mover systems, with SLTN Inter Access designing and providing the Information and Communication Technology (ICT) network.</v>
      </c>
      <c r="Z26" s="60" t="str">
        <v>Joint D&amp;D</v>
      </c>
      <c r="AA26" s="60" t="str">
        <v>The cooperation concerns the realization of 2getthere's innovative automated people mover systems, with SLTN Inter Access designing and providing the Information and Communication Technology (ICT) network.</v>
      </c>
      <c r="AB26" s="60">
        <v>0</v>
      </c>
      <c r="AC26" s="60">
        <v>0</v>
      </c>
      <c r="AD26" s="60">
        <v>0</v>
      </c>
      <c r="AE26" s="60">
        <v>0</v>
      </c>
      <c r="AF26" s="60" t="str">
        <v>Strategic Cooperation Agreement with SLTN extended</v>
      </c>
      <c r="AG26" s="60">
        <v>0</v>
      </c>
      <c r="BR26" t="str">
        <v>Valeo</v>
      </c>
      <c r="BS26" s="55"/>
      <c r="BU26" s="55"/>
      <c r="BV26" s="55"/>
      <c r="BW26" s="55"/>
      <c r="BX26" s="55"/>
    </row>
    <row r="27" spans="1:76" x14ac:dyDescent="0.35">
      <c r="A27" s="60" t="str">
        <v>https://www.2getthere.eu/news/partnering-with-benteler/</v>
      </c>
      <c r="B27" s="60" t="str">
        <v>2015, 7, 28</v>
      </c>
      <c r="C27" s="105">
        <v>42213</v>
      </c>
      <c r="D27" s="60" t="str">
        <v>2getthere partners with Benteler for the engineering of the 3rd generation GRT</v>
      </c>
      <c r="E27" s="60" t="str">
        <v>2getthere</v>
      </c>
      <c r="F27" s="60" t="str">
        <v>L2</v>
      </c>
      <c r="G27" s="60" t="str">
        <v>2getthere-SAV</v>
      </c>
      <c r="H27" s="60" t="str">
        <v>SAV</v>
      </c>
      <c r="I27" s="60" t="str">
        <v>Ridepooling</v>
      </c>
      <c r="J27" s="60" t="str">
        <v>Ridepooling</v>
      </c>
      <c r="K27" s="60" t="str">
        <v>Benteler</v>
      </c>
      <c r="L27" s="60" t="str">
        <v>Benteler</v>
      </c>
      <c r="M27" s="60">
        <v>0</v>
      </c>
      <c r="N27" s="60">
        <v>0</v>
      </c>
      <c r="O27"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27"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27" s="60" t="str">
        <v>Strategic Alliance</v>
      </c>
      <c r="R27" s="60" t="str">
        <v>n.a.</v>
      </c>
      <c r="S27" s="60" t="str">
        <v>Product cooperation</v>
      </c>
      <c r="T27" s="60" t="str">
        <v>-</v>
      </c>
      <c r="U27" s="60" t="str">
        <v>Yes</v>
      </c>
      <c r="V27" s="60" t="str">
        <v>-</v>
      </c>
      <c r="W27" s="60" t="str">
        <v xml:space="preserve">2.2. Renewed Alliance </v>
      </c>
      <c r="X27" s="60">
        <v>0</v>
      </c>
      <c r="Y27" s="60" t="str">
        <v>BENTELER Engineering Services will be responsible for the engineering of both the chassis and the body of the GRT vehicle, with the IP of the work being owned by 2getthere.</v>
      </c>
      <c r="Z27" s="60" t="str">
        <v>Joint Production</v>
      </c>
      <c r="AA27" s="60" t="str">
        <v>BENTELER Engineering Services will be responsible for the engineering of both the chassis and the body of the GRT vehicle, with the IP of the work being owned by 2getthere.</v>
      </c>
      <c r="AB27" s="60">
        <v>0</v>
      </c>
      <c r="AC27" s="60">
        <v>0</v>
      </c>
      <c r="AD27" s="60">
        <v>0</v>
      </c>
      <c r="AE27" s="60">
        <v>0</v>
      </c>
      <c r="AF27" s="60" t="str">
        <v>2getthere partners with Benteler for the engineering of the 3rd generation GRT</v>
      </c>
      <c r="AG27" s="60">
        <v>0</v>
      </c>
      <c r="BR27" t="str">
        <v>Lohr</v>
      </c>
      <c r="BS27" s="55"/>
      <c r="BU27" s="55"/>
      <c r="BV27" s="55"/>
      <c r="BW27" s="55"/>
      <c r="BX27" s="55"/>
    </row>
    <row r="28" spans="1:76" x14ac:dyDescent="0.35">
      <c r="A28" s="60" t="str">
        <v>https://www.2getthere.eu/news/singapore-partnership/</v>
      </c>
      <c r="B28" s="60" t="str">
        <v>2014, 6, 3</v>
      </c>
      <c r="C28" s="105">
        <v>41793</v>
      </c>
      <c r="D28" s="60" t="str">
        <v>SMRT and 2getthere enter into a partnership for Singapore</v>
      </c>
      <c r="E28" s="60" t="str">
        <v>2getthere</v>
      </c>
      <c r="F28" s="60" t="str">
        <v>L2</v>
      </c>
      <c r="G28" s="60" t="str">
        <v>2getthere-SAV</v>
      </c>
      <c r="H28" s="60" t="str">
        <v>SAV</v>
      </c>
      <c r="I28" s="60" t="str">
        <v>Ridepooling</v>
      </c>
      <c r="J28" s="60" t="str">
        <v>Ridepooling</v>
      </c>
      <c r="K28" s="60" t="str">
        <v>SMRT</v>
      </c>
      <c r="L28" s="60" t="str">
        <v>SMRT</v>
      </c>
      <c r="M28" s="60">
        <v>0</v>
      </c>
      <c r="N28" s="60">
        <v>0</v>
      </c>
      <c r="O28"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8"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8" s="60" t="str">
        <v>Strategic Alliance</v>
      </c>
      <c r="R28" s="60" t="str">
        <v>Yes</v>
      </c>
      <c r="S28" s="60" t="str">
        <v>Product cooperation</v>
      </c>
      <c r="T28" s="60" t="str">
        <v>-</v>
      </c>
      <c r="U28" s="60" t="str">
        <v>Yes</v>
      </c>
      <c r="V28" s="60" t="str">
        <v>Yes</v>
      </c>
      <c r="W28" s="60" t="str">
        <v>2.4. Exclusive Alliance</v>
      </c>
      <c r="X28" s="60">
        <v>0</v>
      </c>
      <c r="Y28" s="60" t="str">
        <v>cooperation agreement for the introduction of 2getthere's innovative driverless transit systems to Singapore.</v>
      </c>
      <c r="Z28" s="60" t="str">
        <v>Joint Service Agreement</v>
      </c>
      <c r="AA28" s="60" t="str">
        <v>cooperation agreement for the introduction of 2getthere's innovative driverless transit systems to Singapore.</v>
      </c>
      <c r="AB28" s="60">
        <v>0</v>
      </c>
      <c r="AC28" s="60">
        <v>0</v>
      </c>
      <c r="AD28" s="60">
        <v>0</v>
      </c>
      <c r="AE28" s="60">
        <v>0</v>
      </c>
      <c r="AF28" s="60" t="str">
        <v>SMRT and 2getthere enter into a partnership for Singapore</v>
      </c>
      <c r="AG28" s="60">
        <v>0</v>
      </c>
      <c r="BR28" t="str">
        <v>Michelin</v>
      </c>
      <c r="BS28" s="55"/>
      <c r="BU28" s="55"/>
      <c r="BV28" s="55"/>
      <c r="BW28" s="55"/>
      <c r="BX28" s="55"/>
    </row>
    <row r="29" spans="1:76" x14ac:dyDescent="0.35">
      <c r="A29" s="60" t="str">
        <v>https://www.2getthere.eu/news/uae-partner-united-technical-services-takes-a-stake-in-2getthere/</v>
      </c>
      <c r="B29" s="60" t="str">
        <v>2016, 1, 25</v>
      </c>
      <c r="C29" s="105">
        <v>42394</v>
      </c>
      <c r="D29" s="60" t="str">
        <v>UAE partner United Technical Services takes a stake in 2getthere</v>
      </c>
      <c r="E29" s="60" t="str">
        <v>2getthere</v>
      </c>
      <c r="F29" s="60" t="str">
        <v>L2</v>
      </c>
      <c r="G29" s="60" t="str">
        <v>2getthere-SAV</v>
      </c>
      <c r="H29" s="60" t="str">
        <v>SAV</v>
      </c>
      <c r="I29" s="60" t="str">
        <v>Ridepooling</v>
      </c>
      <c r="J29" s="60" t="str">
        <v>Ridepooling</v>
      </c>
      <c r="K29" s="60" t="str">
        <v>United Technical Services</v>
      </c>
      <c r="L29" s="60" t="str">
        <v>United Technical Services</v>
      </c>
      <c r="M29" s="60">
        <v>0</v>
      </c>
      <c r="N29" s="60">
        <v>0</v>
      </c>
      <c r="O29"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9"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9" s="60" t="str">
        <v>Strategic Partnership</v>
      </c>
      <c r="R29" s="60" t="str">
        <v>n.a.</v>
      </c>
      <c r="S29" s="60" t="str">
        <v>Product cooperation</v>
      </c>
      <c r="T29" s="60" t="str">
        <v>-</v>
      </c>
      <c r="U29" s="60" t="str">
        <v>Yes</v>
      </c>
      <c r="V29" s="60" t="str">
        <v>-</v>
      </c>
      <c r="W29" s="60" t="str">
        <v>3. Strategic Partnership</v>
      </c>
      <c r="X29" s="60">
        <v>0</v>
      </c>
      <c r="Y29" s="60" t="str">
        <v>In anticipation of the growing demand for 2getthere's systems in the Middle East, the investment is used to support the road map development, organizational growth and marketing ambitions.</v>
      </c>
      <c r="Z29" s="60" t="str">
        <v>Other</v>
      </c>
      <c r="AA29" s="60" t="str">
        <v>In anticipation of the growing demand for 2getthere's systems in the Middle East, the investment is used to support the road map development, organizational growth and marketing ambitions.</v>
      </c>
      <c r="AB29" s="60">
        <v>0</v>
      </c>
      <c r="AC29" s="60">
        <v>0</v>
      </c>
      <c r="AD29" s="60">
        <v>0</v>
      </c>
      <c r="AE29" s="60">
        <v>0</v>
      </c>
      <c r="AF29" s="60" t="str">
        <v>UAE partner United Technical Services takes a stake in 2getthere</v>
      </c>
      <c r="AG29" s="60">
        <v>0</v>
      </c>
      <c r="BR29" t="str">
        <v>eVersum</v>
      </c>
      <c r="BS29" s="55"/>
      <c r="BT29" s="55"/>
      <c r="BU29" s="55"/>
      <c r="BV29" s="55"/>
      <c r="BW29" s="55"/>
      <c r="BX29" s="55"/>
    </row>
    <row r="30" spans="1:76" x14ac:dyDescent="0.35">
      <c r="A30" s="60" t="str">
        <v>https://www.2getthere.eu/news/2getthere-asia-joint-venture/</v>
      </c>
      <c r="B30" s="60" t="str">
        <v>2016, 4, 20</v>
      </c>
      <c r="C30" s="105">
        <v>42480</v>
      </c>
      <c r="D30" s="60" t="str">
        <v>2getthere Asia Joint Venture established in Singapore</v>
      </c>
      <c r="E30" s="60" t="str">
        <v>2getthere</v>
      </c>
      <c r="F30" s="60" t="str">
        <v>L2</v>
      </c>
      <c r="G30" s="60" t="str">
        <v>2getthere-SAV</v>
      </c>
      <c r="H30" s="60" t="str">
        <v>SAV</v>
      </c>
      <c r="I30" s="60" t="str">
        <v>Ridepooling</v>
      </c>
      <c r="J30" s="60" t="str">
        <v>Ridepooling</v>
      </c>
      <c r="K30" s="60" t="str">
        <v>SMRT</v>
      </c>
      <c r="L30" s="60" t="str">
        <v>SMRT</v>
      </c>
      <c r="M30" s="60">
        <v>0</v>
      </c>
      <c r="N30" s="60">
        <v>0</v>
      </c>
      <c r="O30"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30"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30" s="60" t="str">
        <v>Joint Venture</v>
      </c>
      <c r="R30" s="60" t="str">
        <v>Yes</v>
      </c>
      <c r="S30" s="60" t="str">
        <v>Service Integration</v>
      </c>
      <c r="T30" s="60" t="str">
        <v>-</v>
      </c>
      <c r="U30" s="60" t="str">
        <v>Yes</v>
      </c>
      <c r="V30" s="60" t="str">
        <v>-</v>
      </c>
      <c r="W30" s="60" t="str">
        <v>4. Joint Venture</v>
      </c>
      <c r="X30" s="60">
        <v>0</v>
      </c>
      <c r="Y30"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30" s="60" t="str">
        <v>Joint Service Agreement</v>
      </c>
      <c r="AA30"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30" s="60">
        <v>0</v>
      </c>
      <c r="AC30" s="60">
        <v>0</v>
      </c>
      <c r="AD30" s="60">
        <v>0</v>
      </c>
      <c r="AE30" s="60">
        <v>0</v>
      </c>
      <c r="AF30" s="60" t="str">
        <v>2getthere Asia Joint Venture established in Singapore</v>
      </c>
      <c r="AG30" s="60">
        <v>0</v>
      </c>
      <c r="BR30" t="str">
        <v>NEVS</v>
      </c>
      <c r="BS30" s="55"/>
      <c r="BT30" s="55"/>
      <c r="BU30" s="55"/>
      <c r="BV30" s="55"/>
      <c r="BW30" s="55"/>
      <c r="BX30" s="55"/>
    </row>
    <row r="31" spans="1:76" x14ac:dyDescent="0.35">
      <c r="A31" s="60" t="str">
        <v>https://www.adastec.com/news-coverage/adastec-and-vicinity-motor-corp-collaborate-to-deploy-automated-bus-at-michigan-state-university</v>
      </c>
      <c r="B31" s="60" t="str">
        <v>2023, 10, 9</v>
      </c>
      <c r="C31" s="105">
        <v>44935</v>
      </c>
      <c r="D31" s="60" t="str">
        <v>ADASTEC and Vicinity Motor Corp. Collaborate to Deploy Automated Bus at Michigan State University</v>
      </c>
      <c r="E31" s="60" t="str">
        <v>ADASTEC</v>
      </c>
      <c r="F31" s="60" t="str">
        <v>L1</v>
      </c>
      <c r="G31" s="60" t="str">
        <v>ADASTEC-SAV</v>
      </c>
      <c r="H31" s="60" t="str">
        <v>SAV</v>
      </c>
      <c r="I31" s="60" t="str">
        <v>Ridepooling</v>
      </c>
      <c r="J31" s="60" t="str">
        <v>Ridepooling</v>
      </c>
      <c r="K31" s="60" t="str">
        <v>Vicinity Motor Corp.</v>
      </c>
      <c r="L31" s="60" t="str">
        <v>Vicinity Motor Corp.</v>
      </c>
      <c r="M31" s="60">
        <v>0</v>
      </c>
      <c r="N31" s="60">
        <v>0</v>
      </c>
      <c r="O31"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31"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31" s="60" t="str">
        <v>Strategic Alliance</v>
      </c>
      <c r="R31" s="60" t="str">
        <v>n.a.</v>
      </c>
      <c r="S31" s="60" t="str">
        <v>Product cooperation</v>
      </c>
      <c r="T31" s="60" t="str">
        <v>-</v>
      </c>
      <c r="U31" s="60" t="str">
        <v>-</v>
      </c>
      <c r="V31" s="60" t="str">
        <v>-</v>
      </c>
      <c r="W31" s="60" t="str">
        <v>2.1. Short term Alliance (no exclusivity / previous experience)</v>
      </c>
      <c r="X31" s="60">
        <v>0</v>
      </c>
      <c r="Y31"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31" s="60" t="str">
        <v>Joint D&amp;D</v>
      </c>
      <c r="AA31"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31" s="60">
        <v>0</v>
      </c>
      <c r="AC31" s="60">
        <v>0</v>
      </c>
      <c r="AD31" s="60">
        <v>0</v>
      </c>
      <c r="AE31" s="60">
        <v>0</v>
      </c>
      <c r="AF31" s="60" t="str">
        <v xml:space="preserve">ADASTEC and Vicinity Motor Corp. Collaborate to Deploy </v>
      </c>
      <c r="AG31" s="60" t="str">
        <v>Automated Bus at Michigan State University</v>
      </c>
      <c r="BR31" t="str">
        <v>Global Finance Group</v>
      </c>
      <c r="BS31" s="55"/>
      <c r="BT31" s="55"/>
      <c r="BU31" s="55"/>
      <c r="BV31" s="55"/>
      <c r="BW31" s="55"/>
      <c r="BX31" s="55"/>
    </row>
    <row r="32" spans="1:76" x14ac:dyDescent="0.35">
      <c r="A32" s="60" t="str">
        <v>https://www.adastec.com/news-coverage/adastec-and-vicinity-motor-corp-partner-to-deploy-automated-bus-at-the-university-at-buffalo</v>
      </c>
      <c r="B32" s="60" t="str">
        <v>2023, 10, 5</v>
      </c>
      <c r="C32" s="105">
        <v>44931</v>
      </c>
      <c r="D32" s="60" t="str">
        <v>ADASTEC and Vicinity Motor Corp. Partner to Deploy Automated Bus at the University at Buffalo</v>
      </c>
      <c r="E32" s="60" t="str">
        <v>ADASTEC</v>
      </c>
      <c r="F32" s="60" t="str">
        <v>L1</v>
      </c>
      <c r="G32" s="60" t="str">
        <v>ADASTEC-SAV</v>
      </c>
      <c r="H32" s="60" t="str">
        <v>SAV</v>
      </c>
      <c r="I32" s="60" t="str">
        <v>Ridepooling</v>
      </c>
      <c r="J32" s="60" t="str">
        <v>Ridepooling</v>
      </c>
      <c r="K32" s="60" t="str">
        <v>Vicinity Motor Corp.</v>
      </c>
      <c r="L32" s="60" t="str">
        <v>Vicinity Motor Corp.</v>
      </c>
      <c r="M32" s="60">
        <v>0</v>
      </c>
      <c r="N32" s="60">
        <v>0</v>
      </c>
      <c r="O32"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32"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32" s="60" t="str">
        <v>Strategic Alliance</v>
      </c>
      <c r="R32" s="60" t="str">
        <v>n.a.</v>
      </c>
      <c r="S32" s="60" t="str">
        <v>Product cooperation</v>
      </c>
      <c r="T32" s="60" t="str">
        <v>-</v>
      </c>
      <c r="U32" s="60" t="str">
        <v>-</v>
      </c>
      <c r="V32" s="60" t="str">
        <v>-</v>
      </c>
      <c r="W32" s="60" t="str">
        <v>2.1. Short term Alliance (no exclusivity / previous experience)</v>
      </c>
      <c r="X32" s="60">
        <v>0</v>
      </c>
      <c r="Y32"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32" s="60" t="str">
        <v>Joint D&amp;D</v>
      </c>
      <c r="AA32"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32" s="60">
        <v>0</v>
      </c>
      <c r="AC32" s="60">
        <v>0</v>
      </c>
      <c r="AD32" s="60">
        <v>0</v>
      </c>
      <c r="AE32" s="60">
        <v>0</v>
      </c>
      <c r="AF32" s="60" t="str">
        <v>ADASTEC and Vicinity Motor Corp. Partner to Deploy Automated Bus at the University at Buffalo</v>
      </c>
      <c r="AG32" s="60">
        <v>0</v>
      </c>
      <c r="BR32" t="str">
        <v>Western Reserve Transit Authority</v>
      </c>
      <c r="BS32" s="55"/>
      <c r="BT32" s="55"/>
      <c r="BU32" s="55"/>
      <c r="BV32" s="55"/>
      <c r="BW32" s="55"/>
      <c r="BX32" s="55"/>
    </row>
    <row r="33" spans="1:82" x14ac:dyDescent="0.35">
      <c r="A33" s="60" t="str">
        <v>https://www.ridebeep.com/press-releases/north-carolina-department-of-transportation-and-beep-partner-for-autonomous-vehicle-testing-projects</v>
      </c>
      <c r="B33" s="60" t="str">
        <v>2023, 3, 14</v>
      </c>
      <c r="C33" s="105">
        <v>44999</v>
      </c>
      <c r="D33" s="60" t="str">
        <v>North Carolina Department of Transportation and Beep Partner for Autonomous Vehicle Testing Projects</v>
      </c>
      <c r="E33" s="60" t="str">
        <v>Beep</v>
      </c>
      <c r="F33" s="60" t="str">
        <v>L3</v>
      </c>
      <c r="G33" s="60" t="str">
        <v>Beep-SAV</v>
      </c>
      <c r="H33" s="60" t="str">
        <v>SAV</v>
      </c>
      <c r="I33" s="60" t="str">
        <v>Ridepooling</v>
      </c>
      <c r="J33" s="60" t="str">
        <v>Ridepooling</v>
      </c>
      <c r="K33" s="60" t="str">
        <v>North Carolina Department of Transportation</v>
      </c>
      <c r="L33" s="60" t="str">
        <v>North Carolina Department of Transportation</v>
      </c>
      <c r="M33" s="60">
        <v>0</v>
      </c>
      <c r="N33" s="60">
        <v>0</v>
      </c>
      <c r="O33"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33"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33" s="60" t="str">
        <v>Strategic Alliance</v>
      </c>
      <c r="R33" s="60" t="str">
        <v>n.a.</v>
      </c>
      <c r="S33" s="60" t="str">
        <v>Service Integration</v>
      </c>
      <c r="T33" s="60" t="str">
        <v>-</v>
      </c>
      <c r="U33" s="60" t="str">
        <v>-</v>
      </c>
      <c r="V33" s="60" t="str">
        <v>-</v>
      </c>
      <c r="W33" s="60" t="str">
        <v>2.1. Short term Alliance (no exclusivity / previous experience)</v>
      </c>
      <c r="X33" s="60">
        <v>0</v>
      </c>
      <c r="Y33"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33" s="60" t="str">
        <v>Joint Service Agreement</v>
      </c>
      <c r="AA33"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33" s="60">
        <v>0</v>
      </c>
      <c r="AC33" s="60">
        <v>0</v>
      </c>
      <c r="AD33" s="60">
        <v>0</v>
      </c>
      <c r="AE33" s="60">
        <v>0</v>
      </c>
      <c r="AF33" s="60" t="str">
        <v xml:space="preserve">North Carolina Department of Transportation and Beep Partner for </v>
      </c>
      <c r="AG33" s="60" t="str">
        <v>Autonomous Vehicle Testing Projects</v>
      </c>
      <c r="BR33" t="str">
        <v>SAE</v>
      </c>
    </row>
    <row r="34" spans="1:82" x14ac:dyDescent="0.35">
      <c r="A34" s="60" t="str">
        <v>https://www.ridebeep.com/press-releases/contra-costa-transportation-authority-and-beep-partner-to-deliver-autonomous-vehicle-projects-in-california</v>
      </c>
      <c r="B34" s="60" t="str">
        <v>2023, 4, 21</v>
      </c>
      <c r="C34" s="105">
        <v>45037</v>
      </c>
      <c r="D34" s="60" t="str">
        <v>Contra Costa Transportation Authority and Beep Partner to Deliver Autonomous Vehicle Projects in California</v>
      </c>
      <c r="E34" s="60" t="str">
        <v>Beep</v>
      </c>
      <c r="F34" s="60" t="str">
        <v>L3</v>
      </c>
      <c r="G34" s="60" t="str">
        <v>Beep-SAV</v>
      </c>
      <c r="H34" s="60" t="str">
        <v>SAV</v>
      </c>
      <c r="I34" s="60" t="str">
        <v>Ridepooling</v>
      </c>
      <c r="J34" s="60" t="str">
        <v>Ridepooling</v>
      </c>
      <c r="K34" s="60" t="str">
        <v>Contra Costa Transportation Authority</v>
      </c>
      <c r="L34" s="60" t="str">
        <v>Contra Costa Transportation Authority</v>
      </c>
      <c r="M34" s="60">
        <v>0</v>
      </c>
      <c r="N34" s="60">
        <v>0</v>
      </c>
      <c r="O34"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34"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34" s="60" t="str">
        <v>Strategic Alliance</v>
      </c>
      <c r="R34" s="60" t="str">
        <v>n.a.</v>
      </c>
      <c r="S34" s="60" t="str">
        <v>Service Integration</v>
      </c>
      <c r="T34" s="60" t="str">
        <v>-</v>
      </c>
      <c r="U34" s="60" t="str">
        <v>-</v>
      </c>
      <c r="V34" s="60" t="str">
        <v>-</v>
      </c>
      <c r="W34" s="60" t="str">
        <v>2.1. Short term Alliance (no exclusivity / previous experience)</v>
      </c>
      <c r="X34" s="60">
        <v>0</v>
      </c>
      <c r="Y34"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34" s="60" t="str">
        <v>Joint Service Agreement</v>
      </c>
      <c r="AA34"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34" s="60">
        <v>0</v>
      </c>
      <c r="AC34" s="60">
        <v>0</v>
      </c>
      <c r="AD34" s="60">
        <v>0</v>
      </c>
      <c r="AE34" s="60">
        <v>0</v>
      </c>
      <c r="AF34" s="60" t="str">
        <v xml:space="preserve">Contra Costa Transportation Authority and Beep Partner to Deliver </v>
      </c>
      <c r="AG34" s="60" t="str">
        <v>Autonomous Vehicle Projects in California</v>
      </c>
      <c r="BR34" t="str">
        <v>Tropos Technologies</v>
      </c>
    </row>
    <row r="35" spans="1:82" x14ac:dyDescent="0.35">
      <c r="A35" s="60" t="str">
        <v>https://ridebeep.com/press-releases/zf-announces-partnership-with-beep-unveils-next-generation-autonomous-shuttle</v>
      </c>
      <c r="B35" s="60" t="str">
        <v>2023, 1, 4</v>
      </c>
      <c r="C35" s="105">
        <v>44930</v>
      </c>
      <c r="D35" s="60" t="str">
        <v>ZF announces partnership with Beep, unveils next-generation autonomous shuttle</v>
      </c>
      <c r="E35" s="60" t="str">
        <v>Beep</v>
      </c>
      <c r="F35" s="60" t="str">
        <v>L3</v>
      </c>
      <c r="G35" s="60" t="str">
        <v>Beep-SAV</v>
      </c>
      <c r="H35" s="60" t="str">
        <v>SAV</v>
      </c>
      <c r="I35" s="60" t="str">
        <v>Ridepooling</v>
      </c>
      <c r="J35" s="60" t="str">
        <v>Ridepooling</v>
      </c>
      <c r="K35" s="60" t="str">
        <v>ZF</v>
      </c>
      <c r="L35" s="60" t="str">
        <v>ZF</v>
      </c>
      <c r="M35" s="60">
        <v>0</v>
      </c>
      <c r="N35" s="60">
        <v>0</v>
      </c>
      <c r="O35"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35"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35" s="60" t="str">
        <v>Strategic Alliance</v>
      </c>
      <c r="R35" s="60" t="str">
        <v>Yes</v>
      </c>
      <c r="S35" s="60" t="str">
        <v>Service Integration</v>
      </c>
      <c r="T35" s="60" t="str">
        <v>Long term - coming years</v>
      </c>
      <c r="U35" s="60" t="str">
        <v>-</v>
      </c>
      <c r="V35" s="60" t="str">
        <v>-</v>
      </c>
      <c r="W35" s="60" t="str">
        <v>2.3. Long term Alliance</v>
      </c>
      <c r="X35" s="60">
        <v>0</v>
      </c>
      <c r="Y35"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35" s="60" t="str">
        <v>Joint Service Agreement</v>
      </c>
      <c r="AA35" s="60" t="str">
        <v>"Our offer of clean, efficient and affordable mobility is convincing, and has found a partner and major customer in Beep"</v>
      </c>
      <c r="AB35" s="60">
        <v>0</v>
      </c>
      <c r="AC35" s="60">
        <v>0</v>
      </c>
      <c r="AD35" s="60">
        <v>0</v>
      </c>
      <c r="AE35" s="60">
        <v>0</v>
      </c>
      <c r="AF35" s="60" t="str">
        <v>ZF announces partnership with Beep, unveils next-generation autonomous shuttle</v>
      </c>
      <c r="AG35" s="60">
        <v>0</v>
      </c>
      <c r="BR35" t="str">
        <v>Tropos Technologies</v>
      </c>
    </row>
    <row r="36" spans="1:82" x14ac:dyDescent="0.35">
      <c r="A36" s="60" t="str">
        <v>https://www.ridebeep.com/press-releases/beep-and-oxa-announce-partnership-to-deploy-autonomous-vehicles-driven-by-oxa-in-united-states</v>
      </c>
      <c r="B36" s="60" t="str">
        <v>2023, 8, 24</v>
      </c>
      <c r="C36" s="105">
        <v>45162</v>
      </c>
      <c r="D36" s="60" t="str">
        <v>Beep and Oxa Announce Partnership to Deploy Autonomous Vehicles Driven by Oxa in United States</v>
      </c>
      <c r="E36" s="60" t="str">
        <v>Beep</v>
      </c>
      <c r="F36" s="60" t="str">
        <v>L3</v>
      </c>
      <c r="G36" s="60" t="str">
        <v>Beep-SAV</v>
      </c>
      <c r="H36" s="60" t="str">
        <v>SAV</v>
      </c>
      <c r="I36" s="60" t="str">
        <v>Ridepooling</v>
      </c>
      <c r="J36" s="60" t="str">
        <v>Ridepooling</v>
      </c>
      <c r="K36" s="60" t="str">
        <v>Oxa</v>
      </c>
      <c r="L36" s="60" t="str">
        <v>Oxa</v>
      </c>
      <c r="M36" s="60">
        <v>0</v>
      </c>
      <c r="N36" s="60">
        <v>0</v>
      </c>
      <c r="O36"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36"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36" s="60" t="str">
        <v>Strategic Alliance</v>
      </c>
      <c r="R36" s="60" t="str">
        <v>n.a.</v>
      </c>
      <c r="S36" s="60" t="str">
        <v>Service Integration</v>
      </c>
      <c r="T36" s="60" t="str">
        <v>Long term - Future years mentioned</v>
      </c>
      <c r="U36" s="60" t="str">
        <v>Yes</v>
      </c>
      <c r="V36" s="60" t="str">
        <v>-</v>
      </c>
      <c r="W36" s="60" t="str">
        <v>2.3. Long term Alliance</v>
      </c>
      <c r="X36" s="60">
        <v>0</v>
      </c>
      <c r="Y36" s="60" t="str">
        <v>the strategic partnership will see Oxa's autonomy software installed in a variety of vehicle types operated by Beep, from current passenger shuttles to future vehicle platforms</v>
      </c>
      <c r="Z36" s="60" t="str">
        <v>Joint Service Agreement</v>
      </c>
      <c r="AA36" s="60" t="str">
        <v>the strategic partnership will see Oxa's autonomy software installed in a variety of vehicle types operated by Beep, from current passenger shuttles to future vehicle platforms</v>
      </c>
      <c r="AB36" s="60">
        <v>0</v>
      </c>
      <c r="AC36" s="60">
        <v>0</v>
      </c>
      <c r="AD36" s="60">
        <v>0</v>
      </c>
      <c r="AE36" s="60">
        <v>0</v>
      </c>
      <c r="AF36" s="60" t="str">
        <v>Beep and Oxa Announce Partnership to Deploy Autonomous Vehicles Driven by Oxa in United States</v>
      </c>
      <c r="AG36" s="60">
        <v>0</v>
      </c>
      <c r="BR36" t="str">
        <v>Greenpower</v>
      </c>
    </row>
    <row r="37" spans="1:82" x14ac:dyDescent="0.35">
      <c r="A37" s="60" t="str">
        <v>https://easymile.com/news/ces2023-trust-soft-and-easymile-collaborate-complement-product-development-strategies</v>
      </c>
      <c r="B37" s="60" t="str">
        <v>2023, 1, 5</v>
      </c>
      <c r="C37" s="105">
        <v>44931</v>
      </c>
      <c r="D37" s="60" t="str">
        <v>#CES2023 - Trust in Soft and EasyMile collaborate to complement product development strategies</v>
      </c>
      <c r="E37" s="60" t="str">
        <v>EasyMile</v>
      </c>
      <c r="F37" s="60" t="str">
        <v>L2</v>
      </c>
      <c r="G37" s="60" t="str">
        <v>EasyMile-SAV</v>
      </c>
      <c r="H37" s="60" t="str">
        <v>SAV</v>
      </c>
      <c r="I37" s="60" t="str">
        <v>Ridepooling</v>
      </c>
      <c r="J37" s="60" t="str">
        <v>Ridepooling</v>
      </c>
      <c r="K37" s="60" t="str">
        <v>TrustInSoft</v>
      </c>
      <c r="L37" s="60" t="str">
        <v>TrustInSoft</v>
      </c>
      <c r="M37" s="60">
        <v>0</v>
      </c>
      <c r="N37" s="60">
        <v>0</v>
      </c>
      <c r="O37"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7" s="60" t="str">
        <v>EasyMile, a vendor of autonomous mobility solutions, has chosen TrustInSoft Analyzer to complement its product development strategies.</v>
      </c>
      <c r="Q37" s="60" t="str">
        <v>Informal Agreement</v>
      </c>
      <c r="R37" s="60" t="str">
        <v>n.a.</v>
      </c>
      <c r="S37" s="60" t="str">
        <v>Financing</v>
      </c>
      <c r="T37" s="60" t="str">
        <v>-</v>
      </c>
      <c r="U37" s="60" t="str">
        <v>-</v>
      </c>
      <c r="V37" s="60" t="str">
        <v>-</v>
      </c>
      <c r="W37" s="60" t="str">
        <v>1. Informal Agreement</v>
      </c>
      <c r="X37" s="60">
        <v>0</v>
      </c>
      <c r="Y37"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7" s="60" t="str">
        <v>Licensing</v>
      </c>
      <c r="AA37"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7" s="60">
        <v>0</v>
      </c>
      <c r="AC37" s="60">
        <v>0</v>
      </c>
      <c r="AD37" s="60">
        <v>0</v>
      </c>
      <c r="AE37" s="60">
        <v>0</v>
      </c>
      <c r="AF37" s="60" t="str">
        <v xml:space="preserve">#CES2023 - Trust in Soft and EasyMile collaborate to complement </v>
      </c>
      <c r="AG37" s="60" t="str">
        <v>product development strategies</v>
      </c>
      <c r="BR37" t="str">
        <v>Guident</v>
      </c>
    </row>
    <row r="38" spans="1:82" x14ac:dyDescent="0.35">
      <c r="A38" s="60" t="str">
        <v>https://easymile.com/news/iaa-frankfurt-continental-and-easymile-partner-demonstrate-ez10</v>
      </c>
      <c r="B38" s="60" t="str">
        <v>2019, 9, 12</v>
      </c>
      <c r="C38" s="105">
        <v>43720</v>
      </c>
      <c r="D38" s="60" t="str">
        <v>IAA Frankfurt: Continental and EasyMile Partner to Demonstrate an EZ10</v>
      </c>
      <c r="E38" s="60" t="str">
        <v>EasyMile</v>
      </c>
      <c r="F38" s="60" t="str">
        <v>L2</v>
      </c>
      <c r="G38" s="60" t="str">
        <v>EasyMile-SAV</v>
      </c>
      <c r="H38" s="60" t="str">
        <v>SAV</v>
      </c>
      <c r="I38" s="60" t="str">
        <v>Ridepooling</v>
      </c>
      <c r="J38" s="60" t="str">
        <v>Ridepooling</v>
      </c>
      <c r="K38" s="60" t="str">
        <v>Continental</v>
      </c>
      <c r="L38" s="60" t="str">
        <v>Continental</v>
      </c>
      <c r="M38" s="60">
        <v>0</v>
      </c>
      <c r="N38" s="60">
        <v>0</v>
      </c>
      <c r="O38"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8"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8" s="60" t="str">
        <v>Informal Agreement</v>
      </c>
      <c r="R38" s="60" t="str">
        <v>n.a.</v>
      </c>
      <c r="S38" s="60" t="str">
        <v>One time - Trade show</v>
      </c>
      <c r="T38" s="60" t="str">
        <v>-</v>
      </c>
      <c r="U38" s="60" t="str">
        <v>Yes</v>
      </c>
      <c r="V38" s="60" t="str">
        <v>-</v>
      </c>
      <c r="W38" s="60" t="str">
        <v>1. Informal Agreement</v>
      </c>
      <c r="X38" s="60">
        <v>0</v>
      </c>
      <c r="Y38"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8" s="60" t="str">
        <v>Marketing Agreement</v>
      </c>
      <c r="AA38"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8" s="60">
        <v>0</v>
      </c>
      <c r="AC38" s="60">
        <v>0</v>
      </c>
      <c r="AD38" s="60">
        <v>0</v>
      </c>
      <c r="AE38" s="60">
        <v>0</v>
      </c>
      <c r="AF38" s="60" t="str">
        <v xml:space="preserve">IAA Frankfurt: Continental and EasyMile Partner to Demonstrate </v>
      </c>
      <c r="AG38" s="60" t="str">
        <v>an EZ10</v>
      </c>
      <c r="BR38" t="str">
        <v>Lightning eMotors</v>
      </c>
    </row>
    <row r="39" spans="1:82" x14ac:dyDescent="0.35">
      <c r="A39" s="60" t="str">
        <v>https://easymile.com/news/easymile-and-sono-motors-reveal-collaboration-autonomous-solar-powered-passenger-shuttle</v>
      </c>
      <c r="B39" s="60" t="str">
        <v>2021, 1, 22</v>
      </c>
      <c r="C39" s="105">
        <v>44218</v>
      </c>
      <c r="D39" s="60" t="str">
        <v>EasyMile and Sono Motors Reveal Collaboration on Autonomous Solar-Powered Passenger Shuttle</v>
      </c>
      <c r="E39" s="60" t="str">
        <v>EasyMile</v>
      </c>
      <c r="F39" s="60" t="str">
        <v>L2</v>
      </c>
      <c r="G39" s="60" t="str">
        <v>EasyMile-SAV</v>
      </c>
      <c r="H39" s="60" t="str">
        <v>SAV</v>
      </c>
      <c r="I39" s="60" t="str">
        <v>Ridepooling</v>
      </c>
      <c r="J39" s="60" t="str">
        <v>Ridepooling</v>
      </c>
      <c r="K39" s="60" t="str">
        <v>Sono Motors</v>
      </c>
      <c r="L39" s="60" t="str">
        <v>Sono Motors</v>
      </c>
      <c r="M39" s="60">
        <v>0</v>
      </c>
      <c r="N39" s="60">
        <v>0</v>
      </c>
      <c r="O39"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9" s="60" t="str">
        <v>EasyMile and Sono Motors are equipping an EZ10 autonomous shuttle prototype with Sono Motors' patented solar technology, testing a new energy concept for electric and driverless shuttles.</v>
      </c>
      <c r="Q39" s="60" t="str">
        <v>Strategic Alliance</v>
      </c>
      <c r="R39" s="60" t="str">
        <v>n.a.</v>
      </c>
      <c r="S39" s="60" t="str">
        <v>One time -  Pilot</v>
      </c>
      <c r="T39" s="60" t="str">
        <v>-</v>
      </c>
      <c r="U39" s="60" t="str">
        <v>-</v>
      </c>
      <c r="V39" s="60" t="str">
        <v>-</v>
      </c>
      <c r="W39" s="60" t="str">
        <v>2.1. Short term Alliance (no exclusivity / previous experience)</v>
      </c>
      <c r="X39" s="60">
        <v>0</v>
      </c>
      <c r="Y39" s="60" t="str">
        <v>EasyMile and Sono Motors are equipping an EZ10 autonomous shuttle prototype with Sono Motors' patented solar technology, testing a new energy concept for electric and driverless shuttles.</v>
      </c>
      <c r="Z39" s="60" t="str">
        <v>Research &amp; Collaboration</v>
      </c>
      <c r="AA39" s="60" t="str">
        <v>EasyMile and Sono Motors are equipping an EZ10 autonomous shuttle prototype with Sono Motors' patented solar technology, testing a new energy concept for electric and driverless shuttles.</v>
      </c>
      <c r="AB39" s="60">
        <v>0</v>
      </c>
      <c r="AC39" s="60">
        <v>0</v>
      </c>
      <c r="AD39" s="60">
        <v>0</v>
      </c>
      <c r="AE39" s="60">
        <v>0</v>
      </c>
      <c r="AF39" s="60" t="str">
        <v xml:space="preserve">EasyMile and Sono Motors Reveal Collaboration on </v>
      </c>
      <c r="AG39" s="60" t="str">
        <v>Autonomous Solar-Powered Passenger Shuttle</v>
      </c>
      <c r="BR39" t="str">
        <v>University of California</v>
      </c>
      <c r="BS39" s="114" t="s">
        <v>1931</v>
      </c>
      <c r="BX39" s="128" t="s">
        <v>372</v>
      </c>
      <c r="CB39" s="128" t="s">
        <v>341</v>
      </c>
    </row>
    <row r="40" spans="1:82" x14ac:dyDescent="0.35">
      <c r="A40" s="60" t="str">
        <v>https://easymile.com/news/phoenix-motorcars-and-easymile-collaborate-deploy-delivery-trucks-well-autonomous-shuttle</v>
      </c>
      <c r="B40" s="60" t="str">
        <v>2020, 12, 21</v>
      </c>
      <c r="C40" s="105">
        <v>43851</v>
      </c>
      <c r="D40" s="60" t="str">
        <v>Phoenix Motorcars and EasyMile Collaborate to Deploy Delivery Trucks as well as Autonomous Shuttle Buses</v>
      </c>
      <c r="E40" s="60" t="str">
        <v>EasyMile</v>
      </c>
      <c r="F40" s="60" t="str">
        <v>L2</v>
      </c>
      <c r="G40" s="60" t="str">
        <v>EasyMile-SAV</v>
      </c>
      <c r="H40" s="60" t="str">
        <v>SAV</v>
      </c>
      <c r="I40" s="60" t="str">
        <v>Ridepooling</v>
      </c>
      <c r="J40" s="60" t="str">
        <v>Ridepooling</v>
      </c>
      <c r="K40" s="60" t="str">
        <v>Phoenix Motorcars</v>
      </c>
      <c r="L40" s="60" t="str">
        <v>Phoenix Motorcars</v>
      </c>
      <c r="M40" s="60">
        <v>0</v>
      </c>
      <c r="N40" s="60">
        <v>0</v>
      </c>
      <c r="O40"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40"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40" s="60" t="str">
        <v>Strategic Alliance</v>
      </c>
      <c r="R40" s="60" t="str">
        <v>n.a.</v>
      </c>
      <c r="S40" s="60" t="str">
        <v>Product cooperation</v>
      </c>
      <c r="T40" s="60" t="str">
        <v>-</v>
      </c>
      <c r="U40" s="60" t="str">
        <v>-</v>
      </c>
      <c r="V40" s="60" t="str">
        <v>-</v>
      </c>
      <c r="W40" s="60" t="str">
        <v>2.1. Short term Alliance (no exclusivity / previous experience)</v>
      </c>
      <c r="X40" s="60">
        <v>0</v>
      </c>
      <c r="Y40"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40" s="60" t="str">
        <v>Joint D&amp;D</v>
      </c>
      <c r="AA40"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40" s="60">
        <v>0</v>
      </c>
      <c r="AC40" s="60">
        <v>0</v>
      </c>
      <c r="AD40" s="60">
        <v>0</v>
      </c>
      <c r="AE40" s="60">
        <v>0</v>
      </c>
      <c r="AF40" s="60" t="str">
        <v>Phoenix Motorcars and EasyMile Collaborate to Deploy Delivery Trucks as well as Autonomous Shuttle Buses</v>
      </c>
      <c r="AG40" s="60">
        <v>0</v>
      </c>
      <c r="BR40" t="str">
        <v>Sustainability Partners</v>
      </c>
      <c r="BS40" s="129" t="s">
        <v>2056</v>
      </c>
      <c r="BX40" s="129" t="s">
        <v>2056</v>
      </c>
      <c r="CB40" s="129" t="s">
        <v>2056</v>
      </c>
    </row>
    <row r="41" spans="1:82" x14ac:dyDescent="0.35">
      <c r="A41" s="60" t="str">
        <v>https://easymile.com/news/easymile-and-continental-collaborate-shanghai-jiading-industrial-zone-develop-driverless</v>
      </c>
      <c r="B41" s="60" t="str">
        <v>2019, 12, 19</v>
      </c>
      <c r="C41" s="105">
        <v>43484</v>
      </c>
      <c r="D41" s="60" t="str">
        <v>EasyMile and Continental Collaborate with Shanghai Jiading Industrial Zone to Develop Driverless Technology in China</v>
      </c>
      <c r="E41" s="60" t="str">
        <v>EasyMile</v>
      </c>
      <c r="F41" s="60" t="str">
        <v>L2</v>
      </c>
      <c r="G41" s="60" t="str">
        <v>EasyMile-SAV</v>
      </c>
      <c r="H41" s="60" t="str">
        <v>SAV</v>
      </c>
      <c r="I41" s="60" t="str">
        <v>Ridepooling</v>
      </c>
      <c r="J41" s="60" t="str">
        <v>Ridepooling</v>
      </c>
      <c r="K41" s="60" t="str">
        <v>Continental;Shanghai Jiading Industrial Zone</v>
      </c>
      <c r="L41" s="60" t="str">
        <v>Continental</v>
      </c>
      <c r="M41" s="60" t="str">
        <v>Shanghai Jiading Industrial Zone</v>
      </c>
      <c r="N41" s="60">
        <v>0</v>
      </c>
      <c r="O41"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41"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41" s="60" t="str">
        <v>Strategic Alliance</v>
      </c>
      <c r="R41" s="60" t="str">
        <v>Yes</v>
      </c>
      <c r="S41" s="60" t="str">
        <v>Product cooperation</v>
      </c>
      <c r="T41" s="60" t="str">
        <v>-</v>
      </c>
      <c r="U41" s="60" t="str">
        <v>Yes</v>
      </c>
      <c r="V41" s="60" t="str">
        <v>-</v>
      </c>
      <c r="W41" s="60" t="str">
        <v xml:space="preserve">2.2. Renewed Alliance </v>
      </c>
      <c r="X41" s="60">
        <v>0</v>
      </c>
      <c r="Y41"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41" s="60" t="str">
        <v>Joint D&amp;D</v>
      </c>
      <c r="AA41"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41" s="60">
        <v>0</v>
      </c>
      <c r="AC41" s="60">
        <v>0</v>
      </c>
      <c r="AD41" s="60">
        <v>0</v>
      </c>
      <c r="AE41" s="60">
        <v>0</v>
      </c>
      <c r="AF41" s="60" t="str">
        <v>EasyMile and Continental Collaborate with Shanghai Jiading Industrial Zone to Develop Driverless Technology in China</v>
      </c>
      <c r="AG41" s="60">
        <v>0</v>
      </c>
      <c r="BR41" t="str">
        <v>Rampini</v>
      </c>
      <c r="BS41" t="str" cm="1">
        <f t="array" ref="BS41:BS44">_xlfn.UNIQUE(_xlfn._xlws.FILTER(BT1:BT27,BT1:BT27&lt;&gt;""))</f>
        <v>Software Company</v>
      </c>
      <c r="BT41" s="100">
        <f t="shared" ref="BT41:BT66" si="0">COUNTIF($BT$1:$BT$27,$BS41)</f>
        <v>1</v>
      </c>
      <c r="BU41" s="101">
        <f>$BT41/SUM($BT$41:$BT$66)</f>
        <v>0.2</v>
      </c>
      <c r="BX41" s="94" t="str" cm="1">
        <f t="array" ref="BX41:BX44">_xlfn.UNIQUE(_xlfn._xlws.FILTER(BT1:BT27,BT1:BT27&lt;&gt;""))</f>
        <v>Software Company</v>
      </c>
      <c r="BY41">
        <f t="shared" ref="BY41:BY66" si="1">COUNTIF($BY$1:$BY$5,$BX41)</f>
        <v>0</v>
      </c>
      <c r="BZ41" s="101" t="e">
        <f>$BY41/SUM($BY$41:$BY$66)</f>
        <v>#DIV/0!</v>
      </c>
      <c r="CB41" s="94" t="str" cm="1">
        <f t="array" ref="CB41:CB44">_xlfn.UNIQUE(_xlfn._xlws.FILTER(BT1:BT27,BT1:BT27&lt;&gt;""))</f>
        <v>Software Company</v>
      </c>
      <c r="CC41">
        <f t="shared" ref="CC41:CC66" si="2">COUNTIF($CC$1:$CC$5,$CB41)</f>
        <v>0</v>
      </c>
      <c r="CD41" s="101" t="e">
        <f>$CC41/SUM($CC$41:$CC$66)</f>
        <v>#DIV/0!</v>
      </c>
    </row>
    <row r="42" spans="1:82" x14ac:dyDescent="0.35">
      <c r="A42" s="60" t="str">
        <v>https://easymile.com/news/easymile-and-kalray-strengthen-development-platform-collaboration</v>
      </c>
      <c r="B42" s="60" t="str">
        <v>2021, 1, 6</v>
      </c>
      <c r="C42" s="105">
        <v>44202</v>
      </c>
      <c r="D42" s="60" t="str">
        <v>EasyMile and Kalray Strengthen Development Platform Collaboration</v>
      </c>
      <c r="E42" s="60" t="str">
        <v>EasyMile</v>
      </c>
      <c r="F42" s="60" t="str">
        <v>L2</v>
      </c>
      <c r="G42" s="60" t="str">
        <v>EasyMile-SAV</v>
      </c>
      <c r="H42" s="60" t="str">
        <v>SAV</v>
      </c>
      <c r="I42" s="60" t="str">
        <v>Ridepooling</v>
      </c>
      <c r="J42" s="60" t="str">
        <v>Ridepooling</v>
      </c>
      <c r="K42" s="60" t="str">
        <v>Kalray</v>
      </c>
      <c r="L42" s="60" t="str">
        <v>Kalray</v>
      </c>
      <c r="M42" s="60">
        <v>0</v>
      </c>
      <c r="N42" s="60">
        <v>0</v>
      </c>
      <c r="O42"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42" s="60" t="str">
        <v>“Autonomous technology provider EasyMile and intelligent processors supplier Kalray have deepened their relationship with the signature of a Memorandum of Understanding (MoU) formalizing their relationship to develop intelligent systems.</v>
      </c>
      <c r="Q42" s="60" t="str">
        <v>Strategic Alliance</v>
      </c>
      <c r="R42" s="60" t="str">
        <v>Yes</v>
      </c>
      <c r="S42" s="60" t="str">
        <v>Product cooperation</v>
      </c>
      <c r="T42" s="60" t="str">
        <v>-</v>
      </c>
      <c r="U42" s="60" t="str">
        <v>Yes</v>
      </c>
      <c r="V42" s="60" t="str">
        <v>-</v>
      </c>
      <c r="W42" s="60" t="str">
        <v xml:space="preserve">2.2. Renewed Alliance </v>
      </c>
      <c r="X42" s="60">
        <v>0</v>
      </c>
      <c r="Y42"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42" s="60" t="str">
        <v>Supply Partnership (traditional)</v>
      </c>
      <c r="AA42"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42" s="60">
        <v>0</v>
      </c>
      <c r="AC42" s="60">
        <v>0</v>
      </c>
      <c r="AD42" s="60">
        <v>0</v>
      </c>
      <c r="AE42" s="60">
        <v>0</v>
      </c>
      <c r="AF42" s="60" t="str">
        <v>EasyMile and Kalray Strengthen Development Platform Collaboration</v>
      </c>
      <c r="AG42" s="60">
        <v>0</v>
      </c>
      <c r="BR42" t="str">
        <v>Tropos Technologies</v>
      </c>
      <c r="BS42" t="str">
        <v>Automotive Supplier</v>
      </c>
      <c r="BT42" s="100">
        <f t="shared" si="0"/>
        <v>1</v>
      </c>
      <c r="BU42" s="101">
        <f t="shared" ref="BU42:BU62" si="3">$BT42/SUM($BT$41:$BT$66)</f>
        <v>0.2</v>
      </c>
      <c r="BX42" s="58" t="str">
        <v>Automotive Supplier</v>
      </c>
      <c r="BY42">
        <f t="shared" si="1"/>
        <v>0</v>
      </c>
      <c r="BZ42" s="101" t="e">
        <f t="shared" ref="BZ42:BZ62" si="4">$BY42/SUM($BY$41:$BY$66)</f>
        <v>#DIV/0!</v>
      </c>
      <c r="CB42" s="41" t="str">
        <v>Automotive Supplier</v>
      </c>
      <c r="CC42">
        <f t="shared" si="2"/>
        <v>0</v>
      </c>
      <c r="CD42" s="101" t="e">
        <f t="shared" ref="CD42:CD62" si="5">$CC42/SUM($CC$41:$CC$66)</f>
        <v>#DIV/0!</v>
      </c>
    </row>
    <row r="43" spans="1:82" x14ac:dyDescent="0.35">
      <c r="A43" s="60" t="str">
        <v>https://ioki.com/en/deutsche-bahn-and-berlins-municipal-public-transportation-operator-berliner-verkehrsbetriebe-are-cooperation-partners-in-the-area-of-autonomous-driving/</v>
      </c>
      <c r="B43" s="60" t="str">
        <v>2018, 4, 9</v>
      </c>
      <c r="C43" s="105">
        <v>43199</v>
      </c>
      <c r="D43" s="60" t="str">
        <v>Deutsche Bahn and Berlin's municipal public transportation operator Berliner Verkehrsbetriebe are cooperation partners in the area of autonomous driving</v>
      </c>
      <c r="E43" s="60" t="str">
        <v>Ioki</v>
      </c>
      <c r="F43" s="60" t="str">
        <v>L4</v>
      </c>
      <c r="G43" s="60" t="str">
        <v>Ioki-SAV</v>
      </c>
      <c r="H43" s="60" t="str">
        <v>SAV</v>
      </c>
      <c r="I43" s="60" t="str">
        <v>Ridepooling</v>
      </c>
      <c r="J43" s="60" t="str">
        <v>Ridepooling</v>
      </c>
      <c r="K43" s="60" t="str">
        <v>Deutsche Bahn;Berliner Verkehrsbetriebe</v>
      </c>
      <c r="L43" s="60" t="str">
        <v>Deutsche Bahn</v>
      </c>
      <c r="M43" s="60" t="str">
        <v>Berliner Verkehrsbetriebe</v>
      </c>
      <c r="N43" s="60">
        <v>0</v>
      </c>
      <c r="O43"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43"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43" s="60" t="str">
        <v>Strategic Alliance</v>
      </c>
      <c r="R43" s="60" t="str">
        <v>n.a.</v>
      </c>
      <c r="S43" s="60" t="str">
        <v xml:space="preserve">One time  - Pilot </v>
      </c>
      <c r="T43" s="60" t="str">
        <v>-</v>
      </c>
      <c r="U43" s="60" t="str">
        <v>-</v>
      </c>
      <c r="V43" s="60" t="str">
        <v>-</v>
      </c>
      <c r="W43" s="60" t="str">
        <v>2.1. Short term Alliance (no exclusivity / previous experience)</v>
      </c>
      <c r="X43" s="60">
        <v>0</v>
      </c>
      <c r="Y43"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43" s="60" t="str">
        <v>Joint D&amp;D</v>
      </c>
      <c r="AA43" s="60" t="str">
        <v xml:space="preserve">Current plans foresee the expansion of the test project to include operations on public streets. The project partners are working in close collaboration with local authorities in the search for a suitable route. </v>
      </c>
      <c r="AB43" s="60">
        <v>0</v>
      </c>
      <c r="AC43" s="60">
        <v>0</v>
      </c>
      <c r="AD43" s="60">
        <v>0</v>
      </c>
      <c r="AE43" s="60">
        <v>0</v>
      </c>
      <c r="AF43" s="60" t="str">
        <v xml:space="preserve">Deutsche Bahn and Berlin's municipal public transportation operator Berliner Verkehrsbetriebe are cooperation partners </v>
      </c>
      <c r="AG43" s="60" t="str">
        <v>in the area of autonomous driving</v>
      </c>
      <c r="BR43" t="str">
        <v>GreenPower</v>
      </c>
      <c r="BS43" t="str">
        <v>Transport Operator</v>
      </c>
      <c r="BT43" s="100">
        <f t="shared" si="0"/>
        <v>2</v>
      </c>
      <c r="BU43" s="101">
        <f t="shared" si="3"/>
        <v>0.4</v>
      </c>
      <c r="BX43" t="str">
        <v>Transport Operator</v>
      </c>
      <c r="BY43">
        <f t="shared" si="1"/>
        <v>0</v>
      </c>
      <c r="BZ43" s="101" t="e">
        <f t="shared" si="4"/>
        <v>#DIV/0!</v>
      </c>
      <c r="CB43" t="str">
        <v>Transport Operator</v>
      </c>
      <c r="CC43">
        <f t="shared" si="2"/>
        <v>0</v>
      </c>
      <c r="CD43" s="101" t="e">
        <f t="shared" si="5"/>
        <v>#DIV/0!</v>
      </c>
    </row>
    <row r="44" spans="1:82" x14ac:dyDescent="0.35">
      <c r="A44" s="60" t="str">
        <v>https://ioki.com/en/automated-public-transport-ioki-to-be-technology-partner-of-the-research-project-minga-in-munich/</v>
      </c>
      <c r="B44" s="60" t="str">
        <v>2023, 5, 24</v>
      </c>
      <c r="C44" s="105">
        <v>45070</v>
      </c>
      <c r="D44" s="60" t="str">
        <v>Automated public transport: ioki to be technology partner of the research project MINGA in Munich</v>
      </c>
      <c r="E44" s="60" t="str">
        <v>Ioki</v>
      </c>
      <c r="F44" s="60" t="str">
        <v>L4</v>
      </c>
      <c r="G44" s="60" t="str">
        <v>Ioki-SAV</v>
      </c>
      <c r="H44" s="60" t="str">
        <v>SAV</v>
      </c>
      <c r="I44" s="60" t="str">
        <v>Ridepooling</v>
      </c>
      <c r="J44" s="60" t="str">
        <v>Ridepooling</v>
      </c>
      <c r="K44" s="60" t="str">
        <v>MINGA</v>
      </c>
      <c r="L44" s="60" t="str">
        <v>MINGA</v>
      </c>
      <c r="M44" s="60">
        <v>0</v>
      </c>
      <c r="N44" s="60">
        <v>0</v>
      </c>
      <c r="O44"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44" s="60" t="str">
        <v>Today, the consecutive partners presented the project to the public. The pilot operation of automated shuttles accompanied by a safety driver is planned from 2025.</v>
      </c>
      <c r="Q44" s="60" t="str">
        <v>Strategic Alliance</v>
      </c>
      <c r="R44" s="60" t="str">
        <v>n.a.</v>
      </c>
      <c r="S44" s="60" t="str">
        <v xml:space="preserve">One time  - Pilot </v>
      </c>
      <c r="T44" s="60" t="str">
        <v>-</v>
      </c>
      <c r="U44" s="60" t="str">
        <v>-</v>
      </c>
      <c r="V44" s="60" t="str">
        <v>-</v>
      </c>
      <c r="W44" s="60" t="str">
        <v>2.1. Short term Alliance (no exclusivity / previous experience)</v>
      </c>
      <c r="X44" s="60">
        <v>0</v>
      </c>
      <c r="Y44"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44" s="60" t="str">
        <v>Joint Service Agreement</v>
      </c>
      <c r="AA44"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44" s="60">
        <v>0</v>
      </c>
      <c r="AC44" s="60">
        <v>0</v>
      </c>
      <c r="AD44" s="60">
        <v>0</v>
      </c>
      <c r="AE44" s="60">
        <v>0</v>
      </c>
      <c r="AF44" s="60" t="str">
        <v xml:space="preserve">Automated public transport: ioki to be technology partner of </v>
      </c>
      <c r="AG44" s="60" t="str">
        <v>the research project MINGA in Munich</v>
      </c>
      <c r="BR44" t="str">
        <v>UVA Foundation</v>
      </c>
      <c r="BS44" t="str">
        <v>Industrial</v>
      </c>
      <c r="BT44" s="100">
        <f t="shared" si="0"/>
        <v>1</v>
      </c>
      <c r="BU44" s="101">
        <f t="shared" si="3"/>
        <v>0.2</v>
      </c>
      <c r="BX44" t="str">
        <v>Industrial</v>
      </c>
      <c r="BY44">
        <f t="shared" si="1"/>
        <v>0</v>
      </c>
      <c r="BZ44" s="101" t="e">
        <f t="shared" si="4"/>
        <v>#DIV/0!</v>
      </c>
      <c r="CB44" t="str">
        <v>Industrial</v>
      </c>
      <c r="CC44">
        <f t="shared" si="2"/>
        <v>0</v>
      </c>
      <c r="CD44" s="101" t="e">
        <f t="shared" si="5"/>
        <v>#DIV/0!</v>
      </c>
    </row>
    <row r="45" spans="1:82" x14ac:dyDescent="0.35">
      <c r="A45" s="60" t="str">
        <v>https://maymobility.com/posts/may-mobility-and-via-announce-partnership-that-will-integrate-on-demand-avs-into-public-transit/</v>
      </c>
      <c r="B45" s="60" t="str">
        <v>2020, 11, 18</v>
      </c>
      <c r="C45" s="105">
        <v>43848</v>
      </c>
      <c r="D45" s="60" t="str">
        <v>May Mobility and Via announce partnership that will integrate on-demand AVs into public transit</v>
      </c>
      <c r="E45" s="60" t="str">
        <v>May Mobility</v>
      </c>
      <c r="F45" s="60" t="str">
        <v>L1</v>
      </c>
      <c r="G45" s="60" t="str">
        <v>May Mobility-SAV</v>
      </c>
      <c r="H45" s="60" t="str">
        <v>SAV</v>
      </c>
      <c r="I45" s="60" t="str">
        <v>Ridehailing</v>
      </c>
      <c r="J45" s="60" t="str">
        <v>Ridepooling</v>
      </c>
      <c r="K45" s="60" t="str">
        <v>Via</v>
      </c>
      <c r="L45" s="60" t="str">
        <v>Via</v>
      </c>
      <c r="M45" s="60">
        <v>0</v>
      </c>
      <c r="N45" s="60">
        <v>0</v>
      </c>
      <c r="O45"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5"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5" s="60" t="str">
        <v>Strategic Alliance</v>
      </c>
      <c r="R45" s="60" t="str">
        <v>n.a.</v>
      </c>
      <c r="S45" s="60" t="str">
        <v>Service Integration</v>
      </c>
      <c r="T45" s="60" t="str">
        <v>Long term - -</v>
      </c>
      <c r="U45" s="60" t="str">
        <v>-</v>
      </c>
      <c r="V45" s="60" t="str">
        <v>-</v>
      </c>
      <c r="W45" s="60" t="str">
        <v>2.3. Long term Alliance</v>
      </c>
      <c r="X45" s="60">
        <v>0</v>
      </c>
      <c r="Y45"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5" s="60" t="str">
        <v>Joint Service Agreement</v>
      </c>
      <c r="AA45" s="60" t="str">
        <v>May Mobility will adopt Via's autonomous fleet platform to power booking, routing, passenger and vehicle assignment and identification, customer experience, and fleet management as part of their new transit solution for future autonomous vehicle deployments.</v>
      </c>
      <c r="AB45" s="60">
        <v>0</v>
      </c>
      <c r="AC45" s="60">
        <v>0</v>
      </c>
      <c r="AD45" s="60">
        <v>0</v>
      </c>
      <c r="AE45" s="60">
        <v>0</v>
      </c>
      <c r="AF45" s="60" t="str">
        <v>May Mobility and Via announce partnership that will integrate on-demand AVs into public transit</v>
      </c>
      <c r="AG45" s="60">
        <v>0</v>
      </c>
      <c r="BR45" t="str">
        <v>E Charger Systems</v>
      </c>
      <c r="BT45" s="100">
        <f t="shared" si="0"/>
        <v>0</v>
      </c>
      <c r="BU45" s="101">
        <f t="shared" si="3"/>
        <v>0</v>
      </c>
      <c r="BY45">
        <f t="shared" si="1"/>
        <v>0</v>
      </c>
      <c r="BZ45" s="101" t="e">
        <f t="shared" si="4"/>
        <v>#DIV/0!</v>
      </c>
      <c r="CC45">
        <f t="shared" si="2"/>
        <v>0</v>
      </c>
      <c r="CD45" s="101" t="e">
        <f t="shared" si="5"/>
        <v>#DIV/0!</v>
      </c>
    </row>
    <row r="46" spans="1:82" x14ac:dyDescent="0.35">
      <c r="A46" s="60" t="str">
        <v>https://www.globenewswire.com/en/news-release/2015/03/23/717890/34491/en/Mission-Secure-Inc-Perrone-Robotics-and-University-of-Virginia-Demonstrate-Cyber-Attacks-and-Protections-for-Automobile-Braking-and-Acceleration.html</v>
      </c>
      <c r="B46" s="60" t="str">
        <v>2015, 3, 25</v>
      </c>
      <c r="C46" s="105">
        <v>42088</v>
      </c>
      <c r="D46" s="60" t="str">
        <v>Mission Secure Announces Partnership with UVA &amp; Perrone</v>
      </c>
      <c r="E46" s="60" t="str">
        <v>Perrone Robotics</v>
      </c>
      <c r="F46" s="60" t="str">
        <v>L1</v>
      </c>
      <c r="G46" s="60" t="str">
        <v>Perrone Robotics-SAV</v>
      </c>
      <c r="H46" s="60" t="str">
        <v>SAV</v>
      </c>
      <c r="I46" s="60" t="str">
        <v>Ridepooling</v>
      </c>
      <c r="J46" s="60" t="str">
        <v>Ridepooling</v>
      </c>
      <c r="K46" s="60" t="str">
        <v>Mission Secure</v>
      </c>
      <c r="L46" s="60" t="str">
        <v>Mission Secure</v>
      </c>
      <c r="M46" s="60">
        <v>0</v>
      </c>
      <c r="N46" s="60">
        <v>0</v>
      </c>
      <c r="O46"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46"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46" s="60" t="str">
        <v>Strategic Alliance</v>
      </c>
      <c r="R46" s="60" t="str">
        <v>n.a.</v>
      </c>
      <c r="S46" s="60" t="str">
        <v>One time - Pilot</v>
      </c>
      <c r="T46" s="60" t="str">
        <v>Short term -  &gt;2 months</v>
      </c>
      <c r="U46" s="60" t="str">
        <v>-</v>
      </c>
      <c r="V46" s="60" t="str">
        <v>-</v>
      </c>
      <c r="W46" s="60" t="str">
        <v>2.1. Short term Alliance (no exclusivity / previous experience)</v>
      </c>
      <c r="X46" s="60">
        <v>0</v>
      </c>
      <c r="Y46"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46" s="60" t="str">
        <v>Research &amp; Collaboration</v>
      </c>
      <c r="AA46"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46" s="60">
        <v>0</v>
      </c>
      <c r="AC46" s="60">
        <v>0</v>
      </c>
      <c r="AD46" s="60">
        <v>0</v>
      </c>
      <c r="AE46" s="60">
        <v>0</v>
      </c>
      <c r="AF46" s="60" t="str">
        <v>Mission Secure Announces Partnership with UVA &amp; Perrone</v>
      </c>
      <c r="AG46" s="60">
        <v>0</v>
      </c>
      <c r="BR46" t="str">
        <v>Torc</v>
      </c>
      <c r="BT46" s="100">
        <f t="shared" si="0"/>
        <v>0</v>
      </c>
      <c r="BU46" s="101">
        <f t="shared" si="3"/>
        <v>0</v>
      </c>
      <c r="BY46">
        <f t="shared" si="1"/>
        <v>0</v>
      </c>
      <c r="BZ46" s="101" t="e">
        <f t="shared" si="4"/>
        <v>#DIV/0!</v>
      </c>
      <c r="CC46">
        <f t="shared" si="2"/>
        <v>0</v>
      </c>
      <c r="CD46" s="101" t="e">
        <f t="shared" si="5"/>
        <v>#DIV/0!</v>
      </c>
    </row>
    <row r="47" spans="1:82" x14ac:dyDescent="0.35">
      <c r="A47" s="60" t="str">
        <v>https://www.mobileye.com/news/mobileye-and-man-truck-bus-launch-collaboration-for-av-city-buses/</v>
      </c>
      <c r="B47" s="60" t="str">
        <v>2023, 5, 17</v>
      </c>
      <c r="C47" s="105">
        <v>45063</v>
      </c>
      <c r="D47" s="60" t="str">
        <v>Mobileye and MAN Truck &amp; Bus launch collaboration for AV city buses</v>
      </c>
      <c r="E47" s="60" t="str">
        <v>Mobileye</v>
      </c>
      <c r="F47" s="60" t="str">
        <v>L1</v>
      </c>
      <c r="G47" s="60" t="str">
        <v>Mobileye-SAV</v>
      </c>
      <c r="H47" s="60" t="str">
        <v>SAV</v>
      </c>
      <c r="I47" s="60" t="str">
        <v>Ridepooling</v>
      </c>
      <c r="J47" s="60" t="str">
        <v>Ridepooling</v>
      </c>
      <c r="K47" s="60" t="str">
        <v>MAN Truck &amp; Bus</v>
      </c>
      <c r="L47" s="60" t="str">
        <v>MAN Truck &amp; Bus</v>
      </c>
      <c r="M47" s="60">
        <v>0</v>
      </c>
      <c r="N47" s="60">
        <v>0</v>
      </c>
      <c r="O47"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47"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47" s="60" t="str">
        <v>Strategic Alliance</v>
      </c>
      <c r="R47" s="60" t="str">
        <v>n.a.</v>
      </c>
      <c r="S47" s="60" t="str">
        <v>Product cooperation</v>
      </c>
      <c r="T47" s="60" t="str">
        <v>-</v>
      </c>
      <c r="U47" s="60" t="str">
        <v>-</v>
      </c>
      <c r="V47" s="60" t="str">
        <v>-</v>
      </c>
      <c r="W47" s="60" t="str">
        <v>2.1. Short term Alliance (no exclusivity / previous experience)</v>
      </c>
      <c r="X47" s="60">
        <v>0</v>
      </c>
      <c r="Y47" s="60" t="str">
        <v>Mobileye and MAN Truck &amp; Bus today announced a collaboration to explore autonomy in public transit, integrating state-of-the-art autonomous vehicle technology into the award-winning city buses of MAN.</v>
      </c>
      <c r="Z47" s="60" t="str">
        <v>Joint D&amp;D</v>
      </c>
      <c r="AA47" s="60" t="str">
        <v>Mobileye and MAN Truck &amp; Bus today announced a collaboration to explore autonomy in public transit, integrating state-of-the-art autonomous vehicle technology into the award-winning city buses of MAN.</v>
      </c>
      <c r="AB47" s="60">
        <v>0</v>
      </c>
      <c r="AC47" s="60">
        <v>0</v>
      </c>
      <c r="AD47" s="60">
        <v>0</v>
      </c>
      <c r="AE47" s="60">
        <v>0</v>
      </c>
      <c r="AF47" s="60" t="str">
        <v>Mobileye and MAN Truck &amp; Bus launch collaboration for AV city buses</v>
      </c>
      <c r="AG47" s="60">
        <v>0</v>
      </c>
      <c r="BR47" t="str">
        <v>LAVTA</v>
      </c>
      <c r="BT47" s="100">
        <f t="shared" si="0"/>
        <v>0</v>
      </c>
      <c r="BU47" s="101">
        <f t="shared" si="3"/>
        <v>0</v>
      </c>
      <c r="BY47">
        <f t="shared" si="1"/>
        <v>0</v>
      </c>
      <c r="BZ47" s="101" t="e">
        <f t="shared" si="4"/>
        <v>#DIV/0!</v>
      </c>
      <c r="CC47">
        <f t="shared" si="2"/>
        <v>0</v>
      </c>
      <c r="CD47" s="101" t="e">
        <f t="shared" si="5"/>
        <v>#DIV/0!</v>
      </c>
    </row>
    <row r="48" spans="1:82" x14ac:dyDescent="0.35">
      <c r="A48" s="60" t="str">
        <v>https://www.moia.io/en/news-center/hochbahn-volkswagen-commercial-vehicles-and-moia-cooperate-for-the-traffic-turnaround</v>
      </c>
      <c r="B48" s="60" t="str">
        <v>2022, 1, 13</v>
      </c>
      <c r="C48" s="105">
        <v>44574</v>
      </c>
      <c r="D48" s="60" t="str">
        <v>Partnership: HOCHBAHN, Volkswagen Commercial Vehicles and MOIA cooperate for the traffic turnaround</v>
      </c>
      <c r="E48" s="60" t="str">
        <v>MOIA</v>
      </c>
      <c r="F48" s="60" t="str">
        <v>L3</v>
      </c>
      <c r="G48" s="60" t="str">
        <v>MOIA-SAV</v>
      </c>
      <c r="H48" s="60" t="str">
        <v>SAV</v>
      </c>
      <c r="I48" s="60" t="str">
        <v>Ridepooling</v>
      </c>
      <c r="J48" s="60" t="str">
        <v>Ridepooling</v>
      </c>
      <c r="K48" s="60" t="str">
        <v>HOCHBAHN;Volkswagen Commercial Vehicles</v>
      </c>
      <c r="L48" s="60" t="str">
        <v>HOCHBAHN</v>
      </c>
      <c r="M48" s="60" t="str">
        <v>Volkswagen Commercial Vehicles</v>
      </c>
      <c r="N48" s="60">
        <v>0</v>
      </c>
      <c r="O48"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48"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48" s="60" t="str">
        <v>Strategic Alliance</v>
      </c>
      <c r="R48" s="60" t="str">
        <v>Yes</v>
      </c>
      <c r="S48" s="60" t="str">
        <v>Service Integration</v>
      </c>
      <c r="T48" s="60" t="str">
        <v>Long term - coming years</v>
      </c>
      <c r="U48" s="60" t="str">
        <v>Yes</v>
      </c>
      <c r="V48" s="60" t="str">
        <v>-</v>
      </c>
      <c r="W48" s="60" t="str">
        <v>2.3. Long term Alliance</v>
      </c>
      <c r="X48" s="60">
        <v>0</v>
      </c>
      <c r="Y48"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48" s="60" t="str">
        <v>Joint Service Agreement</v>
      </c>
      <c r="AA48"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48" s="60" t="str">
        <v>Research &amp; Collaboration</v>
      </c>
      <c r="AC48"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48" s="60">
        <v>0</v>
      </c>
      <c r="AE48" s="60">
        <v>0</v>
      </c>
      <c r="AF48" s="60" t="str">
        <v xml:space="preserve">cooperate for </v>
      </c>
      <c r="AG48" s="60" t="str">
        <v>the traffic turnaround</v>
      </c>
      <c r="BR48" t="str">
        <v>Delphi</v>
      </c>
      <c r="BT48" s="100">
        <f t="shared" si="0"/>
        <v>0</v>
      </c>
      <c r="BU48" s="101">
        <f t="shared" si="3"/>
        <v>0</v>
      </c>
      <c r="BY48">
        <f t="shared" si="1"/>
        <v>0</v>
      </c>
      <c r="BZ48" s="101" t="e">
        <f t="shared" si="4"/>
        <v>#DIV/0!</v>
      </c>
      <c r="CC48">
        <f t="shared" si="2"/>
        <v>0</v>
      </c>
      <c r="CD48" s="101" t="e">
        <f t="shared" si="5"/>
        <v>#DIV/0!</v>
      </c>
    </row>
    <row r="49" spans="1:86" x14ac:dyDescent="0.35">
      <c r="A49" s="60" t="str">
        <v>https://www.moia.io/en/news-center/new-licensing-model-moia-opens-ridepooling-ecosystem-to-cities-and-local-transport-operators</v>
      </c>
      <c r="B49" s="60" t="str">
        <v>2023, 9, 19</v>
      </c>
      <c r="C49" s="105">
        <v>45188</v>
      </c>
      <c r="D49" s="60" t="str">
        <v>New licensing model: MOIA opens ridepooling ecosystem to cities and local transport operators</v>
      </c>
      <c r="E49" s="60" t="str">
        <v>MOIA</v>
      </c>
      <c r="F49" s="60" t="str">
        <v>L3</v>
      </c>
      <c r="G49" s="60" t="str">
        <v>MOIA-SAV</v>
      </c>
      <c r="H49" s="60" t="str">
        <v>SAV</v>
      </c>
      <c r="I49" s="60" t="str">
        <v>Ridepooling</v>
      </c>
      <c r="J49" s="60" t="str">
        <v>Ridepooling</v>
      </c>
      <c r="K49" s="60" t="str">
        <v/>
      </c>
      <c r="L49" s="60">
        <v>0</v>
      </c>
      <c r="M49" s="60">
        <v>0</v>
      </c>
      <c r="N49" s="60">
        <v>0</v>
      </c>
      <c r="O49"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49" s="60" t="str">
        <v>-</v>
      </c>
      <c r="Q49" s="60" t="str">
        <v>Strategic Alliance</v>
      </c>
      <c r="R49" s="60" t="str">
        <v>n.a.</v>
      </c>
      <c r="S49" s="60" t="str">
        <v>Licensing</v>
      </c>
      <c r="T49" s="60" t="str">
        <v>-</v>
      </c>
      <c r="U49" s="60" t="str">
        <v>-</v>
      </c>
      <c r="V49" s="60" t="str">
        <v>-</v>
      </c>
      <c r="W49" s="60" t="str">
        <v>2.1. Short term Alliance (no exclusivity / previous experience)</v>
      </c>
      <c r="X49" s="60">
        <v>0</v>
      </c>
      <c r="Y49"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49" s="60" t="str">
        <v>Licensing</v>
      </c>
      <c r="AA49"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49" s="60">
        <v>0</v>
      </c>
      <c r="AC49" s="60">
        <v>0</v>
      </c>
      <c r="AD49" s="60">
        <v>0</v>
      </c>
      <c r="AE49" s="60">
        <v>0</v>
      </c>
      <c r="AF49" s="60" t="str">
        <v>New licensing model: MOIA opens ridepooling ecosystem to cities and local transport operators</v>
      </c>
      <c r="AG49" s="60">
        <v>0</v>
      </c>
      <c r="BR49" t="str">
        <v>ZF</v>
      </c>
      <c r="BT49" s="100">
        <f t="shared" si="0"/>
        <v>0</v>
      </c>
      <c r="BU49" s="101">
        <f t="shared" si="3"/>
        <v>0</v>
      </c>
      <c r="BY49">
        <f t="shared" si="1"/>
        <v>0</v>
      </c>
      <c r="BZ49" s="101" t="e">
        <f t="shared" si="4"/>
        <v>#DIV/0!</v>
      </c>
      <c r="CC49">
        <f t="shared" si="2"/>
        <v>0</v>
      </c>
      <c r="CD49" s="101" t="e">
        <f t="shared" si="5"/>
        <v>#DIV/0!</v>
      </c>
    </row>
    <row r="50" spans="1:86" x14ac:dyDescent="0.35">
      <c r="A50" s="60" t="str">
        <v>https://www.navya.tech/en/valeo-navya-technological-collaboration/</v>
      </c>
      <c r="B50" s="60" t="str">
        <v>2021, 6, 17</v>
      </c>
      <c r="C50" s="105">
        <v>44364</v>
      </c>
      <c r="D50" s="60" t="str">
        <v>Valeo and Navya strengthen their technological and industrial collaboration</v>
      </c>
      <c r="E50" s="60" t="str">
        <v>Navya</v>
      </c>
      <c r="F50" s="60" t="str">
        <v>L2</v>
      </c>
      <c r="G50" s="60" t="str">
        <v>Navya-SAV</v>
      </c>
      <c r="H50" s="60" t="str">
        <v>SAV</v>
      </c>
      <c r="I50" s="60" t="str">
        <v>Ridepooling</v>
      </c>
      <c r="J50" s="60" t="str">
        <v>Ridepooling</v>
      </c>
      <c r="K50" s="60" t="str">
        <v>Valeo</v>
      </c>
      <c r="L50" s="60" t="str">
        <v>Valeo</v>
      </c>
      <c r="M50" s="60">
        <v>0</v>
      </c>
      <c r="N50" s="60">
        <v>0</v>
      </c>
      <c r="O50"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0"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0" s="60" t="str">
        <v>Strategic Alliance</v>
      </c>
      <c r="R50" s="60" t="str">
        <v>n.a.</v>
      </c>
      <c r="S50" s="60" t="str">
        <v>Research cooperation</v>
      </c>
      <c r="T50" s="60" t="str">
        <v>Long term - 3 years</v>
      </c>
      <c r="U50" s="60" t="str">
        <v>Yes</v>
      </c>
      <c r="V50" s="60" t="str">
        <v>-</v>
      </c>
      <c r="W50" s="60" t="str">
        <v>2.3. Long term Alliance</v>
      </c>
      <c r="X50" s="60">
        <v>0</v>
      </c>
      <c r="Y50"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0" s="60" t="str">
        <v>Joint Production</v>
      </c>
      <c r="AA50" s="60" t="str">
        <v>At the end of this phase, Valeo will manufacture and supply the selected components, so that they can be integrated in the autonomous driving solutions marketed by Navya.</v>
      </c>
      <c r="AB50" s="60" t="str">
        <v>Research &amp; Collaboration</v>
      </c>
      <c r="AC50" s="60" t="str">
        <v>The aim is to ramp up the Research and Development program to build level 4 autonomous driving systems that can be brought to market within the next three years.</v>
      </c>
      <c r="AD50" s="60" t="str">
        <v>Supply Partnership (traditional)</v>
      </c>
      <c r="AE50" s="60" t="str">
        <v>Valeo will provide Navya with the sensors and associated algorithms that will enable the vehicle to closely perceive its surroundings</v>
      </c>
      <c r="AF50" s="60" t="str">
        <v xml:space="preserve">Valeo and Navya strengthen </v>
      </c>
      <c r="AG50" s="60" t="str">
        <v>their technological and industrial collaboration</v>
      </c>
      <c r="BR50" t="str">
        <v>Anheuser - Busch InBev</v>
      </c>
      <c r="BT50" s="100">
        <f t="shared" si="0"/>
        <v>0</v>
      </c>
      <c r="BU50" s="101">
        <f t="shared" si="3"/>
        <v>0</v>
      </c>
      <c r="BY50">
        <f t="shared" si="1"/>
        <v>0</v>
      </c>
      <c r="BZ50" s="101" t="e">
        <f t="shared" si="4"/>
        <v>#DIV/0!</v>
      </c>
      <c r="CC50">
        <f t="shared" si="2"/>
        <v>0</v>
      </c>
      <c r="CD50" s="101" t="e">
        <f t="shared" si="5"/>
        <v>#DIV/0!</v>
      </c>
    </row>
    <row r="51" spans="1:86" x14ac:dyDescent="0.35">
      <c r="A51" s="60" t="str">
        <v>https://www.navya.tech/en/ion-and-navya-form-partnership-to-deliver-sustainable-and-autonomous-transportation-offerings-in-gcc-region/</v>
      </c>
      <c r="B51" s="60" t="str">
        <v>2020, 6, 24</v>
      </c>
      <c r="C51" s="105">
        <v>44006</v>
      </c>
      <c r="D51" s="60" t="str">
        <v>ION And NAVYA Form Partnership To Deliver Sustainable And Autonomous Transportation Offerings In GCC Region</v>
      </c>
      <c r="E51" s="60" t="str">
        <v>Navya</v>
      </c>
      <c r="F51" s="60" t="str">
        <v>L2</v>
      </c>
      <c r="G51" s="60" t="str">
        <v>Navya-SAV</v>
      </c>
      <c r="H51" s="60" t="str">
        <v>SAV</v>
      </c>
      <c r="I51" s="60" t="str">
        <v>Ridepooling</v>
      </c>
      <c r="J51" s="60" t="str">
        <v>Ridepooling</v>
      </c>
      <c r="K51" s="60" t="str">
        <v>Ion</v>
      </c>
      <c r="L51" s="60" t="str">
        <v>Ion</v>
      </c>
      <c r="M51" s="60">
        <v>0</v>
      </c>
      <c r="N51" s="60">
        <v>0</v>
      </c>
      <c r="O51"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1" s="60" t="str">
        <v>ION will be the official distributor of NAVYA vehicles in the GCC operating and maintaining NAVYA vehicles in the region
Already operating in Masdar City since October 2018, the shuttles are also wheelchair-accessible and have a capacity of 15 passengers.</v>
      </c>
      <c r="Q51" s="60" t="str">
        <v>Strategic Alliance</v>
      </c>
      <c r="R51" s="60" t="str">
        <v>n.a.</v>
      </c>
      <c r="S51" s="60" t="str">
        <v>Service Integration</v>
      </c>
      <c r="T51" s="60" t="str">
        <v>-</v>
      </c>
      <c r="U51" s="60" t="str">
        <v>Yes</v>
      </c>
      <c r="V51" s="60" t="str">
        <v>-</v>
      </c>
      <c r="W51" s="60" t="str">
        <v xml:space="preserve">2.2. Renewed Alliance </v>
      </c>
      <c r="X51" s="60">
        <v>0</v>
      </c>
      <c r="Y51"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1" s="60" t="str">
        <v>Joint Service Agreement</v>
      </c>
      <c r="AA51"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1" s="60" t="str">
        <v>Marketing Agreement</v>
      </c>
      <c r="AC51" s="60" t="str">
        <v>As an official distributor, ION will engage with NAVYA's existing and new customers on sales and after-sales support.</v>
      </c>
      <c r="AD51" s="60">
        <v>0</v>
      </c>
      <c r="AE51" s="60">
        <v>0</v>
      </c>
      <c r="AF51" s="60" t="str">
        <v xml:space="preserve">ION And NAVYA Form Partnership To Deliver </v>
      </c>
      <c r="AG51" s="60" t="str">
        <v>Sustainable And Autonomous Transportation Offerings In GCC Region</v>
      </c>
      <c r="BR51" t="str">
        <v>DB Regio</v>
      </c>
      <c r="BT51" s="100">
        <f t="shared" si="0"/>
        <v>0</v>
      </c>
      <c r="BU51" s="101">
        <f t="shared" si="3"/>
        <v>0</v>
      </c>
      <c r="BY51">
        <f t="shared" si="1"/>
        <v>0</v>
      </c>
      <c r="BZ51" s="101" t="e">
        <f t="shared" si="4"/>
        <v>#DIV/0!</v>
      </c>
      <c r="CC51">
        <f t="shared" si="2"/>
        <v>0</v>
      </c>
      <c r="CD51" s="101" t="e">
        <f t="shared" si="5"/>
        <v>#DIV/0!</v>
      </c>
    </row>
    <row r="52" spans="1:86" x14ac:dyDescent="0.35">
      <c r="A52" s="60" t="str">
        <v>https://www.navya.tech/en/navya-and-valeo-partner-to-develop-a-unique-safety-system-for-the-commercialization-of-level-4-autonomous-vehicles/</v>
      </c>
      <c r="B52" s="60" t="str">
        <v>2022, 1, 27</v>
      </c>
      <c r="C52" s="105">
        <v>44588</v>
      </c>
      <c r="D52" s="60" t="str">
        <v>NAVYA and VALEO partner to develop a unique safety system for the commercialization of level 4 autonomous vehicles</v>
      </c>
      <c r="E52" s="60" t="str">
        <v>Navya</v>
      </c>
      <c r="F52" s="60" t="str">
        <v>L2</v>
      </c>
      <c r="G52" s="60" t="str">
        <v>Navya-SAV</v>
      </c>
      <c r="H52" s="60" t="str">
        <v>SAV</v>
      </c>
      <c r="I52" s="60" t="str">
        <v>Ridepooling</v>
      </c>
      <c r="J52" s="60" t="str">
        <v>Ridepooling</v>
      </c>
      <c r="K52" s="60" t="str">
        <v>Valeo</v>
      </c>
      <c r="L52" s="60" t="str">
        <v>Valeo</v>
      </c>
      <c r="M52" s="60">
        <v>0</v>
      </c>
      <c r="N52" s="60">
        <v>0</v>
      </c>
      <c r="O52"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52"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52" s="60" t="str">
        <v>Strategic Alliance</v>
      </c>
      <c r="R52" s="60" t="str">
        <v>n.a.</v>
      </c>
      <c r="S52" s="60" t="str">
        <v>Product cooperation</v>
      </c>
      <c r="T52" s="60" t="str">
        <v>-</v>
      </c>
      <c r="U52" s="60" t="str">
        <v>Yes</v>
      </c>
      <c r="V52" s="60" t="str">
        <v>-</v>
      </c>
      <c r="W52" s="60" t="str">
        <v xml:space="preserve">2.2. Renewed Alliance </v>
      </c>
      <c r="X52" s="60">
        <v>0</v>
      </c>
      <c r="Y52" s="60" t="str">
        <v>have announced a new strategic partnership leveraging their respective industry advantages in software, hardware and technology products. The two sides will work together to create new products based on Mobileye SuperVision and Mobileye Chauffeur platform</v>
      </c>
      <c r="Z52" s="60" t="str">
        <v>Joint D&amp;D</v>
      </c>
      <c r="AA52" s="60" t="str">
        <v>project ensure the design of such a system, its realization, and a final evaluation of the concept.</v>
      </c>
      <c r="AB52" s="60" t="str">
        <v>Research &amp; Collaboration</v>
      </c>
      <c r="AC52" s="60" t="str">
        <v>The various stages of this R&amp;D project ensure the design of such a system, its realization, and a final evaluation of the concept.</v>
      </c>
      <c r="AD52" s="60">
        <v>0</v>
      </c>
      <c r="AE52" s="60">
        <v>0</v>
      </c>
      <c r="AF52" s="60" t="str">
        <v xml:space="preserve">NAVYA and VALEO partner to develop </v>
      </c>
      <c r="AG52" s="60" t="str">
        <v>a unique safety system for the commercialization of level 4 autonomous vehicles</v>
      </c>
      <c r="BR52" t="str">
        <v>Beep</v>
      </c>
      <c r="BT52" s="100">
        <f t="shared" si="0"/>
        <v>0</v>
      </c>
      <c r="BU52" s="101">
        <f t="shared" si="3"/>
        <v>0</v>
      </c>
      <c r="BY52">
        <f t="shared" si="1"/>
        <v>0</v>
      </c>
      <c r="BZ52" s="101" t="e">
        <f t="shared" si="4"/>
        <v>#DIV/0!</v>
      </c>
      <c r="CC52">
        <f t="shared" si="2"/>
        <v>0</v>
      </c>
      <c r="CD52" s="101" t="e">
        <f t="shared" si="5"/>
        <v>#DIV/0!</v>
      </c>
    </row>
    <row r="53" spans="1:86" x14ac:dyDescent="0.35">
      <c r="A53" s="60" t="str">
        <v>https://www.navya.tech/en/navya-and-lohr-form-a-strategic-alliance-to-speed-up-their-technological-industrial-and-commercial-development-in-the-field-of-autonomous-mobility/</v>
      </c>
      <c r="B53" s="60" t="str">
        <v>2022, 9, 22</v>
      </c>
      <c r="C53" s="105">
        <v>44826</v>
      </c>
      <c r="D53" s="60" t="str">
        <v>Navya and Lohr form a strategic alliance to speed up their technological, industrial and commercial development in the field of autonomous mobility</v>
      </c>
      <c r="E53" s="60" t="str">
        <v>Navya</v>
      </c>
      <c r="F53" s="60" t="str">
        <v>L2</v>
      </c>
      <c r="G53" s="60" t="str">
        <v>Navya-SAV</v>
      </c>
      <c r="H53" s="60" t="str">
        <v>SAV</v>
      </c>
      <c r="I53" s="60" t="str">
        <v>Ridepooling</v>
      </c>
      <c r="J53" s="60" t="str">
        <v>Ridepooling</v>
      </c>
      <c r="K53" s="60" t="str">
        <v>Lohr</v>
      </c>
      <c r="L53" s="60" t="str">
        <v>Lohr</v>
      </c>
      <c r="M53" s="60">
        <v>0</v>
      </c>
      <c r="N53" s="60">
        <v>0</v>
      </c>
      <c r="O53"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53" s="60" t="str">
        <v>NAVYA (FR0013018041- Navya), an autonomous mobility systems leader, signs a strategic alliance with Lohr, an industrial group known worldwide for its expertise in the engineering, production and marketing of systems for the transportation of people and goods.</v>
      </c>
      <c r="Q53" s="60" t="str">
        <v>Strategic Alliance</v>
      </c>
      <c r="R53" s="60" t="str">
        <v>Yes</v>
      </c>
      <c r="S53" s="60" t="str">
        <v>Product cooperation</v>
      </c>
      <c r="T53" s="60" t="str">
        <v>-</v>
      </c>
      <c r="U53" s="60" t="str">
        <v>-</v>
      </c>
      <c r="V53" s="60" t="str">
        <v>-</v>
      </c>
      <c r="W53" s="60" t="str">
        <v>2.1. Short term Alliance (no exclusivity / previous experience)</v>
      </c>
      <c r="X53" s="60">
        <v>0</v>
      </c>
      <c r="Y53"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53" s="60" t="str">
        <v>Joint Production</v>
      </c>
      <c r="AA53"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53" s="60">
        <v>0</v>
      </c>
      <c r="AC53" s="60">
        <v>0</v>
      </c>
      <c r="AD53" s="60">
        <v>0</v>
      </c>
      <c r="AE53" s="60">
        <v>0</v>
      </c>
      <c r="AF53" s="60" t="str">
        <v>Navya and Lohr form a strategic alliance to speed up their technological, industrial and commercial development in the field of autonomous mobility</v>
      </c>
      <c r="AG53" s="60">
        <v>0</v>
      </c>
      <c r="BR53" t="str">
        <v>Beep</v>
      </c>
      <c r="BT53" s="100">
        <f t="shared" si="0"/>
        <v>0</v>
      </c>
      <c r="BU53" s="101">
        <f t="shared" si="3"/>
        <v>0</v>
      </c>
      <c r="BY53">
        <f t="shared" si="1"/>
        <v>0</v>
      </c>
      <c r="BZ53" s="101" t="e">
        <f t="shared" si="4"/>
        <v>#DIV/0!</v>
      </c>
      <c r="CC53">
        <f t="shared" si="2"/>
        <v>0</v>
      </c>
      <c r="CD53" s="101" t="e">
        <f t="shared" si="5"/>
        <v>#DIV/0!</v>
      </c>
    </row>
    <row r="54" spans="1:86" x14ac:dyDescent="0.35">
      <c r="A54" s="60" t="str">
        <v>https://www.navya.tech/en/michelin-navya-and-beti-enter-into-a-technological-partnership-and-launch-their-first-autonomous-mobility-experimentation-within-the-framework-of-the-movinon-think-do-tank/</v>
      </c>
      <c r="B54" s="60" t="str">
        <v>2022, 6, 17</v>
      </c>
      <c r="C54" s="105">
        <v>44729</v>
      </c>
      <c r="D54" s="60" t="str">
        <v>Michelin, Navya and beti enter into a technological partnership and launch their first autonomous mobility experimentation within the framework of the Movin On Think &amp; Do Tank</v>
      </c>
      <c r="E54" s="60" t="str">
        <v>Navya</v>
      </c>
      <c r="F54" s="60" t="str">
        <v>L2</v>
      </c>
      <c r="G54" s="60" t="str">
        <v>Navya-SAV</v>
      </c>
      <c r="H54" s="60" t="str">
        <v>SAV</v>
      </c>
      <c r="I54" s="60" t="str">
        <v>Ridepooling</v>
      </c>
      <c r="J54" s="60" t="str">
        <v>Ridepooling</v>
      </c>
      <c r="K54" s="60" t="str">
        <v>Michelin;Beti</v>
      </c>
      <c r="L54" s="60" t="str">
        <v>Michelin</v>
      </c>
      <c r="M54" s="60" t="str">
        <v>Beti</v>
      </c>
      <c r="N54" s="60">
        <v>0</v>
      </c>
      <c r="O54"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54" s="60" t="str">
        <v>j</v>
      </c>
      <c r="Q54" s="60" t="str">
        <v>Strategic Alliance</v>
      </c>
      <c r="R54" s="60" t="str">
        <v>Yes</v>
      </c>
      <c r="S54" s="60" t="str">
        <v>One time</v>
      </c>
      <c r="T54" s="60" t="str">
        <v>-</v>
      </c>
      <c r="U54" s="60" t="str">
        <v>Yes</v>
      </c>
      <c r="V54" s="60" t="str">
        <v>-</v>
      </c>
      <c r="W54" s="60" t="str">
        <v xml:space="preserve">2.2. Renewed Alliance </v>
      </c>
      <c r="X54" s="60">
        <v>0</v>
      </c>
      <c r="Y54"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54" s="60" t="str">
        <v>Research &amp; Collaboration</v>
      </c>
      <c r="AA54"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54" s="60">
        <v>0</v>
      </c>
      <c r="AC54" s="60">
        <v>0</v>
      </c>
      <c r="AD54" s="60">
        <v>0</v>
      </c>
      <c r="AE54" s="60">
        <v>0</v>
      </c>
      <c r="AF54" s="60" t="str">
        <v>Michelin, Navya and beti enter into a technological partnership and launch their first autonomous mobility experimentation within the framework of the Movin On Think &amp; Do Tank</v>
      </c>
      <c r="AG54" s="60">
        <v>0</v>
      </c>
      <c r="BR54" t="str">
        <v>May Mobility</v>
      </c>
      <c r="BT54" s="100">
        <f t="shared" si="0"/>
        <v>0</v>
      </c>
      <c r="BU54" s="101">
        <f t="shared" si="3"/>
        <v>0</v>
      </c>
      <c r="BY54">
        <f t="shared" si="1"/>
        <v>0</v>
      </c>
      <c r="BZ54" s="101" t="e">
        <f t="shared" si="4"/>
        <v>#DIV/0!</v>
      </c>
      <c r="CC54">
        <f t="shared" si="2"/>
        <v>0</v>
      </c>
      <c r="CD54" s="101" t="e">
        <f t="shared" si="5"/>
        <v>#DIV/0!</v>
      </c>
    </row>
    <row r="55" spans="1:86" x14ac:dyDescent="0.35">
      <c r="A55" s="60" t="str">
        <v>https://oxa.tech/news-and-insights/oxa-and-eversum-announce-partnership-to-develop-and-deploy-autonomous-passenger-shuttles/</v>
      </c>
      <c r="B55" s="60" t="str">
        <v>2023, 10, 8</v>
      </c>
      <c r="C55" s="105">
        <v>44934</v>
      </c>
      <c r="D55" s="60" t="str">
        <v>Oxa and eVersum Announce Partnership To Develop and Deploy Autonomous Passenger Shuttles</v>
      </c>
      <c r="E55" s="60" t="str">
        <v>Oxa</v>
      </c>
      <c r="F55" s="60" t="str">
        <v>L1</v>
      </c>
      <c r="G55" s="60" t="str">
        <v>Oxa-SAV</v>
      </c>
      <c r="H55" s="60" t="str">
        <v>SAV</v>
      </c>
      <c r="I55" s="60" t="str">
        <v>Ridepooling</v>
      </c>
      <c r="J55" s="60" t="str">
        <v>Ridepooling</v>
      </c>
      <c r="K55" s="60" t="str">
        <v>eVersum</v>
      </c>
      <c r="L55" s="60" t="str">
        <v>eVersum</v>
      </c>
      <c r="M55" s="60">
        <v>0</v>
      </c>
      <c r="N55" s="60">
        <v>0</v>
      </c>
      <c r="O55"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55"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55" s="60" t="str">
        <v>Strategic Alliance</v>
      </c>
      <c r="R55" s="60" t="str">
        <v>n.a.</v>
      </c>
      <c r="S55" s="60" t="str">
        <v>Product cooperation</v>
      </c>
      <c r="T55" s="60" t="str">
        <v>Long term - Min 1 year</v>
      </c>
      <c r="U55" s="60" t="str">
        <v>-</v>
      </c>
      <c r="V55" s="60" t="str">
        <v>-</v>
      </c>
      <c r="W55" s="60" t="str">
        <v>2.3. Long term Alliance</v>
      </c>
      <c r="X55" s="60">
        <v>0</v>
      </c>
      <c r="Y55"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55" s="60" t="str">
        <v>Joint D&amp;D</v>
      </c>
      <c r="AA55"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55" s="60" t="str">
        <v>Joint Production</v>
      </c>
      <c r="AC55" s="60" t="str">
        <v xml:space="preserve">this partnership will see eVersum produce autonomous-ready electric base vehicles, featuring Oxa Driver, Oxa's autonomy software, along with sensors and computing technology integrated directly on the production line. </v>
      </c>
      <c r="AD55" s="60">
        <v>0</v>
      </c>
      <c r="AE55" s="60">
        <v>0</v>
      </c>
      <c r="AF55" s="60" t="str">
        <v xml:space="preserve">Partnership To Develop and Deploy </v>
      </c>
      <c r="AG55" s="60" t="str">
        <v>Autonomous Passenger Shuttles</v>
      </c>
      <c r="BR55" t="str">
        <v>Navya</v>
      </c>
      <c r="BT55" s="100">
        <f t="shared" si="0"/>
        <v>0</v>
      </c>
      <c r="BU55" s="101">
        <f t="shared" si="3"/>
        <v>0</v>
      </c>
      <c r="BY55">
        <f t="shared" si="1"/>
        <v>0</v>
      </c>
      <c r="BZ55" s="101" t="e">
        <f t="shared" si="4"/>
        <v>#DIV/0!</v>
      </c>
      <c r="CC55">
        <f t="shared" si="2"/>
        <v>0</v>
      </c>
      <c r="CD55" s="101" t="e">
        <f t="shared" si="5"/>
        <v>#DIV/0!</v>
      </c>
    </row>
    <row r="56" spans="1:86" x14ac:dyDescent="0.35">
      <c r="A56" s="60" t="str">
        <v>https://oxa.tech/news-and-insights/oxbotica-partners-with-nevs-to-reshape-the-future-of-urban-mobility-with-fleet-of-shared-self-driving-all-electric-vehicles/</v>
      </c>
      <c r="B56" s="60" t="str">
        <v>2022, 5, 11</v>
      </c>
      <c r="C56" s="105">
        <v>44692</v>
      </c>
      <c r="D56" s="60" t="str">
        <v>Oxbotica partners with NEVS to reshape the future of urban mobility with fleet of shared, self-driving, all-electric vehicles</v>
      </c>
      <c r="E56" s="60" t="str">
        <v>Oxa</v>
      </c>
      <c r="F56" s="60" t="str">
        <v>L1</v>
      </c>
      <c r="G56" s="60" t="str">
        <v>Oxa-SAV</v>
      </c>
      <c r="H56" s="60" t="str">
        <v>SAV</v>
      </c>
      <c r="I56" s="60" t="str">
        <v>Ridepooling</v>
      </c>
      <c r="J56" s="60" t="str">
        <v>Ridepooling</v>
      </c>
      <c r="K56" s="60" t="str">
        <v>NEVS</v>
      </c>
      <c r="L56" s="60" t="str">
        <v>NEVS</v>
      </c>
      <c r="M56" s="60">
        <v>0</v>
      </c>
      <c r="N56" s="60">
        <v>0</v>
      </c>
      <c r="O56"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56"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56" s="60" t="str">
        <v>Strategic Alliance</v>
      </c>
      <c r="R56" s="60" t="str">
        <v>Yes</v>
      </c>
      <c r="S56" s="60" t="str">
        <v>Product cooperation</v>
      </c>
      <c r="T56" s="60" t="str">
        <v>Long term - Min 2025 (&gt;2 years)</v>
      </c>
      <c r="U56" s="60" t="str">
        <v>-</v>
      </c>
      <c r="V56" s="60" t="str">
        <v>-</v>
      </c>
      <c r="W56" s="60" t="str">
        <v>2.3. Long term Alliance</v>
      </c>
      <c r="X56" s="60">
        <v>0</v>
      </c>
      <c r="Y56"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56" s="60" t="str">
        <v>Joint D&amp;D</v>
      </c>
      <c r="AA56"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56" s="60">
        <v>0</v>
      </c>
      <c r="AC56" s="60">
        <v>0</v>
      </c>
      <c r="AD56" s="60">
        <v>0</v>
      </c>
      <c r="AE56" s="60">
        <v>0</v>
      </c>
      <c r="AF56" s="60" t="str">
        <v>Oxbotica partners with NEVS to reshape the future of urban mobility with fleet of shared, self-driving, all-electric vehicles</v>
      </c>
      <c r="AG56" s="60">
        <v>0</v>
      </c>
      <c r="BR56" t="str">
        <v>Transdev</v>
      </c>
      <c r="BT56" s="100">
        <f t="shared" si="0"/>
        <v>0</v>
      </c>
      <c r="BU56" s="101">
        <f t="shared" si="3"/>
        <v>0</v>
      </c>
      <c r="BY56">
        <f t="shared" si="1"/>
        <v>0</v>
      </c>
      <c r="BZ56" s="101" t="e">
        <f t="shared" si="4"/>
        <v>#DIV/0!</v>
      </c>
      <c r="CC56">
        <f t="shared" si="2"/>
        <v>0</v>
      </c>
      <c r="CD56" s="101" t="e">
        <f t="shared" si="5"/>
        <v>#DIV/0!</v>
      </c>
    </row>
    <row r="57" spans="1:86" x14ac:dyDescent="0.35">
      <c r="A57" s="60" t="str">
        <v>https://www.perronerobotics.com/news/perrone-robotics-and-global-finance-group-partner-to-bring-turnkey-autonomous-vehicle-program-to-university-and-college-campuses</v>
      </c>
      <c r="B57" s="60" t="str">
        <v>2023, 5, 10</v>
      </c>
      <c r="C57" s="105">
        <v>45056</v>
      </c>
      <c r="D57" s="60" t="str">
        <v>Perrone Robotics and Global Finance Group Partner to Bring Turnkey Autonomous Vehicle Program to University and College Campuses</v>
      </c>
      <c r="E57" s="60" t="str">
        <v>Perrone Robotics</v>
      </c>
      <c r="F57" s="60" t="str">
        <v>L1</v>
      </c>
      <c r="G57" s="60" t="str">
        <v>Perrone Robotics-SAV</v>
      </c>
      <c r="H57" s="60" t="str">
        <v>SAV</v>
      </c>
      <c r="I57" s="60" t="str">
        <v>Ridepooling</v>
      </c>
      <c r="J57" s="60" t="str">
        <v>Ridepooling</v>
      </c>
      <c r="K57" s="60" t="str">
        <v>Global Finance Group</v>
      </c>
      <c r="L57" s="60" t="str">
        <v>Global Finance Group</v>
      </c>
      <c r="M57" s="60">
        <v>0</v>
      </c>
      <c r="N57" s="60">
        <v>0</v>
      </c>
      <c r="O57"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57"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57" s="60" t="str">
        <v>Strategic Alliance</v>
      </c>
      <c r="R57" s="60" t="str">
        <v>n.a.</v>
      </c>
      <c r="S57" s="60" t="str">
        <v>Financing</v>
      </c>
      <c r="T57" s="60" t="str">
        <v>-</v>
      </c>
      <c r="U57" s="60" t="str">
        <v>-</v>
      </c>
      <c r="V57" s="60" t="str">
        <v>-</v>
      </c>
      <c r="W57" s="60" t="str">
        <v>2.1. Short term Alliance (no exclusivity / previous experience)</v>
      </c>
      <c r="X57" s="60">
        <v>0</v>
      </c>
      <c r="Y57"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57" s="60" t="str">
        <v>Other</v>
      </c>
      <c r="AA57" s="60" t="str">
        <v>By lowering the financial barriers to this technology, Perrone and GFG open the doors for universities and colleges to bring fully functional autonomy to their communities for safe, reliable, and affordable transportation.</v>
      </c>
      <c r="AB57" s="60">
        <v>0</v>
      </c>
      <c r="AC57" s="60">
        <v>0</v>
      </c>
      <c r="AD57" s="60">
        <v>0</v>
      </c>
      <c r="AE57" s="60">
        <v>0</v>
      </c>
      <c r="AF57" s="60" t="str">
        <v xml:space="preserve">Perrone Robotics and Global Finance Group Partner to Bring </v>
      </c>
      <c r="AG57" s="60" t="str">
        <v>Turnkey Autonomous Vehicle Program to University and College Campuses</v>
      </c>
      <c r="BR57" t="str">
        <v>Transdev</v>
      </c>
      <c r="BT57" s="100">
        <f t="shared" si="0"/>
        <v>0</v>
      </c>
      <c r="BU57" s="101">
        <f t="shared" si="3"/>
        <v>0</v>
      </c>
      <c r="BY57">
        <f t="shared" si="1"/>
        <v>0</v>
      </c>
      <c r="BZ57" s="101" t="e">
        <f t="shared" si="4"/>
        <v>#DIV/0!</v>
      </c>
      <c r="CC57">
        <f t="shared" si="2"/>
        <v>0</v>
      </c>
      <c r="CD57" s="101" t="e">
        <f t="shared" si="5"/>
        <v>#DIV/0!</v>
      </c>
    </row>
    <row r="58" spans="1:86" x14ac:dyDescent="0.35">
      <c r="A58" s="60" t="str">
        <v>https://www.perronerobotics.com/news/western-reserve-transit-authority-selects-first-transit-in-partnership-with-perrone-robotics-and-greenpower-motor-company-for-autonomous-vehicle-pilot</v>
      </c>
      <c r="B58" s="60" t="str">
        <v>2022, 10, 5</v>
      </c>
      <c r="C58" s="105">
        <v>44566</v>
      </c>
      <c r="D58" s="60" t="str">
        <v>Western Reserve Transit Authority Selects First Transit, in Partnership with Perrone Robotics and GreenPower for Autonomous Vehicle Pilot</v>
      </c>
      <c r="E58" s="60" t="str">
        <v>Perrone Robotics</v>
      </c>
      <c r="F58" s="60" t="str">
        <v>L1</v>
      </c>
      <c r="G58" s="60" t="str">
        <v>Perrone Robotics-SAV</v>
      </c>
      <c r="H58" s="60" t="str">
        <v>SAV</v>
      </c>
      <c r="I58" s="60" t="str">
        <v>Ridepooling</v>
      </c>
      <c r="J58" s="60" t="str">
        <v>Ridepooling</v>
      </c>
      <c r="K58" s="60" t="str">
        <v>Western Reserve Transit Authority;GreenPower</v>
      </c>
      <c r="L58" s="60" t="str">
        <v>Western Reserve Transit Authority</v>
      </c>
      <c r="M58" s="60" t="str">
        <v>GreenPower</v>
      </c>
      <c r="N58" s="60">
        <v>0</v>
      </c>
      <c r="O58"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58"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58" s="60" t="str">
        <v>Strategic Alliance</v>
      </c>
      <c r="R58" s="60" t="str">
        <v>n.a.</v>
      </c>
      <c r="S58" s="60" t="str">
        <v>One time - pilot</v>
      </c>
      <c r="T58" s="60" t="str">
        <v>-</v>
      </c>
      <c r="U58" s="60" t="str">
        <v>-</v>
      </c>
      <c r="V58" s="60" t="str">
        <v>-</v>
      </c>
      <c r="W58" s="60" t="str">
        <v>2.1. Short term Alliance (no exclusivity / previous experience)</v>
      </c>
      <c r="X58" s="60">
        <v>0</v>
      </c>
      <c r="Y58" s="60" t="str">
        <v>First Transit, the leader in mobility solutions, announces that it will operate the Western Reserve Transit Authority (WRTA) autonomous vehicle (AV) pilot, in partnership with Perrone Robotics and GreenPower.</v>
      </c>
      <c r="Z58" s="60" t="str">
        <v>Joint Service Agreement</v>
      </c>
      <c r="AA58" s="60" t="str">
        <v>First Transit, the leader in mobility solutions, announces that it will operate the Western Reserve Transit Authority (WRTA) autonomous vehicle (AV) pilot, in partnership with Perrone Robotics and GreenPower.</v>
      </c>
      <c r="AB58" s="60">
        <v>0</v>
      </c>
      <c r="AC58" s="60">
        <v>0</v>
      </c>
      <c r="AD58" s="60">
        <v>0</v>
      </c>
      <c r="AE58" s="60">
        <v>0</v>
      </c>
      <c r="AF58" s="60" t="str">
        <v xml:space="preserve">Western Reserve Transit Authority Selects First Transit, in Partnership with Perrone Robotics and GreenPower </v>
      </c>
      <c r="AG58" s="60" t="str">
        <v>for Autonomous Vehicle Pilot</v>
      </c>
      <c r="BR58" t="str">
        <v>WILLER</v>
      </c>
      <c r="BT58" s="100">
        <f t="shared" si="0"/>
        <v>0</v>
      </c>
      <c r="BU58" s="101">
        <f t="shared" si="3"/>
        <v>0</v>
      </c>
      <c r="BY58">
        <f t="shared" si="1"/>
        <v>0</v>
      </c>
      <c r="BZ58" s="101" t="e">
        <f t="shared" si="4"/>
        <v>#DIV/0!</v>
      </c>
      <c r="CC58">
        <f t="shared" si="2"/>
        <v>0</v>
      </c>
      <c r="CD58" s="101" t="e">
        <f t="shared" si="5"/>
        <v>#DIV/0!</v>
      </c>
    </row>
    <row r="59" spans="1:86" x14ac:dyDescent="0.35">
      <c r="A59" s="60" t="str">
        <v>https://www.perronerobotics.com/news/pri-partners-sae-tampa</v>
      </c>
      <c r="B59" s="60" t="str">
        <v>2018, 5, 1</v>
      </c>
      <c r="C59" s="105">
        <v>43221</v>
      </c>
      <c r="D59" s="60" t="str">
        <v>PRI Partners with SAE in Tampa</v>
      </c>
      <c r="E59" s="60" t="str">
        <v>Perrone Robotics</v>
      </c>
      <c r="F59" s="60" t="str">
        <v>L1</v>
      </c>
      <c r="G59" s="60" t="str">
        <v>Perrone Robotics-SAV</v>
      </c>
      <c r="H59" s="60" t="str">
        <v>SAV</v>
      </c>
      <c r="I59" s="60" t="str">
        <v>Ridepooling</v>
      </c>
      <c r="J59" s="60" t="str">
        <v>Ridepooling</v>
      </c>
      <c r="K59" s="60" t="str">
        <v>SAE</v>
      </c>
      <c r="L59" s="60" t="str">
        <v>SAE</v>
      </c>
      <c r="M59" s="60">
        <v>0</v>
      </c>
      <c r="N59" s="60">
        <v>0</v>
      </c>
      <c r="O59"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59"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59" s="60" t="str">
        <v>Strategic Alliance</v>
      </c>
      <c r="R59" s="60" t="str">
        <v>n.a.</v>
      </c>
      <c r="S59" s="60" t="str">
        <v>One time - Pilot</v>
      </c>
      <c r="T59" s="60" t="str">
        <v>Short term - 3 days</v>
      </c>
      <c r="U59" s="60" t="str">
        <v>-</v>
      </c>
      <c r="V59" s="60" t="str">
        <v>-</v>
      </c>
      <c r="W59" s="60" t="str">
        <v>2.1. Short term Alliance (no exclusivity / previous experience)</v>
      </c>
      <c r="X59" s="60">
        <v>0</v>
      </c>
      <c r="Y59"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59" s="60" t="str">
        <v>Research &amp; Collaboration</v>
      </c>
      <c r="AA59"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59" s="60">
        <v>0</v>
      </c>
      <c r="AC59" s="60">
        <v>0</v>
      </c>
      <c r="AD59" s="60">
        <v>0</v>
      </c>
      <c r="AE59" s="60">
        <v>0</v>
      </c>
      <c r="AF59" s="60" t="str">
        <v xml:space="preserve">PRI Partners with SAE </v>
      </c>
      <c r="AG59" s="60" t="str">
        <v>in Tampa</v>
      </c>
      <c r="BT59" s="100">
        <f t="shared" si="0"/>
        <v>0</v>
      </c>
      <c r="BU59" s="101">
        <f t="shared" si="3"/>
        <v>0</v>
      </c>
      <c r="BY59">
        <f t="shared" si="1"/>
        <v>0</v>
      </c>
      <c r="BZ59" s="101" t="e">
        <f t="shared" si="4"/>
        <v>#DIV/0!</v>
      </c>
      <c r="CC59">
        <f t="shared" si="2"/>
        <v>0</v>
      </c>
      <c r="CD59" s="101" t="e">
        <f t="shared" si="5"/>
        <v>#DIV/0!</v>
      </c>
    </row>
    <row r="60" spans="1:86" x14ac:dyDescent="0.35">
      <c r="A60" s="60" t="str">
        <v>https://www.perronerobotics.com/news/perrone-robotics-and-tropos-team-up-to-develop-autonomous-electric-compact-utility-vehicles</v>
      </c>
      <c r="B60" s="60" t="str">
        <v>2021, 8, 18</v>
      </c>
      <c r="C60" s="105">
        <v>44426</v>
      </c>
      <c r="D60" s="60" t="str">
        <v>Perrone Robotics and Tropos Team up to Develop Autonomous Electric Compact Utility Vehicles</v>
      </c>
      <c r="E60" s="60" t="str">
        <v>Perrone Robotics</v>
      </c>
      <c r="F60" s="60" t="str">
        <v>L1</v>
      </c>
      <c r="G60" s="60" t="str">
        <v>Perrone Robotics-SAV</v>
      </c>
      <c r="H60" s="60" t="str">
        <v>SAV</v>
      </c>
      <c r="I60" s="60" t="str">
        <v>Ridepooling</v>
      </c>
      <c r="J60" s="60" t="str">
        <v>Ridepooling</v>
      </c>
      <c r="K60" s="60" t="str">
        <v>Tropos Technologies</v>
      </c>
      <c r="L60" s="60" t="str">
        <v>Tropos Technologies</v>
      </c>
      <c r="M60" s="60">
        <v>0</v>
      </c>
      <c r="N60" s="60">
        <v>0</v>
      </c>
      <c r="O60"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0" s="60" t="str">
        <v>Autonomous vehicle technology provider Perrone Robotics  and cleantech vehicle manufacturer Tropos Motors yesterday announced a partnership to produce a series of fully autonomous, electric low-speed vehicles (e-LSVs) and trucks.</v>
      </c>
      <c r="Q60" s="60" t="str">
        <v>Strategic Alliance</v>
      </c>
      <c r="R60" s="60" t="str">
        <v>n.a.</v>
      </c>
      <c r="S60" s="60" t="str">
        <v>Product cooperation</v>
      </c>
      <c r="T60" s="60" t="str">
        <v>-</v>
      </c>
      <c r="U60" s="60" t="str">
        <v>-</v>
      </c>
      <c r="V60" s="60" t="str">
        <v>-</v>
      </c>
      <c r="W60" s="60" t="str">
        <v>2.1. Short term Alliance (no exclusivity / previous experience)</v>
      </c>
      <c r="X60" s="60">
        <v>0</v>
      </c>
      <c r="Y60"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0" s="60" t="str">
        <v>Joint D&amp;D</v>
      </c>
      <c r="AA60"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0" s="60">
        <v>0</v>
      </c>
      <c r="AC60" s="60">
        <v>0</v>
      </c>
      <c r="AD60" s="60">
        <v>0</v>
      </c>
      <c r="AE60" s="60">
        <v>0</v>
      </c>
      <c r="AF60" s="60" t="str">
        <v xml:space="preserve">Perrone Robotics and Tropos Team up to Develop </v>
      </c>
      <c r="AG60" s="60" t="str">
        <v>Autonomous Electric Compact Utility Vehicles</v>
      </c>
      <c r="BT60" s="100">
        <f t="shared" si="0"/>
        <v>0</v>
      </c>
      <c r="BU60" s="101">
        <f t="shared" si="3"/>
        <v>0</v>
      </c>
      <c r="BY60">
        <f t="shared" si="1"/>
        <v>0</v>
      </c>
      <c r="BZ60" s="101" t="e">
        <f t="shared" si="4"/>
        <v>#DIV/0!</v>
      </c>
      <c r="CC60">
        <f t="shared" si="2"/>
        <v>0</v>
      </c>
      <c r="CD60" s="101" t="e">
        <f t="shared" si="5"/>
        <v>#DIV/0!</v>
      </c>
    </row>
    <row r="61" spans="1:86" x14ac:dyDescent="0.35">
      <c r="A61" s="60" t="str">
        <v>https://www.perronerobotics.com/news/perrone-robotics-partners-with-tropos-on-self-driving-trucks</v>
      </c>
      <c r="B61" s="60" t="str">
        <v>2021, 8, 18</v>
      </c>
      <c r="C61" s="105">
        <v>44426</v>
      </c>
      <c r="D61" s="60" t="str">
        <v>Perrone Robotics Partners With Tropos on Self-Driving Trucks</v>
      </c>
      <c r="E61" s="60" t="str">
        <v>Perrone Robotics</v>
      </c>
      <c r="F61" s="60" t="str">
        <v>L1</v>
      </c>
      <c r="G61" s="60" t="str">
        <v>Perrone Robotics-SAV</v>
      </c>
      <c r="H61" s="60" t="str">
        <v>SAV</v>
      </c>
      <c r="I61" s="60" t="str">
        <v>Ridepooling</v>
      </c>
      <c r="J61" s="60" t="str">
        <v>Ridepooling</v>
      </c>
      <c r="K61" s="60" t="str">
        <v>Tropos Technologies</v>
      </c>
      <c r="L61" s="60" t="str">
        <v>Tropos Technologies</v>
      </c>
      <c r="M61" s="60">
        <v>0</v>
      </c>
      <c r="N61" s="60">
        <v>0</v>
      </c>
      <c r="O61"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1" s="60" t="str">
        <v>Future platforms in development will include a series of emergency and first-responder solutions that will be available later this year.</v>
      </c>
      <c r="Q61" s="60" t="str">
        <v>Strategic Alliance</v>
      </c>
      <c r="R61" s="60" t="str">
        <v>n.a.</v>
      </c>
      <c r="S61" s="60" t="str">
        <v>Service cooperation</v>
      </c>
      <c r="T61" s="60" t="str">
        <v>-</v>
      </c>
      <c r="U61" s="60" t="str">
        <v>-</v>
      </c>
      <c r="V61" s="60" t="str">
        <v>-</v>
      </c>
      <c r="W61" s="60" t="str">
        <v>2.1. Short term Alliance (no exclusivity / previous experience)</v>
      </c>
      <c r="X61" s="60">
        <v>0</v>
      </c>
      <c r="Y61"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1" s="60" t="str">
        <v>Joint D&amp;D</v>
      </c>
      <c r="AA61"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1" s="60">
        <v>0</v>
      </c>
      <c r="AC61" s="60">
        <v>0</v>
      </c>
      <c r="AD61" s="60">
        <v>0</v>
      </c>
      <c r="AE61" s="60">
        <v>0</v>
      </c>
      <c r="AF61" s="60" t="str">
        <v>Perrone Robotics Partners With Tropos on Self-Driving Trucks</v>
      </c>
      <c r="AG61" s="60">
        <v>0</v>
      </c>
      <c r="BT61" s="100">
        <f t="shared" si="0"/>
        <v>0</v>
      </c>
      <c r="BU61" s="101">
        <f t="shared" si="3"/>
        <v>0</v>
      </c>
      <c r="BY61">
        <f t="shared" si="1"/>
        <v>0</v>
      </c>
      <c r="BZ61" s="101" t="e">
        <f t="shared" si="4"/>
        <v>#DIV/0!</v>
      </c>
      <c r="CC61">
        <f t="shared" si="2"/>
        <v>0</v>
      </c>
      <c r="CD61" s="101" t="e">
        <f t="shared" si="5"/>
        <v>#DIV/0!</v>
      </c>
    </row>
    <row r="62" spans="1:86" x14ac:dyDescent="0.35">
      <c r="A62" s="60" t="str">
        <v>https://www.perronerobotics.com/news/autonomous-ev-bus-collaboration-announced</v>
      </c>
      <c r="B62" s="60" t="str">
        <v>2020, 3, 2</v>
      </c>
      <c r="C62" s="105">
        <v>43892</v>
      </c>
      <c r="D62" s="60" t="str">
        <v>Autonomous EV Bus Collaboration Announced</v>
      </c>
      <c r="E62" s="60" t="str">
        <v>Perrone Robotics</v>
      </c>
      <c r="F62" s="60" t="str">
        <v>L1</v>
      </c>
      <c r="G62" s="60" t="str">
        <v>Perrone Robotics-SAV</v>
      </c>
      <c r="H62" s="60" t="str">
        <v>SAV</v>
      </c>
      <c r="I62" s="60" t="str">
        <v>Ridepooling</v>
      </c>
      <c r="J62" s="60" t="str">
        <v>Ridepooling</v>
      </c>
      <c r="K62" s="60" t="str">
        <v>Greenpower</v>
      </c>
      <c r="L62" s="60" t="str">
        <v>Greenpower</v>
      </c>
      <c r="M62" s="60">
        <v>0</v>
      </c>
      <c r="N62" s="60">
        <v>0</v>
      </c>
      <c r="O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62" s="60" t="str">
        <v>Strategic Alliance</v>
      </c>
      <c r="R62" s="60" t="str">
        <v>n.a.</v>
      </c>
      <c r="S62" s="60" t="str">
        <v>Product cooperation</v>
      </c>
      <c r="T62" s="60" t="str">
        <v>-</v>
      </c>
      <c r="U62" s="60" t="str">
        <v>-</v>
      </c>
      <c r="V62" s="60" t="str">
        <v>-</v>
      </c>
      <c r="W62" s="60" t="str">
        <v>2.1. Short term Alliance (no exclusivity / previous experience)</v>
      </c>
      <c r="X62" s="60">
        <v>0</v>
      </c>
      <c r="Y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62" s="60" t="str">
        <v>Joint D&amp;D</v>
      </c>
      <c r="AA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62" s="60">
        <v>0</v>
      </c>
      <c r="AC62" s="60">
        <v>0</v>
      </c>
      <c r="AD62" s="60">
        <v>0</v>
      </c>
      <c r="AE62" s="60">
        <v>0</v>
      </c>
      <c r="AF62" s="60" t="str">
        <v>Autonomous EV Bus Collaboration Announced</v>
      </c>
      <c r="AG62" s="60">
        <v>0</v>
      </c>
      <c r="BT62" s="100">
        <f t="shared" si="0"/>
        <v>0</v>
      </c>
      <c r="BU62" s="101">
        <f t="shared" si="3"/>
        <v>0</v>
      </c>
      <c r="BY62">
        <f t="shared" si="1"/>
        <v>0</v>
      </c>
      <c r="BZ62" s="101" t="e">
        <f t="shared" si="4"/>
        <v>#DIV/0!</v>
      </c>
      <c r="CC62">
        <f t="shared" si="2"/>
        <v>0</v>
      </c>
      <c r="CD62" s="101" t="e">
        <f t="shared" si="5"/>
        <v>#DIV/0!</v>
      </c>
    </row>
    <row r="63" spans="1:86" x14ac:dyDescent="0.35">
      <c r="A63" s="60" t="str">
        <v>https://www.perronerobotics.com/news/perrone-robotics-inc-and-guident-corp-sign-strategic-alliance</v>
      </c>
      <c r="B63" s="60" t="str">
        <v>2022, 4, 19</v>
      </c>
      <c r="C63" s="105">
        <v>44670</v>
      </c>
      <c r="D63" s="60" t="str">
        <v>Perrone Robotics,  and Guident Corp. Sign Strategic Alliance</v>
      </c>
      <c r="E63" s="60" t="str">
        <v>Perrone Robotics</v>
      </c>
      <c r="F63" s="60" t="str">
        <v>L1</v>
      </c>
      <c r="G63" s="60" t="str">
        <v>Perrone Robotics-SAV</v>
      </c>
      <c r="H63" s="60" t="str">
        <v>SAV</v>
      </c>
      <c r="I63" s="60" t="str">
        <v>Ridepooling</v>
      </c>
      <c r="J63" s="60" t="str">
        <v>Ridepooling</v>
      </c>
      <c r="K63" s="60" t="str">
        <v>Guident</v>
      </c>
      <c r="L63" s="60" t="str">
        <v>Guident</v>
      </c>
      <c r="M63" s="60">
        <v>0</v>
      </c>
      <c r="N63" s="60">
        <v>0</v>
      </c>
      <c r="O63"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63"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63" s="60" t="str">
        <v>Strategic Alliance</v>
      </c>
      <c r="R63" s="60" t="str">
        <v>Yes</v>
      </c>
      <c r="S63" s="60" t="str">
        <v>Product cooperation</v>
      </c>
      <c r="T63" s="60" t="str">
        <v>-</v>
      </c>
      <c r="U63" s="60" t="str">
        <v>-</v>
      </c>
      <c r="V63" s="60" t="str">
        <v>-</v>
      </c>
      <c r="W63" s="60" t="str">
        <v>2.1. Short term Alliance (no exclusivity / previous experience)</v>
      </c>
      <c r="X63" s="60">
        <v>0</v>
      </c>
      <c r="Y63"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63" s="60" t="str">
        <v>Joint D&amp;D</v>
      </c>
      <c r="AA63"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63" s="60">
        <v>0</v>
      </c>
      <c r="AC63" s="60">
        <v>0</v>
      </c>
      <c r="AD63" s="60">
        <v>0</v>
      </c>
      <c r="AE63" s="60">
        <v>0</v>
      </c>
      <c r="AF63" s="60" t="str">
        <v>Perrone Robotics,  and Guident Corp. Sign Strategic Alliance</v>
      </c>
      <c r="AG63" s="60">
        <v>0</v>
      </c>
      <c r="BT63" s="100">
        <f t="shared" si="0"/>
        <v>0</v>
      </c>
      <c r="BU63" s="101">
        <f>$BT63/SUM($BT$41:$BT$66)</f>
        <v>0</v>
      </c>
      <c r="BY63">
        <f t="shared" si="1"/>
        <v>0</v>
      </c>
      <c r="BZ63" s="101" t="e">
        <f>$BY63/SUM($BY$41:$BY$66)</f>
        <v>#DIV/0!</v>
      </c>
      <c r="CC63">
        <f t="shared" si="2"/>
        <v>0</v>
      </c>
      <c r="CD63" s="101" t="e">
        <f>$CC63/SUM($CC$41:$CC$66)</f>
        <v>#DIV/0!</v>
      </c>
    </row>
    <row r="64" spans="1:86" x14ac:dyDescent="0.35">
      <c r="A64" s="60" t="str">
        <v>https://www.perronerobotics.com/news/lightning-emotors-partners-with-perrone-robotics-to-offer-fully-autonomous-vehicle-option-to-zero-emission-fleet-customers</v>
      </c>
      <c r="B64" s="60" t="str">
        <v>2022, 5, 9</v>
      </c>
      <c r="C64" s="105">
        <v>44690</v>
      </c>
      <c r="D64" s="60" t="str">
        <v>Lightning eMotors Partners with Perrone Robotics to Offer Fully Autonomous Vehicle Option to Zero-Emission Fleet Customers</v>
      </c>
      <c r="E64" s="60" t="str">
        <v>Perrone Robotics</v>
      </c>
      <c r="F64" s="60" t="str">
        <v>L1</v>
      </c>
      <c r="G64" s="60" t="str">
        <v>Perrone Robotics-SAV</v>
      </c>
      <c r="H64" s="60" t="str">
        <v>SAV</v>
      </c>
      <c r="I64" s="60" t="str">
        <v>Ridepooling</v>
      </c>
      <c r="J64" s="60" t="str">
        <v>Ridepooling</v>
      </c>
      <c r="K64" s="60" t="str">
        <v>Lightning eMotors</v>
      </c>
      <c r="L64" s="60" t="str">
        <v>Lightning eMotors</v>
      </c>
      <c r="M64" s="60">
        <v>0</v>
      </c>
      <c r="N64" s="60">
        <v>0</v>
      </c>
      <c r="O64"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64"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64" s="60" t="str">
        <v>Strategic Alliance</v>
      </c>
      <c r="R64" s="60" t="str">
        <v>n.a.</v>
      </c>
      <c r="S64" s="60" t="str">
        <v>Product cooperation</v>
      </c>
      <c r="T64" s="60" t="str">
        <v>-</v>
      </c>
      <c r="U64" s="60" t="str">
        <v>-</v>
      </c>
      <c r="V64" s="60" t="str">
        <v>-</v>
      </c>
      <c r="W64" s="60" t="str">
        <v>2.1. Short term Alliance (no exclusivity / previous experience)</v>
      </c>
      <c r="X64" s="60">
        <v>0</v>
      </c>
      <c r="Y64"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64" s="60" t="str">
        <v>Joint D&amp;D</v>
      </c>
      <c r="AA64"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64" s="60">
        <v>0</v>
      </c>
      <c r="AC64" s="60">
        <v>0</v>
      </c>
      <c r="AD64" s="60">
        <v>0</v>
      </c>
      <c r="AE64" s="60">
        <v>0</v>
      </c>
      <c r="AF64" s="60" t="str">
        <v>Lightning eMotors Partners with Perrone Robotics to Offer Fully Autonomous Vehicle Option to Zero-Emission Fleet Customers</v>
      </c>
      <c r="AG64" s="60">
        <v>0</v>
      </c>
      <c r="BT64" s="100">
        <f t="shared" si="0"/>
        <v>0</v>
      </c>
      <c r="BU64" s="101">
        <f>$BT64/SUM($BT$41:$BT$66)</f>
        <v>0</v>
      </c>
      <c r="BY64">
        <f t="shared" si="1"/>
        <v>0</v>
      </c>
      <c r="BZ64" s="101" t="e">
        <f>$BY64/SUM($BY$41:$BY$66)</f>
        <v>#DIV/0!</v>
      </c>
      <c r="CC64">
        <f t="shared" si="2"/>
        <v>0</v>
      </c>
      <c r="CD64" s="101" t="e">
        <f>$CC64/SUM($CC$41:$CC$66)</f>
        <v>#DIV/0!</v>
      </c>
      <c r="CF64"/>
      <c r="CG64"/>
      <c r="CH64"/>
    </row>
    <row r="65" spans="1:86" x14ac:dyDescent="0.35">
      <c r="A65" s="60" t="str">
        <v>https://www.perronerobotics.com/news/perrone-robotics-collaborates-machine-learning-pioneer</v>
      </c>
      <c r="B65" s="60" t="str">
        <v>2021, 2, 8</v>
      </c>
      <c r="C65" s="105">
        <v>44235</v>
      </c>
      <c r="D65" s="60" t="str">
        <v>Perrone Robotics Collaborates with Machine Learning Pioneer</v>
      </c>
      <c r="E65" s="60" t="str">
        <v>Perrone Robotics</v>
      </c>
      <c r="F65" s="60" t="str">
        <v>L1</v>
      </c>
      <c r="G65" s="60" t="str">
        <v>Perrone Robotics-SAV</v>
      </c>
      <c r="H65" s="60" t="str">
        <v>SAV</v>
      </c>
      <c r="I65" s="60" t="str">
        <v>Ridepooling</v>
      </c>
      <c r="J65" s="60" t="str">
        <v>Ridepooling</v>
      </c>
      <c r="K65" s="60" t="str">
        <v>University of California</v>
      </c>
      <c r="L65" s="60" t="str">
        <v>University of California</v>
      </c>
      <c r="M65" s="60">
        <v>0</v>
      </c>
      <c r="N65" s="60">
        <v>0</v>
      </c>
      <c r="O65"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65" s="60" t="str">
        <v>Perrone Robotics has signed a memorandum of understanding for a collaboration with Professor Robert Hecht-Nielsen of the University of California (San Diego), San Diego's Vertebrate Movement Laboratory and its research team on advanced machine learning methods</v>
      </c>
      <c r="Q65" s="60" t="str">
        <v>Strategic Alliance</v>
      </c>
      <c r="R65" s="60" t="str">
        <v>Yes</v>
      </c>
      <c r="S65" s="60" t="str">
        <v>Research cooperation</v>
      </c>
      <c r="T65" s="60" t="str">
        <v>-</v>
      </c>
      <c r="U65" s="60" t="str">
        <v>-</v>
      </c>
      <c r="V65" s="60" t="str">
        <v>-</v>
      </c>
      <c r="W65" s="60" t="str">
        <v>2.1. Short term Alliance (no exclusivity / previous experience)</v>
      </c>
      <c r="X65" s="60">
        <v>0</v>
      </c>
      <c r="Y65" s="60" t="str">
        <v>Perrone Robotics has signed a memorandum of understanding for a collaboration with Professor Robert Hecht-Nielsen of the University of California (San Diego), San Diego's Vertebrate Movement Laboratory and its research team on advanced machine learning methods</v>
      </c>
      <c r="Z65" s="60" t="str">
        <v>Research &amp; Collaboration</v>
      </c>
      <c r="AA65" s="60" t="str">
        <v>Perrone Robotics has signed a memorandum of understanding for a collaboration with Professor Robert Hecht-Nielsen of the University of California (San Diego), San Diego's Vertebrate Movement Laboratory and its research team on advanced machine learning methods</v>
      </c>
      <c r="AB65" s="60">
        <v>0</v>
      </c>
      <c r="AC65" s="60">
        <v>0</v>
      </c>
      <c r="AD65" s="60">
        <v>0</v>
      </c>
      <c r="AE65" s="60">
        <v>0</v>
      </c>
      <c r="AF65" s="60" t="str">
        <v>Perrone Robotics Collaborates with Machine Learning Pioneer</v>
      </c>
      <c r="AG65" s="60">
        <v>0</v>
      </c>
      <c r="BT65" s="100">
        <f t="shared" si="0"/>
        <v>0</v>
      </c>
      <c r="BU65" s="101">
        <f>$BT65/SUM($BT$41:$BT$66)</f>
        <v>0</v>
      </c>
      <c r="BY65">
        <f t="shared" si="1"/>
        <v>0</v>
      </c>
      <c r="BZ65" s="101" t="e">
        <f>$BY65/SUM($BY$41:$BY$66)</f>
        <v>#DIV/0!</v>
      </c>
      <c r="CC65">
        <f t="shared" si="2"/>
        <v>0</v>
      </c>
      <c r="CD65" s="101" t="e">
        <f>$CC65/SUM($CC$41:$CC$66)</f>
        <v>#DIV/0!</v>
      </c>
      <c r="CF65"/>
      <c r="CG65"/>
      <c r="CH65"/>
    </row>
    <row r="66" spans="1:86" x14ac:dyDescent="0.35">
      <c r="A66" s="60" t="str">
        <v>https://www.perronerobotics.com/news/perrone-robotics-enters-into-agreement-with-sustainability-partners-bringing-autonomous-vehicles-to-the-state-of-hawaii</v>
      </c>
      <c r="B66" s="60" t="str">
        <v>2023, 2, 17</v>
      </c>
      <c r="C66" s="105">
        <v>44974</v>
      </c>
      <c r="D66" s="60" t="str">
        <v>Perrone Robotics Enters into Agreement with Sustainability Partners Bringing Autonomous Vehicles to the State of Hawaii</v>
      </c>
      <c r="E66" s="60" t="str">
        <v>Perrone Robotics</v>
      </c>
      <c r="F66" s="60" t="str">
        <v>L1</v>
      </c>
      <c r="G66" s="60" t="str">
        <v>Perrone Robotics-SAV</v>
      </c>
      <c r="H66" s="60" t="str">
        <v>SAV</v>
      </c>
      <c r="I66" s="60" t="str">
        <v>Ridepooling</v>
      </c>
      <c r="J66" s="60" t="str">
        <v>Ridepooling</v>
      </c>
      <c r="K66" s="60" t="str">
        <v>Sustainability Partners</v>
      </c>
      <c r="L66" s="60" t="str">
        <v>Sustainability Partners</v>
      </c>
      <c r="M66" s="60">
        <v>0</v>
      </c>
      <c r="N66" s="60">
        <v>0</v>
      </c>
      <c r="O66"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66"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66" s="60" t="str">
        <v>Strategic Alliance</v>
      </c>
      <c r="R66" s="60" t="str">
        <v>n.a.</v>
      </c>
      <c r="S66" s="60" t="str">
        <v>Financing</v>
      </c>
      <c r="T66" s="60" t="str">
        <v>-</v>
      </c>
      <c r="U66" s="60" t="str">
        <v>-</v>
      </c>
      <c r="V66" s="60" t="str">
        <v>-</v>
      </c>
      <c r="W66" s="60" t="str">
        <v>2.1. Short term Alliance (no exclusivity / previous experience)</v>
      </c>
      <c r="X66" s="60">
        <v>0</v>
      </c>
      <c r="Y66"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66" s="60" t="str">
        <v>Other</v>
      </c>
      <c r="AA66"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66" s="60">
        <v>0</v>
      </c>
      <c r="AC66" s="60">
        <v>0</v>
      </c>
      <c r="AD66" s="60">
        <v>0</v>
      </c>
      <c r="AE66" s="60">
        <v>0</v>
      </c>
      <c r="AF66" s="60" t="str">
        <v>Perrone Robotics Enters into Agreement with Sustainability Partners Bringing Autonomous Vehicles to the State of Hawaii</v>
      </c>
      <c r="AG66" s="60">
        <v>0</v>
      </c>
      <c r="BT66" s="100">
        <f t="shared" si="0"/>
        <v>0</v>
      </c>
      <c r="BU66" s="101">
        <f>$BT66/SUM($BT$41:$BT$66)</f>
        <v>0</v>
      </c>
      <c r="BY66">
        <f t="shared" si="1"/>
        <v>0</v>
      </c>
      <c r="BZ66" s="101" t="e">
        <f>$BY66/SUM($BY$41:$BY$66)</f>
        <v>#DIV/0!</v>
      </c>
      <c r="CC66">
        <f t="shared" si="2"/>
        <v>0</v>
      </c>
      <c r="CD66" s="101" t="e">
        <f>$CC66/SUM($CC$41:$CC$66)</f>
        <v>#DIV/0!</v>
      </c>
    </row>
    <row r="67" spans="1:86" x14ac:dyDescent="0.35">
      <c r="A67" s="60" t="str">
        <v>https://www.perronerobotics.com/news/perrone-robotics-and-rampini-announce-partnership-to-provide-automated-6-meter-electric-buses</v>
      </c>
      <c r="B67" s="60" t="str">
        <v>2022, 12, 10</v>
      </c>
      <c r="C67" s="105">
        <v>44571</v>
      </c>
      <c r="D67" s="60" t="str">
        <v>Perrone Robotics and Rampini announce Partnership to Provide Automated 6-meter Electric Buses</v>
      </c>
      <c r="E67" s="60" t="str">
        <v>Perrone Robotics</v>
      </c>
      <c r="F67" s="60" t="str">
        <v>L1</v>
      </c>
      <c r="G67" s="60" t="str">
        <v>Perrone Robotics-SAV</v>
      </c>
      <c r="H67" s="60" t="str">
        <v>SAV</v>
      </c>
      <c r="I67" s="60" t="str">
        <v>Ridepooling</v>
      </c>
      <c r="J67" s="60" t="str">
        <v>Ridepooling</v>
      </c>
      <c r="K67" s="60" t="str">
        <v>Rampini</v>
      </c>
      <c r="L67" s="60" t="str">
        <v>Rampini</v>
      </c>
      <c r="M67" s="60">
        <v>0</v>
      </c>
      <c r="N67" s="60">
        <v>0</v>
      </c>
      <c r="O67"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67"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67" s="60" t="str">
        <v>Strategic Alliance</v>
      </c>
      <c r="R67" s="60" t="str">
        <v>n.a.</v>
      </c>
      <c r="S67" s="60" t="str">
        <v>Product cooperation</v>
      </c>
      <c r="T67" s="60" t="str">
        <v>-</v>
      </c>
      <c r="U67" s="60" t="str">
        <v>-</v>
      </c>
      <c r="V67" s="60" t="str">
        <v>-</v>
      </c>
      <c r="W67" s="60" t="str">
        <v>2.1. Short term Alliance (no exclusivity / previous experience)</v>
      </c>
      <c r="X67" s="60">
        <v>0</v>
      </c>
      <c r="Y67"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67" s="60" t="str">
        <v>Joint D&amp;D</v>
      </c>
      <c r="AA67"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67" s="60">
        <v>0</v>
      </c>
      <c r="AC67" s="60">
        <v>0</v>
      </c>
      <c r="AD67" s="60">
        <v>0</v>
      </c>
      <c r="AE67" s="60">
        <v>0</v>
      </c>
      <c r="AF67" s="60" t="str">
        <v>Perrone Robotics and Rampini announce Partnership to Provide Automated 6-meter Electric Buses</v>
      </c>
      <c r="AG67" s="60">
        <v>0</v>
      </c>
      <c r="BR67" s="59" t="s">
        <v>3</v>
      </c>
      <c r="BV67" s="59" t="s">
        <v>3</v>
      </c>
      <c r="BZ67" s="59" t="s">
        <v>3</v>
      </c>
    </row>
    <row r="68" spans="1:86" x14ac:dyDescent="0.35">
      <c r="A68" s="60" t="str">
        <v>https://www.perronerobotics.com/news/perrone-robotics-and-tropos-technologies-announce-partnership-to-develop-fully-autonomous-electric-compact-utility-vehicles</v>
      </c>
      <c r="B68" s="60" t="str">
        <v>2021, 8, 17</v>
      </c>
      <c r="C68" s="105">
        <v>44425</v>
      </c>
      <c r="D68" s="60" t="str">
        <v>Perrone Robotics and Tropos Technologies Announce Partnership to Develop Fully Autonomous Electric Compact Utility Vehicles</v>
      </c>
      <c r="E68" s="60" t="str">
        <v>Perrone Robotics</v>
      </c>
      <c r="F68" s="60" t="str">
        <v>L1</v>
      </c>
      <c r="G68" s="60" t="str">
        <v>Perrone Robotics-SAV</v>
      </c>
      <c r="H68" s="60" t="str">
        <v>SAV</v>
      </c>
      <c r="I68" s="60" t="str">
        <v>Ridepooling</v>
      </c>
      <c r="J68" s="60" t="str">
        <v>Ridepooling</v>
      </c>
      <c r="K68" s="60" t="str">
        <v>Tropos Technologies</v>
      </c>
      <c r="L68" s="60" t="str">
        <v>Tropos Technologies</v>
      </c>
      <c r="M68" s="60">
        <v>0</v>
      </c>
      <c r="N68" s="60">
        <v>0</v>
      </c>
      <c r="O68"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8" s="60" t="str">
        <v>today announced a partnership to produce a series of fully autonomous, electric low speed vehicles (e-LSVs) and trucks.
Future platforms in development will include a series of emergency and first-responder solutions that will be available later this year.</v>
      </c>
      <c r="Q68" s="60" t="str">
        <v>Strategic Alliance</v>
      </c>
      <c r="R68" s="60" t="str">
        <v>n.a.</v>
      </c>
      <c r="S68" s="60" t="str">
        <v>Product cooperation</v>
      </c>
      <c r="T68" s="60" t="str">
        <v>-</v>
      </c>
      <c r="U68" s="60" t="str">
        <v>-</v>
      </c>
      <c r="V68" s="60" t="str">
        <v>-</v>
      </c>
      <c r="W68" s="60" t="str">
        <v>2.1. Short term Alliance (no exclusivity / previous experience)</v>
      </c>
      <c r="X68" s="60">
        <v>0</v>
      </c>
      <c r="Y68"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68" s="60" t="str">
        <v>Joint D&amp;D</v>
      </c>
      <c r="AA68"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68" s="60" t="str">
        <v>Licensing</v>
      </c>
      <c r="AC68" s="60" t="str">
        <v>The partnership will include the delivery of Perrone's reliable core TONY autonomous vehicle driverless system, the licensing of software, and the provision of related services.</v>
      </c>
      <c r="AD68" s="60">
        <v>0</v>
      </c>
      <c r="AE68" s="60">
        <v>0</v>
      </c>
      <c r="AF68" s="60" t="str">
        <v>Perrone Robotics and Tropos Technologies Announce Partnership to Develop Fully Autonomous Electric Compact Utility Vehicles</v>
      </c>
      <c r="AG68" s="60">
        <v>0</v>
      </c>
      <c r="BR68" t="str" cm="1">
        <f t="array" ref="BR68:BR75">_xlfn.UNIQUE(W26:W106)</f>
        <v xml:space="preserve">2.2. Renewed Alliance </v>
      </c>
      <c r="BS68">
        <f t="shared" ref="BS68:BS74" si="6">COUNTIF($W$26:$W$106,$BR68)</f>
        <v>10</v>
      </c>
      <c r="BT68" s="58">
        <f t="shared" ref="BT68:BT74" si="7">BS68/SUM($BS$68:$BS$75)</f>
        <v>0.16949152542372881</v>
      </c>
      <c r="BV68" s="58" t="str" cm="1">
        <f t="array" ref="BV68:BV75">_xlfn.UNIQUE(W26:W106)</f>
        <v xml:space="preserve">2.2. Renewed Alliance </v>
      </c>
      <c r="BW68">
        <f>COUNTIFS($J$26:$J$106,#REF!,$W$26:$W$106,$BV68)</f>
        <v>0</v>
      </c>
      <c r="BX68" s="58" t="e">
        <f>BW68/SUM($BW$68:$BW$75)</f>
        <v>#DIV/0!</v>
      </c>
      <c r="BZ68" s="58" t="str" cm="1">
        <f t="array" ref="BZ68:BZ75">_xlfn.UNIQUE(W26:W106)</f>
        <v xml:space="preserve">2.2. Renewed Alliance </v>
      </c>
      <c r="CA68">
        <f>COUNTIFS($J$26:$J$106,#REF!,$W$26:$W$106,$BZ68)</f>
        <v>0</v>
      </c>
      <c r="CB68" s="58" t="e">
        <f>CA68/SUM($CA$68:$CA$75)</f>
        <v>#DIV/0!</v>
      </c>
    </row>
    <row r="69" spans="1:86" x14ac:dyDescent="0.35">
      <c r="A69" s="60" t="str">
        <v>https://www.perronerobotics.com/news/greenpower-partners-with-perrone-robotics-jta-to-win-innovative-solutions-award-for-autonomous-vehicles</v>
      </c>
      <c r="B69" s="60" t="str">
        <v>2021, 11, 9</v>
      </c>
      <c r="C69" s="105">
        <v>44205</v>
      </c>
      <c r="D69" s="60" t="str">
        <v>GreenPower Partners with Perrone Robotics, JTA to Win Innovative Solutions Award for Autonomous Vehicles</v>
      </c>
      <c r="E69" s="60" t="str">
        <v>Perrone Robotics</v>
      </c>
      <c r="F69" s="60" t="str">
        <v>L1</v>
      </c>
      <c r="G69" s="60" t="str">
        <v>Perrone Robotics-SAV</v>
      </c>
      <c r="H69" s="60" t="str">
        <v>SAV</v>
      </c>
      <c r="I69" s="60" t="str">
        <v>Ridepooling</v>
      </c>
      <c r="J69" s="60" t="str">
        <v>Ridepooling</v>
      </c>
      <c r="K69" s="60" t="str">
        <v>GreenPower;JTA</v>
      </c>
      <c r="L69" s="60" t="str">
        <v>GreenPower</v>
      </c>
      <c r="M69" s="60" t="str">
        <v>JTA</v>
      </c>
      <c r="N69" s="60">
        <v>0</v>
      </c>
      <c r="O69"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69"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69" s="60" t="str">
        <v>Strategic Alliance</v>
      </c>
      <c r="R69" s="60" t="str">
        <v>n.a.</v>
      </c>
      <c r="S69" s="60" t="str">
        <v>Financing</v>
      </c>
      <c r="T69" s="60" t="str">
        <v>Short term - 6 months</v>
      </c>
      <c r="U69" s="60" t="str">
        <v>-</v>
      </c>
      <c r="V69" s="60" t="str">
        <v>-</v>
      </c>
      <c r="W69" s="60" t="str">
        <v>2.1. Short term Alliance (no exclusivity / previous experience)</v>
      </c>
      <c r="X69" s="60">
        <v>0</v>
      </c>
      <c r="Y69"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69" s="60" t="str">
        <v>Joint D&amp;D</v>
      </c>
      <c r="AA69"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69" s="60">
        <v>0</v>
      </c>
      <c r="AC69" s="60">
        <v>0</v>
      </c>
      <c r="AD69" s="60">
        <v>0</v>
      </c>
      <c r="AE69" s="60">
        <v>0</v>
      </c>
      <c r="AF69" s="60" t="str">
        <v>GreenPower Partners with Perrone Robotics, JTA to Win Innovative Solutions Award for Autonomous Vehicles</v>
      </c>
      <c r="AG69" s="60">
        <v>0</v>
      </c>
      <c r="BR69" t="str">
        <v>2.4. Exclusive Alliance</v>
      </c>
      <c r="BS69">
        <f t="shared" si="6"/>
        <v>1</v>
      </c>
      <c r="BT69" s="58">
        <f t="shared" si="7"/>
        <v>1.6949152542372881E-2</v>
      </c>
      <c r="BV69" s="58" t="str">
        <v>2.4. Exclusive Alliance</v>
      </c>
      <c r="BW69">
        <f>COUNTIFS($J$26:$J$106,#REF!,$W$26:$W$106,$BV69)</f>
        <v>0</v>
      </c>
      <c r="BX69" s="58" t="e">
        <f t="shared" ref="BX69:BX74" si="8">BW69/SUM($BW$68:$BW$75)</f>
        <v>#DIV/0!</v>
      </c>
      <c r="BZ69" t="str">
        <v>2.4. Exclusive Alliance</v>
      </c>
      <c r="CA69">
        <f>COUNTIFS($J$26:$J$106,#REF!,$W$26:$W$106,$BZ69)</f>
        <v>0</v>
      </c>
      <c r="CB69" s="58" t="e">
        <f t="shared" ref="CB69:CB74" si="9">CA69/SUM($CA$68:$CA$75)</f>
        <v>#DIV/0!</v>
      </c>
    </row>
    <row r="70" spans="1:86" x14ac:dyDescent="0.35">
      <c r="A70" s="60" t="str">
        <v>https://www.perronerobotics.com/news/perrone-robotics-collaborates-with-uva-foundation-to-bring-autonomous-shuttle-service-to-north-fork</v>
      </c>
      <c r="B70" s="60" t="str">
        <v>2022, 12, 8</v>
      </c>
      <c r="C70" s="105">
        <v>44569</v>
      </c>
      <c r="D70" s="60" t="str">
        <v>Perrone Robotics Collaborates with UVA Foundation to Bring Autonomous Shuttle Service to North Fork</v>
      </c>
      <c r="E70" s="60" t="str">
        <v>Perrone Robotics</v>
      </c>
      <c r="F70" s="60" t="str">
        <v>L1</v>
      </c>
      <c r="G70" s="60" t="str">
        <v>Perrone Robotics-SAV</v>
      </c>
      <c r="H70" s="60" t="str">
        <v>SAV</v>
      </c>
      <c r="I70" s="60" t="str">
        <v>Ridepooling</v>
      </c>
      <c r="J70" s="60" t="str">
        <v>Ridepooling</v>
      </c>
      <c r="K70" s="60" t="str">
        <v>UVA Foundation</v>
      </c>
      <c r="L70" s="60" t="str">
        <v>UVA Foundation</v>
      </c>
      <c r="M70" s="60">
        <v>0</v>
      </c>
      <c r="N70" s="60">
        <v>0</v>
      </c>
      <c r="O70"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0"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0" s="60" t="str">
        <v>Strategic Alliance</v>
      </c>
      <c r="R70" s="60" t="str">
        <v>n.a.</v>
      </c>
      <c r="S70" s="60" t="str">
        <v>Research cooperation</v>
      </c>
      <c r="T70" s="60" t="str">
        <v>Long term - min 12 months</v>
      </c>
      <c r="U70" s="60" t="str">
        <v>-</v>
      </c>
      <c r="V70" s="60" t="str">
        <v>-</v>
      </c>
      <c r="W70" s="60" t="str">
        <v>2.3. Long term Alliance</v>
      </c>
      <c r="X70" s="60">
        <v>0</v>
      </c>
      <c r="Y70"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0" s="60" t="str">
        <v>Other</v>
      </c>
      <c r="AA70"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0" s="60">
        <v>0</v>
      </c>
      <c r="AC70" s="60">
        <v>0</v>
      </c>
      <c r="AD70" s="60">
        <v>0</v>
      </c>
      <c r="AE70" s="60">
        <v>0</v>
      </c>
      <c r="AF70" s="60" t="str">
        <v>Perrone Robotics Collaborates with UVA Foundation to Bring Autonomous Shuttle Service to North Fork</v>
      </c>
      <c r="AG70" s="60">
        <v>0</v>
      </c>
      <c r="BR70" t="str">
        <v>3. Strategic Partnership</v>
      </c>
      <c r="BS70">
        <f t="shared" si="6"/>
        <v>1</v>
      </c>
      <c r="BT70" s="58">
        <f t="shared" si="7"/>
        <v>1.6949152542372881E-2</v>
      </c>
      <c r="BV70" t="str">
        <v>3. Strategic Partnership</v>
      </c>
      <c r="BW70">
        <f>COUNTIFS($J$26:$J$106,#REF!,$W$26:$W$106,$BV70)</f>
        <v>0</v>
      </c>
      <c r="BX70" s="58" t="e">
        <f t="shared" si="8"/>
        <v>#DIV/0!</v>
      </c>
      <c r="BZ70" t="str">
        <v>3. Strategic Partnership</v>
      </c>
      <c r="CA70">
        <f>COUNTIFS($J$26:$J$106,#REF!,$W$26:$W$106,$BZ70)</f>
        <v>0</v>
      </c>
      <c r="CB70" s="58" t="e">
        <f t="shared" si="9"/>
        <v>#DIV/0!</v>
      </c>
    </row>
    <row r="71" spans="1:86" x14ac:dyDescent="0.35">
      <c r="A71" s="60" t="str">
        <v>https://www.perronerobotics.com/news/revolutionizing-transportation-perrone-robotics-unveils-historic-collaboration-with-e-charger-systems-revealed-at-sema-2023</v>
      </c>
      <c r="B71" s="60" t="str">
        <v>2023, 11, 1</v>
      </c>
      <c r="C71" s="105">
        <v>44927</v>
      </c>
      <c r="D71" s="60" t="str">
        <v>Revolutionizing Transportation: Perrone Robotics Unveils Historic Collaboration with E Charger Systems - Revealed at SEMA 2023</v>
      </c>
      <c r="E71" s="60" t="str">
        <v>Perrone Robotics</v>
      </c>
      <c r="F71" s="60" t="str">
        <v>L1</v>
      </c>
      <c r="G71" s="60" t="str">
        <v>Perrone Robotics-SAV</v>
      </c>
      <c r="H71" s="60" t="str">
        <v>SAV</v>
      </c>
      <c r="I71" s="60" t="str">
        <v>Ridepooling</v>
      </c>
      <c r="J71" s="60" t="str">
        <v>Ridepooling</v>
      </c>
      <c r="K71" s="60" t="str">
        <v>E Charger Systems</v>
      </c>
      <c r="L71" s="60" t="str">
        <v>E Charger Systems</v>
      </c>
      <c r="M71" s="60">
        <v>0</v>
      </c>
      <c r="N71" s="60">
        <v>0</v>
      </c>
      <c r="O71"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1"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1" s="60" t="str">
        <v>Strategic Alliance</v>
      </c>
      <c r="R71" s="60" t="str">
        <v>n.a.</v>
      </c>
      <c r="S71" s="60" t="str">
        <v>Product cooperation</v>
      </c>
      <c r="T71" s="60" t="str">
        <v>-</v>
      </c>
      <c r="U71" s="60" t="str">
        <v>Yes</v>
      </c>
      <c r="V71" s="60" t="str">
        <v>-</v>
      </c>
      <c r="W71" s="60" t="str">
        <v xml:space="preserve">2.2. Renewed Alliance </v>
      </c>
      <c r="X71" s="60">
        <v>0</v>
      </c>
      <c r="Y71"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1" s="60" t="str">
        <v>Joint D&amp;D</v>
      </c>
      <c r="AA71"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1" s="60">
        <v>0</v>
      </c>
      <c r="AC71" s="60">
        <v>0</v>
      </c>
      <c r="AD71" s="60">
        <v>0</v>
      </c>
      <c r="AE71" s="60">
        <v>0</v>
      </c>
      <c r="AF71" s="60" t="str">
        <v>Revolutionizing Transportation: Perrone Robotics Unveils Historic Collaboration with E Charger Systems - Revealed at SEMA 2023</v>
      </c>
      <c r="AG71" s="60">
        <v>0</v>
      </c>
      <c r="BR71" t="str">
        <v>4. Joint Venture</v>
      </c>
      <c r="BS71">
        <f t="shared" si="6"/>
        <v>1</v>
      </c>
      <c r="BT71" s="58">
        <f t="shared" si="7"/>
        <v>1.6949152542372881E-2</v>
      </c>
      <c r="BV71" t="str">
        <v>4. Joint Venture</v>
      </c>
      <c r="BW71">
        <f>COUNTIFS($J$26:$J$106,#REF!,$W$26:$W$106,$BV71)</f>
        <v>0</v>
      </c>
      <c r="BX71" s="58" t="e">
        <f t="shared" si="8"/>
        <v>#DIV/0!</v>
      </c>
      <c r="BZ71" t="str">
        <v>4. Joint Venture</v>
      </c>
      <c r="CA71">
        <f>COUNTIFS($J$26:$J$106,#REF!,$W$26:$W$106,$BZ71)</f>
        <v>0</v>
      </c>
      <c r="CB71" s="58" t="e">
        <f t="shared" si="9"/>
        <v>#DIV/0!</v>
      </c>
    </row>
    <row r="72" spans="1:86" x14ac:dyDescent="0.35">
      <c r="A72" s="60" t="str">
        <v>https://www.transdev.com/en/press-release/partnership-torc-autonomous-shuttle/</v>
      </c>
      <c r="B72" s="60" t="str">
        <v>2019, 1, 7</v>
      </c>
      <c r="C72" s="105">
        <v>43472</v>
      </c>
      <c r="D72" s="60" t="str">
        <v>Torc and Transdev partner to develop technology for i-Cristal, a shared and fully autonomous shuttle</v>
      </c>
      <c r="E72" s="60" t="str">
        <v>Transdev</v>
      </c>
      <c r="F72" s="60" t="str">
        <v>L3</v>
      </c>
      <c r="G72" s="60" t="str">
        <v>Transdev-SAV</v>
      </c>
      <c r="H72" s="60" t="str">
        <v>SAV</v>
      </c>
      <c r="I72" s="60" t="str">
        <v>Ridepooling</v>
      </c>
      <c r="J72" s="60" t="str">
        <v>Ridepooling</v>
      </c>
      <c r="K72" s="60" t="str">
        <v>Torc</v>
      </c>
      <c r="L72" s="60" t="str">
        <v>Torc</v>
      </c>
      <c r="M72" s="60">
        <v>0</v>
      </c>
      <c r="N72" s="60">
        <v>0</v>
      </c>
      <c r="O72"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72"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72" s="60" t="str">
        <v>Strategic Alliance</v>
      </c>
      <c r="R72" s="60" t="str">
        <v>n.a.</v>
      </c>
      <c r="S72" s="60" t="str">
        <v>Service integration</v>
      </c>
      <c r="T72" s="60" t="str">
        <v>-</v>
      </c>
      <c r="U72" s="60" t="str">
        <v>Yes</v>
      </c>
      <c r="V72" s="60" t="str">
        <v>-</v>
      </c>
      <c r="W72" s="60" t="str">
        <v xml:space="preserve">2.2. Renewed Alliance </v>
      </c>
      <c r="X72" s="60">
        <v>0</v>
      </c>
      <c r="Y72"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72" s="60" t="str">
        <v>Joint Service Agreement</v>
      </c>
      <c r="AA72"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72" s="60" t="str">
        <v>Research &amp; Collaboration</v>
      </c>
      <c r="AC72" s="60" t="str">
        <v>The partners have already begun testing on closed courses, while testing on public roads will proceed after obtaining successive safety authorizations and before providing public service trials in two locations in France: Paris-Saclay and Rouen.</v>
      </c>
      <c r="AD72" s="60">
        <v>0</v>
      </c>
      <c r="AE72" s="60">
        <v>0</v>
      </c>
      <c r="AF72" s="60" t="str">
        <v xml:space="preserve">Torc and Transdev partner to develop </v>
      </c>
      <c r="AG72" s="60" t="str">
        <v>technology for i-Cristal, a shared and fully autonomous shuttle</v>
      </c>
      <c r="BR72" t="str">
        <v>2.1. Short term Alliance (no exclusivity / previous experience)</v>
      </c>
      <c r="BS72">
        <f t="shared" si="6"/>
        <v>30</v>
      </c>
      <c r="BT72" s="58">
        <f t="shared" si="7"/>
        <v>0.50847457627118642</v>
      </c>
      <c r="BV72" t="str">
        <v>2.1. Short term Alliance (no exclusivity / previous experience)</v>
      </c>
      <c r="BW72">
        <f>COUNTIFS($J$26:$J$106,#REF!,$W$26:$W$106,$BV72)</f>
        <v>0</v>
      </c>
      <c r="BX72" s="58" t="e">
        <f t="shared" si="8"/>
        <v>#DIV/0!</v>
      </c>
      <c r="BZ72" t="str">
        <v>2.1. Short term Alliance (no exclusivity / previous experience)</v>
      </c>
      <c r="CA72">
        <f>COUNTIFS($J$26:$J$106,#REF!,$W$26:$W$106,$BZ72)</f>
        <v>0</v>
      </c>
      <c r="CB72" s="58" t="e">
        <f t="shared" si="9"/>
        <v>#DIV/0!</v>
      </c>
    </row>
    <row r="73" spans="1:86" x14ac:dyDescent="0.35">
      <c r="A73" s="60" t="str">
        <v>https://www.transdev.com/en/sustainable-mobility/transdev-usa-partners-lavta-begin-testing-shared-autonomous-vehicle/</v>
      </c>
      <c r="B73" s="60" t="str">
        <v>2020, 7, 31</v>
      </c>
      <c r="C73" s="105">
        <v>44043</v>
      </c>
      <c r="D73" s="60" t="str">
        <v>Transdev USA partners with LAVTA to begin testing of its shared autonomous vehicle</v>
      </c>
      <c r="E73" s="60" t="str">
        <v>Transdev</v>
      </c>
      <c r="F73" s="60" t="str">
        <v>L3</v>
      </c>
      <c r="G73" s="60" t="str">
        <v>Transdev-SAV</v>
      </c>
      <c r="H73" s="60" t="str">
        <v>SAV</v>
      </c>
      <c r="I73" s="60" t="str">
        <v>Ridepooling</v>
      </c>
      <c r="J73" s="60" t="str">
        <v>Ridepooling</v>
      </c>
      <c r="K73" s="60" t="str">
        <v>LAVTA</v>
      </c>
      <c r="L73" s="60" t="str">
        <v>LAVTA</v>
      </c>
      <c r="M73" s="60">
        <v>0</v>
      </c>
      <c r="N73" s="60">
        <v>0</v>
      </c>
      <c r="O73"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73"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73" s="60" t="str">
        <v>Strategic Alliance</v>
      </c>
      <c r="R73" s="60" t="str">
        <v>n.a.</v>
      </c>
      <c r="S73" s="60" t="str">
        <v>One time - pilot</v>
      </c>
      <c r="T73" s="60" t="str">
        <v>-</v>
      </c>
      <c r="U73" s="60" t="str">
        <v>-</v>
      </c>
      <c r="V73" s="60" t="str">
        <v>-</v>
      </c>
      <c r="W73" s="60" t="str">
        <v>2.1. Short term Alliance (no exclusivity / previous experience)</v>
      </c>
      <c r="X73" s="60">
        <v>0</v>
      </c>
      <c r="Y73"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73" s="60" t="str">
        <v>Research &amp; Collaboration</v>
      </c>
      <c r="AA73" s="60" t="str">
        <v>When testing is complete, the SAV will improve mobility for riders by providing first- and last-mile solutions for passengers by connecting them between the Dublin/Pleasanton Bay Area Rapid Transit (BART) station and nearby locations.</v>
      </c>
      <c r="AB73" s="60">
        <v>0</v>
      </c>
      <c r="AC73" s="60">
        <v>0</v>
      </c>
      <c r="AD73" s="60">
        <v>0</v>
      </c>
      <c r="AE73" s="60">
        <v>0</v>
      </c>
      <c r="AF73" s="60" t="str">
        <v xml:space="preserve">Transdev USA partners with LAVTA to begin </v>
      </c>
      <c r="AG73" s="60" t="str">
        <v>testing of its shared autonomous vehicle</v>
      </c>
      <c r="BR73" t="str">
        <v>2.3. Long term Alliance</v>
      </c>
      <c r="BS73">
        <f t="shared" si="6"/>
        <v>14</v>
      </c>
      <c r="BT73" s="58">
        <f t="shared" si="7"/>
        <v>0.23728813559322035</v>
      </c>
      <c r="BV73" t="str">
        <v>2.3. Long term Alliance</v>
      </c>
      <c r="BW73">
        <f>COUNTIFS($J$26:$J$106,#REF!,$W$26:$W$106,$BV73)</f>
        <v>0</v>
      </c>
      <c r="BX73" s="58" t="e">
        <f t="shared" si="8"/>
        <v>#DIV/0!</v>
      </c>
      <c r="BZ73" t="str">
        <v>2.3. Long term Alliance</v>
      </c>
      <c r="CA73">
        <f>COUNTIFS($J$26:$J$106,#REF!,$W$26:$W$106,$BZ73)</f>
        <v>0</v>
      </c>
      <c r="CB73" s="58" t="e">
        <f t="shared" si="9"/>
        <v>#DIV/0!</v>
      </c>
    </row>
    <row r="74" spans="1:86" x14ac:dyDescent="0.35">
      <c r="A74" s="60" t="str">
        <v>https://www.transdev.com/en/press-release/transdev-and-delphi-announce-commercial-partnership-for-autonomous-transportation/</v>
      </c>
      <c r="B74" s="60" t="str">
        <v>2017, 6, 7</v>
      </c>
      <c r="C74" s="105">
        <v>42893</v>
      </c>
      <c r="D74" s="60" t="str">
        <v>Transdev and Delphi Announce Commercial Partnership for Autonomous Transportation</v>
      </c>
      <c r="E74" s="60" t="str">
        <v>Transdev</v>
      </c>
      <c r="F74" s="60" t="str">
        <v>L3</v>
      </c>
      <c r="G74" s="60" t="str">
        <v>Transdev-SAV</v>
      </c>
      <c r="H74" s="60" t="str">
        <v>SAV</v>
      </c>
      <c r="I74" s="60" t="str">
        <v>Ridepooling</v>
      </c>
      <c r="J74" s="60" t="str">
        <v>Ridepooling</v>
      </c>
      <c r="K74" s="60" t="str">
        <v>Delphi</v>
      </c>
      <c r="L74" s="60" t="str">
        <v>Delphi</v>
      </c>
      <c r="M74" s="60">
        <v>0</v>
      </c>
      <c r="N74" s="60">
        <v>0</v>
      </c>
      <c r="O74"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74"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74" s="60" t="str">
        <v>Strategic Alliance</v>
      </c>
      <c r="R74" s="60" t="str">
        <v>n.a.</v>
      </c>
      <c r="S74" s="60" t="str">
        <v>Product cooperation</v>
      </c>
      <c r="T74" s="60" t="str">
        <v>-</v>
      </c>
      <c r="U74" s="60" t="str">
        <v>-</v>
      </c>
      <c r="V74" s="60" t="str">
        <v>-</v>
      </c>
      <c r="W74" s="60" t="str">
        <v>2.1. Short term Alliance (no exclusivity / previous experience)</v>
      </c>
      <c r="X74" s="60">
        <v>0</v>
      </c>
      <c r="Y74" s="60" t="str">
        <v>"With Transdev's deep understanding of mobility operations, this collaboration will further strengthen our AMoD and data management capabilities, while expanding our automated driving platform to include a variety of different vehicle types.</v>
      </c>
      <c r="Z74" s="60" t="str">
        <v>Joint Service Agreement</v>
      </c>
      <c r="AA74" s="60" t="str">
        <v>"With Transdev's deep understanding of mobility operations, this collaboration will further strengthen our AMoD and data management capabilities, while expanding our automated driving platform to include a variety of different vehicle types.</v>
      </c>
      <c r="AB74" s="60">
        <v>0</v>
      </c>
      <c r="AC74" s="60">
        <v>0</v>
      </c>
      <c r="AD74" s="60">
        <v>0</v>
      </c>
      <c r="AE74" s="60">
        <v>0</v>
      </c>
      <c r="AF74" s="60" t="str">
        <v xml:space="preserve">Transdev and Delphi Announce Commercial Partnership </v>
      </c>
      <c r="AG74" s="60" t="str">
        <v>for Autonomous Transportation</v>
      </c>
      <c r="BR74" t="str">
        <v>1. Informal Agreement</v>
      </c>
      <c r="BS74">
        <f t="shared" si="6"/>
        <v>2</v>
      </c>
      <c r="BT74" s="58">
        <f t="shared" si="7"/>
        <v>3.3898305084745763E-2</v>
      </c>
      <c r="BV74" t="str">
        <v>1. Informal Agreement</v>
      </c>
      <c r="BW74">
        <f>COUNTIFS($J$26:$J$106,#REF!,$W$26:$W$106,$BV74)</f>
        <v>0</v>
      </c>
      <c r="BX74" s="58" t="e">
        <f t="shared" si="8"/>
        <v>#DIV/0!</v>
      </c>
      <c r="BZ74" t="str">
        <v>1. Informal Agreement</v>
      </c>
      <c r="CA74">
        <f>COUNTIFS($J$26:$J$106,#REF!,$W$26:$W$106,$BZ74)</f>
        <v>0</v>
      </c>
      <c r="CB74" s="58" t="e">
        <f t="shared" si="9"/>
        <v>#DIV/0!</v>
      </c>
    </row>
    <row r="75" spans="1:86" x14ac:dyDescent="0.35">
      <c r="A75" s="60" t="str">
        <v>https://www.transdev.com/en/press-release/zf-partnership/</v>
      </c>
      <c r="B75" s="60" t="str">
        <v>2019, 1, 8</v>
      </c>
      <c r="C75" s="105">
        <v>43473</v>
      </c>
      <c r="D75" s="60" t="str">
        <v>Transdev, ZF and e.GO announce partnership to develop shared autonomous mobility</v>
      </c>
      <c r="E75" s="60" t="str">
        <v>Transdev</v>
      </c>
      <c r="F75" s="60" t="str">
        <v>L3</v>
      </c>
      <c r="G75" s="60" t="str">
        <v>Transdev-SAV</v>
      </c>
      <c r="H75" s="60" t="str">
        <v>SAV</v>
      </c>
      <c r="I75" s="60" t="str">
        <v>Ridepooling</v>
      </c>
      <c r="J75" s="60" t="str">
        <v>Ridepooling</v>
      </c>
      <c r="K75" s="60" t="str">
        <v>ZF;e.GO</v>
      </c>
      <c r="L75" s="60" t="str">
        <v>ZF</v>
      </c>
      <c r="M75" s="60" t="str">
        <v>e.GO</v>
      </c>
      <c r="N75" s="60">
        <v>0</v>
      </c>
      <c r="O75"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75" s="60" t="str">
        <v>The partners will start working together immediately to provide a fully functional solution by 2020, with priority markets in France and Germany.</v>
      </c>
      <c r="Q75" s="60" t="str">
        <v>Strategic Alliance</v>
      </c>
      <c r="R75" s="60" t="str">
        <v>n.a.</v>
      </c>
      <c r="S75" s="60" t="str">
        <v>Product cooperation</v>
      </c>
      <c r="T75" s="60" t="str">
        <v>Long term - &gt;1 year</v>
      </c>
      <c r="U75" s="60" t="str">
        <v>-</v>
      </c>
      <c r="V75" s="60" t="str">
        <v>-</v>
      </c>
      <c r="W75" s="60" t="str">
        <v>2.3. Long term Alliance</v>
      </c>
      <c r="X75" s="60">
        <v>0</v>
      </c>
      <c r="Y75"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75" s="60" t="str">
        <v>Joint D&amp;D</v>
      </c>
      <c r="AA75"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75" s="60">
        <v>0</v>
      </c>
      <c r="AC75" s="60">
        <v>0</v>
      </c>
      <c r="AD75" s="60">
        <v>0</v>
      </c>
      <c r="AE75" s="60">
        <v>0</v>
      </c>
      <c r="AF75" s="60" t="str">
        <v>Transdev, ZF and e.GO announce partnership to develop shared autonomous mobility</v>
      </c>
      <c r="AG75" s="60">
        <v>0</v>
      </c>
      <c r="BR75">
        <v>0</v>
      </c>
      <c r="BT75" s="58"/>
      <c r="BV75">
        <v>0</v>
      </c>
      <c r="BX75" s="58"/>
      <c r="BZ75">
        <v>0</v>
      </c>
      <c r="CB75" s="58"/>
    </row>
    <row r="76" spans="1:86" s="55" customFormat="1" x14ac:dyDescent="0.35">
      <c r="A76" s="60" t="str">
        <v>https://press.zf.com/press/en/releases/release_14913.html</v>
      </c>
      <c r="B76" s="60" t="str">
        <v>2020, 2, 19</v>
      </c>
      <c r="C76" s="105">
        <v>43880</v>
      </c>
      <c r="D76" s="60" t="str">
        <v>Open Manufacturing Platform expands: Anheuser-Busch InBev, BMW Group, Bosch, Microsoft and ZF team up to accelerate manufacturing innovation at scale</v>
      </c>
      <c r="E76" s="60" t="str">
        <v>ZF</v>
      </c>
      <c r="F76" s="60" t="str">
        <v>L2</v>
      </c>
      <c r="G76" s="60" t="str">
        <v>ZF-SAV</v>
      </c>
      <c r="H76" s="60" t="str">
        <v>SAV</v>
      </c>
      <c r="I76" s="60" t="str">
        <v>Ridepooling</v>
      </c>
      <c r="J76" s="60" t="str">
        <v>Ridepooling</v>
      </c>
      <c r="K76" s="60" t="str">
        <v>Anheuser - Busch InBev;Bosch;Microsoft</v>
      </c>
      <c r="L76" s="60" t="str">
        <v>Anheuser - Busch InBev</v>
      </c>
      <c r="M76" s="60" t="str">
        <v>Bosch</v>
      </c>
      <c r="N76" s="60" t="str">
        <v>Microsoft</v>
      </c>
      <c r="O76"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7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76" s="60" t="str">
        <v>Strategic Alliance</v>
      </c>
      <c r="R76" s="60" t="str">
        <v>n.a.</v>
      </c>
      <c r="S76" s="60" t="str">
        <v>Membership</v>
      </c>
      <c r="T76" s="60" t="str">
        <v>-</v>
      </c>
      <c r="U76" s="60" t="str">
        <v>-</v>
      </c>
      <c r="V76" s="60" t="str">
        <v>-</v>
      </c>
      <c r="W76" s="60" t="str">
        <v>2.1. Short term Alliance (no exclusivity / previous experience)</v>
      </c>
      <c r="X76" s="60">
        <v>0</v>
      </c>
      <c r="Y7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76" s="60" t="str">
        <v>Research &amp; Collaboration</v>
      </c>
      <c r="AA7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76" s="60">
        <v>0</v>
      </c>
      <c r="AC76" s="60">
        <v>0</v>
      </c>
      <c r="AD76" s="60">
        <v>0</v>
      </c>
      <c r="AE76" s="60">
        <v>0</v>
      </c>
      <c r="AF76" s="60" t="str">
        <v xml:space="preserve">Open Manufacturing Platform expands: Anheuser-Busch InBev, BMW Group, Bosch, Microsoft and ZF team up to accelerate </v>
      </c>
      <c r="AG76" s="60" t="str">
        <v>manufacturing innovation at scale</v>
      </c>
      <c r="AH76"/>
      <c r="AI76"/>
      <c r="AJ76"/>
      <c r="AK76"/>
      <c r="AL76"/>
      <c r="AM76"/>
      <c r="AN76"/>
      <c r="AO76"/>
      <c r="AP76"/>
      <c r="AQ76"/>
      <c r="AR76"/>
      <c r="AS76"/>
      <c r="AT76"/>
      <c r="AU76"/>
      <c r="BR76"/>
      <c r="BS76"/>
      <c r="BT76"/>
      <c r="BU76"/>
      <c r="BV76"/>
      <c r="BW76"/>
      <c r="BX76"/>
      <c r="BY76"/>
      <c r="BZ76"/>
      <c r="CA76"/>
      <c r="CB76"/>
      <c r="CC76"/>
      <c r="CD76"/>
      <c r="CE76"/>
    </row>
    <row r="77" spans="1:86" s="55" customFormat="1" x14ac:dyDescent="0.35">
      <c r="A77" s="60" t="str">
        <v>https://press.zf.com/press/en/releases/release_31362.html</v>
      </c>
      <c r="B77" s="60" t="str">
        <v>2021, 10, 7</v>
      </c>
      <c r="C77" s="105">
        <v>44203</v>
      </c>
      <c r="D77" s="60" t="str">
        <v>ZF and DB Regio agree on strategic partnership for autonomous transport systems</v>
      </c>
      <c r="E77" s="60" t="str">
        <v>ZF</v>
      </c>
      <c r="F77" s="60" t="str">
        <v>L2</v>
      </c>
      <c r="G77" s="60" t="str">
        <v>ZF-SAV</v>
      </c>
      <c r="H77" s="60" t="str">
        <v>SAV</v>
      </c>
      <c r="I77" s="60" t="str">
        <v>Ridepooling</v>
      </c>
      <c r="J77" s="60" t="str">
        <v>Ridepooling</v>
      </c>
      <c r="K77" s="60" t="str">
        <v>DB Regio</v>
      </c>
      <c r="L77" s="60" t="str">
        <v>DB Regio</v>
      </c>
      <c r="M77" s="60">
        <v>0</v>
      </c>
      <c r="N77" s="60">
        <v>0</v>
      </c>
      <c r="O77"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77"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77" s="60" t="str">
        <v>Strategic Alliance</v>
      </c>
      <c r="R77" s="60" t="str">
        <v>Yes</v>
      </c>
      <c r="S77" s="60" t="str">
        <v>Service cooperation</v>
      </c>
      <c r="T77" s="60" t="str">
        <v>-</v>
      </c>
      <c r="U77" s="60" t="str">
        <v>-</v>
      </c>
      <c r="V77" s="60" t="str">
        <v>-</v>
      </c>
      <c r="W77" s="60" t="str">
        <v>2.1. Short term Alliance (no exclusivity / previous experience)</v>
      </c>
      <c r="X77" s="60">
        <v>0</v>
      </c>
      <c r="Y7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77" s="60" t="str">
        <v>Joint Service Agreement</v>
      </c>
      <c r="AA7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77" s="60">
        <v>0</v>
      </c>
      <c r="AC77" s="60">
        <v>0</v>
      </c>
      <c r="AD77" s="60">
        <v>0</v>
      </c>
      <c r="AE77" s="60">
        <v>0</v>
      </c>
      <c r="AF77" s="60" t="str">
        <v>ZF and DB Regio agree on strategic partnership for autonomous transport systems</v>
      </c>
      <c r="AG77" s="60">
        <v>0</v>
      </c>
      <c r="AH77"/>
      <c r="AI77"/>
      <c r="AJ77"/>
      <c r="AK77"/>
      <c r="AL77"/>
      <c r="AM77"/>
      <c r="AN77"/>
      <c r="AO77"/>
      <c r="AP77"/>
      <c r="AQ77"/>
      <c r="AR77"/>
      <c r="AS77"/>
      <c r="AT77"/>
      <c r="AU77"/>
      <c r="BR77"/>
      <c r="BS77"/>
      <c r="BT77"/>
      <c r="BU77"/>
      <c r="BV77"/>
      <c r="BW77"/>
      <c r="BX77"/>
      <c r="BY77"/>
      <c r="BZ77"/>
      <c r="CA77"/>
      <c r="CB77"/>
      <c r="CC77"/>
      <c r="CD77"/>
      <c r="CE77"/>
    </row>
    <row r="78" spans="1:86" s="107" customFormat="1" x14ac:dyDescent="0.35">
      <c r="A78" s="60" t="str">
        <v>https://ridebeep.com/press-releases/zf-announces-partnership-with-beep-unveils-next-generation-autonomous-shuttle</v>
      </c>
      <c r="B78" s="60" t="str">
        <v>2023, 1, 4</v>
      </c>
      <c r="C78" s="105">
        <v>44930</v>
      </c>
      <c r="D78" s="60" t="str">
        <v>ZF announces partnership with Beep, unveils next-generation autonomous shuttle</v>
      </c>
      <c r="E78" s="60" t="str">
        <v>ZF</v>
      </c>
      <c r="F78" s="60" t="str">
        <v>L2</v>
      </c>
      <c r="G78" s="60" t="str">
        <v>ZF-SAV</v>
      </c>
      <c r="H78" s="60" t="str">
        <v>SAV</v>
      </c>
      <c r="I78" s="60" t="str">
        <v>Ridepooling</v>
      </c>
      <c r="J78" s="60" t="str">
        <v>Ridepooling</v>
      </c>
      <c r="K78" s="60" t="str">
        <v>Beep</v>
      </c>
      <c r="L78" s="60" t="str">
        <v>Beep</v>
      </c>
      <c r="M78" s="60">
        <v>0</v>
      </c>
      <c r="N78" s="60">
        <v>0</v>
      </c>
      <c r="O78"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78"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78" s="60" t="str">
        <v>Strategic Alliance</v>
      </c>
      <c r="R78" s="60" t="str">
        <v>Yes</v>
      </c>
      <c r="S78" s="60" t="str">
        <v>Service Integration</v>
      </c>
      <c r="T78" s="60" t="str">
        <v>Long term - coming years</v>
      </c>
      <c r="U78" s="60" t="str">
        <v>-</v>
      </c>
      <c r="V78" s="60" t="str">
        <v>-</v>
      </c>
      <c r="W78" s="60" t="str">
        <v>2.3. Long term Alliance</v>
      </c>
      <c r="X78" s="60">
        <v>0</v>
      </c>
      <c r="Y78" s="60" t="str">
        <v>"Our offer of clean, efficient and affordable mobility is convincing, and has found a partner and major customer in Beep"</v>
      </c>
      <c r="Z78" s="60" t="str">
        <v>Joint Service Agreement</v>
      </c>
      <c r="AA78" s="60" t="str">
        <v>"Our offer of clean, efficient and affordable mobility is convincing, and has found a partner and major customer in Beep"</v>
      </c>
      <c r="AB78" s="60">
        <v>0</v>
      </c>
      <c r="AC78" s="60">
        <v>0</v>
      </c>
      <c r="AD78" s="60">
        <v>0</v>
      </c>
      <c r="AE78" s="60">
        <v>0</v>
      </c>
      <c r="AF78" s="60" t="str">
        <v>ZF announces partnership with Beep, unveils next-generation autonomous shuttle</v>
      </c>
      <c r="AG78" s="60">
        <v>0</v>
      </c>
      <c r="AH78"/>
      <c r="AI78"/>
      <c r="AJ78"/>
      <c r="AK78"/>
      <c r="AL78"/>
      <c r="AM78"/>
      <c r="AN78"/>
      <c r="AO78"/>
      <c r="AP78"/>
      <c r="AQ78"/>
      <c r="AR78"/>
      <c r="AS78"/>
      <c r="AT78"/>
      <c r="AU78"/>
      <c r="BR78"/>
      <c r="BS78"/>
      <c r="BT78"/>
      <c r="BU78"/>
      <c r="BV78"/>
      <c r="BW78"/>
      <c r="BX78"/>
      <c r="BY78"/>
      <c r="BZ78"/>
      <c r="CA78"/>
      <c r="CB78"/>
      <c r="CC78"/>
      <c r="CD78"/>
      <c r="CE78"/>
      <c r="CF78" s="144"/>
      <c r="CG78" s="144"/>
      <c r="CH78" s="144"/>
    </row>
    <row r="79" spans="1:86" x14ac:dyDescent="0.35">
      <c r="A79" s="60" t="str">
        <v>https://www.ridebeep.com/press-releases/beep-and-oxa-announce-partnership-to-deploy-autonomous-vehicles-driven-by-oxa-in-united-states</v>
      </c>
      <c r="B79" s="60" t="str">
        <v>2023, 8, 24</v>
      </c>
      <c r="C79" s="105">
        <v>45162</v>
      </c>
      <c r="D79" s="60" t="str">
        <v>Beep and Oxa Announce Partnership to Deploy Autonomous Vehicles Driven by Oxa in United States</v>
      </c>
      <c r="E79" s="60" t="str">
        <v>Oxa</v>
      </c>
      <c r="F79" s="60" t="str">
        <v>L1</v>
      </c>
      <c r="G79" s="60" t="str">
        <v>Oxa-SAV</v>
      </c>
      <c r="H79" s="60" t="str">
        <v>SAV</v>
      </c>
      <c r="I79" s="60" t="str">
        <v>Ridepooling</v>
      </c>
      <c r="J79" s="60" t="str">
        <v>Ridepooling</v>
      </c>
      <c r="K79" s="60" t="str">
        <v>Beep</v>
      </c>
      <c r="L79" s="60" t="str">
        <v>Beep</v>
      </c>
      <c r="M79" s="60">
        <v>0</v>
      </c>
      <c r="N79" s="60">
        <v>0</v>
      </c>
      <c r="O79"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79"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79" s="60" t="str">
        <v>Strategic Alliance</v>
      </c>
      <c r="R79" s="60" t="str">
        <v>n.a.</v>
      </c>
      <c r="S79" s="60" t="str">
        <v>Service Integration</v>
      </c>
      <c r="T79" s="60" t="str">
        <v>Long term - Future years mentioned</v>
      </c>
      <c r="U79" s="60" t="str">
        <v>Yes</v>
      </c>
      <c r="V79" s="60" t="str">
        <v>-</v>
      </c>
      <c r="W79" s="60" t="str">
        <v>2.3. Long term Alliance</v>
      </c>
      <c r="X79" s="60">
        <v>0</v>
      </c>
      <c r="Y79" s="60" t="str">
        <v>the strategic partnership will see Oxa's autonomy software installed in a variety of vehicle types operated by Beep, from current passenger shuttles to future vehicle platforms</v>
      </c>
      <c r="Z79" s="60" t="str">
        <v>Joint Service Agreement</v>
      </c>
      <c r="AA79" s="60" t="str">
        <v>the strategic partnership will see Oxa's autonomy software installed in a variety of vehicle types operated by Beep, from current passenger shuttles to future vehicle platforms</v>
      </c>
      <c r="AB79" s="60">
        <v>0</v>
      </c>
      <c r="AC79" s="60">
        <v>0</v>
      </c>
      <c r="AD79" s="60">
        <v>0</v>
      </c>
      <c r="AE79" s="60">
        <v>0</v>
      </c>
      <c r="AF79" s="60" t="str">
        <v>Beep and Oxa Announce Partnership to Deploy Autonomous Vehicles Driven by Oxa in United States</v>
      </c>
      <c r="AG79" s="60">
        <v>0</v>
      </c>
    </row>
    <row r="80" spans="1:86" x14ac:dyDescent="0.35">
      <c r="A80" s="60" t="str">
        <v>Ridepooling</v>
      </c>
      <c r="B80" s="60" t="str">
        <v>2020, 11, 18</v>
      </c>
      <c r="C80" s="105">
        <v>43848</v>
      </c>
      <c r="D80" s="60" t="str">
        <v>May Mobility and Via announce partnership that will integrate on-demand AVs into public transit</v>
      </c>
      <c r="E80" s="60" t="str">
        <v>Via</v>
      </c>
      <c r="F80" s="60" t="str">
        <v>L3</v>
      </c>
      <c r="G80" s="60" t="str">
        <v>Via-SAV</v>
      </c>
      <c r="H80" s="60" t="str">
        <v>SAV</v>
      </c>
      <c r="I80" s="60" t="str">
        <v>Ridepooling</v>
      </c>
      <c r="J80" s="60" t="str">
        <v>Ridepooling</v>
      </c>
      <c r="K80" s="60" t="str">
        <v>May Mobility</v>
      </c>
      <c r="L80" s="60" t="str">
        <v>May Mobility</v>
      </c>
      <c r="M80" s="60">
        <v>0</v>
      </c>
      <c r="N80" s="60">
        <v>0</v>
      </c>
      <c r="O80"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80"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80" s="60" t="str">
        <v>Strategic Alliance</v>
      </c>
      <c r="R80" s="60" t="str">
        <v>n.a.</v>
      </c>
      <c r="S80" s="60" t="str">
        <v>Service Integration</v>
      </c>
      <c r="T80" s="60" t="str">
        <v>Long term - -</v>
      </c>
      <c r="U80" s="60" t="str">
        <v>-</v>
      </c>
      <c r="V80" s="60" t="str">
        <v>-</v>
      </c>
      <c r="W80" s="60" t="str">
        <v>2.3. Long term Alliance</v>
      </c>
      <c r="X80" s="60">
        <v>0</v>
      </c>
      <c r="Y80"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80" s="60" t="str">
        <v>Joint Service Agreement</v>
      </c>
      <c r="AA80" s="60" t="str">
        <v>May Mobility will adopt Via's autonomous fleet platform to power booking, routing, passenger and vehicle assignment and identification, customer experience, and fleet management as part of their new transit solution for future autonomous vehicle deployments.</v>
      </c>
      <c r="AB80" s="60">
        <v>0</v>
      </c>
      <c r="AC80" s="60">
        <v>0</v>
      </c>
      <c r="AD80" s="60">
        <v>0</v>
      </c>
      <c r="AE80" s="60">
        <v>0</v>
      </c>
      <c r="AF80" s="60" t="str">
        <v>May Mobility and Via announce partnership that will integrate on-demand AVs into public transit</v>
      </c>
      <c r="AG80" s="60">
        <v>0</v>
      </c>
    </row>
    <row r="81" spans="1:86" x14ac:dyDescent="0.35">
      <c r="A81" s="60" t="str">
        <v>https://www.navya.tech/en/navya-and-lohr-form-a-strategic-alliance-to-speed-up-their-technological-industrial-and-commercial-development-in-the-field-of-autonomous-mobility/</v>
      </c>
      <c r="B81" s="60" t="str">
        <v>2022, 9, 22</v>
      </c>
      <c r="C81" s="105">
        <v>44826</v>
      </c>
      <c r="D81" s="60" t="str">
        <v>Navya and Lohr form a strategic alliance to speed up their technological, industrial and commercial development in the field of autonomous mobility</v>
      </c>
      <c r="E81" s="60" t="str">
        <v>Lohr</v>
      </c>
      <c r="F81" s="60" t="str">
        <v>L2</v>
      </c>
      <c r="G81" s="60" t="str">
        <v>Lohr-SAV</v>
      </c>
      <c r="H81" s="60" t="str">
        <v>SAV</v>
      </c>
      <c r="I81" s="60" t="str">
        <v>Ridepooling</v>
      </c>
      <c r="J81" s="60" t="str">
        <v>Ridepooling</v>
      </c>
      <c r="K81" s="60" t="str">
        <v>Navya</v>
      </c>
      <c r="L81" s="60" t="str">
        <v>Navya</v>
      </c>
      <c r="M81" s="60">
        <v>0</v>
      </c>
      <c r="N81" s="60">
        <v>0</v>
      </c>
      <c r="O81"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81" s="60" t="str">
        <v>NAVYA (FR0013018041- Navya), an autonomous mobility systems leader, signs a strategic alliance with Lohr, an industrial group known worldwide for its expertise in the engineering, production and marketing of systems for the transportation of people and goods.</v>
      </c>
      <c r="Q81" s="60" t="str">
        <v>Strategic Alliance</v>
      </c>
      <c r="R81" s="60" t="str">
        <v>Yes</v>
      </c>
      <c r="S81" s="60" t="str">
        <v>Product cooperation</v>
      </c>
      <c r="T81" s="60" t="str">
        <v>-</v>
      </c>
      <c r="U81" s="60" t="str">
        <v>-</v>
      </c>
      <c r="V81" s="60" t="str">
        <v>-</v>
      </c>
      <c r="W81" s="60" t="str">
        <v>2.1. Short term Alliance (no exclusivity / previous experience)</v>
      </c>
      <c r="X81" s="60">
        <v>0</v>
      </c>
      <c r="Y8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81" s="60" t="str">
        <v>Joint Production</v>
      </c>
      <c r="AA8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81" s="60">
        <v>0</v>
      </c>
      <c r="AC81" s="60">
        <v>0</v>
      </c>
      <c r="AD81" s="60">
        <v>0</v>
      </c>
      <c r="AE81" s="60">
        <v>0</v>
      </c>
      <c r="AF81" s="60" t="str">
        <v>Navya and Lohr form a strategic alliance to speed up their technological, industrial and commercial development in the field of autonomous mobility</v>
      </c>
      <c r="AG81" s="60">
        <v>0</v>
      </c>
    </row>
    <row r="82" spans="1:86" x14ac:dyDescent="0.35">
      <c r="A82" s="60" t="str">
        <v>https://www.transdev.com/en/press-release/partnership-torc-autonomous-shuttle/</v>
      </c>
      <c r="B82" s="60" t="str">
        <v>2019, 1, 7</v>
      </c>
      <c r="C82" s="105">
        <v>43472</v>
      </c>
      <c r="D82" s="60" t="str">
        <v>Torc and Transdev partner to develop technology for i-Cristal, a shared and fully autonomous shuttle</v>
      </c>
      <c r="E82" s="60" t="str">
        <v>Torc</v>
      </c>
      <c r="F82" s="60" t="str">
        <v>L1</v>
      </c>
      <c r="G82" s="60" t="str">
        <v>Torc-SAV</v>
      </c>
      <c r="H82" s="60" t="str">
        <v>SAV</v>
      </c>
      <c r="I82" s="60" t="str">
        <v>Ridepooling</v>
      </c>
      <c r="J82" s="60" t="str">
        <v>Ridepooling</v>
      </c>
      <c r="K82" s="60" t="str">
        <v>Transdev</v>
      </c>
      <c r="L82" s="60" t="str">
        <v>Transdev</v>
      </c>
      <c r="M82" s="60">
        <v>0</v>
      </c>
      <c r="N82" s="60">
        <v>0</v>
      </c>
      <c r="O82"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2"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2" s="60" t="str">
        <v>Strategic Alliance</v>
      </c>
      <c r="R82" s="60" t="str">
        <v>n.a.</v>
      </c>
      <c r="S82" s="60" t="str">
        <v>Service integration</v>
      </c>
      <c r="T82" s="60" t="str">
        <v>-</v>
      </c>
      <c r="U82" s="60" t="str">
        <v>Yes</v>
      </c>
      <c r="V82" s="60" t="str">
        <v>-</v>
      </c>
      <c r="W82" s="60" t="str">
        <v xml:space="preserve">2.2. Renewed Alliance </v>
      </c>
      <c r="X82" s="60">
        <v>0</v>
      </c>
      <c r="Y82"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2" s="60" t="str">
        <v>Joint Service Agreement</v>
      </c>
      <c r="AA82"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2" s="60" t="str">
        <v>Research &amp; Collaboration</v>
      </c>
      <c r="AC82" s="60" t="str">
        <v>The partners have already begun testing on closed courses, while testing on public roads will proceed after obtaining successive safety authorizations and before providing public service trials in two locations in France: Paris-Saclay and Rouen.</v>
      </c>
      <c r="AD82" s="60">
        <v>0</v>
      </c>
      <c r="AE82" s="60">
        <v>0</v>
      </c>
      <c r="AF82" s="60" t="str">
        <v xml:space="preserve">Torc and Transdev partner to develop </v>
      </c>
      <c r="AG82" s="60" t="str">
        <v>technology for i-Cristal, a shared and fully autonomous shuttle</v>
      </c>
    </row>
    <row r="83" spans="1:86" x14ac:dyDescent="0.35">
      <c r="A83" s="60" t="str">
        <v>https://www.transdev.com/en/press-release/zf-partnership/</v>
      </c>
      <c r="B83" s="60" t="str">
        <v>2019, 1, 8</v>
      </c>
      <c r="C83" s="105">
        <v>43473</v>
      </c>
      <c r="D83" s="60" t="str">
        <v>Transdev, ZF and e.GO announce partnership to develop shared autonomous mobility</v>
      </c>
      <c r="E83" s="60" t="str">
        <v>ZF</v>
      </c>
      <c r="F83" s="60" t="str">
        <v>L2</v>
      </c>
      <c r="G83" s="60" t="str">
        <v>ZF-SAV</v>
      </c>
      <c r="H83" s="60" t="str">
        <v>SAV</v>
      </c>
      <c r="I83" s="60" t="str">
        <v>Ridepooling</v>
      </c>
      <c r="J83" s="60" t="str">
        <v>Ridepooling</v>
      </c>
      <c r="K83" s="60" t="str">
        <v>Transdev;e.GO</v>
      </c>
      <c r="L83" s="60" t="str">
        <v>Transdev</v>
      </c>
      <c r="M83" s="60" t="str">
        <v>e.GO</v>
      </c>
      <c r="N83" s="60">
        <v>0</v>
      </c>
      <c r="O83"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3" s="60" t="str">
        <v>The partners will start working together immediately to provide a fully functional solution by 2020, with priority markets in France and Germany.</v>
      </c>
      <c r="Q83" s="60" t="str">
        <v>Strategic Alliance</v>
      </c>
      <c r="R83" s="60" t="str">
        <v>n.a.</v>
      </c>
      <c r="S83" s="60" t="str">
        <v>Product cooperation</v>
      </c>
      <c r="T83" s="60" t="str">
        <v>Long term - &gt;1 year</v>
      </c>
      <c r="U83" s="60" t="str">
        <v>-</v>
      </c>
      <c r="V83" s="60" t="str">
        <v>-</v>
      </c>
      <c r="W83" s="60" t="str">
        <v>2.3. Long term Alliance</v>
      </c>
      <c r="X83" s="60">
        <v>0</v>
      </c>
      <c r="Y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3" s="60" t="str">
        <v>Joint D&amp;D</v>
      </c>
      <c r="AA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3" s="60">
        <v>0</v>
      </c>
      <c r="AC83" s="60">
        <v>0</v>
      </c>
      <c r="AD83" s="60">
        <v>0</v>
      </c>
      <c r="AE83" s="60">
        <v>0</v>
      </c>
      <c r="AF83" s="60" t="str">
        <v>Transdev, ZF and e.GO announce partnership to develop shared autonomous mobility</v>
      </c>
      <c r="AG83" s="60">
        <v>0</v>
      </c>
    </row>
    <row r="84" spans="1:86" x14ac:dyDescent="0.35">
      <c r="A84" s="60" t="str">
        <v>https://www.mobileye.com/news/mobileye-willer-self-driving-mobility-solutions/</v>
      </c>
      <c r="B84" s="60" t="str">
        <v>2020, 7, 7</v>
      </c>
      <c r="C84" s="105">
        <v>44019</v>
      </c>
      <c r="D84" s="60" t="str">
        <v>Mobileye and WILLER Partner on Self-Driving Mobility Solutions for Japan, Southeast Asia</v>
      </c>
      <c r="E84" s="60" t="str">
        <v>Mobileye</v>
      </c>
      <c r="F84" s="60" t="str">
        <v>L1</v>
      </c>
      <c r="G84" s="60" t="str">
        <v>Mobileye-SAV</v>
      </c>
      <c r="H84" s="60" t="str">
        <v>SAV</v>
      </c>
      <c r="I84" s="60" t="str">
        <v>Ridepooling</v>
      </c>
      <c r="J84" s="60" t="str">
        <v>Ridepooling</v>
      </c>
      <c r="K84" s="60" t="str">
        <v>WILLER</v>
      </c>
      <c r="L84" s="60" t="str">
        <v>WILLER</v>
      </c>
      <c r="M84" s="60">
        <v>0</v>
      </c>
      <c r="N84" s="60">
        <v>0</v>
      </c>
      <c r="O84"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84"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84" s="60" t="str">
        <v>Strategic Alliance</v>
      </c>
      <c r="R84" s="60" t="str">
        <v>n.a.</v>
      </c>
      <c r="S84" s="60" t="str">
        <v>Service integration</v>
      </c>
      <c r="T84" s="60" t="str">
        <v>Long term - 2023 (&gt;2 years)</v>
      </c>
      <c r="U84" s="60" t="str">
        <v>-</v>
      </c>
      <c r="V84" s="60" t="str">
        <v>-</v>
      </c>
      <c r="W84" s="60" t="str">
        <v>2.3. Long term Alliance</v>
      </c>
      <c r="X84" s="60">
        <v>0</v>
      </c>
      <c r="Y84"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84" s="60" t="str">
        <v>Supply Partnership (extended)</v>
      </c>
      <c r="AA84"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84" s="60">
        <v>0</v>
      </c>
      <c r="AC84" s="60">
        <v>0</v>
      </c>
      <c r="AD84" s="60">
        <v>0</v>
      </c>
      <c r="AE84" s="60">
        <v>0</v>
      </c>
      <c r="AF84" s="60">
        <v>0</v>
      </c>
      <c r="AG84" s="60">
        <v>0</v>
      </c>
    </row>
    <row r="85" spans="1:86" x14ac:dyDescent="0.35">
      <c r="A85" s="60"/>
      <c r="B85" s="60"/>
      <c r="C85" s="105"/>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R85" s="55"/>
      <c r="AS85" s="55"/>
      <c r="AT85" s="55"/>
      <c r="AU85" s="55"/>
      <c r="AV85" s="55"/>
      <c r="AW85" s="55"/>
      <c r="AX85" s="55"/>
      <c r="AY85" s="55"/>
      <c r="AZ85" s="55"/>
      <c r="BA85" s="55"/>
      <c r="BB85" s="55"/>
      <c r="BC85" s="55"/>
      <c r="BD85" s="55"/>
      <c r="BE85" s="55"/>
      <c r="BF85" s="55"/>
      <c r="BG85" s="55"/>
      <c r="BH85" s="55"/>
    </row>
    <row r="86" spans="1:86" x14ac:dyDescent="0.35">
      <c r="A86" s="60"/>
      <c r="B86" s="60"/>
      <c r="C86" s="105"/>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R86" s="55"/>
      <c r="AS86" s="55"/>
      <c r="AT86" s="55"/>
      <c r="AU86" s="55"/>
      <c r="AV86" s="55"/>
      <c r="AW86" s="55"/>
      <c r="AX86" s="55"/>
      <c r="AY86" s="55"/>
      <c r="AZ86" s="55"/>
      <c r="BA86" s="55"/>
      <c r="BB86" s="55"/>
      <c r="BC86" s="55"/>
      <c r="BD86" s="55"/>
      <c r="BE86" s="55"/>
      <c r="BF86" s="55"/>
      <c r="BG86" s="55"/>
      <c r="BH86" s="55"/>
    </row>
    <row r="87" spans="1:86" x14ac:dyDescent="0.35">
      <c r="A87" s="60"/>
      <c r="B87" s="60"/>
      <c r="C87" s="105"/>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R87" s="55"/>
      <c r="AS87" s="55"/>
      <c r="AT87" s="55"/>
      <c r="AU87" s="55"/>
      <c r="AV87" s="55"/>
      <c r="AW87" s="55"/>
      <c r="AX87" s="55"/>
      <c r="AY87" s="55"/>
      <c r="AZ87" s="55"/>
      <c r="BA87" s="55"/>
      <c r="BB87" s="55"/>
      <c r="BC87" s="55"/>
      <c r="BD87" s="55"/>
      <c r="BE87" s="55"/>
      <c r="BF87" s="55"/>
      <c r="BG87" s="107"/>
    </row>
    <row r="88" spans="1:86" x14ac:dyDescent="0.35">
      <c r="A88" s="60"/>
      <c r="B88" s="60"/>
      <c r="C88" s="105"/>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row>
    <row r="89" spans="1:86" x14ac:dyDescent="0.35">
      <c r="A89" s="60"/>
      <c r="B89" s="60"/>
      <c r="C89" s="105"/>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row>
    <row r="90" spans="1:86" x14ac:dyDescent="0.35">
      <c r="A90" s="60"/>
      <c r="B90" s="60"/>
      <c r="C90" s="105"/>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row>
    <row r="91" spans="1:86" x14ac:dyDescent="0.35">
      <c r="A91" s="60"/>
      <c r="B91" s="60"/>
      <c r="C91" s="105"/>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BF91" s="152"/>
      <c r="BG91" s="152"/>
      <c r="BH91" s="152"/>
      <c r="BI91" s="152"/>
      <c r="BJ91" s="152"/>
      <c r="BK91" s="152"/>
    </row>
    <row r="92" spans="1:86" x14ac:dyDescent="0.35">
      <c r="A92" s="60"/>
      <c r="B92" s="60"/>
      <c r="C92" s="105"/>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R92" s="97"/>
      <c r="AS92" s="108" t="s">
        <v>2060</v>
      </c>
      <c r="AT92" s="97"/>
      <c r="AU92" s="97"/>
      <c r="AV92" s="82"/>
      <c r="AW92" s="82"/>
      <c r="AX92" s="82"/>
      <c r="AY92" s="82"/>
      <c r="CE92" s="55"/>
      <c r="CH92"/>
    </row>
    <row r="93" spans="1:86" s="45" customFormat="1" ht="69" customHeight="1" thickBot="1" x14ac:dyDescent="0.4">
      <c r="A93" s="60"/>
      <c r="B93" s="60"/>
      <c r="C93" s="105"/>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c r="AI93"/>
      <c r="AJ93"/>
      <c r="AK93"/>
      <c r="AL93"/>
      <c r="AM93"/>
      <c r="AN93"/>
      <c r="AO93"/>
      <c r="AP93"/>
      <c r="AQ93"/>
      <c r="AR93" s="83"/>
      <c r="AS93" s="83"/>
      <c r="AT93" s="83"/>
      <c r="AU93" s="83"/>
      <c r="AV93" s="90"/>
      <c r="AW93" s="90"/>
      <c r="AX93" s="90"/>
      <c r="AY93" s="90"/>
      <c r="AZ93"/>
      <c r="BA93"/>
      <c r="BB93"/>
      <c r="BC93"/>
      <c r="BD93"/>
      <c r="BE93"/>
      <c r="BF93"/>
      <c r="BG93"/>
      <c r="BH93"/>
      <c r="BI93"/>
      <c r="CE93" s="153"/>
      <c r="CF93" s="153"/>
      <c r="CG93" s="153"/>
    </row>
    <row r="94" spans="1:86" x14ac:dyDescent="0.35">
      <c r="A94" s="60"/>
      <c r="B94" s="60"/>
      <c r="C94" s="105"/>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V94" s="154"/>
      <c r="AW94" s="154"/>
      <c r="AX94" s="154"/>
      <c r="AY94" s="154"/>
      <c r="AZ94" s="154"/>
      <c r="BA94" s="154"/>
      <c r="BB94" s="154"/>
      <c r="BC94" s="118"/>
      <c r="BD94" s="118"/>
      <c r="BE94" s="118"/>
      <c r="BF94" s="118"/>
      <c r="BG94" s="118"/>
      <c r="BH94" s="118"/>
      <c r="BI94" s="118"/>
      <c r="BJ94" s="118"/>
      <c r="CE94" s="55"/>
      <c r="CH94"/>
    </row>
    <row r="95" spans="1:86" x14ac:dyDescent="0.35">
      <c r="A95" s="60"/>
      <c r="B95" s="60"/>
      <c r="C95" s="105"/>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V95" s="154"/>
      <c r="AW95" s="154"/>
      <c r="AX95" s="154"/>
      <c r="AY95" s="154"/>
      <c r="AZ95" s="154"/>
      <c r="BA95" s="154"/>
      <c r="BB95" s="154"/>
      <c r="BC95" s="118"/>
      <c r="BD95" s="118"/>
      <c r="BE95" s="118"/>
      <c r="BF95" s="118"/>
      <c r="BG95" s="118"/>
      <c r="BH95" s="118"/>
      <c r="BI95" s="118"/>
      <c r="BJ95" s="118"/>
      <c r="CE95" s="55"/>
      <c r="CH95"/>
    </row>
    <row r="96" spans="1:86" x14ac:dyDescent="0.35">
      <c r="A96" s="60"/>
      <c r="B96" s="60"/>
      <c r="C96" s="105"/>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V96" s="154"/>
      <c r="AW96" s="154"/>
      <c r="AX96" s="154"/>
      <c r="AY96" s="154"/>
      <c r="AZ96" s="154"/>
      <c r="BA96" s="154"/>
      <c r="BB96" s="154"/>
      <c r="BC96" s="118"/>
      <c r="BD96" s="118"/>
      <c r="BE96" s="118"/>
      <c r="BF96" s="118"/>
      <c r="BG96" s="118"/>
      <c r="BH96" s="118"/>
      <c r="BI96" s="118"/>
      <c r="BJ96" s="118"/>
      <c r="CE96" s="55"/>
      <c r="CH96"/>
    </row>
    <row r="97" spans="1:86" x14ac:dyDescent="0.35">
      <c r="A97" s="60"/>
      <c r="B97" s="60"/>
      <c r="C97" s="105"/>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V97" s="154"/>
      <c r="AW97" s="154"/>
      <c r="AX97" s="154"/>
      <c r="AY97" s="154"/>
      <c r="AZ97" s="154"/>
      <c r="BA97" s="154"/>
      <c r="BB97" s="154"/>
      <c r="BC97" s="118"/>
      <c r="BD97" s="118"/>
      <c r="BE97" s="118"/>
      <c r="BF97" s="118"/>
      <c r="BG97" s="118"/>
      <c r="BH97" s="118"/>
      <c r="BI97" s="118"/>
      <c r="BJ97" s="118"/>
      <c r="CE97" s="55"/>
      <c r="CH97"/>
    </row>
    <row r="98" spans="1:86" x14ac:dyDescent="0.35">
      <c r="A98" s="60"/>
      <c r="B98" s="60"/>
      <c r="C98" s="105"/>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V98" s="154"/>
      <c r="AW98" s="154"/>
      <c r="AX98" s="154"/>
      <c r="AY98" s="154"/>
      <c r="AZ98" s="154"/>
      <c r="BA98" s="154"/>
      <c r="BB98" s="154"/>
      <c r="BC98" s="118"/>
      <c r="BD98" s="118"/>
      <c r="BE98" s="118"/>
      <c r="BF98" s="118"/>
      <c r="BG98" s="118"/>
      <c r="BH98" s="118"/>
      <c r="BI98" s="118"/>
      <c r="BJ98" s="118"/>
      <c r="CE98" s="55"/>
      <c r="CH98"/>
    </row>
    <row r="99" spans="1:86" x14ac:dyDescent="0.35">
      <c r="A99" s="60"/>
      <c r="B99" s="60"/>
      <c r="C99" s="105"/>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V99" s="154"/>
      <c r="AW99" s="154"/>
      <c r="AX99" s="154"/>
      <c r="AY99" s="154"/>
      <c r="AZ99" s="154"/>
      <c r="BA99" s="154"/>
      <c r="BB99" s="154"/>
      <c r="BC99" s="118"/>
      <c r="BD99" s="118"/>
      <c r="BE99" s="118"/>
      <c r="BF99" s="118"/>
      <c r="BG99" s="118"/>
      <c r="BH99" s="118"/>
      <c r="BI99" s="118"/>
      <c r="BJ99" s="118"/>
      <c r="CE99" s="55"/>
      <c r="CH99"/>
    </row>
    <row r="100" spans="1:86" x14ac:dyDescent="0.35">
      <c r="A100" s="60"/>
      <c r="B100" s="60"/>
      <c r="C100" s="105"/>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V100" s="154"/>
      <c r="AW100" s="154"/>
      <c r="AX100" s="154"/>
      <c r="AY100" s="154"/>
      <c r="AZ100" s="154"/>
      <c r="BA100" s="154"/>
      <c r="BB100" s="154"/>
      <c r="BC100" s="118"/>
      <c r="BD100" s="118"/>
      <c r="BE100" s="118"/>
      <c r="BF100" s="118"/>
      <c r="BG100" s="118"/>
      <c r="BH100" s="118"/>
      <c r="BI100" s="118"/>
      <c r="BJ100" s="118"/>
      <c r="CE100" s="55"/>
      <c r="CH100"/>
    </row>
    <row r="101" spans="1:86" x14ac:dyDescent="0.35">
      <c r="A101" s="60"/>
      <c r="B101" s="60"/>
      <c r="C101" s="105"/>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V101" s="154"/>
      <c r="AW101" s="154"/>
      <c r="AX101" s="154"/>
      <c r="AY101" s="154"/>
      <c r="AZ101" s="154"/>
      <c r="BA101" s="154"/>
      <c r="BB101" s="154"/>
      <c r="BC101" s="118"/>
      <c r="BD101" s="118"/>
      <c r="BE101" s="118"/>
      <c r="BF101" s="118"/>
      <c r="BG101" s="118"/>
      <c r="BH101" s="118"/>
      <c r="BI101" s="118"/>
      <c r="BJ101" s="118"/>
      <c r="CE101" s="55"/>
      <c r="CH101"/>
    </row>
    <row r="102" spans="1:86" x14ac:dyDescent="0.35">
      <c r="A102" s="60"/>
      <c r="B102" s="60"/>
      <c r="C102" s="105"/>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V102" s="154"/>
      <c r="AW102" s="154"/>
      <c r="AX102" s="154"/>
      <c r="AY102" s="154"/>
      <c r="AZ102" s="154"/>
      <c r="BA102" s="154"/>
      <c r="BB102" s="154"/>
      <c r="BC102" s="118"/>
      <c r="BD102" s="118"/>
      <c r="BE102" s="118"/>
      <c r="BF102" s="118"/>
      <c r="BG102" s="118"/>
      <c r="BH102" s="118"/>
      <c r="BI102" s="118"/>
      <c r="BJ102" s="118"/>
      <c r="CE102" s="55"/>
      <c r="CH102"/>
    </row>
    <row r="103" spans="1:86" x14ac:dyDescent="0.35">
      <c r="A103" s="60"/>
      <c r="B103" s="60"/>
      <c r="C103" s="105"/>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O103" s="55"/>
      <c r="AP103" s="55"/>
      <c r="AQ103" s="55"/>
      <c r="AV103" s="154"/>
      <c r="AW103" s="154"/>
      <c r="AX103" s="154"/>
      <c r="AY103" s="154"/>
      <c r="AZ103" s="154"/>
      <c r="BA103" s="154"/>
      <c r="BB103" s="154"/>
      <c r="BC103" s="118"/>
      <c r="BD103" s="118"/>
      <c r="BE103" s="118"/>
      <c r="BF103" s="118"/>
      <c r="BG103" s="118"/>
      <c r="BH103" s="118"/>
      <c r="BI103" s="118"/>
      <c r="BJ103" s="118"/>
      <c r="CE103" s="55"/>
      <c r="CH103"/>
    </row>
    <row r="104" spans="1:86" x14ac:dyDescent="0.3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55"/>
      <c r="AI104" s="55"/>
      <c r="AJ104" s="55"/>
      <c r="AK104" s="55"/>
      <c r="AL104" s="55"/>
      <c r="AM104" s="55"/>
      <c r="AN104" s="55"/>
      <c r="AO104" s="55"/>
      <c r="AP104" s="55"/>
      <c r="AQ104" s="55"/>
      <c r="AV104" s="154"/>
      <c r="AW104" s="154"/>
      <c r="AX104" s="154"/>
      <c r="AY104" s="154"/>
      <c r="AZ104" s="154"/>
      <c r="BA104" s="154"/>
      <c r="BB104" s="154"/>
      <c r="BC104" s="118"/>
      <c r="BD104" s="118"/>
      <c r="BE104" s="118"/>
      <c r="BF104" s="118"/>
      <c r="BG104" s="118"/>
      <c r="BH104" s="118"/>
      <c r="BI104" s="118"/>
      <c r="BJ104" s="118"/>
      <c r="CE104" s="55"/>
      <c r="CH104"/>
    </row>
    <row r="105" spans="1:86" x14ac:dyDescent="0.3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55"/>
      <c r="AI105" s="55"/>
      <c r="AJ105" s="55"/>
      <c r="AK105" s="55"/>
      <c r="AL105" s="55"/>
      <c r="AM105" s="55"/>
      <c r="AN105" s="55"/>
      <c r="AO105" s="55"/>
      <c r="AP105" s="55"/>
      <c r="AQ105" s="55"/>
      <c r="AV105" s="154"/>
      <c r="AW105" s="154"/>
      <c r="AX105" s="154"/>
      <c r="AY105" s="154"/>
      <c r="AZ105" s="154"/>
      <c r="BA105" s="154"/>
      <c r="BB105" s="154"/>
      <c r="BC105" s="118"/>
      <c r="BD105" s="118"/>
      <c r="BE105" s="118"/>
      <c r="BF105" s="118"/>
      <c r="BG105" s="118"/>
      <c r="BH105" s="118"/>
      <c r="BI105" s="118"/>
      <c r="BJ105" s="118"/>
      <c r="CE105" s="55"/>
      <c r="CH105"/>
    </row>
    <row r="106" spans="1:86" x14ac:dyDescent="0.3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V106" s="154"/>
      <c r="AW106" s="154"/>
      <c r="AX106" s="154"/>
      <c r="AY106" s="154"/>
      <c r="AZ106" s="154"/>
      <c r="BA106" s="154"/>
      <c r="BB106" s="154"/>
      <c r="BC106" s="118"/>
      <c r="BD106" s="118"/>
      <c r="BE106" s="118"/>
      <c r="BF106" s="118"/>
      <c r="BG106" s="118"/>
      <c r="BH106" s="118"/>
      <c r="BI106" s="118"/>
      <c r="BJ106" s="118"/>
      <c r="CE106" s="55"/>
      <c r="CH106"/>
    </row>
    <row r="107" spans="1:86" x14ac:dyDescent="0.35">
      <c r="AV107" s="154"/>
      <c r="AW107" s="154"/>
      <c r="AX107" s="154"/>
      <c r="AY107" s="154"/>
      <c r="AZ107" s="154"/>
      <c r="BA107" s="154"/>
      <c r="BB107" s="154"/>
      <c r="BC107" s="118"/>
      <c r="BD107" s="118"/>
      <c r="BE107" s="118"/>
      <c r="BF107" s="118"/>
      <c r="BG107" s="118"/>
      <c r="BH107" s="118"/>
      <c r="BI107" s="118"/>
      <c r="BJ107" s="118"/>
      <c r="CE107" s="55"/>
      <c r="CH107"/>
    </row>
    <row r="108" spans="1:86" x14ac:dyDescent="0.35">
      <c r="AV108" s="154"/>
      <c r="AW108" s="154"/>
      <c r="AX108" s="154"/>
      <c r="AY108" s="154"/>
      <c r="AZ108" s="154"/>
      <c r="BA108" s="154"/>
      <c r="BB108" s="154"/>
      <c r="BC108" s="118"/>
      <c r="BD108" s="118"/>
      <c r="BE108" s="118"/>
      <c r="BF108" s="118"/>
      <c r="BG108" s="118"/>
      <c r="BH108" s="118"/>
      <c r="BI108" s="118"/>
      <c r="BJ108" s="118"/>
      <c r="CE108" s="55"/>
      <c r="CH108"/>
    </row>
    <row r="109" spans="1:86" x14ac:dyDescent="0.35">
      <c r="L109" s="152"/>
      <c r="M109" s="152"/>
      <c r="N109" s="152"/>
      <c r="O109" s="152"/>
      <c r="P109" s="152"/>
      <c r="Q109" s="152"/>
      <c r="R109" s="152"/>
      <c r="S109" s="152"/>
      <c r="T109" s="152"/>
      <c r="U109" s="152"/>
      <c r="V109" s="152"/>
      <c r="AV109" s="154"/>
      <c r="AW109" s="154"/>
      <c r="AX109" s="154"/>
      <c r="AY109" s="154"/>
      <c r="AZ109" s="154"/>
      <c r="BA109" s="154"/>
      <c r="BB109" s="154"/>
      <c r="BC109" s="118"/>
      <c r="BD109" s="118"/>
      <c r="BE109" s="118"/>
      <c r="BF109" s="118"/>
      <c r="BG109" s="118"/>
      <c r="BH109" s="118"/>
      <c r="BI109" s="118"/>
      <c r="BJ109" s="118"/>
      <c r="CE109" s="55"/>
      <c r="CH109"/>
    </row>
    <row r="110" spans="1:86" x14ac:dyDescent="0.35">
      <c r="O110" s="58"/>
      <c r="P110" s="58"/>
      <c r="Q110" s="58"/>
      <c r="R110" s="58"/>
      <c r="S110" s="58"/>
      <c r="W110" s="89"/>
      <c r="AV110" s="154"/>
      <c r="AW110" s="154"/>
      <c r="AX110" s="154"/>
      <c r="AY110" s="154"/>
      <c r="AZ110" s="154"/>
      <c r="BA110" s="154"/>
      <c r="BB110" s="154"/>
      <c r="BC110" s="118"/>
      <c r="BD110" s="118"/>
      <c r="BE110" s="118"/>
      <c r="BF110" s="118"/>
      <c r="BG110" s="118"/>
      <c r="BH110" s="118"/>
      <c r="BI110" s="59"/>
      <c r="BJ110" s="59"/>
      <c r="CE110" s="55"/>
      <c r="CH110"/>
    </row>
    <row r="111" spans="1:86" x14ac:dyDescent="0.35">
      <c r="Q111" s="126" t="str">
        <f>IF(ISNUMBER(#REF!),MEDIAN(Q1:Q110),"")</f>
        <v/>
      </c>
    </row>
    <row r="115" spans="83:86" x14ac:dyDescent="0.35">
      <c r="CE115" s="55"/>
      <c r="CH115"/>
    </row>
    <row r="116" spans="83:86" x14ac:dyDescent="0.35">
      <c r="CE116" s="55"/>
      <c r="CH116"/>
    </row>
  </sheetData>
  <conditionalFormatting sqref="B2:B18">
    <cfRule type="duplicateValues" dxfId="70" priority="207"/>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AE18-BB2F-4418-A8FA-064FED6ACCB0}">
  <sheetPr>
    <tabColor rgb="FFC00000"/>
  </sheetPr>
  <dimension ref="A1:BA64"/>
  <sheetViews>
    <sheetView zoomScale="85" zoomScaleNormal="85" workbookViewId="0"/>
  </sheetViews>
  <sheetFormatPr defaultRowHeight="14.5" x14ac:dyDescent="0.35"/>
  <cols>
    <col min="1" max="1" width="63.1796875" style="55" bestFit="1" customWidth="1"/>
    <col min="2" max="27" width="8.6328125" customWidth="1"/>
  </cols>
  <sheetData>
    <row r="1" spans="1:53" s="117" customFormat="1" ht="94.5" customHeight="1" x14ac:dyDescent="0.35">
      <c r="A1" s="180" t="s">
        <v>2220</v>
      </c>
      <c r="B1" s="22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v>8.5364928540910601E-2</v>
      </c>
      <c r="C3" s="116">
        <v>1</v>
      </c>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-0.212164511001459</v>
      </c>
      <c r="C4" s="116">
        <v>-1.5742274013564799E-2</v>
      </c>
      <c r="D4" s="116">
        <v>0.999999999999999</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v>0.385911120258634</v>
      </c>
      <c r="C5" s="116">
        <v>0.163726197678526</v>
      </c>
      <c r="D5" s="116">
        <v>0.22798233487966099</v>
      </c>
      <c r="E5" s="116">
        <v>1</v>
      </c>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5.93325545986646E-2</v>
      </c>
      <c r="C6" s="116">
        <v>-0.147920052326727</v>
      </c>
      <c r="D6" s="116">
        <v>-0.36326128734919899</v>
      </c>
      <c r="E6" s="116">
        <v>-9.7372899112029496E-2</v>
      </c>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0.26179084986554102</v>
      </c>
      <c r="C7" s="116">
        <v>-5.29477620715317E-2</v>
      </c>
      <c r="D7" s="116">
        <v>0.16364173227256201</v>
      </c>
      <c r="E7" s="116">
        <v>0.18921005590083501</v>
      </c>
      <c r="F7" s="116">
        <v>-0.218178138365686</v>
      </c>
      <c r="G7" s="116">
        <v>0.999999999999999</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v>0.29437190648580303</v>
      </c>
      <c r="C8" s="116">
        <v>-0.27520836646151198</v>
      </c>
      <c r="D8" s="116">
        <v>-0.22528508681445999</v>
      </c>
      <c r="E8" s="116">
        <v>0.33213459668241402</v>
      </c>
      <c r="F8" s="116">
        <v>-0.124034734589208</v>
      </c>
      <c r="G8" s="116">
        <v>0.50257382472803003</v>
      </c>
      <c r="H8" s="116">
        <v>0.999999999999999</v>
      </c>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v>0.28227539126016499</v>
      </c>
      <c r="C9" s="116">
        <v>0.29773257907842099</v>
      </c>
      <c r="D9" s="116">
        <v>-0.26588003761759599</v>
      </c>
      <c r="E9" s="116">
        <v>-0.142539329019959</v>
      </c>
      <c r="F9" s="116">
        <v>-9.7590007294853301E-2</v>
      </c>
      <c r="G9" s="116">
        <v>0.45625727388610299</v>
      </c>
      <c r="H9" s="116">
        <v>0.30261376633440101</v>
      </c>
      <c r="I9" s="116">
        <v>1</v>
      </c>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v>0.28227539126016499</v>
      </c>
      <c r="C10" s="182">
        <v>0.29773257907842099</v>
      </c>
      <c r="D10" s="182">
        <v>-0.26588003761759599</v>
      </c>
      <c r="E10" s="182">
        <v>-0.142539329019959</v>
      </c>
      <c r="F10" s="182">
        <v>-9.7590007294853301E-2</v>
      </c>
      <c r="G10" s="182">
        <v>0.45625727388610299</v>
      </c>
      <c r="H10" s="182">
        <v>0.30261376633440101</v>
      </c>
      <c r="I10" s="182">
        <v>1</v>
      </c>
      <c r="J10" s="183">
        <v>1</v>
      </c>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v>0.32632905029265502</v>
      </c>
      <c r="C11" s="116">
        <v>-0.147920052326727</v>
      </c>
      <c r="D11" s="116">
        <v>-0.36326128734919899</v>
      </c>
      <c r="E11" s="116">
        <v>-9.7372899112029496E-2</v>
      </c>
      <c r="F11" s="116">
        <v>-6.6666666666666596E-2</v>
      </c>
      <c r="G11" s="116">
        <v>0.187009832884873</v>
      </c>
      <c r="H11" s="116">
        <v>0.53748384988656905</v>
      </c>
      <c r="I11" s="116">
        <v>0.68313005106397295</v>
      </c>
      <c r="J11" s="184">
        <v>0.68313005106397295</v>
      </c>
      <c r="K11" s="116">
        <v>1</v>
      </c>
      <c r="L11" s="181"/>
      <c r="M11" s="181"/>
      <c r="N11" s="181"/>
      <c r="O11" s="181"/>
      <c r="P11" s="181"/>
      <c r="Q11" s="186"/>
      <c r="R11" s="181"/>
      <c r="S11" s="181"/>
      <c r="T11" s="181"/>
      <c r="U11" s="181"/>
      <c r="V11" s="192"/>
      <c r="W11" s="116"/>
      <c r="X11" s="116"/>
      <c r="Y11" s="116"/>
      <c r="Z11" s="190"/>
      <c r="AA11" s="190"/>
      <c r="AB11" s="190"/>
      <c r="AC11" s="190"/>
      <c r="AD11" s="16"/>
    </row>
    <row r="12" spans="1:53" x14ac:dyDescent="0.35">
      <c r="A12" s="124" t="s">
        <v>2233</v>
      </c>
      <c r="B12" s="204">
        <v>0.48158556444335199</v>
      </c>
      <c r="C12" s="116">
        <v>-0.40633404824835301</v>
      </c>
      <c r="D12" s="116">
        <v>2.5907926002134301E-2</v>
      </c>
      <c r="E12" s="116">
        <v>0.12097167578182599</v>
      </c>
      <c r="F12" s="116">
        <v>-5.88968139065848E-2</v>
      </c>
      <c r="G12" s="116">
        <v>0.39238384349309302</v>
      </c>
      <c r="H12" s="116">
        <v>0.38352566075529498</v>
      </c>
      <c r="I12" s="116">
        <v>0.12932416122271201</v>
      </c>
      <c r="J12" s="184">
        <v>0.12932416122271201</v>
      </c>
      <c r="K12" s="116">
        <v>0.235587255626339</v>
      </c>
      <c r="L12" s="116">
        <v>0.999999999999999</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0.33007654779714601</v>
      </c>
      <c r="C13" s="116">
        <v>0.31951957714824802</v>
      </c>
      <c r="D13" s="116">
        <v>0.114718493982735</v>
      </c>
      <c r="E13" s="116">
        <v>0.44133141796081399</v>
      </c>
      <c r="F13" s="116">
        <v>-0.19402850002906599</v>
      </c>
      <c r="G13" s="116">
        <v>0.64160615028814505</v>
      </c>
      <c r="H13" s="116">
        <v>0.26071796295834698</v>
      </c>
      <c r="I13" s="116">
        <v>0.63906444224705306</v>
      </c>
      <c r="J13" s="184">
        <v>0.63906444224705306</v>
      </c>
      <c r="K13" s="116">
        <v>0.38805700005813198</v>
      </c>
      <c r="L13" s="116">
        <v>5.3567158400558E-2</v>
      </c>
      <c r="M13" s="116">
        <v>1</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9.1300157590002096E-2</v>
      </c>
      <c r="C14" s="116">
        <v>3.2367617379187898E-2</v>
      </c>
      <c r="D14" s="116">
        <v>0.455561545884826</v>
      </c>
      <c r="E14" s="116">
        <v>-9.2101114370726003E-2</v>
      </c>
      <c r="F14" s="116">
        <v>0.120467720387366</v>
      </c>
      <c r="G14" s="116">
        <v>0.18832541902890301</v>
      </c>
      <c r="H14" s="116">
        <v>-1.8677727156017499E-2</v>
      </c>
      <c r="I14" s="116">
        <v>-0.11021667854435099</v>
      </c>
      <c r="J14" s="184">
        <v>-0.11021667854435099</v>
      </c>
      <c r="K14" s="116">
        <v>-0.27105237087157502</v>
      </c>
      <c r="L14" s="116">
        <v>0.124719695673138</v>
      </c>
      <c r="M14" s="116">
        <v>-0.23100255021236199</v>
      </c>
      <c r="N14" s="116">
        <v>1</v>
      </c>
      <c r="O14" s="181"/>
      <c r="P14" s="181"/>
      <c r="Q14" s="186"/>
      <c r="R14" s="181"/>
      <c r="S14" s="181"/>
      <c r="T14" s="181"/>
      <c r="U14" s="181"/>
      <c r="V14" s="192"/>
      <c r="W14" s="116"/>
      <c r="X14" s="116"/>
      <c r="Y14" s="116"/>
      <c r="Z14" s="190"/>
      <c r="AA14" s="190"/>
      <c r="AB14" s="190"/>
      <c r="AC14" s="190"/>
      <c r="AD14" s="16"/>
    </row>
    <row r="15" spans="1:53" x14ac:dyDescent="0.35">
      <c r="A15" s="124" t="s">
        <v>2236</v>
      </c>
      <c r="B15" s="204">
        <v>5.93325545986646E-2</v>
      </c>
      <c r="C15" s="116">
        <v>0.40678014389850098</v>
      </c>
      <c r="D15" s="116">
        <v>0.33298951340343302</v>
      </c>
      <c r="E15" s="116">
        <v>0.63292384422819103</v>
      </c>
      <c r="F15" s="116">
        <v>-6.6666666666666596E-2</v>
      </c>
      <c r="G15" s="116">
        <v>-0.218178138365686</v>
      </c>
      <c r="H15" s="116">
        <v>-0.124034734589208</v>
      </c>
      <c r="I15" s="116">
        <v>-9.7590007294853301E-2</v>
      </c>
      <c r="J15" s="184">
        <v>-9.7590007294853301E-2</v>
      </c>
      <c r="K15" s="116">
        <v>-6.6666666666666596E-2</v>
      </c>
      <c r="L15" s="116">
        <v>-0.32393247648621598</v>
      </c>
      <c r="M15" s="116">
        <v>0.38805700005813198</v>
      </c>
      <c r="N15" s="116">
        <v>-0.27105237087157502</v>
      </c>
      <c r="O15" s="116">
        <v>1</v>
      </c>
      <c r="P15" s="181"/>
      <c r="Q15" s="186"/>
      <c r="R15" s="181"/>
      <c r="S15" s="181"/>
      <c r="T15" s="181"/>
      <c r="U15" s="181"/>
      <c r="V15" s="192"/>
      <c r="W15" s="116"/>
      <c r="X15" s="116"/>
      <c r="Y15" s="116"/>
      <c r="Z15" s="190"/>
      <c r="AA15" s="190"/>
      <c r="AB15" s="190"/>
      <c r="AC15" s="190"/>
      <c r="AD15" s="16"/>
    </row>
    <row r="16" spans="1:53" x14ac:dyDescent="0.35">
      <c r="A16" s="124" t="s">
        <v>1204</v>
      </c>
      <c r="B16" s="204">
        <v>-0.173707933083178</v>
      </c>
      <c r="C16" s="116">
        <v>0.189466186686268</v>
      </c>
      <c r="D16" s="116">
        <v>0.24372336781612999</v>
      </c>
      <c r="E16" s="116">
        <v>0.39198315480488899</v>
      </c>
      <c r="F16" s="116">
        <v>-9.7590007294853301E-2</v>
      </c>
      <c r="G16" s="116">
        <v>-0.31938009172027199</v>
      </c>
      <c r="H16" s="116">
        <v>-0.18156825980064001</v>
      </c>
      <c r="I16" s="116">
        <v>-0.14285714285714199</v>
      </c>
      <c r="J16" s="184">
        <v>-0.14285714285714199</v>
      </c>
      <c r="K16" s="116">
        <v>-9.7590007294853301E-2</v>
      </c>
      <c r="L16" s="116">
        <v>-0.47418859114994599</v>
      </c>
      <c r="M16" s="116">
        <v>0.14201432049934501</v>
      </c>
      <c r="N16" s="116">
        <v>-0.396780042759664</v>
      </c>
      <c r="O16" s="116">
        <v>0.68313005106397295</v>
      </c>
      <c r="P16" s="116">
        <v>1</v>
      </c>
      <c r="Q16" s="194"/>
      <c r="R16" s="181"/>
      <c r="S16" s="181"/>
      <c r="T16" s="181"/>
      <c r="U16" s="181"/>
      <c r="V16" s="192"/>
      <c r="W16" s="116"/>
      <c r="X16" s="116"/>
      <c r="Y16" s="116"/>
      <c r="Z16" s="190"/>
      <c r="AA16" s="190"/>
      <c r="AB16" s="190"/>
      <c r="AC16" s="190"/>
      <c r="AD16" s="16"/>
    </row>
    <row r="17" spans="1:30" x14ac:dyDescent="0.35">
      <c r="A17" s="124" t="s">
        <v>1205</v>
      </c>
      <c r="B17" s="205">
        <v>5.93325545986646E-2</v>
      </c>
      <c r="C17" s="182">
        <v>0.40678014389850098</v>
      </c>
      <c r="D17" s="182">
        <v>0.33298951340343302</v>
      </c>
      <c r="E17" s="182">
        <v>0.63292384422819103</v>
      </c>
      <c r="F17" s="182">
        <v>-6.6666666666666596E-2</v>
      </c>
      <c r="G17" s="182">
        <v>-0.218178138365686</v>
      </c>
      <c r="H17" s="182">
        <v>-0.124034734589208</v>
      </c>
      <c r="I17" s="182">
        <v>-9.7590007294853301E-2</v>
      </c>
      <c r="J17" s="183">
        <v>-9.7590007294853301E-2</v>
      </c>
      <c r="K17" s="182">
        <v>-6.6666666666666596E-2</v>
      </c>
      <c r="L17" s="182">
        <v>-0.32393247648621598</v>
      </c>
      <c r="M17" s="182">
        <v>0.38805700005813198</v>
      </c>
      <c r="N17" s="182">
        <v>-0.27105237087157502</v>
      </c>
      <c r="O17" s="182">
        <v>1</v>
      </c>
      <c r="P17" s="182">
        <v>0.68313005106397295</v>
      </c>
      <c r="Q17" s="195">
        <v>1</v>
      </c>
      <c r="R17" s="182"/>
      <c r="S17" s="182"/>
      <c r="T17" s="182"/>
      <c r="U17" s="182"/>
      <c r="V17" s="182"/>
      <c r="W17" s="182"/>
      <c r="X17" s="182"/>
      <c r="Y17" s="182"/>
      <c r="Z17" s="182"/>
      <c r="AA17" s="182"/>
      <c r="AB17" s="182"/>
      <c r="AC17" s="182"/>
      <c r="AD17" s="115"/>
    </row>
    <row r="18" spans="1:30" x14ac:dyDescent="0.35">
      <c r="A18" s="125" t="s">
        <v>2096</v>
      </c>
      <c r="B18" s="204">
        <v>0.28182963434365699</v>
      </c>
      <c r="C18" s="116">
        <v>-0.16641005886756799</v>
      </c>
      <c r="D18" s="116">
        <v>-0.36326128734919899</v>
      </c>
      <c r="E18" s="116">
        <v>0.121716123890036</v>
      </c>
      <c r="F18" s="116">
        <v>0.33333333333333298</v>
      </c>
      <c r="G18" s="116">
        <v>-0.12467322192324901</v>
      </c>
      <c r="H18" s="116">
        <v>-4.13449115297361E-2</v>
      </c>
      <c r="I18" s="116">
        <v>-0.29277002188455897</v>
      </c>
      <c r="J18" s="184">
        <v>-0.29277002188455897</v>
      </c>
      <c r="K18" s="116">
        <v>-0.2</v>
      </c>
      <c r="L18" s="116">
        <v>-0.17669044171975401</v>
      </c>
      <c r="M18" s="116">
        <v>-0.16169041669088799</v>
      </c>
      <c r="N18" s="116">
        <v>-6.0233860193683403E-2</v>
      </c>
      <c r="O18" s="116">
        <v>-0.2</v>
      </c>
      <c r="P18" s="116">
        <v>9.7590007294853301E-2</v>
      </c>
      <c r="Q18" s="194">
        <v>-0.2</v>
      </c>
      <c r="R18" s="116">
        <v>1</v>
      </c>
      <c r="S18" s="181"/>
      <c r="T18" s="181"/>
      <c r="U18" s="181"/>
      <c r="V18" s="192"/>
      <c r="W18" s="116"/>
      <c r="X18" s="116"/>
      <c r="Y18" s="116"/>
      <c r="Z18" s="190"/>
      <c r="AA18" s="190"/>
      <c r="AB18" s="190"/>
      <c r="AC18" s="190"/>
      <c r="AD18" s="16"/>
    </row>
    <row r="19" spans="1:30" x14ac:dyDescent="0.35">
      <c r="A19" s="125" t="s">
        <v>2097</v>
      </c>
      <c r="B19" s="204">
        <v>0.10844895627718899</v>
      </c>
      <c r="C19" s="116">
        <v>0.56005327751890999</v>
      </c>
      <c r="D19" s="116">
        <v>-3.1617836700598902E-2</v>
      </c>
      <c r="E19" s="116">
        <v>0.12712834523274499</v>
      </c>
      <c r="F19" s="116">
        <v>-0.17407765595569699</v>
      </c>
      <c r="G19" s="116">
        <v>0.19532540009559299</v>
      </c>
      <c r="H19" s="116">
        <v>2.1591675854376501E-2</v>
      </c>
      <c r="I19" s="116">
        <v>0.56061191058138804</v>
      </c>
      <c r="J19" s="184">
        <v>0.56061191058138804</v>
      </c>
      <c r="K19" s="116">
        <v>0.38297084310253499</v>
      </c>
      <c r="L19" s="116">
        <v>1.5378928962175799E-2</v>
      </c>
      <c r="M19" s="116">
        <v>0.455976357394409</v>
      </c>
      <c r="N19" s="116">
        <v>-0.17300859166271301</v>
      </c>
      <c r="O19" s="116">
        <v>0.38297084310253499</v>
      </c>
      <c r="P19" s="116">
        <v>0.15289415743128701</v>
      </c>
      <c r="Q19" s="194">
        <v>0.38297084310253499</v>
      </c>
      <c r="R19" s="116">
        <v>-0.52223296786709295</v>
      </c>
      <c r="S19" s="116">
        <v>1</v>
      </c>
      <c r="T19" s="181"/>
      <c r="U19" s="181"/>
      <c r="V19" s="192"/>
      <c r="W19" s="116"/>
      <c r="X19" s="116"/>
      <c r="Y19" s="116"/>
      <c r="Z19" s="190"/>
      <c r="AA19" s="190"/>
      <c r="AB19" s="190"/>
      <c r="AC19" s="190"/>
      <c r="AD19" s="16"/>
    </row>
    <row r="20" spans="1:30" x14ac:dyDescent="0.35">
      <c r="A20" s="125" t="s">
        <v>2098</v>
      </c>
      <c r="B20" s="206">
        <v>-0.46435068876466101</v>
      </c>
      <c r="C20" s="122">
        <v>-0.33075929223788902</v>
      </c>
      <c r="D20" s="122">
        <v>0.43998333822456798</v>
      </c>
      <c r="E20" s="122">
        <v>-0.217732421580726</v>
      </c>
      <c r="F20" s="122">
        <v>-0.14907119849998501</v>
      </c>
      <c r="G20" s="122">
        <v>5.2270837348931599E-2</v>
      </c>
      <c r="H20" s="122">
        <v>9.2450032704204793E-2</v>
      </c>
      <c r="I20" s="122">
        <v>-0.218217890235992</v>
      </c>
      <c r="J20" s="184">
        <v>-0.218217890235992</v>
      </c>
      <c r="K20" s="122">
        <v>-0.14907119849998501</v>
      </c>
      <c r="L20" s="122">
        <v>4.9386479832479402E-2</v>
      </c>
      <c r="M20" s="122">
        <v>-0.198852919667101</v>
      </c>
      <c r="N20" s="122">
        <v>0.40406101782088399</v>
      </c>
      <c r="O20" s="122">
        <v>-0.14907119849998501</v>
      </c>
      <c r="P20" s="122">
        <v>-0.218217890235992</v>
      </c>
      <c r="Q20" s="194">
        <v>-0.14907119849998501</v>
      </c>
      <c r="R20" s="122">
        <v>-0.44721359549995798</v>
      </c>
      <c r="S20" s="122">
        <v>-0.38924947208076099</v>
      </c>
      <c r="T20" s="122">
        <v>1</v>
      </c>
      <c r="U20" s="193"/>
      <c r="V20" s="193"/>
      <c r="W20" s="122"/>
      <c r="X20" s="122"/>
      <c r="Y20" s="122"/>
      <c r="Z20" s="190"/>
      <c r="AA20" s="190"/>
      <c r="AB20" s="190"/>
      <c r="AC20" s="190"/>
      <c r="AD20" s="16"/>
    </row>
    <row r="21" spans="1:30" x14ac:dyDescent="0.35">
      <c r="A21" s="125" t="s">
        <v>2099</v>
      </c>
      <c r="B21" s="206">
        <v>5.93325545986646E-2</v>
      </c>
      <c r="C21" s="122">
        <v>-0.147920052326727</v>
      </c>
      <c r="D21" s="122">
        <v>0</v>
      </c>
      <c r="E21" s="122">
        <v>-9.7372899112029496E-2</v>
      </c>
      <c r="F21" s="122">
        <v>-6.6666666666666596E-2</v>
      </c>
      <c r="G21" s="122">
        <v>-0.218178138365686</v>
      </c>
      <c r="H21" s="122">
        <v>-0.124034734589208</v>
      </c>
      <c r="I21" s="122">
        <v>-9.7590007294853301E-2</v>
      </c>
      <c r="J21" s="184">
        <v>-9.7590007294853301E-2</v>
      </c>
      <c r="K21" s="122">
        <v>-6.6666666666666596E-2</v>
      </c>
      <c r="L21" s="122">
        <v>0.235587255626339</v>
      </c>
      <c r="M21" s="122">
        <v>-0.19402850002906599</v>
      </c>
      <c r="N21" s="122">
        <v>-0.27105237087157502</v>
      </c>
      <c r="O21" s="122">
        <v>-6.6666666666666596E-2</v>
      </c>
      <c r="P21" s="122">
        <v>-9.7590007294853301E-2</v>
      </c>
      <c r="Q21" s="194">
        <v>-6.6666666666666596E-2</v>
      </c>
      <c r="R21" s="122">
        <v>-0.2</v>
      </c>
      <c r="S21" s="122">
        <v>-0.17407765595569699</v>
      </c>
      <c r="T21" s="122">
        <v>-0.14907119849998501</v>
      </c>
      <c r="U21" s="122">
        <v>1</v>
      </c>
      <c r="V21" s="193"/>
      <c r="W21" s="122"/>
      <c r="X21" s="122"/>
      <c r="Y21" s="122"/>
      <c r="Z21" s="190"/>
      <c r="AA21" s="190"/>
      <c r="AB21" s="190"/>
      <c r="AC21" s="190"/>
      <c r="AD21" s="16"/>
    </row>
    <row r="22" spans="1:30" x14ac:dyDescent="0.35">
      <c r="A22" s="125" t="s">
        <v>2247</v>
      </c>
      <c r="B22" s="207">
        <v>-0.20056361012557899</v>
      </c>
      <c r="C22" s="208">
        <v>-6.8968080014916194E-2</v>
      </c>
      <c r="D22" s="208">
        <v>0.942128682561308</v>
      </c>
      <c r="E22" s="208">
        <v>0.209976610920491</v>
      </c>
      <c r="F22" s="208">
        <v>-3.1083493608010399E-2</v>
      </c>
      <c r="G22" s="208">
        <v>9.4459932858071194E-2</v>
      </c>
      <c r="H22" s="208">
        <v>-0.28915746598311998</v>
      </c>
      <c r="I22" s="208">
        <v>-0.31851102863530301</v>
      </c>
      <c r="J22" s="209">
        <v>-0.31851102863530301</v>
      </c>
      <c r="K22" s="208">
        <v>-0.40408541690413502</v>
      </c>
      <c r="L22" s="208">
        <v>1.71629881743516E-2</v>
      </c>
      <c r="M22" s="208">
        <v>5.6541409128987502E-2</v>
      </c>
      <c r="N22" s="208">
        <v>0.52657841483891799</v>
      </c>
      <c r="O22" s="208">
        <v>0.34191842968811498</v>
      </c>
      <c r="P22" s="208">
        <v>0.22750787759664501</v>
      </c>
      <c r="Q22" s="209">
        <v>0.34191842968811498</v>
      </c>
      <c r="R22" s="208">
        <v>-0.27975144247209399</v>
      </c>
      <c r="S22" s="208">
        <v>-8.1164125592945599E-2</v>
      </c>
      <c r="T22" s="208">
        <v>0.41702882811414899</v>
      </c>
      <c r="U22" s="208">
        <v>-3.1083493608010399E-2</v>
      </c>
      <c r="V22" s="215">
        <v>0.999999999999999</v>
      </c>
      <c r="W22" s="216"/>
      <c r="X22" s="216"/>
      <c r="Y22" s="216"/>
      <c r="Z22" s="217"/>
      <c r="AA22" s="217"/>
      <c r="AB22" s="217"/>
      <c r="AC22" s="217"/>
      <c r="AD22" s="99"/>
    </row>
    <row r="23" spans="1:30" x14ac:dyDescent="0.35">
      <c r="A23" s="227" t="s">
        <v>2248</v>
      </c>
      <c r="B23" s="207">
        <v>0.885341193808731</v>
      </c>
      <c r="C23" s="208">
        <v>0.47311787885135198</v>
      </c>
      <c r="D23" s="208">
        <v>-0.23713519487293899</v>
      </c>
      <c r="E23" s="208">
        <v>0.45528935991731501</v>
      </c>
      <c r="F23" s="208">
        <v>-2.8912724941310301E-2</v>
      </c>
      <c r="G23" s="208">
        <v>0.338780079323098</v>
      </c>
      <c r="H23" s="208">
        <v>0.25103275150423499</v>
      </c>
      <c r="I23" s="208">
        <v>0.48672479904405702</v>
      </c>
      <c r="J23" s="209">
        <v>0.48672479904405702</v>
      </c>
      <c r="K23" s="208">
        <v>0.28912724941310303</v>
      </c>
      <c r="L23" s="208">
        <v>0.341637768192876</v>
      </c>
      <c r="M23" s="208">
        <v>0.52592743613582105</v>
      </c>
      <c r="N23" s="208">
        <v>3.26535943487496E-2</v>
      </c>
      <c r="O23" s="208">
        <v>0.17347634964786199</v>
      </c>
      <c r="P23" s="208">
        <v>-0.10580973892262099</v>
      </c>
      <c r="Q23" s="209">
        <v>0.17347634964786199</v>
      </c>
      <c r="R23" s="208">
        <v>0.115650899765241</v>
      </c>
      <c r="S23" s="208">
        <v>0.40767781019108701</v>
      </c>
      <c r="T23" s="208">
        <v>-0.54953195625994999</v>
      </c>
      <c r="U23" s="208">
        <v>-2.8912724941310301E-2</v>
      </c>
      <c r="V23" s="207">
        <v>-0.25950207963585198</v>
      </c>
      <c r="W23" s="208">
        <v>1</v>
      </c>
      <c r="X23" s="208"/>
      <c r="Y23" s="208"/>
      <c r="Z23" s="210"/>
      <c r="AA23" s="210"/>
      <c r="AB23" s="210"/>
      <c r="AC23" s="210"/>
      <c r="AD23" s="16"/>
    </row>
    <row r="24" spans="1:30" x14ac:dyDescent="0.35">
      <c r="A24" s="227" t="s">
        <v>2249</v>
      </c>
      <c r="B24" s="207">
        <v>0.57057881804156296</v>
      </c>
      <c r="C24" s="208">
        <v>-3.0880415533266099E-2</v>
      </c>
      <c r="D24" s="208">
        <v>0.132101353552315</v>
      </c>
      <c r="E24" s="208">
        <v>0.39344473768231603</v>
      </c>
      <c r="F24" s="208">
        <v>-0.17239884636824601</v>
      </c>
      <c r="G24" s="208">
        <v>0.63808886409223298</v>
      </c>
      <c r="H24" s="208">
        <v>0.39202982780080398</v>
      </c>
      <c r="I24" s="208">
        <v>0.50473214024104296</v>
      </c>
      <c r="J24" s="209">
        <v>0.50473214024104296</v>
      </c>
      <c r="K24" s="208">
        <v>0.373530833797866</v>
      </c>
      <c r="L24" s="208">
        <v>0.77184310292261404</v>
      </c>
      <c r="M24" s="208">
        <v>0.65593927198911195</v>
      </c>
      <c r="N24" s="208">
        <v>-4.54310850424254E-2</v>
      </c>
      <c r="O24" s="208">
        <v>8.6199423184123103E-2</v>
      </c>
      <c r="P24" s="208">
        <v>-0.21030505843376801</v>
      </c>
      <c r="Q24" s="209">
        <v>8.6199423184123103E-2</v>
      </c>
      <c r="R24" s="208">
        <v>-0.28733141061374301</v>
      </c>
      <c r="S24" s="208">
        <v>0.36012944478300901</v>
      </c>
      <c r="T24" s="208">
        <v>-0.112436199085566</v>
      </c>
      <c r="U24" s="208">
        <v>8.6199423184123103E-2</v>
      </c>
      <c r="V24" s="207">
        <v>9.0429048660078407E-2</v>
      </c>
      <c r="W24" s="208">
        <v>0.61216141472531804</v>
      </c>
      <c r="X24" s="208">
        <v>0.999999999999999</v>
      </c>
      <c r="Y24" s="208"/>
      <c r="Z24" s="210"/>
      <c r="AA24" s="210"/>
      <c r="AB24" s="210"/>
      <c r="AC24" s="210"/>
      <c r="AD24" s="16"/>
    </row>
    <row r="25" spans="1:30" x14ac:dyDescent="0.35">
      <c r="A25" s="125" t="s">
        <v>2228</v>
      </c>
      <c r="B25" s="211">
        <v>5.93325545986646E-2</v>
      </c>
      <c r="C25" s="210">
        <v>0.40678014389850098</v>
      </c>
      <c r="D25" s="210">
        <v>0.33298951340343302</v>
      </c>
      <c r="E25" s="210">
        <v>0.63292384422819103</v>
      </c>
      <c r="F25" s="210">
        <v>-6.6666666666666596E-2</v>
      </c>
      <c r="G25" s="210">
        <v>-0.218178138365686</v>
      </c>
      <c r="H25" s="210">
        <v>-0.124034734589208</v>
      </c>
      <c r="I25" s="210">
        <v>-9.7590007294853301E-2</v>
      </c>
      <c r="J25" s="209">
        <v>-9.7590007294853301E-2</v>
      </c>
      <c r="K25" s="210">
        <v>-6.6666666666666596E-2</v>
      </c>
      <c r="L25" s="210">
        <v>-0.32393247648621598</v>
      </c>
      <c r="M25" s="210">
        <v>0.38805700005813198</v>
      </c>
      <c r="N25" s="210">
        <v>-0.27105237087157502</v>
      </c>
      <c r="O25" s="210">
        <v>1</v>
      </c>
      <c r="P25" s="210">
        <v>0.68313005106397295</v>
      </c>
      <c r="Q25" s="209">
        <v>1</v>
      </c>
      <c r="R25" s="210">
        <v>-0.2</v>
      </c>
      <c r="S25" s="210">
        <v>0.38297084310253499</v>
      </c>
      <c r="T25" s="210">
        <v>-0.14907119849998501</v>
      </c>
      <c r="U25" s="210">
        <v>-6.6666666666666596E-2</v>
      </c>
      <c r="V25" s="211">
        <v>0.34191842968811498</v>
      </c>
      <c r="W25" s="210">
        <v>0.17347634964786199</v>
      </c>
      <c r="X25" s="210">
        <v>8.6199423184123103E-2</v>
      </c>
      <c r="Y25" s="210">
        <v>1</v>
      </c>
      <c r="Z25" s="210"/>
      <c r="AA25" s="210"/>
      <c r="AB25" s="210"/>
      <c r="AC25" s="210"/>
      <c r="AD25" s="16"/>
    </row>
    <row r="26" spans="1:30" x14ac:dyDescent="0.35">
      <c r="A26" s="125" t="s">
        <v>2169</v>
      </c>
      <c r="B26" s="211">
        <v>0.67378406004049896</v>
      </c>
      <c r="C26" s="210">
        <v>0.17312313164934501</v>
      </c>
      <c r="D26" s="210">
        <v>0.30692133035124702</v>
      </c>
      <c r="E26" s="210">
        <v>0.52748864898608006</v>
      </c>
      <c r="F26" s="210">
        <v>-0.114140220001027</v>
      </c>
      <c r="G26" s="210">
        <v>0.53446738917508396</v>
      </c>
      <c r="H26" s="210">
        <v>0.42472055681343901</v>
      </c>
      <c r="I26" s="210">
        <v>0.480366998921883</v>
      </c>
      <c r="J26" s="209">
        <v>0.480366998921883</v>
      </c>
      <c r="K26" s="210">
        <v>0.37095571500333901</v>
      </c>
      <c r="L26" s="210">
        <v>0.535698843952367</v>
      </c>
      <c r="M26" s="210">
        <v>0.62978983339394201</v>
      </c>
      <c r="N26" s="210">
        <v>0.29326624261671103</v>
      </c>
      <c r="O26" s="210">
        <v>0.28535055000256798</v>
      </c>
      <c r="P26" s="210">
        <v>-4.1771043384511597E-2</v>
      </c>
      <c r="Q26" s="209">
        <v>0.28535055000256798</v>
      </c>
      <c r="R26" s="210">
        <v>-0.228280440002054</v>
      </c>
      <c r="S26" s="210">
        <v>0.387450607986907</v>
      </c>
      <c r="T26" s="210">
        <v>-9.5709484083404406E-2</v>
      </c>
      <c r="U26" s="210">
        <v>-0.114140220001027</v>
      </c>
      <c r="V26" s="211">
        <v>0.29602597040144701</v>
      </c>
      <c r="W26" s="210">
        <v>0.71622586675633904</v>
      </c>
      <c r="X26" s="210">
        <v>0.82707590092097505</v>
      </c>
      <c r="Y26" s="210">
        <v>0.28535055000256798</v>
      </c>
      <c r="Z26" s="210">
        <v>1</v>
      </c>
      <c r="AA26" s="210"/>
      <c r="AB26" s="210"/>
      <c r="AC26" s="210"/>
      <c r="AD26" s="16"/>
    </row>
    <row r="27" spans="1:30" x14ac:dyDescent="0.35">
      <c r="A27" s="125" t="s">
        <v>2081</v>
      </c>
      <c r="B27" s="211">
        <v>0.42409703953392502</v>
      </c>
      <c r="C27" s="210">
        <v>0.15008318900147999</v>
      </c>
      <c r="D27" s="210">
        <v>-0.11185564143702199</v>
      </c>
      <c r="E27" s="210">
        <v>0.19316996043899601</v>
      </c>
      <c r="F27" s="210">
        <v>-0.19383855529432401</v>
      </c>
      <c r="G27" s="210">
        <v>0.71744229251302405</v>
      </c>
      <c r="H27" s="210">
        <v>0.44078308558326401</v>
      </c>
      <c r="I27" s="210">
        <v>0.61479294581890198</v>
      </c>
      <c r="J27" s="209">
        <v>0.61479294581890198</v>
      </c>
      <c r="K27" s="210">
        <v>0.48459638823581103</v>
      </c>
      <c r="L27" s="210">
        <v>0.53603909881044898</v>
      </c>
      <c r="M27" s="210">
        <v>0.56317362957412598</v>
      </c>
      <c r="N27" s="210">
        <v>4.1959347205329699E-2</v>
      </c>
      <c r="O27" s="210">
        <v>-0.19383855529432401</v>
      </c>
      <c r="P27" s="210">
        <v>-0.28375059037795403</v>
      </c>
      <c r="Q27" s="209">
        <v>-0.19383855529432401</v>
      </c>
      <c r="R27" s="210">
        <v>-0.27460462000029301</v>
      </c>
      <c r="S27" s="210">
        <v>0.57363034277107405</v>
      </c>
      <c r="T27" s="210">
        <v>-0.19865825205346099</v>
      </c>
      <c r="U27" s="210">
        <v>-0.19383855529432401</v>
      </c>
      <c r="V27" s="211">
        <v>-0.180755384834313</v>
      </c>
      <c r="W27" s="210">
        <v>0.59284052553599997</v>
      </c>
      <c r="X27" s="210">
        <v>0.71621453509831101</v>
      </c>
      <c r="Y27" s="210">
        <v>-0.19383855529432401</v>
      </c>
      <c r="Z27" s="210">
        <v>0.60670282394042296</v>
      </c>
      <c r="AA27" s="210">
        <v>1</v>
      </c>
      <c r="AB27" s="210"/>
      <c r="AC27" s="210"/>
      <c r="AD27" s="16"/>
    </row>
    <row r="28" spans="1:30" x14ac:dyDescent="0.35">
      <c r="A28" s="125" t="s">
        <v>2061</v>
      </c>
      <c r="B28" s="211">
        <v>8.6853966541589403E-2</v>
      </c>
      <c r="C28" s="210">
        <v>0.29773257907842099</v>
      </c>
      <c r="D28" s="210">
        <v>-0.26588003761759599</v>
      </c>
      <c r="E28" s="210">
        <v>-0.142539329019959</v>
      </c>
      <c r="F28" s="210">
        <v>0.68313005106397295</v>
      </c>
      <c r="G28" s="210">
        <v>0.15969004586013599</v>
      </c>
      <c r="H28" s="210">
        <v>-0.18156825980064001</v>
      </c>
      <c r="I28" s="210">
        <v>0.42857142857142799</v>
      </c>
      <c r="J28" s="209">
        <v>0.42857142857142799</v>
      </c>
      <c r="K28" s="210">
        <v>-9.7590007294853301E-2</v>
      </c>
      <c r="L28" s="210">
        <v>-8.6216107481808399E-2</v>
      </c>
      <c r="M28" s="210">
        <v>0.213021480749017</v>
      </c>
      <c r="N28" s="210">
        <v>0.17634668567096201</v>
      </c>
      <c r="O28" s="210">
        <v>-9.7590007294853301E-2</v>
      </c>
      <c r="P28" s="210">
        <v>-0.14285714285714199</v>
      </c>
      <c r="Q28" s="209">
        <v>-9.7590007294853301E-2</v>
      </c>
      <c r="R28" s="210">
        <v>9.7590007294853301E-2</v>
      </c>
      <c r="S28" s="210">
        <v>0.15289415743128701</v>
      </c>
      <c r="T28" s="210">
        <v>-0.218217890235992</v>
      </c>
      <c r="U28" s="210">
        <v>-9.7590007294853301E-2</v>
      </c>
      <c r="V28" s="211">
        <v>-4.5501575519328999E-2</v>
      </c>
      <c r="W28" s="210">
        <v>0.25394337341429002</v>
      </c>
      <c r="X28" s="210">
        <v>0.10515252921688401</v>
      </c>
      <c r="Y28" s="210">
        <v>-9.7590007294853301E-2</v>
      </c>
      <c r="Z28" s="210">
        <v>0.12531313015353401</v>
      </c>
      <c r="AA28" s="210">
        <v>0.11822941265748101</v>
      </c>
      <c r="AB28" s="210">
        <v>1</v>
      </c>
      <c r="AC28" s="210"/>
      <c r="AD28" s="16"/>
    </row>
    <row r="29" spans="1:30" x14ac:dyDescent="0.35">
      <c r="A29" s="125" t="s">
        <v>2024</v>
      </c>
      <c r="B29" s="211">
        <v>-4.4693800679240503E-2</v>
      </c>
      <c r="C29" s="210">
        <v>-7.5260511548692094E-2</v>
      </c>
      <c r="D29" s="210">
        <v>1.4401898871529E-2</v>
      </c>
      <c r="E29" s="210">
        <v>-0.54046400553752705</v>
      </c>
      <c r="F29" s="210">
        <v>0.31012072389309597</v>
      </c>
      <c r="G29" s="210">
        <v>0.169703106510981</v>
      </c>
      <c r="H29" s="210">
        <v>-0.22729756446500601</v>
      </c>
      <c r="I29" s="210">
        <v>0.16508009294734</v>
      </c>
      <c r="J29" s="209">
        <v>0.16508009294734</v>
      </c>
      <c r="K29" s="210">
        <v>2.8192793081190499E-2</v>
      </c>
      <c r="L29" s="210">
        <v>-0.18213233010969199</v>
      </c>
      <c r="M29" s="210">
        <v>-8.3762519470465299E-2</v>
      </c>
      <c r="N29" s="210">
        <v>0.37253401604973702</v>
      </c>
      <c r="O29" s="210">
        <v>-0.31012072389309597</v>
      </c>
      <c r="P29" s="210">
        <v>-0.20635011618417501</v>
      </c>
      <c r="Q29" s="209">
        <v>-0.31012072389309597</v>
      </c>
      <c r="R29" s="210">
        <v>-0.15506036194654799</v>
      </c>
      <c r="S29" s="210">
        <v>0</v>
      </c>
      <c r="T29" s="210">
        <v>0.22064350631794699</v>
      </c>
      <c r="U29" s="210">
        <v>-8.45783792435717E-2</v>
      </c>
      <c r="V29" s="211">
        <v>0.124877096753188</v>
      </c>
      <c r="W29" s="210">
        <v>-0.12150538593535699</v>
      </c>
      <c r="X29" s="210">
        <v>-0.21795878685758299</v>
      </c>
      <c r="Y29" s="210">
        <v>-0.31012072389309597</v>
      </c>
      <c r="Z29" s="210">
        <v>-0.131231273255417</v>
      </c>
      <c r="AA29" s="210">
        <v>7.5995574214173994E-2</v>
      </c>
      <c r="AB29" s="210">
        <v>0.37143020913151598</v>
      </c>
      <c r="AC29" s="210">
        <v>0.999999999999999</v>
      </c>
      <c r="AD29" s="16"/>
    </row>
    <row r="30" spans="1:30" ht="15" thickBot="1" x14ac:dyDescent="0.4">
      <c r="A30" s="224" t="s">
        <v>2250</v>
      </c>
      <c r="B30" s="212">
        <v>-0.42280950413593898</v>
      </c>
      <c r="C30" s="213">
        <v>-0.15203257981578699</v>
      </c>
      <c r="D30" s="213">
        <v>0.28873236031340299</v>
      </c>
      <c r="E30" s="213">
        <v>-0.114758510226979</v>
      </c>
      <c r="F30" s="213">
        <v>-0.32158794041257699</v>
      </c>
      <c r="G30" s="213">
        <v>-7.5175133742933498E-2</v>
      </c>
      <c r="H30" s="213">
        <v>-9.0654715536736805E-2</v>
      </c>
      <c r="I30" s="213">
        <v>-0.34236839400872998</v>
      </c>
      <c r="J30" s="214">
        <v>-0.34236839400872998</v>
      </c>
      <c r="K30" s="213">
        <v>-2.9235267310234299E-2</v>
      </c>
      <c r="L30" s="213">
        <v>-5.4884418132679198E-2</v>
      </c>
      <c r="M30" s="213">
        <v>-9.3950368250043298E-2</v>
      </c>
      <c r="N30" s="213">
        <v>-0.28890635220063998</v>
      </c>
      <c r="O30" s="213">
        <v>0.26311740579210802</v>
      </c>
      <c r="P30" s="213">
        <v>4.2796049251091199E-2</v>
      </c>
      <c r="Q30" s="214">
        <v>0.26311740579210802</v>
      </c>
      <c r="R30" s="213">
        <v>-0.52623481158421703</v>
      </c>
      <c r="S30" s="213">
        <v>0.167943824551926</v>
      </c>
      <c r="T30" s="213">
        <v>0.26148818018424502</v>
      </c>
      <c r="U30" s="214">
        <v>0.26311740579210802</v>
      </c>
      <c r="V30" s="213">
        <v>0.204465205027382</v>
      </c>
      <c r="W30" s="213">
        <v>-0.46754065591183802</v>
      </c>
      <c r="X30" s="213">
        <v>-0.10710268509797299</v>
      </c>
      <c r="Y30" s="213">
        <v>0.26311740579210802</v>
      </c>
      <c r="Z30" s="213">
        <v>-0.27686006818897502</v>
      </c>
      <c r="AA30" s="213">
        <v>-0.15229852818721601</v>
      </c>
      <c r="AB30" s="213">
        <v>-0.55634864026418596</v>
      </c>
      <c r="AC30" s="213">
        <v>4.6362591109728596E-3</v>
      </c>
      <c r="AD30" s="214">
        <v>1</v>
      </c>
    </row>
    <row r="31" spans="1:30" x14ac:dyDescent="0.35">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30" x14ac:dyDescent="0.35">
      <c r="A32"/>
      <c r="B32" s="116"/>
      <c r="C32" s="116"/>
      <c r="D32" s="116"/>
      <c r="E32" s="116"/>
      <c r="F32" s="116"/>
      <c r="G32" s="116"/>
      <c r="H32" s="116"/>
      <c r="I32" s="116"/>
      <c r="J32" s="116"/>
      <c r="K32" s="116"/>
      <c r="L32" s="116"/>
      <c r="M32" s="116"/>
      <c r="N32" s="116"/>
      <c r="O32" s="116"/>
      <c r="P32" s="116"/>
      <c r="Q32" s="116"/>
      <c r="R32" s="116"/>
      <c r="S32" s="116"/>
      <c r="T32" s="116"/>
      <c r="U32" s="116"/>
      <c r="V32" s="116"/>
    </row>
    <row r="33" spans="1:53" s="117" customFormat="1" ht="94.5" customHeight="1" x14ac:dyDescent="0.35">
      <c r="A33" s="180" t="s">
        <v>2082</v>
      </c>
      <c r="B33" s="22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38">
        <v>0.15</v>
      </c>
      <c r="AH33" s="158"/>
      <c r="AI33" s="158"/>
      <c r="AJ33" s="158"/>
      <c r="AK33" s="158"/>
      <c r="AL33" s="158"/>
      <c r="AM33" s="158"/>
      <c r="AN33" s="158"/>
      <c r="AO33" s="158"/>
      <c r="AP33" s="158"/>
      <c r="AQ33" s="158"/>
      <c r="AR33" s="158"/>
      <c r="AS33" s="158"/>
      <c r="AT33" s="158"/>
      <c r="AU33" s="158"/>
      <c r="AV33" s="158"/>
      <c r="AW33" s="158"/>
      <c r="AX33" s="158"/>
      <c r="AY33" s="158"/>
      <c r="AZ33" s="158"/>
      <c r="BA33" s="158"/>
    </row>
    <row r="34" spans="1:53" x14ac:dyDescent="0.35">
      <c r="A34" s="123" t="s">
        <v>15</v>
      </c>
      <c r="B34" s="179">
        <v>0</v>
      </c>
      <c r="C34" s="179"/>
      <c r="D34" s="179"/>
      <c r="E34" s="179"/>
      <c r="F34" s="179"/>
      <c r="G34" s="179"/>
      <c r="H34" s="179"/>
      <c r="I34" s="179"/>
      <c r="J34" s="179"/>
      <c r="K34" s="179"/>
      <c r="L34" s="179"/>
      <c r="M34" s="179"/>
      <c r="N34" s="179"/>
      <c r="O34" s="179"/>
      <c r="P34" s="179"/>
      <c r="Q34" s="179"/>
      <c r="R34" s="179"/>
      <c r="S34" s="179"/>
      <c r="T34" s="179"/>
      <c r="U34" s="179"/>
      <c r="V34" s="179"/>
      <c r="W34" s="116"/>
      <c r="X34" s="116"/>
      <c r="Y34" s="200"/>
      <c r="Z34" s="116"/>
      <c r="AA34" s="116"/>
      <c r="AB34" s="116"/>
      <c r="AC34" s="116"/>
      <c r="AF34" s="159" t="s">
        <v>2165</v>
      </c>
      <c r="AG34" s="202">
        <v>0.1</v>
      </c>
    </row>
    <row r="35" spans="1:53" x14ac:dyDescent="0.35">
      <c r="A35" s="123" t="s">
        <v>12</v>
      </c>
      <c r="B35" s="179">
        <v>0.75326631673647404</v>
      </c>
      <c r="C35" s="179">
        <v>0</v>
      </c>
      <c r="D35" s="179"/>
      <c r="E35" s="179"/>
      <c r="F35" s="179"/>
      <c r="G35" s="179"/>
      <c r="H35" s="179"/>
      <c r="I35" s="179"/>
      <c r="J35" s="179"/>
      <c r="K35" s="179"/>
      <c r="L35" s="179"/>
      <c r="M35" s="179"/>
      <c r="N35" s="179"/>
      <c r="O35" s="179"/>
      <c r="P35" s="179"/>
      <c r="Q35" s="179"/>
      <c r="R35" s="179"/>
      <c r="S35" s="179"/>
      <c r="T35" s="179"/>
      <c r="U35" s="179"/>
      <c r="V35" s="179"/>
      <c r="W35" s="116"/>
      <c r="X35" s="116"/>
      <c r="Y35" s="200"/>
      <c r="Z35" s="116"/>
      <c r="AA35" s="116"/>
      <c r="AB35" s="116"/>
      <c r="AC35" s="116"/>
      <c r="AF35" s="159" t="s">
        <v>2166</v>
      </c>
      <c r="AG35" s="203">
        <v>0.05</v>
      </c>
    </row>
    <row r="36" spans="1:53" x14ac:dyDescent="0.35">
      <c r="A36" s="123" t="s">
        <v>8</v>
      </c>
      <c r="B36" s="179">
        <v>0.430193395467805</v>
      </c>
      <c r="C36" s="179">
        <v>0.95385680982666499</v>
      </c>
      <c r="D36" s="179">
        <v>7.1354092631385596E-109</v>
      </c>
      <c r="E36" s="179"/>
      <c r="F36" s="179"/>
      <c r="G36" s="179"/>
      <c r="H36" s="179"/>
      <c r="I36" s="179"/>
      <c r="J36" s="179"/>
      <c r="K36" s="179"/>
      <c r="L36" s="179"/>
      <c r="M36" s="179"/>
      <c r="N36" s="179"/>
      <c r="O36" s="179"/>
      <c r="P36" s="179"/>
      <c r="Q36" s="179"/>
      <c r="R36" s="179"/>
      <c r="S36" s="179"/>
      <c r="T36" s="179"/>
      <c r="U36" s="179"/>
      <c r="V36" s="179"/>
      <c r="W36" s="116"/>
      <c r="X36" s="116"/>
      <c r="Y36" s="116"/>
      <c r="Z36" s="116"/>
      <c r="AA36" s="116"/>
      <c r="AB36" s="116"/>
      <c r="AC36" s="116"/>
    </row>
    <row r="37" spans="1:53" x14ac:dyDescent="0.35">
      <c r="A37" s="123" t="s">
        <v>1200</v>
      </c>
      <c r="B37" s="179">
        <v>0.139855412868129</v>
      </c>
      <c r="C37" s="179">
        <v>0.54458654782747096</v>
      </c>
      <c r="D37" s="179">
        <v>0.39575743537038399</v>
      </c>
      <c r="E37" s="179">
        <v>0</v>
      </c>
      <c r="F37" s="179"/>
      <c r="G37" s="179"/>
      <c r="H37" s="179"/>
      <c r="I37" s="179"/>
      <c r="J37" s="179"/>
      <c r="K37" s="179"/>
      <c r="L37" s="179"/>
      <c r="M37" s="179"/>
      <c r="N37" s="179"/>
      <c r="O37" s="179"/>
      <c r="P37" s="179"/>
      <c r="Q37" s="179"/>
      <c r="R37" s="179"/>
      <c r="S37" s="179"/>
      <c r="T37" s="179"/>
      <c r="U37" s="179"/>
      <c r="V37" s="179"/>
      <c r="W37" s="116"/>
      <c r="X37" s="116"/>
      <c r="Y37" s="116"/>
      <c r="Z37" s="116"/>
      <c r="AA37" s="116"/>
      <c r="AB37" s="116"/>
      <c r="AC37" s="116"/>
    </row>
    <row r="38" spans="1:53" x14ac:dyDescent="0.35">
      <c r="A38" s="123" t="s">
        <v>24</v>
      </c>
      <c r="B38" s="179">
        <v>0.82721896336043599</v>
      </c>
      <c r="C38" s="179">
        <v>0.58457996987167704</v>
      </c>
      <c r="D38" s="179">
        <v>0.16667418444229901</v>
      </c>
      <c r="E38" s="179">
        <v>0.71978125562740003</v>
      </c>
      <c r="F38" s="179">
        <v>0</v>
      </c>
      <c r="G38" s="179"/>
      <c r="H38" s="179"/>
      <c r="I38" s="179"/>
      <c r="J38" s="179"/>
      <c r="K38" s="179"/>
      <c r="L38" s="179"/>
      <c r="M38" s="179"/>
      <c r="N38" s="179"/>
      <c r="O38" s="179"/>
      <c r="P38" s="179"/>
      <c r="Q38" s="179"/>
      <c r="R38" s="179"/>
      <c r="S38" s="179"/>
      <c r="T38" s="179"/>
      <c r="U38" s="179"/>
      <c r="V38" s="179"/>
      <c r="W38" s="116"/>
      <c r="X38" s="116"/>
      <c r="Y38" s="116"/>
      <c r="Z38" s="116"/>
      <c r="AA38" s="116"/>
      <c r="AB38" s="116"/>
      <c r="AC38" s="116"/>
    </row>
    <row r="39" spans="1:53" x14ac:dyDescent="0.35">
      <c r="A39" s="123" t="s">
        <v>38</v>
      </c>
      <c r="B39" s="179">
        <v>0.32736033380247698</v>
      </c>
      <c r="C39" s="179">
        <v>0.84559145065541896</v>
      </c>
      <c r="D39" s="179">
        <v>0.54479700662788799</v>
      </c>
      <c r="E39" s="179">
        <v>0.48278700521274398</v>
      </c>
      <c r="F39" s="179">
        <v>0.41692367107397499</v>
      </c>
      <c r="G39" s="179">
        <v>7.1354092631385596E-109</v>
      </c>
      <c r="H39" s="179"/>
      <c r="I39" s="179"/>
      <c r="J39" s="179"/>
      <c r="K39" s="179"/>
      <c r="L39" s="179"/>
      <c r="M39" s="179"/>
      <c r="N39" s="179"/>
      <c r="O39" s="179"/>
      <c r="P39" s="179"/>
      <c r="Q39" s="179"/>
      <c r="R39" s="179"/>
      <c r="S39" s="179"/>
      <c r="T39" s="179"/>
      <c r="U39" s="179"/>
      <c r="V39" s="179"/>
      <c r="W39" s="116"/>
      <c r="X39" s="116"/>
      <c r="Y39" s="116"/>
      <c r="Z39" s="116"/>
      <c r="AA39" s="116"/>
      <c r="AB39" s="116"/>
      <c r="AC39" s="116"/>
    </row>
    <row r="40" spans="1:53" x14ac:dyDescent="0.35">
      <c r="A40" s="123" t="s">
        <v>49</v>
      </c>
      <c r="B40" s="179">
        <v>0.26841348714526803</v>
      </c>
      <c r="C40" s="179">
        <v>0.30224450458966001</v>
      </c>
      <c r="D40" s="179">
        <v>0.40152212994131598</v>
      </c>
      <c r="E40" s="179">
        <v>0.208817228407887</v>
      </c>
      <c r="F40" s="179">
        <v>0.64719127133943699</v>
      </c>
      <c r="G40" s="179">
        <v>4.7250674651577201E-2</v>
      </c>
      <c r="H40" s="179">
        <v>5.5745384868270802E-111</v>
      </c>
      <c r="I40" s="179"/>
      <c r="J40" s="179"/>
      <c r="K40" s="179"/>
      <c r="L40" s="179"/>
      <c r="M40" s="179"/>
      <c r="N40" s="179"/>
      <c r="O40" s="179"/>
      <c r="P40" s="179"/>
      <c r="Q40" s="179"/>
      <c r="R40" s="179"/>
      <c r="S40" s="179"/>
      <c r="T40" s="179"/>
      <c r="U40" s="179"/>
      <c r="V40" s="179"/>
      <c r="W40" s="116"/>
      <c r="X40" s="116"/>
      <c r="Y40" s="116"/>
      <c r="Z40" s="116"/>
      <c r="AA40" s="116"/>
      <c r="AB40" s="116"/>
      <c r="AC40" s="116"/>
    </row>
    <row r="41" spans="1:53" x14ac:dyDescent="0.35">
      <c r="A41" s="123" t="s">
        <v>41</v>
      </c>
      <c r="B41" s="179">
        <v>0.289487997738264</v>
      </c>
      <c r="C41" s="179">
        <v>0.26272942131279298</v>
      </c>
      <c r="D41" s="179">
        <v>0.31958204521671302</v>
      </c>
      <c r="E41" s="179">
        <v>0.59846488278614396</v>
      </c>
      <c r="F41" s="179">
        <v>0.71918001058398495</v>
      </c>
      <c r="G41" s="179">
        <v>7.5674130248681207E-2</v>
      </c>
      <c r="H41" s="179">
        <v>0.254606139612648</v>
      </c>
      <c r="I41" s="179">
        <v>0</v>
      </c>
      <c r="J41" s="179"/>
      <c r="K41" s="179"/>
      <c r="L41" s="179"/>
      <c r="M41" s="179"/>
      <c r="N41" s="179"/>
      <c r="O41" s="179"/>
      <c r="P41" s="179"/>
      <c r="Q41" s="179"/>
      <c r="R41" s="179"/>
      <c r="S41" s="179"/>
      <c r="T41" s="179"/>
      <c r="U41" s="179"/>
      <c r="V41" s="179"/>
      <c r="W41" s="116"/>
      <c r="X41" s="116"/>
      <c r="Y41" s="116"/>
      <c r="Z41" s="116"/>
      <c r="AA41" s="116"/>
      <c r="AB41" s="116"/>
      <c r="AC41" s="116"/>
    </row>
    <row r="42" spans="1:53" x14ac:dyDescent="0.35">
      <c r="A42" s="123" t="s">
        <v>1201</v>
      </c>
      <c r="B42" s="179">
        <v>0.289487997738264</v>
      </c>
      <c r="C42" s="179">
        <v>0.26272942131279298</v>
      </c>
      <c r="D42" s="179">
        <v>0.31958204521671302</v>
      </c>
      <c r="E42" s="179">
        <v>0.59846488278614396</v>
      </c>
      <c r="F42" s="179">
        <v>0.71918001058398495</v>
      </c>
      <c r="G42" s="179">
        <v>7.5674130248681207E-2</v>
      </c>
      <c r="H42" s="179">
        <v>0.254606139612648</v>
      </c>
      <c r="I42" s="179">
        <v>0</v>
      </c>
      <c r="J42" s="179">
        <v>0</v>
      </c>
      <c r="K42" s="179"/>
      <c r="L42" s="179"/>
      <c r="M42" s="179"/>
      <c r="N42" s="179"/>
      <c r="O42" s="179"/>
      <c r="P42" s="179"/>
      <c r="Q42" s="179"/>
      <c r="R42" s="179"/>
      <c r="S42" s="179"/>
      <c r="T42" s="179"/>
      <c r="U42" s="179"/>
      <c r="V42" s="179"/>
      <c r="W42" s="116"/>
      <c r="X42" s="116"/>
      <c r="Y42" s="116"/>
      <c r="Z42" s="116"/>
      <c r="AA42" s="116"/>
      <c r="AB42" s="116"/>
      <c r="AC42" s="116"/>
    </row>
    <row r="43" spans="1:53" x14ac:dyDescent="0.35">
      <c r="A43" s="124" t="s">
        <v>1203</v>
      </c>
      <c r="B43" s="179">
        <v>0.217370639151552</v>
      </c>
      <c r="C43" s="179">
        <v>0.58457996987167704</v>
      </c>
      <c r="D43" s="179">
        <v>0.16667418444229901</v>
      </c>
      <c r="E43" s="179">
        <v>0.71978125562740003</v>
      </c>
      <c r="F43" s="179">
        <v>0.80621849798689904</v>
      </c>
      <c r="G43" s="179">
        <v>0.48798510373259002</v>
      </c>
      <c r="H43" s="179">
        <v>3.1777213933481797E-2</v>
      </c>
      <c r="I43" s="179">
        <v>3.5352081058589498E-3</v>
      </c>
      <c r="J43" s="179">
        <v>3.5352081058589498E-3</v>
      </c>
      <c r="K43" s="179">
        <v>0</v>
      </c>
      <c r="L43" s="179"/>
      <c r="M43" s="179"/>
      <c r="N43" s="179"/>
      <c r="O43" s="179"/>
      <c r="P43" s="179"/>
      <c r="Q43" s="179"/>
      <c r="R43" s="179"/>
      <c r="S43" s="179"/>
      <c r="T43" s="179"/>
      <c r="U43" s="179"/>
      <c r="V43" s="179"/>
      <c r="W43" s="116"/>
      <c r="X43" s="116"/>
      <c r="Y43" s="116"/>
      <c r="Z43" s="116"/>
      <c r="AA43" s="116"/>
      <c r="AB43" s="116"/>
      <c r="AC43" s="116"/>
    </row>
    <row r="44" spans="1:53" x14ac:dyDescent="0.35">
      <c r="A44" s="124" t="s">
        <v>2233</v>
      </c>
      <c r="B44" s="179">
        <v>5.8919692170279099E-2</v>
      </c>
      <c r="C44" s="179">
        <v>0.11834246624959301</v>
      </c>
      <c r="D44" s="179">
        <v>0.92412386432757099</v>
      </c>
      <c r="E44" s="179">
        <v>0.65539493277216598</v>
      </c>
      <c r="F44" s="179">
        <v>0.82847026362017595</v>
      </c>
      <c r="G44" s="179">
        <v>0.13276846608089199</v>
      </c>
      <c r="H44" s="179">
        <v>0.14253113407103599</v>
      </c>
      <c r="I44" s="179">
        <v>0.633114497814392</v>
      </c>
      <c r="J44" s="179">
        <v>0.633114497814392</v>
      </c>
      <c r="K44" s="179">
        <v>0.37974524455549002</v>
      </c>
      <c r="L44" s="179">
        <v>7.1354092631385596E-109</v>
      </c>
      <c r="M44" s="179"/>
      <c r="N44" s="179"/>
      <c r="O44" s="179"/>
      <c r="P44" s="179"/>
      <c r="Q44" s="179"/>
      <c r="R44" s="179"/>
      <c r="S44" s="179"/>
      <c r="T44" s="179"/>
      <c r="U44" s="179"/>
      <c r="V44" s="179"/>
      <c r="W44" s="116"/>
      <c r="X44" s="116"/>
      <c r="Y44" s="116"/>
      <c r="Z44" s="116"/>
      <c r="AA44" s="116"/>
      <c r="AB44" s="116"/>
      <c r="AC44" s="116"/>
    </row>
    <row r="45" spans="1:53" x14ac:dyDescent="0.35">
      <c r="A45" s="124" t="s">
        <v>2234</v>
      </c>
      <c r="B45" s="179">
        <v>0.21182421698395901</v>
      </c>
      <c r="C45" s="179">
        <v>0.227684090738482</v>
      </c>
      <c r="D45" s="179">
        <v>0.67225688721824695</v>
      </c>
      <c r="E45" s="179">
        <v>8.7029708250356497E-2</v>
      </c>
      <c r="F45" s="179">
        <v>0.47149737345813802</v>
      </c>
      <c r="G45" s="179">
        <v>7.3820110021694304E-3</v>
      </c>
      <c r="H45" s="179">
        <v>0.32941904226237501</v>
      </c>
      <c r="I45" s="179">
        <v>7.6963352497221903E-3</v>
      </c>
      <c r="J45" s="179">
        <v>7.6963352497221903E-3</v>
      </c>
      <c r="K45" s="179">
        <v>0.13747790979820099</v>
      </c>
      <c r="L45" s="179">
        <v>0.84380569294205698</v>
      </c>
      <c r="M45" s="179">
        <v>0</v>
      </c>
      <c r="N45" s="179"/>
      <c r="O45" s="179"/>
      <c r="P45" s="179"/>
      <c r="Q45" s="179"/>
      <c r="R45" s="179"/>
      <c r="S45" s="179"/>
      <c r="T45" s="179"/>
      <c r="U45" s="179"/>
      <c r="V45" s="179"/>
      <c r="W45" s="116"/>
      <c r="X45" s="116"/>
      <c r="Y45" s="116"/>
      <c r="Z45" s="116"/>
      <c r="AA45" s="116"/>
      <c r="AB45" s="116"/>
      <c r="AC45" s="116"/>
    </row>
    <row r="46" spans="1:53" x14ac:dyDescent="0.35">
      <c r="A46" s="124" t="s">
        <v>2235</v>
      </c>
      <c r="B46" s="179">
        <v>0.736659967628706</v>
      </c>
      <c r="C46" s="179">
        <v>0.90527674882430098</v>
      </c>
      <c r="D46" s="179">
        <v>7.6178243927360403E-2</v>
      </c>
      <c r="E46" s="179">
        <v>0.73442711649190495</v>
      </c>
      <c r="F46" s="179">
        <v>0.65674823102713298</v>
      </c>
      <c r="G46" s="179">
        <v>0.484873770705393</v>
      </c>
      <c r="H46" s="179">
        <v>0.94526357340265399</v>
      </c>
      <c r="I46" s="179">
        <v>0.68448807711023296</v>
      </c>
      <c r="J46" s="179">
        <v>0.68448807711023296</v>
      </c>
      <c r="K46" s="179">
        <v>0.30989881517701501</v>
      </c>
      <c r="L46" s="179">
        <v>0.64536192587646302</v>
      </c>
      <c r="M46" s="179">
        <v>0.38935553437797199</v>
      </c>
      <c r="N46" s="179">
        <v>0</v>
      </c>
      <c r="O46" s="179"/>
      <c r="P46" s="179"/>
      <c r="Q46" s="179"/>
      <c r="R46" s="179"/>
      <c r="S46" s="179"/>
      <c r="T46" s="179"/>
      <c r="U46" s="179"/>
      <c r="V46" s="179"/>
      <c r="W46" s="116"/>
      <c r="X46" s="116"/>
      <c r="Y46" s="116"/>
      <c r="Z46" s="116"/>
      <c r="AA46" s="116"/>
      <c r="AB46" s="116"/>
      <c r="AC46" s="116"/>
    </row>
    <row r="47" spans="1:53" x14ac:dyDescent="0.35">
      <c r="A47" s="124" t="s">
        <v>2236</v>
      </c>
      <c r="B47" s="179">
        <v>0.82721896336043599</v>
      </c>
      <c r="C47" s="179">
        <v>0.117899978493341</v>
      </c>
      <c r="D47" s="179">
        <v>0.20757623565410899</v>
      </c>
      <c r="E47" s="179">
        <v>8.4996511669139397E-3</v>
      </c>
      <c r="F47" s="179">
        <v>0.80621849798689904</v>
      </c>
      <c r="G47" s="179">
        <v>0.41692367107397499</v>
      </c>
      <c r="H47" s="179">
        <v>0.64719127133943699</v>
      </c>
      <c r="I47" s="179">
        <v>0.71918001058398495</v>
      </c>
      <c r="J47" s="179">
        <v>0.71918001058398495</v>
      </c>
      <c r="K47" s="179">
        <v>0.80621849798689904</v>
      </c>
      <c r="L47" s="179">
        <v>0.22096578609509601</v>
      </c>
      <c r="M47" s="179">
        <v>0.13747790979820099</v>
      </c>
      <c r="N47" s="179">
        <v>0.30989881517701501</v>
      </c>
      <c r="O47" s="179">
        <v>0</v>
      </c>
      <c r="P47" s="179"/>
      <c r="Q47" s="179"/>
      <c r="R47" s="179"/>
      <c r="S47" s="179"/>
      <c r="T47" s="179"/>
      <c r="U47" s="179"/>
      <c r="V47" s="179"/>
      <c r="W47" s="116"/>
      <c r="X47" s="116"/>
      <c r="Y47" s="116"/>
      <c r="Z47" s="116"/>
      <c r="AA47" s="116"/>
      <c r="AB47" s="116"/>
      <c r="AC47" s="116"/>
    </row>
    <row r="48" spans="1:53" x14ac:dyDescent="0.35">
      <c r="A48" s="124" t="s">
        <v>1204</v>
      </c>
      <c r="B48" s="179">
        <v>0.51997181150606697</v>
      </c>
      <c r="C48" s="179">
        <v>0.48218362968918499</v>
      </c>
      <c r="D48" s="179">
        <v>0.36301373529192399</v>
      </c>
      <c r="E48" s="179">
        <v>0.133199862265102</v>
      </c>
      <c r="F48" s="179">
        <v>0.71918001058398495</v>
      </c>
      <c r="G48" s="179">
        <v>0.22789852904912</v>
      </c>
      <c r="H48" s="179">
        <v>0.50095509148526196</v>
      </c>
      <c r="I48" s="179">
        <v>0.59764108654593595</v>
      </c>
      <c r="J48" s="179">
        <v>0.59764108654593595</v>
      </c>
      <c r="K48" s="179">
        <v>0.71918001058398495</v>
      </c>
      <c r="L48" s="179">
        <v>6.3498725051037694E-2</v>
      </c>
      <c r="M48" s="179">
        <v>0.59982674365327804</v>
      </c>
      <c r="N48" s="179">
        <v>0.12809828859543401</v>
      </c>
      <c r="O48" s="179">
        <v>3.5352081058589498E-3</v>
      </c>
      <c r="P48" s="179">
        <v>0</v>
      </c>
      <c r="Q48" s="179"/>
      <c r="R48" s="179"/>
      <c r="S48" s="179"/>
      <c r="T48" s="179"/>
      <c r="U48" s="179"/>
      <c r="V48" s="179"/>
      <c r="W48" s="116"/>
      <c r="X48" s="116"/>
      <c r="Y48" s="116"/>
      <c r="Z48" s="116"/>
      <c r="AA48" s="116"/>
      <c r="AB48" s="116"/>
      <c r="AC48" s="116"/>
    </row>
    <row r="49" spans="1:30" x14ac:dyDescent="0.35">
      <c r="A49" s="124" t="s">
        <v>1205</v>
      </c>
      <c r="B49" s="179">
        <v>0.82721896336043599</v>
      </c>
      <c r="C49" s="179">
        <v>0.117899978493341</v>
      </c>
      <c r="D49" s="179">
        <v>0.20757623565410899</v>
      </c>
      <c r="E49" s="179">
        <v>8.4996511669139397E-3</v>
      </c>
      <c r="F49" s="179">
        <v>0.80621849798689904</v>
      </c>
      <c r="G49" s="179">
        <v>0.41692367107397499</v>
      </c>
      <c r="H49" s="179">
        <v>0.64719127133943699</v>
      </c>
      <c r="I49" s="179">
        <v>0.71918001058398495</v>
      </c>
      <c r="J49" s="179">
        <v>0.71918001058398495</v>
      </c>
      <c r="K49" s="179">
        <v>0.80621849798689904</v>
      </c>
      <c r="L49" s="179">
        <v>0.22096578609509601</v>
      </c>
      <c r="M49" s="179">
        <v>0.13747790979820099</v>
      </c>
      <c r="N49" s="179">
        <v>0.30989881517701501</v>
      </c>
      <c r="O49" s="179">
        <v>0</v>
      </c>
      <c r="P49" s="179">
        <v>3.5352081058589498E-3</v>
      </c>
      <c r="Q49" s="179">
        <v>0</v>
      </c>
      <c r="R49" s="179"/>
      <c r="S49" s="179"/>
      <c r="T49" s="179"/>
      <c r="U49" s="179"/>
      <c r="V49" s="179"/>
      <c r="W49" s="116"/>
      <c r="X49" s="116"/>
      <c r="Y49" s="116"/>
      <c r="Z49" s="116"/>
      <c r="AA49" s="116"/>
      <c r="AB49" s="116"/>
      <c r="AC49" s="116"/>
    </row>
    <row r="50" spans="1:30" x14ac:dyDescent="0.35">
      <c r="A50" s="125" t="s">
        <v>2096</v>
      </c>
      <c r="B50" s="179">
        <v>0.290282956177288</v>
      </c>
      <c r="C50" s="179">
        <v>0.53791804350886296</v>
      </c>
      <c r="D50" s="179">
        <v>0.16667418444229901</v>
      </c>
      <c r="E50" s="179">
        <v>0.65339766533130295</v>
      </c>
      <c r="F50" s="179">
        <v>0.20707849036863901</v>
      </c>
      <c r="G50" s="179">
        <v>0.64548598456073802</v>
      </c>
      <c r="H50" s="179">
        <v>0.87916466647990599</v>
      </c>
      <c r="I50" s="179">
        <v>0.27114900383166901</v>
      </c>
      <c r="J50" s="179">
        <v>0.27114900383166901</v>
      </c>
      <c r="K50" s="179">
        <v>0.45768790507519902</v>
      </c>
      <c r="L50" s="179">
        <v>0.51271745157637505</v>
      </c>
      <c r="M50" s="179">
        <v>0.54966897428547401</v>
      </c>
      <c r="N50" s="179">
        <v>0.82463195700555003</v>
      </c>
      <c r="O50" s="179">
        <v>0.45768790507519902</v>
      </c>
      <c r="P50" s="179">
        <v>0.71918001058398495</v>
      </c>
      <c r="Q50" s="179">
        <v>0.45768790507519902</v>
      </c>
      <c r="R50" s="179">
        <v>0</v>
      </c>
      <c r="S50" s="179"/>
      <c r="T50" s="179"/>
      <c r="U50" s="179"/>
      <c r="V50" s="179"/>
      <c r="W50" s="116"/>
      <c r="X50" s="116"/>
      <c r="Y50" s="116"/>
      <c r="Z50" s="116"/>
      <c r="AA50" s="116"/>
      <c r="AB50" s="116"/>
      <c r="AC50" s="116"/>
    </row>
    <row r="51" spans="1:30" x14ac:dyDescent="0.35">
      <c r="A51" s="125" t="s">
        <v>2097</v>
      </c>
      <c r="B51" s="179">
        <v>0.68931124826858603</v>
      </c>
      <c r="C51" s="179">
        <v>2.4057264198805099E-2</v>
      </c>
      <c r="D51" s="179">
        <v>0.90746209901841701</v>
      </c>
      <c r="E51" s="179">
        <v>0.63894425353792095</v>
      </c>
      <c r="F51" s="179">
        <v>0.51906998965194895</v>
      </c>
      <c r="G51" s="179">
        <v>0.46848099838521201</v>
      </c>
      <c r="H51" s="179">
        <v>0.936738878752986</v>
      </c>
      <c r="I51" s="179">
        <v>2.3886486532402201E-2</v>
      </c>
      <c r="J51" s="179">
        <v>2.3886486532402201E-2</v>
      </c>
      <c r="K51" s="179">
        <v>0.143158424725887</v>
      </c>
      <c r="L51" s="179">
        <v>0.95492081460866995</v>
      </c>
      <c r="M51" s="179">
        <v>7.5877386419680698E-2</v>
      </c>
      <c r="N51" s="179">
        <v>0.52167959315291301</v>
      </c>
      <c r="O51" s="179">
        <v>0.143158424725887</v>
      </c>
      <c r="P51" s="179">
        <v>0.57186425820746001</v>
      </c>
      <c r="Q51" s="179">
        <v>0.143158424725887</v>
      </c>
      <c r="R51" s="179">
        <v>3.7972104030142999E-2</v>
      </c>
      <c r="S51" s="179">
        <v>0</v>
      </c>
      <c r="T51" s="179"/>
      <c r="U51" s="179"/>
      <c r="V51" s="179"/>
      <c r="W51" s="116"/>
      <c r="X51" s="116"/>
      <c r="Y51" s="116"/>
      <c r="Z51" s="116"/>
      <c r="AA51" s="116"/>
      <c r="AB51" s="116"/>
      <c r="AC51" s="116"/>
    </row>
    <row r="52" spans="1:30" x14ac:dyDescent="0.35">
      <c r="A52" s="125" t="s">
        <v>2098</v>
      </c>
      <c r="B52" s="179">
        <v>6.9985960472848302E-2</v>
      </c>
      <c r="C52" s="179">
        <v>0.21082360656134899</v>
      </c>
      <c r="D52" s="179">
        <v>8.8112147112194103E-2</v>
      </c>
      <c r="E52" s="179">
        <v>0.41789976571022502</v>
      </c>
      <c r="F52" s="179">
        <v>0.58162683695390005</v>
      </c>
      <c r="G52" s="179">
        <v>0.84754387212216997</v>
      </c>
      <c r="H52" s="179">
        <v>0.73345504858641097</v>
      </c>
      <c r="I52" s="179">
        <v>0.41683667475425101</v>
      </c>
      <c r="J52" s="179">
        <v>0.41683667475425101</v>
      </c>
      <c r="K52" s="179">
        <v>0.58162683695390005</v>
      </c>
      <c r="L52" s="179">
        <v>0.85587227747077699</v>
      </c>
      <c r="M52" s="179">
        <v>0.46032483251464801</v>
      </c>
      <c r="N52" s="179">
        <v>0.120615064971399</v>
      </c>
      <c r="O52" s="179">
        <v>0.58162683695390005</v>
      </c>
      <c r="P52" s="179">
        <v>0.41683667475425101</v>
      </c>
      <c r="Q52" s="179">
        <v>0.58162683695390005</v>
      </c>
      <c r="R52" s="179">
        <v>8.2417877879478296E-2</v>
      </c>
      <c r="S52" s="179">
        <v>0.13616875070388501</v>
      </c>
      <c r="T52" s="179">
        <v>0</v>
      </c>
      <c r="U52" s="179"/>
      <c r="V52" s="179"/>
      <c r="W52" s="116"/>
      <c r="X52" s="116"/>
      <c r="Y52" s="116"/>
      <c r="Z52" s="116"/>
      <c r="AA52" s="116"/>
      <c r="AB52" s="116"/>
      <c r="AC52" s="116"/>
    </row>
    <row r="53" spans="1:30" x14ac:dyDescent="0.35">
      <c r="A53" s="125" t="s">
        <v>2099</v>
      </c>
      <c r="B53" s="179">
        <v>0.82721896336043599</v>
      </c>
      <c r="C53" s="179">
        <v>0.58457996987167704</v>
      </c>
      <c r="D53" s="179">
        <v>1</v>
      </c>
      <c r="E53" s="179">
        <v>0.71978125562740003</v>
      </c>
      <c r="F53" s="179">
        <v>0.80621849798689904</v>
      </c>
      <c r="G53" s="179">
        <v>0.41692367107397499</v>
      </c>
      <c r="H53" s="179">
        <v>0.64719127133943699</v>
      </c>
      <c r="I53" s="179">
        <v>0.71918001058398495</v>
      </c>
      <c r="J53" s="179">
        <v>0.71918001058398495</v>
      </c>
      <c r="K53" s="179">
        <v>0.80621849798689904</v>
      </c>
      <c r="L53" s="179">
        <v>0.37974524455549002</v>
      </c>
      <c r="M53" s="179">
        <v>0.47149737345813802</v>
      </c>
      <c r="N53" s="179">
        <v>0.30989881517701501</v>
      </c>
      <c r="O53" s="179">
        <v>0.80621849798689904</v>
      </c>
      <c r="P53" s="179">
        <v>0.71918001058398495</v>
      </c>
      <c r="Q53" s="179">
        <v>0.80621849798689904</v>
      </c>
      <c r="R53" s="179">
        <v>0.45768790507519902</v>
      </c>
      <c r="S53" s="179">
        <v>0.51906998965194895</v>
      </c>
      <c r="T53" s="179">
        <v>0.58162683695390005</v>
      </c>
      <c r="U53" s="179">
        <v>0</v>
      </c>
      <c r="V53" s="179"/>
      <c r="W53" s="116"/>
      <c r="X53" s="116"/>
      <c r="Y53" s="116"/>
      <c r="Z53" s="116"/>
      <c r="AA53" s="116"/>
      <c r="AB53" s="116"/>
      <c r="AC53" s="116"/>
    </row>
    <row r="54" spans="1:30" x14ac:dyDescent="0.35">
      <c r="A54" s="125" t="s">
        <v>2247</v>
      </c>
      <c r="B54" s="179">
        <v>0.45639503370224199</v>
      </c>
      <c r="C54" s="179">
        <v>0.79965346633894996</v>
      </c>
      <c r="D54" s="179">
        <v>4.99835248601115E-8</v>
      </c>
      <c r="E54" s="179">
        <v>0.43507461045363599</v>
      </c>
      <c r="F54" s="179">
        <v>0.90901990418305401</v>
      </c>
      <c r="G54" s="179">
        <v>0.72786300238587098</v>
      </c>
      <c r="H54" s="179">
        <v>0.277380102822329</v>
      </c>
      <c r="I54" s="179">
        <v>0.22923746220216801</v>
      </c>
      <c r="J54" s="179">
        <v>0.22923746220216801</v>
      </c>
      <c r="K54" s="179">
        <v>0.12059051082494</v>
      </c>
      <c r="L54" s="179">
        <v>0.94969716548148697</v>
      </c>
      <c r="M54" s="179">
        <v>0.83524081697047703</v>
      </c>
      <c r="N54" s="179">
        <v>3.6121434438749801E-2</v>
      </c>
      <c r="O54" s="179">
        <v>0.19489886774165299</v>
      </c>
      <c r="P54" s="179">
        <v>0.39676823658389498</v>
      </c>
      <c r="Q54" s="179">
        <v>0.19489886774165299</v>
      </c>
      <c r="R54" s="179">
        <v>0.29400637497962601</v>
      </c>
      <c r="S54" s="179">
        <v>0.76508190767514295</v>
      </c>
      <c r="T54" s="179">
        <v>0.10804918416666499</v>
      </c>
      <c r="U54" s="179">
        <v>0.90901990418305401</v>
      </c>
      <c r="V54" s="179">
        <v>7.1354092631385596E-109</v>
      </c>
      <c r="W54" s="116"/>
      <c r="X54" s="116"/>
      <c r="Y54" s="116"/>
      <c r="Z54" s="116"/>
      <c r="AA54" s="116"/>
      <c r="AB54" s="116"/>
      <c r="AC54" s="116"/>
    </row>
    <row r="55" spans="1:30" x14ac:dyDescent="0.35">
      <c r="A55" s="125" t="s">
        <v>2248</v>
      </c>
      <c r="B55" s="116">
        <v>5.1330435515075302E-6</v>
      </c>
      <c r="C55" s="116">
        <v>6.4182530147350494E-2</v>
      </c>
      <c r="D55" s="116">
        <v>0.3765300359723</v>
      </c>
      <c r="E55" s="116">
        <v>7.6376125324466707E-2</v>
      </c>
      <c r="F55" s="116">
        <v>0.91535162787501401</v>
      </c>
      <c r="G55" s="116">
        <v>0.199295799857137</v>
      </c>
      <c r="H55" s="116">
        <v>0.34833861444392999</v>
      </c>
      <c r="I55" s="116">
        <v>5.5884686032923597E-2</v>
      </c>
      <c r="J55" s="116">
        <v>5.5884686032923597E-2</v>
      </c>
      <c r="K55" s="116">
        <v>0.27743258376546498</v>
      </c>
      <c r="L55" s="116">
        <v>0.19528948945503499</v>
      </c>
      <c r="M55" s="116">
        <v>3.6394244774242003E-2</v>
      </c>
      <c r="N55" s="116">
        <v>0.90444339233183402</v>
      </c>
      <c r="O55" s="116">
        <v>0.52053705119143601</v>
      </c>
      <c r="P55" s="116">
        <v>0.696533134638603</v>
      </c>
      <c r="Q55" s="116">
        <v>0.52053705119143601</v>
      </c>
      <c r="R55" s="116">
        <v>0.66973307681079497</v>
      </c>
      <c r="S55" s="116">
        <v>0.117013065721138</v>
      </c>
      <c r="T55" s="116">
        <v>2.74523776183845E-2</v>
      </c>
      <c r="U55" s="116">
        <v>0.91535162787501401</v>
      </c>
      <c r="V55" s="116">
        <v>0.33176111751908599</v>
      </c>
      <c r="W55" s="116">
        <v>0</v>
      </c>
      <c r="X55" s="116"/>
      <c r="Y55" s="116"/>
      <c r="Z55" s="116"/>
      <c r="AA55" s="116"/>
      <c r="AB55" s="116"/>
      <c r="AC55" s="116"/>
    </row>
    <row r="56" spans="1:30" x14ac:dyDescent="0.35">
      <c r="A56" s="125" t="s">
        <v>2249</v>
      </c>
      <c r="B56" s="116">
        <v>2.0993295438516999E-2</v>
      </c>
      <c r="C56" s="116">
        <v>0.90961203269762703</v>
      </c>
      <c r="D56" s="116">
        <v>0.62577014529001596</v>
      </c>
      <c r="E56" s="116">
        <v>0.131630906616023</v>
      </c>
      <c r="F56" s="116">
        <v>0.52317066998419803</v>
      </c>
      <c r="G56" s="116">
        <v>7.8197642727894697E-3</v>
      </c>
      <c r="H56" s="116">
        <v>0.133149562926661</v>
      </c>
      <c r="I56" s="116">
        <v>4.6156789369783797E-2</v>
      </c>
      <c r="J56" s="116">
        <v>4.6156789369783797E-2</v>
      </c>
      <c r="K56" s="116">
        <v>0.154120777136838</v>
      </c>
      <c r="L56" s="116">
        <v>4.6052751531349101E-4</v>
      </c>
      <c r="M56" s="116">
        <v>5.7950253223514698E-3</v>
      </c>
      <c r="N56" s="116">
        <v>0.86731629700206403</v>
      </c>
      <c r="O56" s="116">
        <v>0.75092514570528901</v>
      </c>
      <c r="P56" s="116">
        <v>0.43434003771361701</v>
      </c>
      <c r="Q56" s="116">
        <v>0.75092514570528901</v>
      </c>
      <c r="R56" s="116">
        <v>0.28056242479229898</v>
      </c>
      <c r="S56" s="116">
        <v>0.17063426733724099</v>
      </c>
      <c r="T56" s="116">
        <v>0.678448353926842</v>
      </c>
      <c r="U56" s="116">
        <v>0.75092514570528901</v>
      </c>
      <c r="V56" s="116">
        <v>0.73909062749953303</v>
      </c>
      <c r="W56" s="116">
        <v>1.17187269264256E-2</v>
      </c>
      <c r="X56" s="116">
        <v>7.1354092631385596E-109</v>
      </c>
      <c r="Y56" s="116"/>
      <c r="Z56" s="116"/>
      <c r="AA56" s="116"/>
      <c r="AB56" s="116"/>
      <c r="AC56" s="116"/>
    </row>
    <row r="57" spans="1:30" x14ac:dyDescent="0.35">
      <c r="A57" s="125" t="s">
        <v>2228</v>
      </c>
      <c r="B57" s="116">
        <v>0.82721896336043599</v>
      </c>
      <c r="C57" s="116">
        <v>0.117899978493341</v>
      </c>
      <c r="D57" s="116">
        <v>0.20757623565410899</v>
      </c>
      <c r="E57" s="116">
        <v>8.4996511669139397E-3</v>
      </c>
      <c r="F57" s="116">
        <v>0.80621849798689904</v>
      </c>
      <c r="G57" s="116">
        <v>0.41692367107397499</v>
      </c>
      <c r="H57" s="116">
        <v>0.64719127133943699</v>
      </c>
      <c r="I57" s="116">
        <v>0.71918001058398495</v>
      </c>
      <c r="J57" s="116">
        <v>0.71918001058398495</v>
      </c>
      <c r="K57" s="116">
        <v>0.80621849798689904</v>
      </c>
      <c r="L57" s="116">
        <v>0.22096578609509601</v>
      </c>
      <c r="M57" s="116">
        <v>0.13747790979820099</v>
      </c>
      <c r="N57" s="116">
        <v>0.30989881517701501</v>
      </c>
      <c r="O57" s="116">
        <v>0</v>
      </c>
      <c r="P57" s="116">
        <v>3.5352081058589498E-3</v>
      </c>
      <c r="Q57" s="116">
        <v>0</v>
      </c>
      <c r="R57" s="116">
        <v>0.45768790507519902</v>
      </c>
      <c r="S57" s="116">
        <v>0.143158424725887</v>
      </c>
      <c r="T57" s="116">
        <v>0.58162683695390005</v>
      </c>
      <c r="U57" s="116">
        <v>0.80621849798689904</v>
      </c>
      <c r="V57" s="116">
        <v>0.19489886774165299</v>
      </c>
      <c r="W57" s="116">
        <v>0.52053705119143601</v>
      </c>
      <c r="X57" s="116">
        <v>0.75092514570528901</v>
      </c>
      <c r="Y57" s="116">
        <v>0</v>
      </c>
      <c r="Z57" s="116"/>
      <c r="AA57" s="116"/>
      <c r="AB57" s="116"/>
      <c r="AC57" s="116"/>
    </row>
    <row r="58" spans="1:30" x14ac:dyDescent="0.35">
      <c r="A58" s="125" t="s">
        <v>2169</v>
      </c>
      <c r="B58" s="116">
        <v>4.2129129079531797E-3</v>
      </c>
      <c r="C58" s="116">
        <v>0.521399712803994</v>
      </c>
      <c r="D58" s="116">
        <v>0.24756786325039001</v>
      </c>
      <c r="E58" s="116">
        <v>3.5742570944102499E-2</v>
      </c>
      <c r="F58" s="116">
        <v>0.67382379520754099</v>
      </c>
      <c r="G58" s="116">
        <v>3.2936824544223503E-2</v>
      </c>
      <c r="H58" s="116">
        <v>0.101046456048542</v>
      </c>
      <c r="I58" s="116">
        <v>5.9656776115460199E-2</v>
      </c>
      <c r="J58" s="116">
        <v>5.9656776115460199E-2</v>
      </c>
      <c r="K58" s="116">
        <v>0.157206724916406</v>
      </c>
      <c r="L58" s="116">
        <v>3.2459604681706097E-2</v>
      </c>
      <c r="M58" s="116">
        <v>8.9344683776159898E-3</v>
      </c>
      <c r="N58" s="116">
        <v>0.270299808456271</v>
      </c>
      <c r="O58" s="116">
        <v>0.28403931022800799</v>
      </c>
      <c r="P58" s="116">
        <v>0.87792787889696899</v>
      </c>
      <c r="Q58" s="116">
        <v>0.28403931022800799</v>
      </c>
      <c r="R58" s="116">
        <v>0.39512304866056902</v>
      </c>
      <c r="S58" s="116">
        <v>0.138146931327048</v>
      </c>
      <c r="T58" s="116">
        <v>0.72439289448047905</v>
      </c>
      <c r="U58" s="116">
        <v>0.67382379520754099</v>
      </c>
      <c r="V58" s="116">
        <v>0.26560659445631402</v>
      </c>
      <c r="W58" s="116">
        <v>1.8024569805301599E-3</v>
      </c>
      <c r="X58" s="116">
        <v>7.7452951051908101E-5</v>
      </c>
      <c r="Y58" s="116">
        <v>0.28403931022800799</v>
      </c>
      <c r="Z58" s="116">
        <v>0</v>
      </c>
      <c r="AA58" s="116"/>
      <c r="AB58" s="116"/>
      <c r="AC58" s="116"/>
    </row>
    <row r="59" spans="1:30" x14ac:dyDescent="0.35">
      <c r="A59" s="125" t="s">
        <v>2081</v>
      </c>
      <c r="B59" s="116">
        <v>0.10160184439019899</v>
      </c>
      <c r="C59" s="116">
        <v>0.57903582233930395</v>
      </c>
      <c r="D59" s="116">
        <v>0.68002640432087402</v>
      </c>
      <c r="E59" s="116">
        <v>0.47349941176508098</v>
      </c>
      <c r="F59" s="116">
        <v>0.47193995027718699</v>
      </c>
      <c r="G59" s="116">
        <v>1.75536324239598E-3</v>
      </c>
      <c r="H59" s="116">
        <v>8.7468835864317598E-2</v>
      </c>
      <c r="I59" s="116">
        <v>1.1264676779536201E-2</v>
      </c>
      <c r="J59" s="116">
        <v>1.1264676779536201E-2</v>
      </c>
      <c r="K59" s="116">
        <v>5.7127281993939599E-2</v>
      </c>
      <c r="L59" s="116">
        <v>3.2328677916906301E-2</v>
      </c>
      <c r="M59" s="116">
        <v>2.3115256028242898E-2</v>
      </c>
      <c r="N59" s="116">
        <v>0.877381437768332</v>
      </c>
      <c r="O59" s="116">
        <v>0.47193995027718699</v>
      </c>
      <c r="P59" s="116">
        <v>0.28686643656035299</v>
      </c>
      <c r="Q59" s="116">
        <v>0.47193995027718699</v>
      </c>
      <c r="R59" s="116">
        <v>0.30334945821842502</v>
      </c>
      <c r="S59" s="116">
        <v>2.0164020936187198E-2</v>
      </c>
      <c r="T59" s="116">
        <v>0.46077308533210998</v>
      </c>
      <c r="U59" s="116">
        <v>0.47193995027718699</v>
      </c>
      <c r="V59" s="116">
        <v>0.50290639098098899</v>
      </c>
      <c r="W59" s="116">
        <v>1.5509136833052E-2</v>
      </c>
      <c r="X59" s="116">
        <v>1.8029004622820599E-3</v>
      </c>
      <c r="Y59" s="116">
        <v>0.47193995027718699</v>
      </c>
      <c r="Z59" s="116">
        <v>1.2706373520459301E-2</v>
      </c>
      <c r="AA59" s="116">
        <v>0</v>
      </c>
      <c r="AB59" s="116"/>
      <c r="AC59" s="116"/>
    </row>
    <row r="60" spans="1:30" x14ac:dyDescent="0.35">
      <c r="A60" s="125" t="s">
        <v>2061</v>
      </c>
      <c r="B60" s="116">
        <v>0.74909025045612398</v>
      </c>
      <c r="C60" s="116">
        <v>0.26272942131279298</v>
      </c>
      <c r="D60" s="116">
        <v>0.31958204521671302</v>
      </c>
      <c r="E60" s="116">
        <v>0.59846488278614396</v>
      </c>
      <c r="F60" s="116">
        <v>3.5352081058589498E-3</v>
      </c>
      <c r="G60" s="116">
        <v>0.55468311914079704</v>
      </c>
      <c r="H60" s="116">
        <v>0.50095509148526196</v>
      </c>
      <c r="I60" s="116">
        <v>9.7663832298945194E-2</v>
      </c>
      <c r="J60" s="116">
        <v>9.7663832298945194E-2</v>
      </c>
      <c r="K60" s="116">
        <v>0.71918001058398495</v>
      </c>
      <c r="L60" s="116">
        <v>0.75087835867244102</v>
      </c>
      <c r="M60" s="116">
        <v>0.42828922093604399</v>
      </c>
      <c r="N60" s="116">
        <v>0.51355117363255998</v>
      </c>
      <c r="O60" s="116">
        <v>0.71918001058398495</v>
      </c>
      <c r="P60" s="116">
        <v>0.59764108654593595</v>
      </c>
      <c r="Q60" s="116">
        <v>0.71918001058398495</v>
      </c>
      <c r="R60" s="116">
        <v>0.71918001058398495</v>
      </c>
      <c r="S60" s="116">
        <v>0.57186425820746001</v>
      </c>
      <c r="T60" s="116">
        <v>0.41683667475425101</v>
      </c>
      <c r="U60" s="116">
        <v>0.71918001058398495</v>
      </c>
      <c r="V60" s="116">
        <v>0.86711212619753197</v>
      </c>
      <c r="W60" s="116">
        <v>0.34258963295765898</v>
      </c>
      <c r="X60" s="116">
        <v>0.69833534009155396</v>
      </c>
      <c r="Y60" s="116">
        <v>0.71918001058398495</v>
      </c>
      <c r="Z60" s="116">
        <v>0.64377856220212504</v>
      </c>
      <c r="AA60" s="116">
        <v>0.66277092212108302</v>
      </c>
      <c r="AB60" s="116">
        <v>0</v>
      </c>
      <c r="AC60" s="116"/>
    </row>
    <row r="61" spans="1:30" x14ac:dyDescent="0.35">
      <c r="A61" s="125" t="s">
        <v>2024</v>
      </c>
      <c r="B61" s="116">
        <v>0.86945225924314296</v>
      </c>
      <c r="C61" s="116">
        <v>0.78176887143699203</v>
      </c>
      <c r="D61" s="116">
        <v>0.95778225881202494</v>
      </c>
      <c r="E61" s="116">
        <v>3.0662295161804E-2</v>
      </c>
      <c r="F61" s="116">
        <v>0.24241935667565701</v>
      </c>
      <c r="G61" s="116">
        <v>0.52978603738698105</v>
      </c>
      <c r="H61" s="116">
        <v>0.39721673746147101</v>
      </c>
      <c r="I61" s="116">
        <v>0.54121801216590404</v>
      </c>
      <c r="J61" s="116">
        <v>0.54121801216590404</v>
      </c>
      <c r="K61" s="116">
        <v>0.91745260543180496</v>
      </c>
      <c r="L61" s="116">
        <v>0.499603143305553</v>
      </c>
      <c r="M61" s="116">
        <v>0.75776750734332798</v>
      </c>
      <c r="N61" s="116">
        <v>0.155310447214972</v>
      </c>
      <c r="O61" s="116">
        <v>0.24241935667565701</v>
      </c>
      <c r="P61" s="116">
        <v>0.44322743912928603</v>
      </c>
      <c r="Q61" s="116">
        <v>0.24241935667565701</v>
      </c>
      <c r="R61" s="116">
        <v>0.56636340867088197</v>
      </c>
      <c r="S61" s="116">
        <v>1</v>
      </c>
      <c r="T61" s="116">
        <v>0.411546277030928</v>
      </c>
      <c r="U61" s="116">
        <v>0.75547482402582899</v>
      </c>
      <c r="V61" s="116">
        <v>0.64494181895325597</v>
      </c>
      <c r="W61" s="116">
        <v>0.65396282762112701</v>
      </c>
      <c r="X61" s="116">
        <v>0.417403889219712</v>
      </c>
      <c r="Y61" s="116">
        <v>0.24241935667565701</v>
      </c>
      <c r="Z61" s="116">
        <v>0.62806758857662504</v>
      </c>
      <c r="AA61" s="116">
        <v>0.77968614179863105</v>
      </c>
      <c r="AB61" s="116">
        <v>0.15663500664991301</v>
      </c>
      <c r="AC61" s="116">
        <v>7.1354092631385596E-109</v>
      </c>
    </row>
    <row r="62" spans="1:30" x14ac:dyDescent="0.35">
      <c r="A62" s="224" t="s">
        <v>2250</v>
      </c>
      <c r="B62">
        <v>0.102755513952326</v>
      </c>
      <c r="C62">
        <v>0.57405839300482497</v>
      </c>
      <c r="D62">
        <v>0.27811898960271197</v>
      </c>
      <c r="E62">
        <v>0.67214850471772403</v>
      </c>
      <c r="F62">
        <v>0.22451926750277701</v>
      </c>
      <c r="G62">
        <v>0.782010871677984</v>
      </c>
      <c r="H62">
        <v>0.73846072475287605</v>
      </c>
      <c r="I62">
        <v>0.19427367434332299</v>
      </c>
      <c r="J62">
        <v>0.19427367434332299</v>
      </c>
      <c r="K62">
        <v>0.91441052186821803</v>
      </c>
      <c r="L62">
        <v>0.84001033232701505</v>
      </c>
      <c r="M62">
        <v>0.72927953373258703</v>
      </c>
      <c r="N62">
        <v>0.27781642630792103</v>
      </c>
      <c r="O62">
        <v>0.32482515442474402</v>
      </c>
      <c r="P62">
        <v>0.87495403281932405</v>
      </c>
      <c r="Q62">
        <v>0.32482515442474402</v>
      </c>
      <c r="R62">
        <v>3.6265237441486499E-2</v>
      </c>
      <c r="S62">
        <v>0.53412357756800799</v>
      </c>
      <c r="T62">
        <v>0.327940358738046</v>
      </c>
      <c r="U62">
        <v>0.32482515442474402</v>
      </c>
      <c r="V62">
        <v>0.44749535387343797</v>
      </c>
      <c r="W62">
        <v>6.7831857416829705E-2</v>
      </c>
      <c r="X62">
        <v>0.69299205312441403</v>
      </c>
      <c r="Y62">
        <v>0.32482515442474402</v>
      </c>
      <c r="Z62">
        <v>0.29923379372447501</v>
      </c>
      <c r="AA62">
        <v>0.57338073844569204</v>
      </c>
      <c r="AB62">
        <v>2.5213657979880899E-2</v>
      </c>
      <c r="AC62">
        <v>0.98640421133193501</v>
      </c>
      <c r="AD62">
        <v>0</v>
      </c>
    </row>
    <row r="63" spans="1:30" x14ac:dyDescent="0.35">
      <c r="A63" s="80"/>
    </row>
    <row r="64" spans="1:30" ht="15" thickBot="1" x14ac:dyDescent="0.4">
      <c r="A64" s="81"/>
    </row>
  </sheetData>
  <conditionalFormatting sqref="B31:AC31">
    <cfRule type="expression" dxfId="69" priority="367">
      <formula>B62&gt;$AG$33</formula>
    </cfRule>
  </conditionalFormatting>
  <conditionalFormatting sqref="B31:AC31">
    <cfRule type="expression" dxfId="68" priority="371">
      <formula>AND(B62&lt;$AG$35,NOT(ISBLANK(B31)))</formula>
    </cfRule>
    <cfRule type="expression" dxfId="67" priority="372">
      <formula>AND(B62&lt;$AG$34,NOT(ISBLANK(B31)))</formula>
    </cfRule>
    <cfRule type="expression" dxfId="66" priority="373">
      <formula>AND(B62&lt;$AG$33,NOT(ISBLANK(B31)))</formula>
    </cfRule>
  </conditionalFormatting>
  <conditionalFormatting sqref="A31">
    <cfRule type="expression" dxfId="65" priority="13">
      <formula>A62&gt;$AG$33</formula>
    </cfRule>
  </conditionalFormatting>
  <conditionalFormatting sqref="A31">
    <cfRule type="expression" dxfId="64" priority="14">
      <formula>AND(A62&lt;$AG$35,NOT(ISBLANK(A31)))</formula>
    </cfRule>
    <cfRule type="expression" dxfId="63" priority="15">
      <formula>AND(A62&lt;$AG$34,NOT(ISBLANK(A31)))</formula>
    </cfRule>
    <cfRule type="expression" dxfId="62" priority="16">
      <formula>AND(A62&lt;$AG$33,NOT(ISBLANK(A31)))</formula>
    </cfRule>
  </conditionalFormatting>
  <conditionalFormatting sqref="B2:AC29 B30:U30">
    <cfRule type="expression" dxfId="61" priority="8">
      <formula>B34&gt;$AG$33</formula>
    </cfRule>
  </conditionalFormatting>
  <conditionalFormatting sqref="B28:AD30 AB2:AD27">
    <cfRule type="expression" dxfId="60" priority="5">
      <formula>AND(B34&lt;$AG$35,NOT(ISBLANK(B2)))</formula>
    </cfRule>
    <cfRule type="expression" dxfId="59" priority="6">
      <formula>AND(B34&lt;$AG$34,NOT(ISBLANK(B2)))</formula>
    </cfRule>
    <cfRule type="expression" dxfId="58" priority="7">
      <formula>AND(B34&lt;$AG$33,NOT(ISBLANK(B2)))</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88CE-1F2C-4C7E-ADC2-C35DDA82AE4E}">
  <sheetPr>
    <tabColor rgb="FFC00000"/>
  </sheetPr>
  <dimension ref="A1:BE103"/>
  <sheetViews>
    <sheetView zoomScale="70" zoomScaleNormal="70" workbookViewId="0">
      <selection sqref="A1:XFD1"/>
    </sheetView>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1" spans="1:57" s="45" customFormat="1" ht="69" customHeight="1"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t="s">
        <v>2061</v>
      </c>
      <c r="AP1" s="83" t="s">
        <v>2024</v>
      </c>
      <c r="AQ1" s="83" t="s">
        <v>2054</v>
      </c>
      <c r="AR1" s="83"/>
      <c r="AS1" s="83"/>
      <c r="AT1" s="83"/>
      <c r="AU1" s="83"/>
      <c r="AV1" s="90"/>
      <c r="AW1" s="90"/>
      <c r="AX1" s="90"/>
      <c r="AY1" s="90"/>
      <c r="AZ1"/>
      <c r="BA1"/>
      <c r="BB1"/>
      <c r="BC1"/>
      <c r="BD1"/>
      <c r="BE1"/>
    </row>
    <row r="2" spans="1:57" x14ac:dyDescent="0.35">
      <c r="A2" t="str" cm="1">
        <f t="array" ref="A2:AQ9">_xlfn._xlws.FILTER('Summary per Company and Use Cas'!A159:AQ215,'Summary per Company and Use Cas'!C159:C215=A11)</f>
        <v>Cruise-Ridehailing</v>
      </c>
      <c r="B2" t="str">
        <v>Cruise</v>
      </c>
      <c r="C2" t="str">
        <v>Ridehailing</v>
      </c>
      <c r="D2">
        <v>1</v>
      </c>
      <c r="E2" t="str">
        <v>GM;Microsoft</v>
      </c>
      <c r="F2">
        <v>0</v>
      </c>
      <c r="G2" t="str">
        <v>OEM</v>
      </c>
      <c r="H2">
        <v>0.5</v>
      </c>
      <c r="I2" t="str">
        <v>OEM</v>
      </c>
      <c r="J2">
        <v>0.5</v>
      </c>
      <c r="K2" t="str">
        <v/>
      </c>
      <c r="L2" t="str">
        <v/>
      </c>
      <c r="M2" t="str">
        <v>L1</v>
      </c>
      <c r="N2">
        <v>390</v>
      </c>
      <c r="O2">
        <v>1</v>
      </c>
      <c r="P2">
        <v>0</v>
      </c>
      <c r="Q2">
        <v>0</v>
      </c>
      <c r="R2">
        <v>0</v>
      </c>
      <c r="S2">
        <v>0</v>
      </c>
      <c r="T2">
        <v>0</v>
      </c>
      <c r="U2">
        <v>0</v>
      </c>
      <c r="V2">
        <v>0</v>
      </c>
      <c r="W2">
        <v>0</v>
      </c>
      <c r="X2">
        <v>0</v>
      </c>
      <c r="Y2">
        <v>0</v>
      </c>
      <c r="Z2">
        <v>0</v>
      </c>
      <c r="AA2">
        <v>0</v>
      </c>
      <c r="AB2">
        <v>0</v>
      </c>
      <c r="AC2">
        <v>1</v>
      </c>
      <c r="AD2">
        <v>0</v>
      </c>
      <c r="AE2">
        <v>1</v>
      </c>
      <c r="AF2">
        <v>0</v>
      </c>
      <c r="AG2">
        <v>0</v>
      </c>
      <c r="AH2">
        <v>0</v>
      </c>
      <c r="AI2">
        <v>0</v>
      </c>
      <c r="AJ2">
        <v>1</v>
      </c>
      <c r="AK2">
        <v>0</v>
      </c>
      <c r="AL2">
        <v>1</v>
      </c>
      <c r="AM2">
        <v>1</v>
      </c>
      <c r="AN2">
        <v>0</v>
      </c>
      <c r="AO2">
        <v>0</v>
      </c>
      <c r="AP2">
        <v>3750</v>
      </c>
      <c r="AQ2">
        <v>15118.8</v>
      </c>
      <c r="AV2" s="154"/>
      <c r="AW2" s="154"/>
      <c r="AX2" s="154"/>
      <c r="AY2" s="154"/>
      <c r="AZ2" s="154"/>
      <c r="BA2" s="154"/>
      <c r="BB2" s="154"/>
      <c r="BC2" s="118"/>
      <c r="BD2" s="118"/>
      <c r="BE2" s="118"/>
    </row>
    <row r="3" spans="1:57" x14ac:dyDescent="0.35">
      <c r="A3" t="str">
        <v>May Mobility-Ridehailing</v>
      </c>
      <c r="B3" t="str">
        <v>May Mobility</v>
      </c>
      <c r="C3" t="str">
        <v>Ridehailing</v>
      </c>
      <c r="D3">
        <v>5</v>
      </c>
      <c r="E3" t="str">
        <v>Bridgestone; Stantec; Spare; Moovit; Liftango</v>
      </c>
      <c r="F3">
        <v>2</v>
      </c>
      <c r="G3" t="str">
        <v>Mobility Services Booking</v>
      </c>
      <c r="H3">
        <v>0.4</v>
      </c>
      <c r="I3" t="str">
        <v>Automotive Supplier</v>
      </c>
      <c r="J3">
        <v>0.2</v>
      </c>
      <c r="K3" t="str">
        <v>Automotive Supplier</v>
      </c>
      <c r="L3">
        <v>0.2</v>
      </c>
      <c r="M3" t="str">
        <v>L1</v>
      </c>
      <c r="N3">
        <v>32</v>
      </c>
      <c r="O3">
        <v>2</v>
      </c>
      <c r="P3">
        <v>0</v>
      </c>
      <c r="Q3">
        <v>3</v>
      </c>
      <c r="R3">
        <v>0</v>
      </c>
      <c r="S3">
        <v>0</v>
      </c>
      <c r="T3">
        <v>1</v>
      </c>
      <c r="U3">
        <v>0</v>
      </c>
      <c r="V3">
        <v>0</v>
      </c>
      <c r="W3">
        <v>0</v>
      </c>
      <c r="X3">
        <v>0</v>
      </c>
      <c r="Y3">
        <v>4</v>
      </c>
      <c r="Z3">
        <v>0</v>
      </c>
      <c r="AA3">
        <v>0</v>
      </c>
      <c r="AB3">
        <v>0</v>
      </c>
      <c r="AC3">
        <v>1</v>
      </c>
      <c r="AD3">
        <v>0</v>
      </c>
      <c r="AE3">
        <v>1</v>
      </c>
      <c r="AF3">
        <v>0</v>
      </c>
      <c r="AG3">
        <v>0</v>
      </c>
      <c r="AH3">
        <v>0</v>
      </c>
      <c r="AI3">
        <v>3</v>
      </c>
      <c r="AJ3">
        <v>2</v>
      </c>
      <c r="AK3">
        <v>4</v>
      </c>
      <c r="AL3">
        <v>1</v>
      </c>
      <c r="AM3">
        <v>5</v>
      </c>
      <c r="AN3">
        <v>2</v>
      </c>
      <c r="AO3">
        <v>0</v>
      </c>
      <c r="AP3">
        <v>250</v>
      </c>
      <c r="AQ3">
        <v>302.62</v>
      </c>
      <c r="AV3" s="154"/>
      <c r="AW3" s="154"/>
      <c r="AX3" s="154"/>
      <c r="AY3" s="154"/>
      <c r="AZ3" s="154"/>
      <c r="BA3" s="154"/>
      <c r="BB3" s="154"/>
      <c r="BC3" s="118"/>
      <c r="BD3" s="118"/>
      <c r="BE3" s="118"/>
    </row>
    <row r="4" spans="1:57" x14ac:dyDescent="0.35">
      <c r="A4" t="str">
        <v>Mobileye-Ridehailing</v>
      </c>
      <c r="B4" t="str">
        <v>Mobileye</v>
      </c>
      <c r="C4" t="str">
        <v>Ridehailing</v>
      </c>
      <c r="D4">
        <v>1</v>
      </c>
      <c r="E4" t="str">
        <v>WILLER</v>
      </c>
      <c r="F4">
        <v>0</v>
      </c>
      <c r="G4" t="str">
        <v>Mobility Services</v>
      </c>
      <c r="H4">
        <v>1</v>
      </c>
      <c r="I4" t="str">
        <v/>
      </c>
      <c r="J4" t="str">
        <v/>
      </c>
      <c r="K4" t="str">
        <v/>
      </c>
      <c r="L4" t="str">
        <v/>
      </c>
      <c r="M4" t="str">
        <v>L1</v>
      </c>
      <c r="N4">
        <v>464</v>
      </c>
      <c r="O4">
        <v>0</v>
      </c>
      <c r="P4">
        <v>0</v>
      </c>
      <c r="Q4">
        <v>0</v>
      </c>
      <c r="R4">
        <v>0</v>
      </c>
      <c r="S4">
        <v>1</v>
      </c>
      <c r="T4">
        <v>0</v>
      </c>
      <c r="U4">
        <v>0</v>
      </c>
      <c r="V4">
        <v>0</v>
      </c>
      <c r="W4">
        <v>0</v>
      </c>
      <c r="X4">
        <v>0</v>
      </c>
      <c r="Y4">
        <v>0</v>
      </c>
      <c r="Z4">
        <v>0</v>
      </c>
      <c r="AA4">
        <v>1</v>
      </c>
      <c r="AB4">
        <v>0</v>
      </c>
      <c r="AC4">
        <v>0</v>
      </c>
      <c r="AD4">
        <v>0</v>
      </c>
      <c r="AE4">
        <v>1</v>
      </c>
      <c r="AF4">
        <v>0</v>
      </c>
      <c r="AG4">
        <v>0</v>
      </c>
      <c r="AH4">
        <v>0</v>
      </c>
      <c r="AI4">
        <v>1</v>
      </c>
      <c r="AJ4">
        <v>0</v>
      </c>
      <c r="AK4">
        <v>0</v>
      </c>
      <c r="AL4">
        <v>0</v>
      </c>
      <c r="AM4">
        <v>1</v>
      </c>
      <c r="AN4">
        <v>0</v>
      </c>
      <c r="AO4">
        <v>1</v>
      </c>
      <c r="AP4">
        <v>3000</v>
      </c>
      <c r="AQ4">
        <v>2132</v>
      </c>
      <c r="AV4" s="154"/>
      <c r="AW4" s="154"/>
      <c r="AX4" s="154"/>
      <c r="AY4" s="154"/>
      <c r="AZ4" s="154"/>
      <c r="BA4" s="154"/>
      <c r="BB4" s="154"/>
      <c r="BC4" s="118"/>
      <c r="BD4" s="118"/>
      <c r="BE4" s="118"/>
    </row>
    <row r="5" spans="1:57" x14ac:dyDescent="0.35">
      <c r="A5" t="str">
        <v>Motional-Ridehailing</v>
      </c>
      <c r="B5" t="str">
        <v>Motional</v>
      </c>
      <c r="C5" t="str">
        <v>Ridehailing</v>
      </c>
      <c r="D5">
        <v>3</v>
      </c>
      <c r="E5" t="str">
        <v>Derq; Boston University; tfnsw</v>
      </c>
      <c r="F5">
        <v>0</v>
      </c>
      <c r="G5" t="str">
        <v>Transport Operator</v>
      </c>
      <c r="H5">
        <v>0.33333333333333331</v>
      </c>
      <c r="I5" t="str">
        <v>Transport Operator</v>
      </c>
      <c r="J5">
        <v>0.33333333333333331</v>
      </c>
      <c r="K5" t="str">
        <v>Transport Operator</v>
      </c>
      <c r="L5">
        <v>0.33333333333333331</v>
      </c>
      <c r="M5" t="str">
        <v>L1</v>
      </c>
      <c r="N5">
        <v>262</v>
      </c>
      <c r="O5">
        <v>2</v>
      </c>
      <c r="P5">
        <v>0</v>
      </c>
      <c r="Q5">
        <v>0</v>
      </c>
      <c r="R5">
        <v>0</v>
      </c>
      <c r="S5">
        <v>0</v>
      </c>
      <c r="T5">
        <v>3</v>
      </c>
      <c r="U5">
        <v>0</v>
      </c>
      <c r="V5">
        <v>0</v>
      </c>
      <c r="W5">
        <v>0</v>
      </c>
      <c r="X5">
        <v>0</v>
      </c>
      <c r="Y5">
        <v>3</v>
      </c>
      <c r="Z5">
        <v>0</v>
      </c>
      <c r="AA5">
        <v>0</v>
      </c>
      <c r="AB5">
        <v>0</v>
      </c>
      <c r="AC5">
        <v>0</v>
      </c>
      <c r="AD5">
        <v>0</v>
      </c>
      <c r="AE5">
        <v>1</v>
      </c>
      <c r="AF5">
        <v>0</v>
      </c>
      <c r="AG5">
        <v>0</v>
      </c>
      <c r="AH5">
        <v>0</v>
      </c>
      <c r="AI5">
        <v>0</v>
      </c>
      <c r="AJ5">
        <v>2</v>
      </c>
      <c r="AK5">
        <v>3</v>
      </c>
      <c r="AL5">
        <v>0</v>
      </c>
      <c r="AM5">
        <v>3</v>
      </c>
      <c r="AN5">
        <v>0</v>
      </c>
      <c r="AO5">
        <v>0</v>
      </c>
      <c r="AP5">
        <v>750</v>
      </c>
      <c r="AQ5" t="str">
        <v>n.a.</v>
      </c>
      <c r="AV5" s="154"/>
      <c r="AW5" s="154"/>
      <c r="AX5" s="154"/>
      <c r="AY5" s="154"/>
      <c r="AZ5" s="154"/>
      <c r="BA5" s="154"/>
      <c r="BB5" s="154"/>
      <c r="BC5" s="118"/>
      <c r="BD5" s="118"/>
      <c r="BE5" s="118"/>
    </row>
    <row r="6" spans="1:57" x14ac:dyDescent="0.35">
      <c r="A6" t="str">
        <v>Pony.ai-Ridehailing</v>
      </c>
      <c r="B6" t="str">
        <v>Pony.ai</v>
      </c>
      <c r="C6" t="str">
        <v>Ridehailing</v>
      </c>
      <c r="D6">
        <v>6</v>
      </c>
      <c r="E6" t="str">
        <v>Toyota; Onsemi; Horizon Robotics; Toyota; Luminar; Sinotrans</v>
      </c>
      <c r="F6">
        <v>3</v>
      </c>
      <c r="G6" t="str">
        <v>OEM</v>
      </c>
      <c r="H6">
        <v>0.33333333333333331</v>
      </c>
      <c r="I6" t="str">
        <v>Autonomous Vehicles</v>
      </c>
      <c r="J6">
        <v>0.16666666666666666</v>
      </c>
      <c r="K6" t="str">
        <v>Autonomous Vehicles</v>
      </c>
      <c r="L6">
        <v>0.16666666666666666</v>
      </c>
      <c r="M6" t="str">
        <v>L1</v>
      </c>
      <c r="N6">
        <v>0</v>
      </c>
      <c r="O6">
        <v>4</v>
      </c>
      <c r="P6">
        <v>0</v>
      </c>
      <c r="Q6">
        <v>0</v>
      </c>
      <c r="R6">
        <v>0</v>
      </c>
      <c r="S6">
        <v>0</v>
      </c>
      <c r="T6">
        <v>1</v>
      </c>
      <c r="U6">
        <v>0</v>
      </c>
      <c r="V6">
        <v>0</v>
      </c>
      <c r="W6">
        <v>4</v>
      </c>
      <c r="X6">
        <v>0</v>
      </c>
      <c r="Y6">
        <v>3</v>
      </c>
      <c r="Z6">
        <v>0</v>
      </c>
      <c r="AA6">
        <v>1</v>
      </c>
      <c r="AB6">
        <v>0</v>
      </c>
      <c r="AC6">
        <v>0</v>
      </c>
      <c r="AD6">
        <v>2</v>
      </c>
      <c r="AE6">
        <v>1</v>
      </c>
      <c r="AF6">
        <v>0</v>
      </c>
      <c r="AG6">
        <v>0</v>
      </c>
      <c r="AH6">
        <v>0</v>
      </c>
      <c r="AI6">
        <v>0</v>
      </c>
      <c r="AJ6">
        <v>8</v>
      </c>
      <c r="AK6">
        <v>3</v>
      </c>
      <c r="AL6">
        <v>2</v>
      </c>
      <c r="AM6">
        <v>6</v>
      </c>
      <c r="AN6">
        <v>3</v>
      </c>
      <c r="AO6">
        <v>0</v>
      </c>
      <c r="AP6">
        <v>750</v>
      </c>
      <c r="AQ6">
        <v>1332</v>
      </c>
      <c r="AV6" s="154"/>
      <c r="AW6" s="154"/>
      <c r="AX6" s="154"/>
      <c r="AY6" s="154"/>
      <c r="AZ6" s="154"/>
      <c r="BA6" s="154"/>
      <c r="BB6" s="154"/>
      <c r="BC6" s="118"/>
      <c r="BD6" s="118"/>
      <c r="BE6" s="118"/>
    </row>
    <row r="7" spans="1:57" x14ac:dyDescent="0.35">
      <c r="A7" t="str">
        <v>Uber-Ridehailing</v>
      </c>
      <c r="B7" t="str">
        <v>Uber</v>
      </c>
      <c r="C7" t="str">
        <v>Ridehailing</v>
      </c>
      <c r="D7">
        <v>1</v>
      </c>
      <c r="E7" t="str">
        <v>Toyota</v>
      </c>
      <c r="F7">
        <v>0</v>
      </c>
      <c r="G7" t="str">
        <v>OEM</v>
      </c>
      <c r="H7">
        <v>1</v>
      </c>
      <c r="I7" t="str">
        <v/>
      </c>
      <c r="J7" t="str">
        <v/>
      </c>
      <c r="K7" t="str">
        <v/>
      </c>
      <c r="L7" t="str">
        <v/>
      </c>
      <c r="M7" t="str">
        <v>L4</v>
      </c>
      <c r="N7">
        <v>1.0900000000000001</v>
      </c>
      <c r="O7">
        <v>0</v>
      </c>
      <c r="P7">
        <v>0</v>
      </c>
      <c r="Q7">
        <v>0</v>
      </c>
      <c r="R7">
        <v>0</v>
      </c>
      <c r="S7">
        <v>0</v>
      </c>
      <c r="T7">
        <v>0</v>
      </c>
      <c r="U7">
        <v>0</v>
      </c>
      <c r="V7">
        <v>0</v>
      </c>
      <c r="W7">
        <v>1</v>
      </c>
      <c r="X7">
        <v>0</v>
      </c>
      <c r="Y7">
        <v>0</v>
      </c>
      <c r="Z7">
        <v>1</v>
      </c>
      <c r="AA7">
        <v>0</v>
      </c>
      <c r="AB7">
        <v>0</v>
      </c>
      <c r="AC7">
        <v>0</v>
      </c>
      <c r="AD7">
        <v>0</v>
      </c>
      <c r="AE7">
        <v>0</v>
      </c>
      <c r="AF7">
        <v>0</v>
      </c>
      <c r="AG7">
        <v>0</v>
      </c>
      <c r="AH7">
        <v>1</v>
      </c>
      <c r="AI7">
        <v>0</v>
      </c>
      <c r="AJ7">
        <v>1</v>
      </c>
      <c r="AK7">
        <v>1</v>
      </c>
      <c r="AL7">
        <v>0</v>
      </c>
      <c r="AM7">
        <v>1</v>
      </c>
      <c r="AN7">
        <v>0</v>
      </c>
      <c r="AO7">
        <v>1</v>
      </c>
      <c r="AP7">
        <v>3000</v>
      </c>
      <c r="AQ7">
        <v>25212.45</v>
      </c>
      <c r="AV7" s="154"/>
      <c r="AW7" s="154"/>
      <c r="AX7" s="154"/>
      <c r="AY7" s="154"/>
      <c r="AZ7" s="154"/>
      <c r="BA7" s="154"/>
      <c r="BB7" s="154"/>
      <c r="BC7" s="118"/>
      <c r="BD7" s="118"/>
      <c r="BE7" s="118"/>
    </row>
    <row r="8" spans="1:57" x14ac:dyDescent="0.35">
      <c r="A8" t="str">
        <v>Waymo-Ridehailing</v>
      </c>
      <c r="B8" t="str">
        <v>Waymo</v>
      </c>
      <c r="C8" t="str">
        <v>Ridehailing</v>
      </c>
      <c r="D8">
        <v>6</v>
      </c>
      <c r="E8" t="str">
        <v>Fiat Chrysler Automobiles; Avis; Valley Metro; Lyft; Alliance Ventures (Renault, Nissan, Mitsubishi); Volvo Car Group</v>
      </c>
      <c r="F8">
        <v>2</v>
      </c>
      <c r="G8" t="str">
        <v>OEM</v>
      </c>
      <c r="H8">
        <v>0.33333333333333331</v>
      </c>
      <c r="I8" t="str">
        <v>Transport Operator</v>
      </c>
      <c r="J8">
        <v>0.16666666666666666</v>
      </c>
      <c r="K8" t="str">
        <v>Transport Operator</v>
      </c>
      <c r="L8">
        <v>0.16666666666666666</v>
      </c>
      <c r="M8" t="str">
        <v>L1</v>
      </c>
      <c r="N8">
        <v>2.1379999999999999</v>
      </c>
      <c r="O8">
        <v>2</v>
      </c>
      <c r="P8">
        <v>0</v>
      </c>
      <c r="Q8">
        <v>1</v>
      </c>
      <c r="R8">
        <v>0</v>
      </c>
      <c r="S8">
        <v>1</v>
      </c>
      <c r="T8">
        <v>3</v>
      </c>
      <c r="U8">
        <v>0</v>
      </c>
      <c r="V8">
        <v>0</v>
      </c>
      <c r="W8">
        <v>0</v>
      </c>
      <c r="X8">
        <v>0</v>
      </c>
      <c r="Y8">
        <v>3</v>
      </c>
      <c r="Z8">
        <v>0</v>
      </c>
      <c r="AA8">
        <v>0</v>
      </c>
      <c r="AB8">
        <v>3</v>
      </c>
      <c r="AC8">
        <v>0</v>
      </c>
      <c r="AD8">
        <v>0</v>
      </c>
      <c r="AE8">
        <v>1</v>
      </c>
      <c r="AF8">
        <v>0</v>
      </c>
      <c r="AG8">
        <v>0</v>
      </c>
      <c r="AH8">
        <v>0</v>
      </c>
      <c r="AI8">
        <v>2</v>
      </c>
      <c r="AJ8">
        <v>2</v>
      </c>
      <c r="AK8">
        <v>3</v>
      </c>
      <c r="AL8">
        <v>0</v>
      </c>
      <c r="AM8">
        <v>6</v>
      </c>
      <c r="AN8">
        <v>2</v>
      </c>
      <c r="AO8">
        <v>0</v>
      </c>
      <c r="AP8">
        <v>3000</v>
      </c>
      <c r="AQ8">
        <v>5500</v>
      </c>
      <c r="AV8" s="154"/>
      <c r="AW8" s="154"/>
      <c r="AX8" s="154"/>
      <c r="AY8" s="154"/>
      <c r="AZ8" s="154"/>
      <c r="BA8" s="154"/>
      <c r="BB8" s="154"/>
      <c r="BC8" s="118"/>
      <c r="BD8" s="118"/>
      <c r="BE8" s="118"/>
    </row>
    <row r="9" spans="1:57" x14ac:dyDescent="0.35">
      <c r="A9" t="str">
        <v>Lyft-Ridehailing</v>
      </c>
      <c r="B9" t="str">
        <v>Lyft</v>
      </c>
      <c r="C9" t="str">
        <v>Ridehailing</v>
      </c>
      <c r="D9">
        <v>1</v>
      </c>
      <c r="E9" t="str">
        <v>Waymo</v>
      </c>
      <c r="F9">
        <v>0</v>
      </c>
      <c r="G9" t="str">
        <v>Autonomous Vehicles</v>
      </c>
      <c r="H9">
        <v>1</v>
      </c>
      <c r="I9" t="str">
        <v/>
      </c>
      <c r="J9" t="str">
        <v/>
      </c>
      <c r="K9" t="str">
        <v/>
      </c>
      <c r="L9" t="str">
        <v/>
      </c>
      <c r="M9" t="str">
        <v>L4</v>
      </c>
      <c r="N9">
        <v>542</v>
      </c>
      <c r="O9">
        <v>0</v>
      </c>
      <c r="P9">
        <v>0</v>
      </c>
      <c r="Q9">
        <v>0</v>
      </c>
      <c r="R9">
        <v>0</v>
      </c>
      <c r="S9">
        <v>1</v>
      </c>
      <c r="T9">
        <v>0</v>
      </c>
      <c r="U9">
        <v>0</v>
      </c>
      <c r="V9">
        <v>0</v>
      </c>
      <c r="W9">
        <v>0</v>
      </c>
      <c r="X9">
        <v>0</v>
      </c>
      <c r="Y9">
        <v>1</v>
      </c>
      <c r="Z9">
        <v>0</v>
      </c>
      <c r="AA9">
        <v>0</v>
      </c>
      <c r="AB9">
        <v>0</v>
      </c>
      <c r="AC9">
        <v>0</v>
      </c>
      <c r="AD9">
        <v>0</v>
      </c>
      <c r="AE9">
        <v>0</v>
      </c>
      <c r="AF9">
        <v>0</v>
      </c>
      <c r="AG9">
        <v>0</v>
      </c>
      <c r="AH9">
        <v>1</v>
      </c>
      <c r="AI9">
        <v>1</v>
      </c>
      <c r="AJ9">
        <v>0</v>
      </c>
      <c r="AK9">
        <v>1</v>
      </c>
      <c r="AL9">
        <v>0</v>
      </c>
      <c r="AM9">
        <v>1</v>
      </c>
      <c r="AN9">
        <v>0</v>
      </c>
      <c r="AO9">
        <v>1</v>
      </c>
      <c r="AP9">
        <v>4419</v>
      </c>
      <c r="AQ9">
        <v>4913.6067780000003</v>
      </c>
      <c r="AV9" s="154"/>
      <c r="AW9" s="154"/>
      <c r="AX9" s="154"/>
      <c r="AY9" s="154"/>
      <c r="AZ9" s="154"/>
      <c r="BA9" s="154"/>
      <c r="BB9" s="154"/>
      <c r="BC9" s="118"/>
      <c r="BD9" s="118"/>
      <c r="BE9" s="118"/>
    </row>
    <row r="10" spans="1:57" x14ac:dyDescent="0.35">
      <c r="AV10" s="154"/>
      <c r="AW10" s="154"/>
      <c r="AX10" s="154"/>
      <c r="AY10" s="154"/>
      <c r="AZ10" s="154"/>
      <c r="BA10" s="154"/>
      <c r="BB10" s="154"/>
      <c r="BC10" s="118"/>
      <c r="BD10" s="118"/>
      <c r="BE10" s="118"/>
    </row>
    <row r="11" spans="1:57" x14ac:dyDescent="0.35">
      <c r="A11" s="177" t="s">
        <v>341</v>
      </c>
      <c r="H11" s="92"/>
    </row>
    <row r="12" spans="1:57" x14ac:dyDescent="0.35">
      <c r="A12" s="92" t="s">
        <v>2055</v>
      </c>
      <c r="B12" s="92" t="s">
        <v>372</v>
      </c>
    </row>
    <row r="13" spans="1:57" x14ac:dyDescent="0.35">
      <c r="B13" s="92" t="s">
        <v>341</v>
      </c>
    </row>
    <row r="14" spans="1:57" x14ac:dyDescent="0.35">
      <c r="A14" s="92" t="s">
        <v>2058</v>
      </c>
      <c r="B14" s="92">
        <f>COUNTA(A18:A98)</f>
        <v>81</v>
      </c>
    </row>
    <row r="15" spans="1:57" x14ac:dyDescent="0.35">
      <c r="A15" s="114" t="s">
        <v>2059</v>
      </c>
      <c r="B15">
        <f>COUNTA(_xlfn.UNIQUE(E18:E98))</f>
        <v>21</v>
      </c>
    </row>
    <row r="16" spans="1:57" x14ac:dyDescent="0.35">
      <c r="J16" t="s">
        <v>1931</v>
      </c>
      <c r="K16" t="s">
        <v>1931</v>
      </c>
      <c r="L16" t="s">
        <v>1931</v>
      </c>
      <c r="M16" t="s">
        <v>1931</v>
      </c>
      <c r="N16" t="s">
        <v>1931</v>
      </c>
      <c r="Q16" t="s">
        <v>372</v>
      </c>
      <c r="R16" t="s">
        <v>372</v>
      </c>
      <c r="W16" s="114" t="s">
        <v>341</v>
      </c>
      <c r="X16" s="114" t="s">
        <v>341</v>
      </c>
      <c r="AI16" s="103"/>
      <c r="AJ16" s="103"/>
      <c r="AK16" s="103"/>
      <c r="AO16" s="103"/>
      <c r="AP16" s="103"/>
      <c r="AQ16" s="103"/>
      <c r="AR16" s="103"/>
      <c r="AS16" s="103"/>
      <c r="AT16" s="103"/>
      <c r="AU16" s="103"/>
    </row>
    <row r="17" spans="1:34" ht="29" x14ac:dyDescent="0.35">
      <c r="A17" s="23" t="s">
        <v>1422</v>
      </c>
      <c r="B17" s="23" t="s">
        <v>1026</v>
      </c>
      <c r="C17" s="23"/>
      <c r="D17" s="23" t="s">
        <v>0</v>
      </c>
      <c r="E17" s="23" t="s">
        <v>1943</v>
      </c>
      <c r="F17" s="23" t="s">
        <v>1946</v>
      </c>
      <c r="G17" s="23" t="s">
        <v>2052</v>
      </c>
      <c r="H17" s="23" t="s">
        <v>1949</v>
      </c>
      <c r="I17" s="23" t="s">
        <v>1947</v>
      </c>
      <c r="J17" s="23" t="s">
        <v>1948</v>
      </c>
      <c r="K17" s="23" t="s">
        <v>2001</v>
      </c>
      <c r="L17" s="23" t="s">
        <v>1993</v>
      </c>
      <c r="M17" s="23" t="s">
        <v>1994</v>
      </c>
      <c r="N17" s="23" t="s">
        <v>1995</v>
      </c>
      <c r="O17" s="23" t="s">
        <v>1</v>
      </c>
      <c r="P17" s="23" t="s">
        <v>2</v>
      </c>
      <c r="Q17" s="23" t="s">
        <v>3</v>
      </c>
      <c r="R17" s="24" t="s">
        <v>976</v>
      </c>
      <c r="S17" s="24" t="s">
        <v>1193</v>
      </c>
      <c r="T17" s="24" t="s">
        <v>982</v>
      </c>
      <c r="U17" s="24" t="s">
        <v>975</v>
      </c>
      <c r="V17" s="24" t="s">
        <v>956</v>
      </c>
      <c r="W17" s="24" t="s">
        <v>1194</v>
      </c>
      <c r="X17" s="23" t="s">
        <v>2050</v>
      </c>
      <c r="Y17" s="10" t="s">
        <v>4</v>
      </c>
      <c r="Z17" s="23" t="s">
        <v>5</v>
      </c>
      <c r="AA17" s="10" t="s">
        <v>1638</v>
      </c>
      <c r="AB17" s="23" t="s">
        <v>1939</v>
      </c>
      <c r="AC17" s="23" t="s">
        <v>1942</v>
      </c>
      <c r="AD17" s="23" t="s">
        <v>1940</v>
      </c>
      <c r="AE17" s="23" t="s">
        <v>1941</v>
      </c>
      <c r="AF17" s="104" t="s">
        <v>1761</v>
      </c>
      <c r="AG17" s="104" t="s">
        <v>1762</v>
      </c>
      <c r="AH17" s="103"/>
    </row>
    <row r="18" spans="1:34" x14ac:dyDescent="0.35">
      <c r="A18" s="60" t="str" cm="1">
        <f t="array" ref="A18:AG100">_xlfn._xlws.FILTER(ANNOUNCEMENTS!A2:AG180,(ANNOUNCEMENTS!J2:J180=B12)+(ANNOUNCEMENTS!J2:J180=B13))</f>
        <v>https://www.2getthere.eu/news/strategic-cooperation-agreement-with-sltn-extended/</v>
      </c>
      <c r="B18" s="60" t="str">
        <v>2015, 9, 2</v>
      </c>
      <c r="C18" s="105">
        <v>42249</v>
      </c>
      <c r="D18" s="60" t="str">
        <v>Strategic Cooperation Agreement with SLTN extended</v>
      </c>
      <c r="E18" s="60" t="str">
        <v>2getthere</v>
      </c>
      <c r="F18" s="60" t="str">
        <v>L2</v>
      </c>
      <c r="G18" s="60" t="str">
        <v>2getthere-SAV</v>
      </c>
      <c r="H18" s="60" t="str">
        <v>SAV</v>
      </c>
      <c r="I18" s="60" t="str">
        <v>Ridepooling</v>
      </c>
      <c r="J18" s="60" t="str">
        <v>Ridepooling</v>
      </c>
      <c r="K18" s="60" t="str">
        <v>SLTN</v>
      </c>
      <c r="L18" s="60" t="str">
        <v>SLTN</v>
      </c>
      <c r="M18" s="60">
        <v>0</v>
      </c>
      <c r="N18" s="60">
        <v>0</v>
      </c>
      <c r="O18"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18"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18" s="60" t="str">
        <v>Strategic Alliance</v>
      </c>
      <c r="R18" s="60" t="str">
        <v>Yes</v>
      </c>
      <c r="S18" s="60" t="str">
        <v>Service Integration</v>
      </c>
      <c r="T18" s="60" t="str">
        <v>-</v>
      </c>
      <c r="U18" s="60" t="str">
        <v>Yes</v>
      </c>
      <c r="V18" s="60" t="str">
        <v>-</v>
      </c>
      <c r="W18" s="60" t="str">
        <v xml:space="preserve">2.2. Renewed Alliance </v>
      </c>
      <c r="X18" s="60">
        <v>0</v>
      </c>
      <c r="Y18" s="60" t="str">
        <v>The cooperation concerns the realization of 2getthere's innovative automated people mover systems, with SLTN Inter Access designing and providing the Information and Communication Technology (ICT) network.</v>
      </c>
      <c r="Z18" s="60" t="str">
        <v>Joint D&amp;D</v>
      </c>
      <c r="AA18" s="60" t="str">
        <v>The cooperation concerns the realization of 2getthere's innovative automated people mover systems, with SLTN Inter Access designing and providing the Information and Communication Technology (ICT) network.</v>
      </c>
      <c r="AB18" s="60">
        <v>0</v>
      </c>
      <c r="AC18" s="60">
        <v>0</v>
      </c>
      <c r="AD18" s="60">
        <v>0</v>
      </c>
      <c r="AE18" s="60">
        <v>0</v>
      </c>
      <c r="AF18" s="60" t="str">
        <v>Strategic Cooperation Agreement with SLTN extended</v>
      </c>
      <c r="AG18" s="60">
        <v>0</v>
      </c>
    </row>
    <row r="19" spans="1:34" x14ac:dyDescent="0.35">
      <c r="A19" s="60" t="str">
        <v>https://www.2getthere.eu/news/partnering-with-benteler/</v>
      </c>
      <c r="B19" s="60" t="str">
        <v>2015, 7, 28</v>
      </c>
      <c r="C19" s="105">
        <v>42213</v>
      </c>
      <c r="D19" s="60" t="str">
        <v>2getthere partners with Benteler for the engineering of the 3rd generation GRT</v>
      </c>
      <c r="E19" s="60" t="str">
        <v>2getthere</v>
      </c>
      <c r="F19" s="60" t="str">
        <v>L2</v>
      </c>
      <c r="G19" s="60" t="str">
        <v>2getthere-SAV</v>
      </c>
      <c r="H19" s="60" t="str">
        <v>SAV</v>
      </c>
      <c r="I19" s="60" t="str">
        <v>Ridepooling</v>
      </c>
      <c r="J19" s="60" t="str">
        <v>Ridepooling</v>
      </c>
      <c r="K19" s="60" t="str">
        <v>Benteler</v>
      </c>
      <c r="L19" s="60" t="str">
        <v>Benteler</v>
      </c>
      <c r="M19" s="60">
        <v>0</v>
      </c>
      <c r="N19" s="60">
        <v>0</v>
      </c>
      <c r="O19"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19"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19" s="60" t="str">
        <v>Strategic Alliance</v>
      </c>
      <c r="R19" s="60" t="str">
        <v>n.a.</v>
      </c>
      <c r="S19" s="60" t="str">
        <v>Product cooperation</v>
      </c>
      <c r="T19" s="60" t="str">
        <v>-</v>
      </c>
      <c r="U19" s="60" t="str">
        <v>Yes</v>
      </c>
      <c r="V19" s="60" t="str">
        <v>-</v>
      </c>
      <c r="W19" s="60" t="str">
        <v xml:space="preserve">2.2. Renewed Alliance </v>
      </c>
      <c r="X19" s="60">
        <v>0</v>
      </c>
      <c r="Y19" s="60" t="str">
        <v>BENTELER Engineering Services will be responsible for the engineering of both the chassis and the body of the GRT vehicle, with the IP of the work being owned by 2getthere.</v>
      </c>
      <c r="Z19" s="60" t="str">
        <v>Joint Production</v>
      </c>
      <c r="AA19" s="60" t="str">
        <v>BENTELER Engineering Services will be responsible for the engineering of both the chassis and the body of the GRT vehicle, with the IP of the work being owned by 2getthere.</v>
      </c>
      <c r="AB19" s="60">
        <v>0</v>
      </c>
      <c r="AC19" s="60">
        <v>0</v>
      </c>
      <c r="AD19" s="60">
        <v>0</v>
      </c>
      <c r="AE19" s="60">
        <v>0</v>
      </c>
      <c r="AF19" s="60" t="str">
        <v>2getthere partners with Benteler for the engineering of the 3rd generation GRT</v>
      </c>
      <c r="AG19" s="60">
        <v>0</v>
      </c>
    </row>
    <row r="20" spans="1:34" x14ac:dyDescent="0.35">
      <c r="A20" s="60" t="str">
        <v>https://www.2getthere.eu/news/singapore-partnership/</v>
      </c>
      <c r="B20" s="60" t="str">
        <v>2014, 6, 3</v>
      </c>
      <c r="C20" s="105">
        <v>41793</v>
      </c>
      <c r="D20" s="60" t="str">
        <v>SMRT and 2getthere enter into a partnership for Singapore</v>
      </c>
      <c r="E20" s="60" t="str">
        <v>2getthere</v>
      </c>
      <c r="F20" s="60" t="str">
        <v>L2</v>
      </c>
      <c r="G20" s="60" t="str">
        <v>2getthere-SAV</v>
      </c>
      <c r="H20" s="60" t="str">
        <v>SAV</v>
      </c>
      <c r="I20" s="60" t="str">
        <v>Ridepooling</v>
      </c>
      <c r="J20" s="60" t="str">
        <v>Ridepooling</v>
      </c>
      <c r="K20" s="60" t="str">
        <v>SMRT</v>
      </c>
      <c r="L20" s="60" t="str">
        <v>SMRT</v>
      </c>
      <c r="M20" s="60">
        <v>0</v>
      </c>
      <c r="N20" s="60">
        <v>0</v>
      </c>
      <c r="O20"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0"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0" s="60" t="str">
        <v>Strategic Alliance</v>
      </c>
      <c r="R20" s="60" t="str">
        <v>Yes</v>
      </c>
      <c r="S20" s="60" t="str">
        <v>Product cooperation</v>
      </c>
      <c r="T20" s="60" t="str">
        <v>-</v>
      </c>
      <c r="U20" s="60" t="str">
        <v>Yes</v>
      </c>
      <c r="V20" s="60" t="str">
        <v>Yes</v>
      </c>
      <c r="W20" s="60" t="str">
        <v>2.4. Exclusive Alliance</v>
      </c>
      <c r="X20" s="60">
        <v>0</v>
      </c>
      <c r="Y20" s="60" t="str">
        <v>cooperation agreement for the introduction of 2getthere's innovative driverless transit systems to Singapore.</v>
      </c>
      <c r="Z20" s="60" t="str">
        <v>Joint Service Agreement</v>
      </c>
      <c r="AA20" s="60" t="str">
        <v>cooperation agreement for the introduction of 2getthere's innovative driverless transit systems to Singapore.</v>
      </c>
      <c r="AB20" s="60">
        <v>0</v>
      </c>
      <c r="AC20" s="60">
        <v>0</v>
      </c>
      <c r="AD20" s="60">
        <v>0</v>
      </c>
      <c r="AE20" s="60">
        <v>0</v>
      </c>
      <c r="AF20" s="60" t="str">
        <v>SMRT and 2getthere enter into a partnership for Singapore</v>
      </c>
      <c r="AG20" s="60">
        <v>0</v>
      </c>
    </row>
    <row r="21" spans="1:34" x14ac:dyDescent="0.35">
      <c r="A21" s="60" t="str">
        <v>https://www.2getthere.eu/news/uae-partner-united-technical-services-takes-a-stake-in-2getthere/</v>
      </c>
      <c r="B21" s="60" t="str">
        <v>2016, 1, 25</v>
      </c>
      <c r="C21" s="105">
        <v>42394</v>
      </c>
      <c r="D21" s="60" t="str">
        <v>UAE partner United Technical Services takes a stake in 2getthere</v>
      </c>
      <c r="E21" s="60" t="str">
        <v>2getthere</v>
      </c>
      <c r="F21" s="60" t="str">
        <v>L2</v>
      </c>
      <c r="G21" s="60" t="str">
        <v>2getthere-SAV</v>
      </c>
      <c r="H21" s="60" t="str">
        <v>SAV</v>
      </c>
      <c r="I21" s="60" t="str">
        <v>Ridepooling</v>
      </c>
      <c r="J21" s="60" t="str">
        <v>Ridepooling</v>
      </c>
      <c r="K21" s="60" t="str">
        <v>United Technical Services</v>
      </c>
      <c r="L21" s="60" t="str">
        <v>United Technical Services</v>
      </c>
      <c r="M21" s="60">
        <v>0</v>
      </c>
      <c r="N21" s="60">
        <v>0</v>
      </c>
      <c r="O21"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1"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1" s="60" t="str">
        <v>Strategic Partnership</v>
      </c>
      <c r="R21" s="60" t="str">
        <v>n.a.</v>
      </c>
      <c r="S21" s="60" t="str">
        <v>Product cooperation</v>
      </c>
      <c r="T21" s="60" t="str">
        <v>-</v>
      </c>
      <c r="U21" s="60" t="str">
        <v>Yes</v>
      </c>
      <c r="V21" s="60" t="str">
        <v>-</v>
      </c>
      <c r="W21" s="60" t="str">
        <v>3. Strategic Partnership</v>
      </c>
      <c r="X21" s="60">
        <v>0</v>
      </c>
      <c r="Y21" s="60" t="str">
        <v>In anticipation of the growing demand for 2getthere's systems in the Middle East, the investment is used to support the road map development, organizational growth and marketing ambitions.</v>
      </c>
      <c r="Z21" s="60" t="str">
        <v>Other</v>
      </c>
      <c r="AA21" s="60" t="str">
        <v>In anticipation of the growing demand for 2getthere's systems in the Middle East, the investment is used to support the road map development, organizational growth and marketing ambitions.</v>
      </c>
      <c r="AB21" s="60">
        <v>0</v>
      </c>
      <c r="AC21" s="60">
        <v>0</v>
      </c>
      <c r="AD21" s="60">
        <v>0</v>
      </c>
      <c r="AE21" s="60">
        <v>0</v>
      </c>
      <c r="AF21" s="60" t="str">
        <v>UAE partner United Technical Services takes a stake in 2getthere</v>
      </c>
      <c r="AG21" s="60">
        <v>0</v>
      </c>
    </row>
    <row r="22" spans="1:34" x14ac:dyDescent="0.35">
      <c r="A22" s="60" t="str">
        <v>https://www.2getthere.eu/news/2getthere-asia-joint-venture/</v>
      </c>
      <c r="B22" s="60" t="str">
        <v>2016, 4, 20</v>
      </c>
      <c r="C22" s="105">
        <v>42480</v>
      </c>
      <c r="D22" s="60" t="str">
        <v>2getthere Asia Joint Venture established in Singapore</v>
      </c>
      <c r="E22" s="60" t="str">
        <v>2getthere</v>
      </c>
      <c r="F22" s="60" t="str">
        <v>L2</v>
      </c>
      <c r="G22" s="60" t="str">
        <v>2getthere-SAV</v>
      </c>
      <c r="H22" s="60" t="str">
        <v>SAV</v>
      </c>
      <c r="I22" s="60" t="str">
        <v>Ridepooling</v>
      </c>
      <c r="J22" s="60" t="str">
        <v>Ridepooling</v>
      </c>
      <c r="K22" s="60" t="str">
        <v>SMRT</v>
      </c>
      <c r="L22" s="60" t="str">
        <v>SMRT</v>
      </c>
      <c r="M22" s="60">
        <v>0</v>
      </c>
      <c r="N22" s="60">
        <v>0</v>
      </c>
      <c r="O22"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22"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22" s="60" t="str">
        <v>Joint Venture</v>
      </c>
      <c r="R22" s="60" t="str">
        <v>Yes</v>
      </c>
      <c r="S22" s="60" t="str">
        <v>Service Integration</v>
      </c>
      <c r="T22" s="60" t="str">
        <v>-</v>
      </c>
      <c r="U22" s="60" t="str">
        <v>Yes</v>
      </c>
      <c r="V22" s="60" t="str">
        <v>-</v>
      </c>
      <c r="W22" s="60" t="str">
        <v>4. Joint Venture</v>
      </c>
      <c r="X22" s="60">
        <v>0</v>
      </c>
      <c r="Y22"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22" s="60" t="str">
        <v>Joint Service Agreement</v>
      </c>
      <c r="AA22"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22" s="60">
        <v>0</v>
      </c>
      <c r="AC22" s="60">
        <v>0</v>
      </c>
      <c r="AD22" s="60">
        <v>0</v>
      </c>
      <c r="AE22" s="60">
        <v>0</v>
      </c>
      <c r="AF22" s="60" t="str">
        <v>2getthere Asia Joint Venture established in Singapore</v>
      </c>
      <c r="AG22" s="60">
        <v>0</v>
      </c>
    </row>
    <row r="23" spans="1:34" x14ac:dyDescent="0.35">
      <c r="A23" s="60" t="str">
        <v>https://www.adastec.com/news-coverage/adastec-and-vicinity-motor-corp-collaborate-to-deploy-automated-bus-at-michigan-state-university</v>
      </c>
      <c r="B23" s="60" t="str">
        <v>2023, 10, 9</v>
      </c>
      <c r="C23" s="105">
        <v>44935</v>
      </c>
      <c r="D23" s="60" t="str">
        <v>ADASTEC and Vicinity Motor Corp. Collaborate to Deploy Automated Bus at Michigan State University</v>
      </c>
      <c r="E23" s="60" t="str">
        <v>ADASTEC</v>
      </c>
      <c r="F23" s="60" t="str">
        <v>L1</v>
      </c>
      <c r="G23" s="60" t="str">
        <v>ADASTEC-SAV</v>
      </c>
      <c r="H23" s="60" t="str">
        <v>SAV</v>
      </c>
      <c r="I23" s="60" t="str">
        <v>Ridepooling</v>
      </c>
      <c r="J23" s="60" t="str">
        <v>Ridepooling</v>
      </c>
      <c r="K23" s="60" t="str">
        <v>Vicinity Motor Corp.</v>
      </c>
      <c r="L23" s="60" t="str">
        <v>Vicinity Motor Corp.</v>
      </c>
      <c r="M23" s="60">
        <v>0</v>
      </c>
      <c r="N23" s="60">
        <v>0</v>
      </c>
      <c r="O23"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23"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23" s="60" t="str">
        <v>Strategic Alliance</v>
      </c>
      <c r="R23" s="60" t="str">
        <v>n.a.</v>
      </c>
      <c r="S23" s="60" t="str">
        <v>Product cooperation</v>
      </c>
      <c r="T23" s="60" t="str">
        <v>-</v>
      </c>
      <c r="U23" s="60" t="str">
        <v>-</v>
      </c>
      <c r="V23" s="60" t="str">
        <v>-</v>
      </c>
      <c r="W23" s="60" t="str">
        <v>2.1. Short term Alliance (no exclusivity / previous experience)</v>
      </c>
      <c r="X23" s="60">
        <v>0</v>
      </c>
      <c r="Y23"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23" s="60" t="str">
        <v>Joint D&amp;D</v>
      </c>
      <c r="AA23"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23" s="60">
        <v>0</v>
      </c>
      <c r="AC23" s="60">
        <v>0</v>
      </c>
      <c r="AD23" s="60">
        <v>0</v>
      </c>
      <c r="AE23" s="60">
        <v>0</v>
      </c>
      <c r="AF23" s="60" t="str">
        <v xml:space="preserve">ADASTEC and Vicinity Motor Corp. Collaborate to Deploy </v>
      </c>
      <c r="AG23" s="60" t="str">
        <v>Automated Bus at Michigan State University</v>
      </c>
    </row>
    <row r="24" spans="1:34" x14ac:dyDescent="0.35">
      <c r="A24" s="60" t="str">
        <v>https://www.adastec.com/news-coverage/adastec-and-vicinity-motor-corp-partner-to-deploy-automated-bus-at-the-university-at-buffalo</v>
      </c>
      <c r="B24" s="60" t="str">
        <v>2023, 10, 5</v>
      </c>
      <c r="C24" s="105">
        <v>44931</v>
      </c>
      <c r="D24" s="60" t="str">
        <v>ADASTEC and Vicinity Motor Corp. Partner to Deploy Automated Bus at the University at Buffalo</v>
      </c>
      <c r="E24" s="60" t="str">
        <v>ADASTEC</v>
      </c>
      <c r="F24" s="60" t="str">
        <v>L1</v>
      </c>
      <c r="G24" s="60" t="str">
        <v>ADASTEC-SAV</v>
      </c>
      <c r="H24" s="60" t="str">
        <v>SAV</v>
      </c>
      <c r="I24" s="60" t="str">
        <v>Ridepooling</v>
      </c>
      <c r="J24" s="60" t="str">
        <v>Ridepooling</v>
      </c>
      <c r="K24" s="60" t="str">
        <v>Vicinity Motor Corp.</v>
      </c>
      <c r="L24" s="60" t="str">
        <v>Vicinity Motor Corp.</v>
      </c>
      <c r="M24" s="60">
        <v>0</v>
      </c>
      <c r="N24" s="60">
        <v>0</v>
      </c>
      <c r="O24"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24"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24" s="60" t="str">
        <v>Strategic Alliance</v>
      </c>
      <c r="R24" s="60" t="str">
        <v>n.a.</v>
      </c>
      <c r="S24" s="60" t="str">
        <v>Product cooperation</v>
      </c>
      <c r="T24" s="60" t="str">
        <v>-</v>
      </c>
      <c r="U24" s="60" t="str">
        <v>-</v>
      </c>
      <c r="V24" s="60" t="str">
        <v>-</v>
      </c>
      <c r="W24" s="60" t="str">
        <v>2.1. Short term Alliance (no exclusivity / previous experience)</v>
      </c>
      <c r="X24" s="60">
        <v>0</v>
      </c>
      <c r="Y24"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24" s="60" t="str">
        <v>Joint D&amp;D</v>
      </c>
      <c r="AA24"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24" s="60">
        <v>0</v>
      </c>
      <c r="AC24" s="60">
        <v>0</v>
      </c>
      <c r="AD24" s="60">
        <v>0</v>
      </c>
      <c r="AE24" s="60">
        <v>0</v>
      </c>
      <c r="AF24" s="60" t="str">
        <v>ADASTEC and Vicinity Motor Corp. Partner to Deploy Automated Bus at the University at Buffalo</v>
      </c>
      <c r="AG24" s="60">
        <v>0</v>
      </c>
    </row>
    <row r="25" spans="1:34" x14ac:dyDescent="0.35">
      <c r="A25" s="60" t="str">
        <v>https://www.ridebeep.com/press-releases/north-carolina-department-of-transportation-and-beep-partner-for-autonomous-vehicle-testing-projects</v>
      </c>
      <c r="B25" s="60" t="str">
        <v>2023, 3, 14</v>
      </c>
      <c r="C25" s="105">
        <v>44999</v>
      </c>
      <c r="D25" s="60" t="str">
        <v>North Carolina Department of Transportation and Beep Partner for Autonomous Vehicle Testing Projects</v>
      </c>
      <c r="E25" s="60" t="str">
        <v>Beep</v>
      </c>
      <c r="F25" s="60" t="str">
        <v>L3</v>
      </c>
      <c r="G25" s="60" t="str">
        <v>Beep-SAV</v>
      </c>
      <c r="H25" s="60" t="str">
        <v>SAV</v>
      </c>
      <c r="I25" s="60" t="str">
        <v>Ridepooling</v>
      </c>
      <c r="J25" s="60" t="str">
        <v>Ridepooling</v>
      </c>
      <c r="K25" s="60" t="str">
        <v>North Carolina Department of Transportation</v>
      </c>
      <c r="L25" s="60" t="str">
        <v>North Carolina Department of Transportation</v>
      </c>
      <c r="M25" s="60">
        <v>0</v>
      </c>
      <c r="N25" s="60">
        <v>0</v>
      </c>
      <c r="O25"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25"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25" s="60" t="str">
        <v>Strategic Alliance</v>
      </c>
      <c r="R25" s="60" t="str">
        <v>n.a.</v>
      </c>
      <c r="S25" s="60" t="str">
        <v>Service Integration</v>
      </c>
      <c r="T25" s="60" t="str">
        <v>-</v>
      </c>
      <c r="U25" s="60" t="str">
        <v>-</v>
      </c>
      <c r="V25" s="60" t="str">
        <v>-</v>
      </c>
      <c r="W25" s="60" t="str">
        <v>2.1. Short term Alliance (no exclusivity / previous experience)</v>
      </c>
      <c r="X25" s="60">
        <v>0</v>
      </c>
      <c r="Y25"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25" s="60" t="str">
        <v>Joint Service Agreement</v>
      </c>
      <c r="AA25"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25" s="60">
        <v>0</v>
      </c>
      <c r="AC25" s="60">
        <v>0</v>
      </c>
      <c r="AD25" s="60">
        <v>0</v>
      </c>
      <c r="AE25" s="60">
        <v>0</v>
      </c>
      <c r="AF25" s="60" t="str">
        <v xml:space="preserve">North Carolina Department of Transportation and Beep Partner for </v>
      </c>
      <c r="AG25" s="60" t="str">
        <v>Autonomous Vehicle Testing Projects</v>
      </c>
    </row>
    <row r="26" spans="1:34" x14ac:dyDescent="0.35">
      <c r="A26" s="60" t="str">
        <v>https://www.ridebeep.com/press-releases/contra-costa-transportation-authority-and-beep-partner-to-deliver-autonomous-vehicle-projects-in-california</v>
      </c>
      <c r="B26" s="60" t="str">
        <v>2023, 4, 21</v>
      </c>
      <c r="C26" s="105">
        <v>45037</v>
      </c>
      <c r="D26" s="60" t="str">
        <v>Contra Costa Transportation Authority and Beep Partner to Deliver Autonomous Vehicle Projects in California</v>
      </c>
      <c r="E26" s="60" t="str">
        <v>Beep</v>
      </c>
      <c r="F26" s="60" t="str">
        <v>L3</v>
      </c>
      <c r="G26" s="60" t="str">
        <v>Beep-SAV</v>
      </c>
      <c r="H26" s="60" t="str">
        <v>SAV</v>
      </c>
      <c r="I26" s="60" t="str">
        <v>Ridepooling</v>
      </c>
      <c r="J26" s="60" t="str">
        <v>Ridepooling</v>
      </c>
      <c r="K26" s="60" t="str">
        <v>Contra Costa Transportation Authority</v>
      </c>
      <c r="L26" s="60" t="str">
        <v>Contra Costa Transportation Authority</v>
      </c>
      <c r="M26" s="60">
        <v>0</v>
      </c>
      <c r="N26" s="60">
        <v>0</v>
      </c>
      <c r="O26"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26"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26" s="60" t="str">
        <v>Strategic Alliance</v>
      </c>
      <c r="R26" s="60" t="str">
        <v>n.a.</v>
      </c>
      <c r="S26" s="60" t="str">
        <v>Service Integration</v>
      </c>
      <c r="T26" s="60" t="str">
        <v>-</v>
      </c>
      <c r="U26" s="60" t="str">
        <v>-</v>
      </c>
      <c r="V26" s="60" t="str">
        <v>-</v>
      </c>
      <c r="W26" s="60" t="str">
        <v>2.1. Short term Alliance (no exclusivity / previous experience)</v>
      </c>
      <c r="X26" s="60">
        <v>0</v>
      </c>
      <c r="Y26"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26" s="60" t="str">
        <v>Joint Service Agreement</v>
      </c>
      <c r="AA26"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26" s="60">
        <v>0</v>
      </c>
      <c r="AC26" s="60">
        <v>0</v>
      </c>
      <c r="AD26" s="60">
        <v>0</v>
      </c>
      <c r="AE26" s="60">
        <v>0</v>
      </c>
      <c r="AF26" s="60" t="str">
        <v xml:space="preserve">Contra Costa Transportation Authority and Beep Partner to Deliver </v>
      </c>
      <c r="AG26" s="60" t="str">
        <v>Autonomous Vehicle Projects in California</v>
      </c>
    </row>
    <row r="27" spans="1:34" x14ac:dyDescent="0.35">
      <c r="A27" s="60" t="str">
        <v>https://ridebeep.com/press-releases/zf-announces-partnership-with-beep-unveils-next-generation-autonomous-shuttle</v>
      </c>
      <c r="B27" s="60" t="str">
        <v>2023, 1, 4</v>
      </c>
      <c r="C27" s="105">
        <v>44930</v>
      </c>
      <c r="D27" s="60" t="str">
        <v>ZF announces partnership with Beep, unveils next-generation autonomous shuttle</v>
      </c>
      <c r="E27" s="60" t="str">
        <v>Beep</v>
      </c>
      <c r="F27" s="60" t="str">
        <v>L3</v>
      </c>
      <c r="G27" s="60" t="str">
        <v>Beep-SAV</v>
      </c>
      <c r="H27" s="60" t="str">
        <v>SAV</v>
      </c>
      <c r="I27" s="60" t="str">
        <v>Ridepooling</v>
      </c>
      <c r="J27" s="60" t="str">
        <v>Ridepooling</v>
      </c>
      <c r="K27" s="60" t="str">
        <v>ZF</v>
      </c>
      <c r="L27" s="60" t="str">
        <v>ZF</v>
      </c>
      <c r="M27" s="60">
        <v>0</v>
      </c>
      <c r="N27" s="60">
        <v>0</v>
      </c>
      <c r="O27"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27"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27" s="60" t="str">
        <v>Strategic Alliance</v>
      </c>
      <c r="R27" s="60" t="str">
        <v>Yes</v>
      </c>
      <c r="S27" s="60" t="str">
        <v>Service Integration</v>
      </c>
      <c r="T27" s="60" t="str">
        <v>Long term - coming years</v>
      </c>
      <c r="U27" s="60" t="str">
        <v>-</v>
      </c>
      <c r="V27" s="60" t="str">
        <v>-</v>
      </c>
      <c r="W27" s="60" t="str">
        <v>2.3. Long term Alliance</v>
      </c>
      <c r="X27" s="60">
        <v>0</v>
      </c>
      <c r="Y27"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27" s="60" t="str">
        <v>Joint Service Agreement</v>
      </c>
      <c r="AA27" s="60" t="str">
        <v>"Our offer of clean, efficient and affordable mobility is convincing, and has found a partner and major customer in Beep"</v>
      </c>
      <c r="AB27" s="60">
        <v>0</v>
      </c>
      <c r="AC27" s="60">
        <v>0</v>
      </c>
      <c r="AD27" s="60">
        <v>0</v>
      </c>
      <c r="AE27" s="60">
        <v>0</v>
      </c>
      <c r="AF27" s="60" t="str">
        <v>ZF announces partnership with Beep, unveils next-generation autonomous shuttle</v>
      </c>
      <c r="AG27" s="60">
        <v>0</v>
      </c>
    </row>
    <row r="28" spans="1:34" x14ac:dyDescent="0.35">
      <c r="A28" s="60" t="str">
        <v>https://www.ridebeep.com/press-releases/beep-and-oxa-announce-partnership-to-deploy-autonomous-vehicles-driven-by-oxa-in-united-states</v>
      </c>
      <c r="B28" s="60" t="str">
        <v>2023, 8, 24</v>
      </c>
      <c r="C28" s="105">
        <v>45162</v>
      </c>
      <c r="D28" s="60" t="str">
        <v>Beep and Oxa Announce Partnership to Deploy Autonomous Vehicles Driven by Oxa in United States</v>
      </c>
      <c r="E28" s="60" t="str">
        <v>Beep</v>
      </c>
      <c r="F28" s="60" t="str">
        <v>L3</v>
      </c>
      <c r="G28" s="60" t="str">
        <v>Beep-SAV</v>
      </c>
      <c r="H28" s="60" t="str">
        <v>SAV</v>
      </c>
      <c r="I28" s="60" t="str">
        <v>Ridepooling</v>
      </c>
      <c r="J28" s="60" t="str">
        <v>Ridepooling</v>
      </c>
      <c r="K28" s="60" t="str">
        <v>Oxa</v>
      </c>
      <c r="L28" s="60" t="str">
        <v>Oxa</v>
      </c>
      <c r="M28" s="60">
        <v>0</v>
      </c>
      <c r="N28" s="60">
        <v>0</v>
      </c>
      <c r="O28"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28"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28" s="60" t="str">
        <v>Strategic Alliance</v>
      </c>
      <c r="R28" s="60" t="str">
        <v>n.a.</v>
      </c>
      <c r="S28" s="60" t="str">
        <v>Service Integration</v>
      </c>
      <c r="T28" s="60" t="str">
        <v>Long term - Future years mentioned</v>
      </c>
      <c r="U28" s="60" t="str">
        <v>Yes</v>
      </c>
      <c r="V28" s="60" t="str">
        <v>-</v>
      </c>
      <c r="W28" s="60" t="str">
        <v>2.3. Long term Alliance</v>
      </c>
      <c r="X28" s="60">
        <v>0</v>
      </c>
      <c r="Y28" s="60" t="str">
        <v>the strategic partnership will see Oxa's autonomy software installed in a variety of vehicle types operated by Beep, from current passenger shuttles to future vehicle platforms</v>
      </c>
      <c r="Z28" s="60" t="str">
        <v>Joint Service Agreement</v>
      </c>
      <c r="AA28" s="60" t="str">
        <v>the strategic partnership will see Oxa's autonomy software installed in a variety of vehicle types operated by Beep, from current passenger shuttles to future vehicle platforms</v>
      </c>
      <c r="AB28" s="60">
        <v>0</v>
      </c>
      <c r="AC28" s="60">
        <v>0</v>
      </c>
      <c r="AD28" s="60">
        <v>0</v>
      </c>
      <c r="AE28" s="60">
        <v>0</v>
      </c>
      <c r="AF28" s="60" t="str">
        <v>Beep and Oxa Announce Partnership to Deploy Autonomous Vehicles Driven by Oxa in United States</v>
      </c>
      <c r="AG28" s="60">
        <v>0</v>
      </c>
    </row>
    <row r="29" spans="1:34" x14ac:dyDescent="0.35">
      <c r="A29" s="60" t="str">
        <v>https://getcruise.com/news/pressrelease/2021/cruise-and-gm-team-up-with-microsoft-to-commercialize-self-driving-vehicles/</v>
      </c>
      <c r="B29" s="60" t="str">
        <v>2021, 1, 19</v>
      </c>
      <c r="C29" s="105">
        <v>44215</v>
      </c>
      <c r="D29" s="60" t="str">
        <v>Cruise and GM team up with Microsoft to commercialize self-driving vehicles</v>
      </c>
      <c r="E29" s="60" t="str">
        <v>Cruise</v>
      </c>
      <c r="F29" s="60" t="str">
        <v>L1</v>
      </c>
      <c r="G29" s="60" t="str">
        <v>Cruise-SAV</v>
      </c>
      <c r="H29" s="60" t="str">
        <v>SAV</v>
      </c>
      <c r="I29" s="60" t="str">
        <v>Ridehailing</v>
      </c>
      <c r="J29" s="60" t="str">
        <v>Ridehailing</v>
      </c>
      <c r="K29" s="60" t="str">
        <v>GM;Microsoft</v>
      </c>
      <c r="L29" s="60" t="str">
        <v>GM</v>
      </c>
      <c r="M29" s="60" t="str">
        <v>Microsoft</v>
      </c>
      <c r="N29" s="60">
        <v>0</v>
      </c>
      <c r="O29"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29"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29" s="60" t="str">
        <v>Strategic Partnership</v>
      </c>
      <c r="R29" s="60" t="str">
        <v>n.a.</v>
      </c>
      <c r="S29" s="60" t="str">
        <v>Product cooperation</v>
      </c>
      <c r="T29" s="60" t="str">
        <v>Long term</v>
      </c>
      <c r="U29" s="60" t="str">
        <v>-</v>
      </c>
      <c r="V29" s="60" t="str">
        <v>-</v>
      </c>
      <c r="W29" s="60" t="str">
        <v>3. Strategic Partnership</v>
      </c>
      <c r="X29" s="60">
        <v>0</v>
      </c>
      <c r="Y29"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29" s="60" t="str">
        <v>Joint D&amp;D</v>
      </c>
      <c r="AA29"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29" s="60">
        <v>0</v>
      </c>
      <c r="AC29" s="60">
        <v>0</v>
      </c>
      <c r="AD29" s="60">
        <v>0</v>
      </c>
      <c r="AE29" s="60">
        <v>0</v>
      </c>
      <c r="AF29" s="60" t="str">
        <v>Cruise and GM team up with Microsoft to commercialize self-driving vehicles</v>
      </c>
      <c r="AG29" s="60">
        <v>0</v>
      </c>
    </row>
    <row r="30" spans="1:34" x14ac:dyDescent="0.35">
      <c r="A30" s="60" t="str">
        <v>https://easymile.com/news/ces2023-trust-soft-and-easymile-collaborate-complement-product-development-strategies</v>
      </c>
      <c r="B30" s="60" t="str">
        <v>2023, 1, 5</v>
      </c>
      <c r="C30" s="105">
        <v>44931</v>
      </c>
      <c r="D30" s="60" t="str">
        <v>#CES2023 - Trust in Soft and EasyMile collaborate to complement product development strategies</v>
      </c>
      <c r="E30" s="60" t="str">
        <v>EasyMile</v>
      </c>
      <c r="F30" s="60" t="str">
        <v>L2</v>
      </c>
      <c r="G30" s="60" t="str">
        <v>EasyMile-SAV</v>
      </c>
      <c r="H30" s="60" t="str">
        <v>SAV</v>
      </c>
      <c r="I30" s="60" t="str">
        <v>Ridepooling</v>
      </c>
      <c r="J30" s="60" t="str">
        <v>Ridepooling</v>
      </c>
      <c r="K30" s="60" t="str">
        <v>TrustInSoft</v>
      </c>
      <c r="L30" s="60" t="str">
        <v>TrustInSoft</v>
      </c>
      <c r="M30" s="60">
        <v>0</v>
      </c>
      <c r="N30" s="60">
        <v>0</v>
      </c>
      <c r="O30"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0" s="60" t="str">
        <v>EasyMile, a vendor of autonomous mobility solutions, has chosen TrustInSoft Analyzer to complement its product development strategies.</v>
      </c>
      <c r="Q30" s="60" t="str">
        <v>Informal Agreement</v>
      </c>
      <c r="R30" s="60" t="str">
        <v>n.a.</v>
      </c>
      <c r="S30" s="60" t="str">
        <v>Financing</v>
      </c>
      <c r="T30" s="60" t="str">
        <v>-</v>
      </c>
      <c r="U30" s="60" t="str">
        <v>-</v>
      </c>
      <c r="V30" s="60" t="str">
        <v>-</v>
      </c>
      <c r="W30" s="60" t="str">
        <v>1. Informal Agreement</v>
      </c>
      <c r="X30" s="60">
        <v>0</v>
      </c>
      <c r="Y30"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0" s="60" t="str">
        <v>Licensing</v>
      </c>
      <c r="AA30"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0" s="60">
        <v>0</v>
      </c>
      <c r="AC30" s="60">
        <v>0</v>
      </c>
      <c r="AD30" s="60">
        <v>0</v>
      </c>
      <c r="AE30" s="60">
        <v>0</v>
      </c>
      <c r="AF30" s="60" t="str">
        <v xml:space="preserve">#CES2023 - Trust in Soft and EasyMile collaborate to complement </v>
      </c>
      <c r="AG30" s="60" t="str">
        <v>product development strategies</v>
      </c>
    </row>
    <row r="31" spans="1:34" x14ac:dyDescent="0.35">
      <c r="A31" s="60" t="str">
        <v>https://easymile.com/news/iaa-frankfurt-continental-and-easymile-partner-demonstrate-ez10</v>
      </c>
      <c r="B31" s="60" t="str">
        <v>2019, 9, 12</v>
      </c>
      <c r="C31" s="105">
        <v>43720</v>
      </c>
      <c r="D31" s="60" t="str">
        <v>IAA Frankfurt: Continental and EasyMile Partner to Demonstrate an EZ10</v>
      </c>
      <c r="E31" s="60" t="str">
        <v>EasyMile</v>
      </c>
      <c r="F31" s="60" t="str">
        <v>L2</v>
      </c>
      <c r="G31" s="60" t="str">
        <v>EasyMile-SAV</v>
      </c>
      <c r="H31" s="60" t="str">
        <v>SAV</v>
      </c>
      <c r="I31" s="60" t="str">
        <v>Ridepooling</v>
      </c>
      <c r="J31" s="60" t="str">
        <v>Ridepooling</v>
      </c>
      <c r="K31" s="60" t="str">
        <v>Continental</v>
      </c>
      <c r="L31" s="60" t="str">
        <v>Continental</v>
      </c>
      <c r="M31" s="60">
        <v>0</v>
      </c>
      <c r="N31" s="60">
        <v>0</v>
      </c>
      <c r="O31"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1"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1" s="60" t="str">
        <v>Informal Agreement</v>
      </c>
      <c r="R31" s="60" t="str">
        <v>n.a.</v>
      </c>
      <c r="S31" s="60" t="str">
        <v>One time - Trade show</v>
      </c>
      <c r="T31" s="60" t="str">
        <v>-</v>
      </c>
      <c r="U31" s="60" t="str">
        <v>Yes</v>
      </c>
      <c r="V31" s="60" t="str">
        <v>-</v>
      </c>
      <c r="W31" s="60" t="str">
        <v>1. Informal Agreement</v>
      </c>
      <c r="X31" s="60">
        <v>0</v>
      </c>
      <c r="Y31"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1" s="60" t="str">
        <v>Marketing Agreement</v>
      </c>
      <c r="AA31"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1" s="60">
        <v>0</v>
      </c>
      <c r="AC31" s="60">
        <v>0</v>
      </c>
      <c r="AD31" s="60">
        <v>0</v>
      </c>
      <c r="AE31" s="60">
        <v>0</v>
      </c>
      <c r="AF31" s="60" t="str">
        <v xml:space="preserve">IAA Frankfurt: Continental and EasyMile Partner to Demonstrate </v>
      </c>
      <c r="AG31" s="60" t="str">
        <v>an EZ10</v>
      </c>
    </row>
    <row r="32" spans="1:34" x14ac:dyDescent="0.35">
      <c r="A32" s="60" t="str">
        <v>https://easymile.com/news/easymile-and-sono-motors-reveal-collaboration-autonomous-solar-powered-passenger-shuttle</v>
      </c>
      <c r="B32" s="60" t="str">
        <v>2021, 1, 22</v>
      </c>
      <c r="C32" s="105">
        <v>44218</v>
      </c>
      <c r="D32" s="60" t="str">
        <v>EasyMile and Sono Motors Reveal Collaboration on Autonomous Solar-Powered Passenger Shuttle</v>
      </c>
      <c r="E32" s="60" t="str">
        <v>EasyMile</v>
      </c>
      <c r="F32" s="60" t="str">
        <v>L2</v>
      </c>
      <c r="G32" s="60" t="str">
        <v>EasyMile-SAV</v>
      </c>
      <c r="H32" s="60" t="str">
        <v>SAV</v>
      </c>
      <c r="I32" s="60" t="str">
        <v>Ridepooling</v>
      </c>
      <c r="J32" s="60" t="str">
        <v>Ridepooling</v>
      </c>
      <c r="K32" s="60" t="str">
        <v>Sono Motors</v>
      </c>
      <c r="L32" s="60" t="str">
        <v>Sono Motors</v>
      </c>
      <c r="M32" s="60">
        <v>0</v>
      </c>
      <c r="N32" s="60">
        <v>0</v>
      </c>
      <c r="O32"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2" s="60" t="str">
        <v>EasyMile and Sono Motors are equipping an EZ10 autonomous shuttle prototype with Sono Motors' patented solar technology, testing a new energy concept for electric and driverless shuttles.</v>
      </c>
      <c r="Q32" s="60" t="str">
        <v>Strategic Alliance</v>
      </c>
      <c r="R32" s="60" t="str">
        <v>n.a.</v>
      </c>
      <c r="S32" s="60" t="str">
        <v>One time -  Pilot</v>
      </c>
      <c r="T32" s="60" t="str">
        <v>-</v>
      </c>
      <c r="U32" s="60" t="str">
        <v>-</v>
      </c>
      <c r="V32" s="60" t="str">
        <v>-</v>
      </c>
      <c r="W32" s="60" t="str">
        <v>2.1. Short term Alliance (no exclusivity / previous experience)</v>
      </c>
      <c r="X32" s="60">
        <v>0</v>
      </c>
      <c r="Y32" s="60" t="str">
        <v>EasyMile and Sono Motors are equipping an EZ10 autonomous shuttle prototype with Sono Motors' patented solar technology, testing a new energy concept for electric and driverless shuttles.</v>
      </c>
      <c r="Z32" s="60" t="str">
        <v>Research &amp; Collaboration</v>
      </c>
      <c r="AA32" s="60" t="str">
        <v>EasyMile and Sono Motors are equipping an EZ10 autonomous shuttle prototype with Sono Motors' patented solar technology, testing a new energy concept for electric and driverless shuttles.</v>
      </c>
      <c r="AB32" s="60">
        <v>0</v>
      </c>
      <c r="AC32" s="60">
        <v>0</v>
      </c>
      <c r="AD32" s="60">
        <v>0</v>
      </c>
      <c r="AE32" s="60">
        <v>0</v>
      </c>
      <c r="AF32" s="60" t="str">
        <v xml:space="preserve">EasyMile and Sono Motors Reveal Collaboration on </v>
      </c>
      <c r="AG32" s="60" t="str">
        <v>Autonomous Solar-Powered Passenger Shuttle</v>
      </c>
    </row>
    <row r="33" spans="1:33" x14ac:dyDescent="0.35">
      <c r="A33" s="60" t="str">
        <v>https://easymile.com/news/phoenix-motorcars-and-easymile-collaborate-deploy-delivery-trucks-well-autonomous-shuttle</v>
      </c>
      <c r="B33" s="60" t="str">
        <v>2020, 12, 21</v>
      </c>
      <c r="C33" s="105">
        <v>43851</v>
      </c>
      <c r="D33" s="60" t="str">
        <v>Phoenix Motorcars and EasyMile Collaborate to Deploy Delivery Trucks as well as Autonomous Shuttle Buses</v>
      </c>
      <c r="E33" s="60" t="str">
        <v>EasyMile</v>
      </c>
      <c r="F33" s="60" t="str">
        <v>L2</v>
      </c>
      <c r="G33" s="60" t="str">
        <v>EasyMile-SAV</v>
      </c>
      <c r="H33" s="60" t="str">
        <v>SAV</v>
      </c>
      <c r="I33" s="60" t="str">
        <v>Ridepooling</v>
      </c>
      <c r="J33" s="60" t="str">
        <v>Ridepooling</v>
      </c>
      <c r="K33" s="60" t="str">
        <v>Phoenix Motorcars</v>
      </c>
      <c r="L33" s="60" t="str">
        <v>Phoenix Motorcars</v>
      </c>
      <c r="M33" s="60">
        <v>0</v>
      </c>
      <c r="N33" s="60">
        <v>0</v>
      </c>
      <c r="O33"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33"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33" s="60" t="str">
        <v>Strategic Alliance</v>
      </c>
      <c r="R33" s="60" t="str">
        <v>n.a.</v>
      </c>
      <c r="S33" s="60" t="str">
        <v>Product cooperation</v>
      </c>
      <c r="T33" s="60" t="str">
        <v>-</v>
      </c>
      <c r="U33" s="60" t="str">
        <v>-</v>
      </c>
      <c r="V33" s="60" t="str">
        <v>-</v>
      </c>
      <c r="W33" s="60" t="str">
        <v>2.1. Short term Alliance (no exclusivity / previous experience)</v>
      </c>
      <c r="X33" s="60">
        <v>0</v>
      </c>
      <c r="Y33"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33" s="60" t="str">
        <v>Joint D&amp;D</v>
      </c>
      <c r="AA33"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33" s="60">
        <v>0</v>
      </c>
      <c r="AC33" s="60">
        <v>0</v>
      </c>
      <c r="AD33" s="60">
        <v>0</v>
      </c>
      <c r="AE33" s="60">
        <v>0</v>
      </c>
      <c r="AF33" s="60" t="str">
        <v>Phoenix Motorcars and EasyMile Collaborate to Deploy Delivery Trucks as well as Autonomous Shuttle Buses</v>
      </c>
      <c r="AG33" s="60">
        <v>0</v>
      </c>
    </row>
    <row r="34" spans="1:33" x14ac:dyDescent="0.35">
      <c r="A34" s="60" t="str">
        <v>https://easymile.com/news/easymile-and-continental-collaborate-shanghai-jiading-industrial-zone-develop-driverless</v>
      </c>
      <c r="B34" s="60" t="str">
        <v>2019, 12, 19</v>
      </c>
      <c r="C34" s="105">
        <v>43484</v>
      </c>
      <c r="D34" s="60" t="str">
        <v>EasyMile and Continental Collaborate with Shanghai Jiading Industrial Zone to Develop Driverless Technology in China</v>
      </c>
      <c r="E34" s="60" t="str">
        <v>EasyMile</v>
      </c>
      <c r="F34" s="60" t="str">
        <v>L2</v>
      </c>
      <c r="G34" s="60" t="str">
        <v>EasyMile-SAV</v>
      </c>
      <c r="H34" s="60" t="str">
        <v>SAV</v>
      </c>
      <c r="I34" s="60" t="str">
        <v>Ridepooling</v>
      </c>
      <c r="J34" s="60" t="str">
        <v>Ridepooling</v>
      </c>
      <c r="K34" s="60" t="str">
        <v>Continental;Shanghai Jiading Industrial Zone</v>
      </c>
      <c r="L34" s="60" t="str">
        <v>Continental</v>
      </c>
      <c r="M34" s="60" t="str">
        <v>Shanghai Jiading Industrial Zone</v>
      </c>
      <c r="N34" s="60">
        <v>0</v>
      </c>
      <c r="O34"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34"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34" s="60" t="str">
        <v>Strategic Alliance</v>
      </c>
      <c r="R34" s="60" t="str">
        <v>Yes</v>
      </c>
      <c r="S34" s="60" t="str">
        <v>Product cooperation</v>
      </c>
      <c r="T34" s="60" t="str">
        <v>-</v>
      </c>
      <c r="U34" s="60" t="str">
        <v>Yes</v>
      </c>
      <c r="V34" s="60" t="str">
        <v>-</v>
      </c>
      <c r="W34" s="60" t="str">
        <v xml:space="preserve">2.2. Renewed Alliance </v>
      </c>
      <c r="X34" s="60">
        <v>0</v>
      </c>
      <c r="Y34"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34" s="60" t="str">
        <v>Joint D&amp;D</v>
      </c>
      <c r="AA34"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34" s="60">
        <v>0</v>
      </c>
      <c r="AC34" s="60">
        <v>0</v>
      </c>
      <c r="AD34" s="60">
        <v>0</v>
      </c>
      <c r="AE34" s="60">
        <v>0</v>
      </c>
      <c r="AF34" s="60" t="str">
        <v>EasyMile and Continental Collaborate with Shanghai Jiading Industrial Zone to Develop Driverless Technology in China</v>
      </c>
      <c r="AG34" s="60">
        <v>0</v>
      </c>
    </row>
    <row r="35" spans="1:33" x14ac:dyDescent="0.35">
      <c r="A35" s="60" t="str">
        <v>https://easymile.com/news/easymile-and-kalray-strengthen-development-platform-collaboration</v>
      </c>
      <c r="B35" s="60" t="str">
        <v>2021, 1, 6</v>
      </c>
      <c r="C35" s="105">
        <v>44202</v>
      </c>
      <c r="D35" s="60" t="str">
        <v>EasyMile and Kalray Strengthen Development Platform Collaboration</v>
      </c>
      <c r="E35" s="60" t="str">
        <v>EasyMile</v>
      </c>
      <c r="F35" s="60" t="str">
        <v>L2</v>
      </c>
      <c r="G35" s="60" t="str">
        <v>EasyMile-SAV</v>
      </c>
      <c r="H35" s="60" t="str">
        <v>SAV</v>
      </c>
      <c r="I35" s="60" t="str">
        <v>Ridepooling</v>
      </c>
      <c r="J35" s="60" t="str">
        <v>Ridepooling</v>
      </c>
      <c r="K35" s="60" t="str">
        <v>Kalray</v>
      </c>
      <c r="L35" s="60" t="str">
        <v>Kalray</v>
      </c>
      <c r="M35" s="60">
        <v>0</v>
      </c>
      <c r="N35" s="60">
        <v>0</v>
      </c>
      <c r="O35"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35" s="60" t="str">
        <v>“Autonomous technology provider EasyMile and intelligent processors supplier Kalray have deepened their relationship with the signature of a Memorandum of Understanding (MoU) formalizing their relationship to develop intelligent systems.</v>
      </c>
      <c r="Q35" s="60" t="str">
        <v>Strategic Alliance</v>
      </c>
      <c r="R35" s="60" t="str">
        <v>Yes</v>
      </c>
      <c r="S35" s="60" t="str">
        <v>Product cooperation</v>
      </c>
      <c r="T35" s="60" t="str">
        <v>-</v>
      </c>
      <c r="U35" s="60" t="str">
        <v>Yes</v>
      </c>
      <c r="V35" s="60" t="str">
        <v>-</v>
      </c>
      <c r="W35" s="60" t="str">
        <v xml:space="preserve">2.2. Renewed Alliance </v>
      </c>
      <c r="X35" s="60">
        <v>0</v>
      </c>
      <c r="Y35"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35" s="60" t="str">
        <v>Supply Partnership (traditional)</v>
      </c>
      <c r="AA35"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35" s="60">
        <v>0</v>
      </c>
      <c r="AC35" s="60">
        <v>0</v>
      </c>
      <c r="AD35" s="60">
        <v>0</v>
      </c>
      <c r="AE35" s="60">
        <v>0</v>
      </c>
      <c r="AF35" s="60" t="str">
        <v>EasyMile and Kalray Strengthen Development Platform Collaboration</v>
      </c>
      <c r="AG35" s="60">
        <v>0</v>
      </c>
    </row>
    <row r="36" spans="1:33" x14ac:dyDescent="0.35">
      <c r="A36" s="60" t="str">
        <v>https://ioki.com/en/deutsche-bahn-and-berlins-municipal-public-transportation-operator-berliner-verkehrsbetriebe-are-cooperation-partners-in-the-area-of-autonomous-driving/</v>
      </c>
      <c r="B36" s="60" t="str">
        <v>2018, 4, 9</v>
      </c>
      <c r="C36" s="105">
        <v>43199</v>
      </c>
      <c r="D36" s="60" t="str">
        <v>Deutsche Bahn and Berlin's municipal public transportation operator Berliner Verkehrsbetriebe are cooperation partners in the area of autonomous driving</v>
      </c>
      <c r="E36" s="60" t="str">
        <v>Ioki</v>
      </c>
      <c r="F36" s="60" t="str">
        <v>L4</v>
      </c>
      <c r="G36" s="60" t="str">
        <v>Ioki-SAV</v>
      </c>
      <c r="H36" s="60" t="str">
        <v>SAV</v>
      </c>
      <c r="I36" s="60" t="str">
        <v>Ridepooling</v>
      </c>
      <c r="J36" s="60" t="str">
        <v>Ridepooling</v>
      </c>
      <c r="K36" s="60" t="str">
        <v>Deutsche Bahn;Berliner Verkehrsbetriebe</v>
      </c>
      <c r="L36" s="60" t="str">
        <v>Deutsche Bahn</v>
      </c>
      <c r="M36" s="60" t="str">
        <v>Berliner Verkehrsbetriebe</v>
      </c>
      <c r="N36" s="60">
        <v>0</v>
      </c>
      <c r="O36"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36"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36" s="60" t="str">
        <v>Strategic Alliance</v>
      </c>
      <c r="R36" s="60" t="str">
        <v>n.a.</v>
      </c>
      <c r="S36" s="60" t="str">
        <v xml:space="preserve">One time  - Pilot </v>
      </c>
      <c r="T36" s="60" t="str">
        <v>-</v>
      </c>
      <c r="U36" s="60" t="str">
        <v>-</v>
      </c>
      <c r="V36" s="60" t="str">
        <v>-</v>
      </c>
      <c r="W36" s="60" t="str">
        <v>2.1. Short term Alliance (no exclusivity / previous experience)</v>
      </c>
      <c r="X36" s="60">
        <v>0</v>
      </c>
      <c r="Y36"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36" s="60" t="str">
        <v>Joint D&amp;D</v>
      </c>
      <c r="AA36" s="60" t="str">
        <v xml:space="preserve">Current plans foresee the expansion of the test project to include operations on public streets. The project partners are working in close collaboration with local authorities in the search for a suitable route. </v>
      </c>
      <c r="AB36" s="60">
        <v>0</v>
      </c>
      <c r="AC36" s="60">
        <v>0</v>
      </c>
      <c r="AD36" s="60">
        <v>0</v>
      </c>
      <c r="AE36" s="60">
        <v>0</v>
      </c>
      <c r="AF36" s="60" t="str">
        <v xml:space="preserve">Deutsche Bahn and Berlin's municipal public transportation operator Berliner Verkehrsbetriebe are cooperation partners </v>
      </c>
      <c r="AG36" s="60" t="str">
        <v>in the area of autonomous driving</v>
      </c>
    </row>
    <row r="37" spans="1:33" x14ac:dyDescent="0.35">
      <c r="A37" s="60" t="str">
        <v>https://ioki.com/en/automated-public-transport-ioki-to-be-technology-partner-of-the-research-project-minga-in-munich/</v>
      </c>
      <c r="B37" s="60" t="str">
        <v>2023, 5, 24</v>
      </c>
      <c r="C37" s="105">
        <v>45070</v>
      </c>
      <c r="D37" s="60" t="str">
        <v>Automated public transport: ioki to be technology partner of the research project MINGA in Munich</v>
      </c>
      <c r="E37" s="60" t="str">
        <v>Ioki</v>
      </c>
      <c r="F37" s="60" t="str">
        <v>L4</v>
      </c>
      <c r="G37" s="60" t="str">
        <v>Ioki-SAV</v>
      </c>
      <c r="H37" s="60" t="str">
        <v>SAV</v>
      </c>
      <c r="I37" s="60" t="str">
        <v>Ridepooling</v>
      </c>
      <c r="J37" s="60" t="str">
        <v>Ridepooling</v>
      </c>
      <c r="K37" s="60" t="str">
        <v>MINGA</v>
      </c>
      <c r="L37" s="60" t="str">
        <v>MINGA</v>
      </c>
      <c r="M37" s="60">
        <v>0</v>
      </c>
      <c r="N37" s="60">
        <v>0</v>
      </c>
      <c r="O37"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37" s="60" t="str">
        <v>Today, the consecutive partners presented the project to the public. The pilot operation of automated shuttles accompanied by a safety driver is planned from 2025.</v>
      </c>
      <c r="Q37" s="60" t="str">
        <v>Strategic Alliance</v>
      </c>
      <c r="R37" s="60" t="str">
        <v>n.a.</v>
      </c>
      <c r="S37" s="60" t="str">
        <v xml:space="preserve">One time  - Pilot </v>
      </c>
      <c r="T37" s="60" t="str">
        <v>-</v>
      </c>
      <c r="U37" s="60" t="str">
        <v>-</v>
      </c>
      <c r="V37" s="60" t="str">
        <v>-</v>
      </c>
      <c r="W37" s="60" t="str">
        <v>2.1. Short term Alliance (no exclusivity / previous experience)</v>
      </c>
      <c r="X37" s="60">
        <v>0</v>
      </c>
      <c r="Y37"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37" s="60" t="str">
        <v>Joint Service Agreement</v>
      </c>
      <c r="AA37"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37" s="60">
        <v>0</v>
      </c>
      <c r="AC37" s="60">
        <v>0</v>
      </c>
      <c r="AD37" s="60">
        <v>0</v>
      </c>
      <c r="AE37" s="60">
        <v>0</v>
      </c>
      <c r="AF37" s="60" t="str">
        <v xml:space="preserve">Automated public transport: ioki to be technology partner of </v>
      </c>
      <c r="AG37" s="60" t="str">
        <v>the research project MINGA in Munich</v>
      </c>
    </row>
    <row r="38" spans="1:33" x14ac:dyDescent="0.35">
      <c r="A38" s="60" t="str">
        <v>https://maymobility.com/posts/bridgestone-invests-in-autonomous-driving-technology-provider-may-mobility-kicks-off-broader-partnership/</v>
      </c>
      <c r="B38" s="60" t="str">
        <v>2022, 3, 21</v>
      </c>
      <c r="C38" s="105">
        <v>44641</v>
      </c>
      <c r="D38" s="60" t="str">
        <v>Bridgestone invests in autonomous driving technology provider May Mobility, kicks off broader partnership</v>
      </c>
      <c r="E38" s="60" t="str">
        <v>May Mobility</v>
      </c>
      <c r="F38" s="60" t="str">
        <v>L1</v>
      </c>
      <c r="G38" s="60" t="str">
        <v>May Mobility-SAV</v>
      </c>
      <c r="H38" s="60" t="str">
        <v>SAV</v>
      </c>
      <c r="I38" s="60" t="str">
        <v>Ridehailing</v>
      </c>
      <c r="J38" s="60" t="str">
        <v>Ridehailing</v>
      </c>
      <c r="K38" s="60" t="str">
        <v>Bridgestone</v>
      </c>
      <c r="L38" s="60" t="str">
        <v>Bridgestone</v>
      </c>
      <c r="M38" s="60">
        <v>0</v>
      </c>
      <c r="N38" s="60">
        <v>0</v>
      </c>
      <c r="O38"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38"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38" s="60" t="str">
        <v>Strategic Partnership</v>
      </c>
      <c r="R38" s="60" t="str">
        <v>n.a.</v>
      </c>
      <c r="S38" s="60" t="str">
        <v>Product Integration</v>
      </c>
      <c r="T38" s="60" t="str">
        <v>-</v>
      </c>
      <c r="U38" s="60" t="str">
        <v>-</v>
      </c>
      <c r="V38" s="60" t="str">
        <v>-</v>
      </c>
      <c r="W38" s="60" t="str">
        <v>3. Strategic Partnership</v>
      </c>
      <c r="X38" s="60">
        <v>0</v>
      </c>
      <c r="Y38"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38" s="60" t="str">
        <v>Joint D&amp;D</v>
      </c>
      <c r="AA38" s="60" t="str">
        <v>the new partnership will include the future integration of Bridgestone's digital and predictive tire-centric technologies into May Mobility autonomous vehicles, granting deeper AV intelligence for even safer and more efficient operation.</v>
      </c>
      <c r="AB38" s="60" t="str">
        <v>Research &amp; Collaboration</v>
      </c>
      <c r="AC38" s="60" t="str">
        <v>Through the partnership, Bridgestone will also gain valuable insights into autonomous vehicle operations to improve its core tire products and mobility solutions.</v>
      </c>
      <c r="AD38" s="60">
        <v>0</v>
      </c>
      <c r="AE38" s="60">
        <v>0</v>
      </c>
      <c r="AF38" s="60" t="str">
        <v xml:space="preserve">Bridgestone invests </v>
      </c>
      <c r="AG38" s="60" t="str">
        <v>in autonomous driving technology provider May Mobility, kicks off broader partnership</v>
      </c>
    </row>
    <row r="39" spans="1:33" x14ac:dyDescent="0.35">
      <c r="A39" s="60" t="str">
        <v>https://maymobility.com/posts/may-mobility-and-stantec-partner-to-deliver-turnkey-av-microtransit-solutions/</v>
      </c>
      <c r="B39" s="60" t="str">
        <v>2023, 3, 28</v>
      </c>
      <c r="C39" s="105">
        <v>45013</v>
      </c>
      <c r="D39" s="60" t="str">
        <v>May Mobility and Stantec partner to deliver turnkey AV microtransit solutions</v>
      </c>
      <c r="E39" s="60" t="str">
        <v>May Mobility</v>
      </c>
      <c r="F39" s="60" t="str">
        <v>L1</v>
      </c>
      <c r="G39" s="60" t="str">
        <v>May Mobility-SAV</v>
      </c>
      <c r="H39" s="60" t="str">
        <v>SAV</v>
      </c>
      <c r="I39" s="60" t="str">
        <v>Ridehailing</v>
      </c>
      <c r="J39" s="60" t="str">
        <v>Ridehailing</v>
      </c>
      <c r="K39" s="60" t="str">
        <v>Stantec</v>
      </c>
      <c r="L39" s="60" t="str">
        <v>Stantec</v>
      </c>
      <c r="M39" s="60">
        <v>0</v>
      </c>
      <c r="N39" s="60">
        <v>0</v>
      </c>
      <c r="O39"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39" s="60" t="str">
        <v>"May Mobility is a global technology leader in autonomous mobility and we're proud to partner with them to establish and scale a complete AV deployment system</v>
      </c>
      <c r="Q39" s="60" t="str">
        <v>Strategic Alliance</v>
      </c>
      <c r="R39" s="60" t="str">
        <v>n.a.</v>
      </c>
      <c r="S39" s="60" t="str">
        <v>Service Integration</v>
      </c>
      <c r="T39" s="60" t="str">
        <v>-</v>
      </c>
      <c r="U39" s="60" t="str">
        <v>-</v>
      </c>
      <c r="V39" s="60" t="str">
        <v>-</v>
      </c>
      <c r="W39" s="60" t="str">
        <v>2.1. Short term Alliance (no exclusivity / previous experience)</v>
      </c>
      <c r="X39" s="60">
        <v>0</v>
      </c>
      <c r="Y39"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39" s="60" t="str">
        <v>Joint D&amp;D</v>
      </c>
      <c r="AA39"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39" s="60">
        <v>0</v>
      </c>
      <c r="AC39" s="60">
        <v>0</v>
      </c>
      <c r="AD39" s="60">
        <v>0</v>
      </c>
      <c r="AE39" s="60">
        <v>0</v>
      </c>
      <c r="AF39" s="60" t="str">
        <v xml:space="preserve">May Mobility and Stantec partner to deliver </v>
      </c>
      <c r="AG39" s="60" t="str">
        <v>turnkey AV microtransit solutions</v>
      </c>
    </row>
    <row r="40" spans="1:33" x14ac:dyDescent="0.35">
      <c r="A40" s="60" t="str">
        <v>https://maymobility.com/posts/spare-and-may-mobility-partner-to-deliver-a-powerful-on-demand-transit-solution-with-autonomous-vehicles/</v>
      </c>
      <c r="B40" s="60" t="str">
        <v>2023, 7, 19</v>
      </c>
      <c r="C40" s="105">
        <v>45126</v>
      </c>
      <c r="D40" s="60" t="str">
        <v>Spare and May Mobility Partner to Deliver a Powerful On-Demand Transit Solution with Autonomous Vehicles</v>
      </c>
      <c r="E40" s="60" t="str">
        <v>May Mobility</v>
      </c>
      <c r="F40" s="60" t="str">
        <v>L1</v>
      </c>
      <c r="G40" s="60" t="str">
        <v>May Mobility-SAV</v>
      </c>
      <c r="H40" s="60" t="str">
        <v>SAV</v>
      </c>
      <c r="I40" s="60" t="str">
        <v>Ridehailing</v>
      </c>
      <c r="J40" s="60" t="str">
        <v>Ridehailing</v>
      </c>
      <c r="K40" s="60" t="str">
        <v>Spare</v>
      </c>
      <c r="L40" s="60" t="str">
        <v>Spare</v>
      </c>
      <c r="M40" s="60">
        <v>0</v>
      </c>
      <c r="N40" s="60">
        <v>0</v>
      </c>
      <c r="O40"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40" s="60" t="str">
        <v xml:space="preserve">Spare, the leading on-demand transit platform, and May Mobility, a leader in the development and deployment of autonomous vehicle (AV) technology, have joined forces to deliver on-demand transit solutions leveraging autonomous vehicles. </v>
      </c>
      <c r="Q40" s="60" t="str">
        <v>Strategic Alliance</v>
      </c>
      <c r="R40" s="60" t="str">
        <v>n.a.</v>
      </c>
      <c r="S40" s="60" t="str">
        <v>Service Integration</v>
      </c>
      <c r="T40" s="60" t="str">
        <v>-</v>
      </c>
      <c r="U40" s="60" t="str">
        <v>-</v>
      </c>
      <c r="V40" s="60" t="str">
        <v>-</v>
      </c>
      <c r="W40" s="60" t="str">
        <v>2.1. Short term Alliance (no exclusivity / previous experience)</v>
      </c>
      <c r="X40" s="60">
        <v>0</v>
      </c>
      <c r="Y40"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40" s="60" t="str">
        <v>Joint Service Agreement</v>
      </c>
      <c r="AA40"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40" s="60">
        <v>0</v>
      </c>
      <c r="AC40" s="60">
        <v>0</v>
      </c>
      <c r="AD40" s="60">
        <v>0</v>
      </c>
      <c r="AE40" s="60">
        <v>0</v>
      </c>
      <c r="AF40" s="60" t="str">
        <v>Spare and May Mobility Partner to Deliver a Powerful On-Demand Transit Solution with Autonomous Vehicles</v>
      </c>
      <c r="AG40" s="60">
        <v>0</v>
      </c>
    </row>
    <row r="41" spans="1:33" x14ac:dyDescent="0.35">
      <c r="A41" s="60" t="str">
        <v>https://maymobility.com/posts/may-mobility-moovit-partner-to-deploy-complete-autonomous-mobility-package/</v>
      </c>
      <c r="B41" s="60" t="str">
        <v>2023, 4, 13</v>
      </c>
      <c r="C41" s="105">
        <v>45029</v>
      </c>
      <c r="D41" s="60" t="str">
        <v>May Mobility and Moovit partner to deploy complete autonomous mobility package</v>
      </c>
      <c r="E41" s="60" t="str">
        <v>May Mobility</v>
      </c>
      <c r="F41" s="60" t="str">
        <v>L1</v>
      </c>
      <c r="G41" s="60" t="str">
        <v>May Mobility-SAV</v>
      </c>
      <c r="H41" s="60" t="str">
        <v>SAV</v>
      </c>
      <c r="I41" s="60" t="str">
        <v>Ridehailing</v>
      </c>
      <c r="J41" s="60" t="str">
        <v>Ridehailing</v>
      </c>
      <c r="K41" s="60" t="str">
        <v>Moovit</v>
      </c>
      <c r="L41" s="60" t="str">
        <v>Moovit</v>
      </c>
      <c r="M41" s="60">
        <v>0</v>
      </c>
      <c r="N41" s="60">
        <v>0</v>
      </c>
      <c r="O41"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41" s="60" t="str">
        <v>The partnership will allow riders to easily plan, pay and ride in shared AVs while providing them a safe, accessible, and sustainable form of mobility in regions around the globe.</v>
      </c>
      <c r="Q41" s="60" t="str">
        <v>Strategic Alliance</v>
      </c>
      <c r="R41" s="60" t="str">
        <v>n.a.</v>
      </c>
      <c r="S41" s="60" t="str">
        <v>Service Integration</v>
      </c>
      <c r="T41" s="60" t="str">
        <v>-</v>
      </c>
      <c r="U41" s="60" t="str">
        <v>-</v>
      </c>
      <c r="V41" s="60" t="str">
        <v>-</v>
      </c>
      <c r="W41" s="60" t="str">
        <v>2.1. Short term Alliance (no exclusivity / previous experience)</v>
      </c>
      <c r="X41" s="60">
        <v>0</v>
      </c>
      <c r="Y41"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41" s="60" t="str">
        <v>Joint Service Agreement</v>
      </c>
      <c r="AA41"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41" s="60">
        <v>0</v>
      </c>
      <c r="AC41" s="60">
        <v>0</v>
      </c>
      <c r="AD41" s="60">
        <v>0</v>
      </c>
      <c r="AE41" s="60">
        <v>0</v>
      </c>
      <c r="AF41" s="60" t="str">
        <v>May Mobility and Moovit partner to deploy complete autonomous mobility package</v>
      </c>
      <c r="AG41" s="60">
        <v>0</v>
      </c>
    </row>
    <row r="42" spans="1:33" x14ac:dyDescent="0.35">
      <c r="A42" s="60" t="str">
        <v>https://maymobility.com/posts/liftango-and-may-mobility-partner/</v>
      </c>
      <c r="B42" s="60" t="str">
        <v>2023, 10, 25</v>
      </c>
      <c r="C42" s="105">
        <v>44951</v>
      </c>
      <c r="D42" s="60" t="str">
        <v>Liftango and May Mobility partner to deliver dynamic on-demand shared transport solutions with autonomous vehicles</v>
      </c>
      <c r="E42" s="60" t="str">
        <v>May Mobility</v>
      </c>
      <c r="F42" s="60" t="str">
        <v>L1</v>
      </c>
      <c r="G42" s="60" t="str">
        <v>May Mobility-SAV</v>
      </c>
      <c r="H42" s="60" t="str">
        <v>SAV</v>
      </c>
      <c r="I42" s="60" t="str">
        <v>Ridehailing</v>
      </c>
      <c r="J42" s="60" t="str">
        <v>Ridehailing</v>
      </c>
      <c r="K42" s="60" t="str">
        <v>Liftango</v>
      </c>
      <c r="L42" s="60" t="str">
        <v>Liftango</v>
      </c>
      <c r="M42" s="60">
        <v>0</v>
      </c>
      <c r="N42" s="60">
        <v>0</v>
      </c>
      <c r="O42"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42"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42" s="60" t="str">
        <v>Strategic Alliance</v>
      </c>
      <c r="R42" s="60" t="str">
        <v>n.a.</v>
      </c>
      <c r="S42" s="60" t="str">
        <v>Service Integration</v>
      </c>
      <c r="T42" s="60" t="str">
        <v>-</v>
      </c>
      <c r="U42" s="60" t="str">
        <v>-</v>
      </c>
      <c r="V42" s="60" t="str">
        <v>-</v>
      </c>
      <c r="W42" s="60" t="str">
        <v>2.1. Short term Alliance (no exclusivity / previous experience)</v>
      </c>
      <c r="X42" s="60">
        <v>0</v>
      </c>
      <c r="Y42"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42" s="60" t="str">
        <v>Joint Service Agreement</v>
      </c>
      <c r="AA42"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42" s="60">
        <v>0</v>
      </c>
      <c r="AC42" s="60">
        <v>0</v>
      </c>
      <c r="AD42" s="60">
        <v>0</v>
      </c>
      <c r="AE42" s="60">
        <v>0</v>
      </c>
      <c r="AF42" s="60" t="str">
        <v>Liftango and May Mobility partner to deliver dynamic on-demand shared transport solutions with autonomous vehicles</v>
      </c>
      <c r="AG42" s="60">
        <v>0</v>
      </c>
    </row>
    <row r="43" spans="1:33" x14ac:dyDescent="0.35">
      <c r="A43" s="60" t="str">
        <v>https://maymobility.com/posts/may-mobility-and-via-announce-partnership-that-will-integrate-on-demand-avs-into-public-transit/</v>
      </c>
      <c r="B43" s="60" t="str">
        <v>2020, 11, 18</v>
      </c>
      <c r="C43" s="105">
        <v>43848</v>
      </c>
      <c r="D43" s="60" t="str">
        <v>May Mobility and Via announce partnership that will integrate on-demand AVs into public transit</v>
      </c>
      <c r="E43" s="60" t="str">
        <v>May Mobility</v>
      </c>
      <c r="F43" s="60" t="str">
        <v>L1</v>
      </c>
      <c r="G43" s="60" t="str">
        <v>May Mobility-SAV</v>
      </c>
      <c r="H43" s="60" t="str">
        <v>SAV</v>
      </c>
      <c r="I43" s="60" t="str">
        <v>Ridehailing</v>
      </c>
      <c r="J43" s="60" t="str">
        <v>Ridepooling</v>
      </c>
      <c r="K43" s="60" t="str">
        <v>Via</v>
      </c>
      <c r="L43" s="60" t="str">
        <v>Via</v>
      </c>
      <c r="M43" s="60">
        <v>0</v>
      </c>
      <c r="N43" s="60">
        <v>0</v>
      </c>
      <c r="O43"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3"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3" s="60" t="str">
        <v>Strategic Alliance</v>
      </c>
      <c r="R43" s="60" t="str">
        <v>n.a.</v>
      </c>
      <c r="S43" s="60" t="str">
        <v>Service Integration</v>
      </c>
      <c r="T43" s="60" t="str">
        <v>Long term - -</v>
      </c>
      <c r="U43" s="60" t="str">
        <v>-</v>
      </c>
      <c r="V43" s="60" t="str">
        <v>-</v>
      </c>
      <c r="W43" s="60" t="str">
        <v>2.3. Long term Alliance</v>
      </c>
      <c r="X43" s="60">
        <v>0</v>
      </c>
      <c r="Y43"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3" s="60" t="str">
        <v>Joint Service Agreement</v>
      </c>
      <c r="AA43" s="60" t="str">
        <v>May Mobility will adopt Via's autonomous fleet platform to power booking, routing, passenger and vehicle assignment and identification, customer experience, and fleet management as part of their new transit solution for future autonomous vehicle deployments.</v>
      </c>
      <c r="AB43" s="60">
        <v>0</v>
      </c>
      <c r="AC43" s="60">
        <v>0</v>
      </c>
      <c r="AD43" s="60">
        <v>0</v>
      </c>
      <c r="AE43" s="60">
        <v>0</v>
      </c>
      <c r="AF43" s="60" t="str">
        <v>May Mobility and Via announce partnership that will integrate on-demand AVs into public transit</v>
      </c>
      <c r="AG43" s="60">
        <v>0</v>
      </c>
    </row>
    <row r="44" spans="1:33" x14ac:dyDescent="0.35">
      <c r="A44" s="60" t="str">
        <v>https://www.globenewswire.com/en/news-release/2015/03/23/717890/34491/en/Mission-Secure-Inc-Perrone-Robotics-and-University-of-Virginia-Demonstrate-Cyber-Attacks-and-Protections-for-Automobile-Braking-and-Acceleration.html</v>
      </c>
      <c r="B44" s="60" t="str">
        <v>2015, 3, 25</v>
      </c>
      <c r="C44" s="105">
        <v>42088</v>
      </c>
      <c r="D44" s="60" t="str">
        <v>Mission Secure Announces Partnership with UVA &amp; Perrone</v>
      </c>
      <c r="E44" s="60" t="str">
        <v>Perrone Robotics</v>
      </c>
      <c r="F44" s="60" t="str">
        <v>L1</v>
      </c>
      <c r="G44" s="60" t="str">
        <v>Perrone Robotics-SAV</v>
      </c>
      <c r="H44" s="60" t="str">
        <v>SAV</v>
      </c>
      <c r="I44" s="60" t="str">
        <v>Ridepooling</v>
      </c>
      <c r="J44" s="60" t="str">
        <v>Ridepooling</v>
      </c>
      <c r="K44" s="60" t="str">
        <v>Mission Secure</v>
      </c>
      <c r="L44" s="60" t="str">
        <v>Mission Secure</v>
      </c>
      <c r="M44" s="60">
        <v>0</v>
      </c>
      <c r="N44" s="60">
        <v>0</v>
      </c>
      <c r="O44"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44"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44" s="60" t="str">
        <v>Strategic Alliance</v>
      </c>
      <c r="R44" s="60" t="str">
        <v>n.a.</v>
      </c>
      <c r="S44" s="60" t="str">
        <v>One time - Pilot</v>
      </c>
      <c r="T44" s="60" t="str">
        <v>Short term -  &gt;2 months</v>
      </c>
      <c r="U44" s="60" t="str">
        <v>-</v>
      </c>
      <c r="V44" s="60" t="str">
        <v>-</v>
      </c>
      <c r="W44" s="60" t="str">
        <v>2.1. Short term Alliance (no exclusivity / previous experience)</v>
      </c>
      <c r="X44" s="60">
        <v>0</v>
      </c>
      <c r="Y44"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44" s="60" t="str">
        <v>Research &amp; Collaboration</v>
      </c>
      <c r="AA44"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44" s="60">
        <v>0</v>
      </c>
      <c r="AC44" s="60">
        <v>0</v>
      </c>
      <c r="AD44" s="60">
        <v>0</v>
      </c>
      <c r="AE44" s="60">
        <v>0</v>
      </c>
      <c r="AF44" s="60" t="str">
        <v>Mission Secure Announces Partnership with UVA &amp; Perrone</v>
      </c>
      <c r="AG44" s="60">
        <v>0</v>
      </c>
    </row>
    <row r="45" spans="1:33" x14ac:dyDescent="0.35">
      <c r="A45" s="60" t="str">
        <v>https://www.mobileye.com/news/mobileye-and-man-truck-bus-launch-collaboration-for-av-city-buses/</v>
      </c>
      <c r="B45" s="60" t="str">
        <v>2023, 5, 17</v>
      </c>
      <c r="C45" s="105">
        <v>45063</v>
      </c>
      <c r="D45" s="60" t="str">
        <v>Mobileye and MAN Truck &amp; Bus launch collaboration for AV city buses</v>
      </c>
      <c r="E45" s="60" t="str">
        <v>Mobileye</v>
      </c>
      <c r="F45" s="60" t="str">
        <v>L1</v>
      </c>
      <c r="G45" s="60" t="str">
        <v>Mobileye-SAV</v>
      </c>
      <c r="H45" s="60" t="str">
        <v>SAV</v>
      </c>
      <c r="I45" s="60" t="str">
        <v>Ridepooling</v>
      </c>
      <c r="J45" s="60" t="str">
        <v>Ridepooling</v>
      </c>
      <c r="K45" s="60" t="str">
        <v>MAN Truck &amp; Bus</v>
      </c>
      <c r="L45" s="60" t="str">
        <v>MAN Truck &amp; Bus</v>
      </c>
      <c r="M45" s="60">
        <v>0</v>
      </c>
      <c r="N45" s="60">
        <v>0</v>
      </c>
      <c r="O45"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45"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45" s="60" t="str">
        <v>Strategic Alliance</v>
      </c>
      <c r="R45" s="60" t="str">
        <v>n.a.</v>
      </c>
      <c r="S45" s="60" t="str">
        <v>Product cooperation</v>
      </c>
      <c r="T45" s="60" t="str">
        <v>-</v>
      </c>
      <c r="U45" s="60" t="str">
        <v>-</v>
      </c>
      <c r="V45" s="60" t="str">
        <v>-</v>
      </c>
      <c r="W45" s="60" t="str">
        <v>2.1. Short term Alliance (no exclusivity / previous experience)</v>
      </c>
      <c r="X45" s="60">
        <v>0</v>
      </c>
      <c r="Y45" s="60" t="str">
        <v>Mobileye and MAN Truck &amp; Bus today announced a collaboration to explore autonomy in public transit, integrating state-of-the-art autonomous vehicle technology into the award-winning city buses of MAN.</v>
      </c>
      <c r="Z45" s="60" t="str">
        <v>Joint D&amp;D</v>
      </c>
      <c r="AA45" s="60" t="str">
        <v>Mobileye and MAN Truck &amp; Bus today announced a collaboration to explore autonomy in public transit, integrating state-of-the-art autonomous vehicle technology into the award-winning city buses of MAN.</v>
      </c>
      <c r="AB45" s="60">
        <v>0</v>
      </c>
      <c r="AC45" s="60">
        <v>0</v>
      </c>
      <c r="AD45" s="60">
        <v>0</v>
      </c>
      <c r="AE45" s="60">
        <v>0</v>
      </c>
      <c r="AF45" s="60" t="str">
        <v>Mobileye and MAN Truck &amp; Bus launch collaboration for AV city buses</v>
      </c>
      <c r="AG45" s="60">
        <v>0</v>
      </c>
    </row>
    <row r="46" spans="1:33" x14ac:dyDescent="0.35">
      <c r="A46" s="60" t="str">
        <v>https://www.mobileye.com/news/mobileye-willer-self-driving-mobility-solutions/</v>
      </c>
      <c r="B46" s="60" t="str">
        <v>2020, 7, 7</v>
      </c>
      <c r="C46" s="105">
        <v>44019</v>
      </c>
      <c r="D46" s="60" t="str">
        <v>Mobileye and WILLER Partner on Self-Driving Mobility Solutions for Japan, Southeast Asia</v>
      </c>
      <c r="E46" s="60" t="str">
        <v>Mobileye</v>
      </c>
      <c r="F46" s="60" t="str">
        <v>L1</v>
      </c>
      <c r="G46" s="60" t="str">
        <v>Mobileye-SAV</v>
      </c>
      <c r="H46" s="60" t="str">
        <v>SAV</v>
      </c>
      <c r="I46" s="60" t="str">
        <v>Ridepooling</v>
      </c>
      <c r="J46" s="60" t="str">
        <v>Ridehailing</v>
      </c>
      <c r="K46" s="60" t="str">
        <v>WILLER</v>
      </c>
      <c r="L46" s="60" t="str">
        <v>WILLER</v>
      </c>
      <c r="M46" s="60">
        <v>0</v>
      </c>
      <c r="N46" s="60">
        <v>0</v>
      </c>
      <c r="O46"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46"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46" s="60" t="str">
        <v>Strategic Alliance</v>
      </c>
      <c r="R46" s="60" t="str">
        <v>n.a.</v>
      </c>
      <c r="S46" s="60" t="str">
        <v>Service integration</v>
      </c>
      <c r="T46" s="60" t="str">
        <v>Long term - 2023 (&gt;2 years)</v>
      </c>
      <c r="U46" s="60" t="str">
        <v>-</v>
      </c>
      <c r="V46" s="60" t="str">
        <v>-</v>
      </c>
      <c r="W46" s="60" t="str">
        <v>2.3. Long term Alliance</v>
      </c>
      <c r="X46" s="60">
        <v>0</v>
      </c>
      <c r="Y46"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46" s="60" t="str">
        <v>Supply Partnership (extended)</v>
      </c>
      <c r="AA46"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46" s="60">
        <v>0</v>
      </c>
      <c r="AC46" s="60">
        <v>0</v>
      </c>
      <c r="AD46" s="60">
        <v>0</v>
      </c>
      <c r="AE46" s="60">
        <v>0</v>
      </c>
      <c r="AF46" s="60" t="str">
        <v>Mobileye and WILLER Partner on Self-Driving Mobility Solutions for Japan, Southeast Asia</v>
      </c>
      <c r="AG46" s="60">
        <v>0</v>
      </c>
    </row>
    <row r="47" spans="1:33" x14ac:dyDescent="0.35">
      <c r="A47" s="60" t="str">
        <v>https://www.moia.io/en/news-center/hochbahn-volkswagen-commercial-vehicles-and-moia-cooperate-for-the-traffic-turnaround</v>
      </c>
      <c r="B47" s="60" t="str">
        <v>2022, 1, 13</v>
      </c>
      <c r="C47" s="105">
        <v>44574</v>
      </c>
      <c r="D47" s="60" t="str">
        <v>Partnership: HOCHBAHN, Volkswagen Commercial Vehicles and MOIA cooperate for the traffic turnaround</v>
      </c>
      <c r="E47" s="60" t="str">
        <v>MOIA</v>
      </c>
      <c r="F47" s="60" t="str">
        <v>L3</v>
      </c>
      <c r="G47" s="60" t="str">
        <v>MOIA-SAV</v>
      </c>
      <c r="H47" s="60" t="str">
        <v>SAV</v>
      </c>
      <c r="I47" s="60" t="str">
        <v>Ridepooling</v>
      </c>
      <c r="J47" s="60" t="str">
        <v>Ridepooling</v>
      </c>
      <c r="K47" s="60" t="str">
        <v>HOCHBAHN;Volkswagen Commercial Vehicles</v>
      </c>
      <c r="L47" s="60" t="str">
        <v>HOCHBAHN</v>
      </c>
      <c r="M47" s="60" t="str">
        <v>Volkswagen Commercial Vehicles</v>
      </c>
      <c r="N47" s="60">
        <v>0</v>
      </c>
      <c r="O47"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47"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47" s="60" t="str">
        <v>Strategic Alliance</v>
      </c>
      <c r="R47" s="60" t="str">
        <v>Yes</v>
      </c>
      <c r="S47" s="60" t="str">
        <v>Service Integration</v>
      </c>
      <c r="T47" s="60" t="str">
        <v>Long term - coming years</v>
      </c>
      <c r="U47" s="60" t="str">
        <v>Yes</v>
      </c>
      <c r="V47" s="60" t="str">
        <v>-</v>
      </c>
      <c r="W47" s="60" t="str">
        <v>2.3. Long term Alliance</v>
      </c>
      <c r="X47" s="60">
        <v>0</v>
      </c>
      <c r="Y47"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47" s="60" t="str">
        <v>Joint Service Agreement</v>
      </c>
      <c r="AA47"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47" s="60" t="str">
        <v>Research &amp; Collaboration</v>
      </c>
      <c r="AC47"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47" s="60">
        <v>0</v>
      </c>
      <c r="AE47" s="60">
        <v>0</v>
      </c>
      <c r="AF47" s="60" t="str">
        <v xml:space="preserve">cooperate for </v>
      </c>
      <c r="AG47" s="60" t="str">
        <v>the traffic turnaround</v>
      </c>
    </row>
    <row r="48" spans="1:33" x14ac:dyDescent="0.35">
      <c r="A48" s="60" t="str">
        <v>https://www.moia.io/en/news-center/new-licensing-model-moia-opens-ridepooling-ecosystem-to-cities-and-local-transport-operators</v>
      </c>
      <c r="B48" s="60" t="str">
        <v>2023, 9, 19</v>
      </c>
      <c r="C48" s="105">
        <v>45188</v>
      </c>
      <c r="D48" s="60" t="str">
        <v>New licensing model: MOIA opens ridepooling ecosystem to cities and local transport operators</v>
      </c>
      <c r="E48" s="60" t="str">
        <v>MOIA</v>
      </c>
      <c r="F48" s="60" t="str">
        <v>L3</v>
      </c>
      <c r="G48" s="60" t="str">
        <v>MOIA-SAV</v>
      </c>
      <c r="H48" s="60" t="str">
        <v>SAV</v>
      </c>
      <c r="I48" s="60" t="str">
        <v>Ridepooling</v>
      </c>
      <c r="J48" s="60" t="str">
        <v>Ridepooling</v>
      </c>
      <c r="K48" s="60" t="str">
        <v/>
      </c>
      <c r="L48" s="60">
        <v>0</v>
      </c>
      <c r="M48" s="60">
        <v>0</v>
      </c>
      <c r="N48" s="60">
        <v>0</v>
      </c>
      <c r="O48"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48" s="60" t="str">
        <v>-</v>
      </c>
      <c r="Q48" s="60" t="str">
        <v>Strategic Alliance</v>
      </c>
      <c r="R48" s="60" t="str">
        <v>n.a.</v>
      </c>
      <c r="S48" s="60" t="str">
        <v>Licensing</v>
      </c>
      <c r="T48" s="60" t="str">
        <v>-</v>
      </c>
      <c r="U48" s="60" t="str">
        <v>-</v>
      </c>
      <c r="V48" s="60" t="str">
        <v>-</v>
      </c>
      <c r="W48" s="60" t="str">
        <v>2.1. Short term Alliance (no exclusivity / previous experience)</v>
      </c>
      <c r="X48" s="60">
        <v>0</v>
      </c>
      <c r="Y48"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48" s="60" t="str">
        <v>Licensing</v>
      </c>
      <c r="AA48"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48" s="60">
        <v>0</v>
      </c>
      <c r="AC48" s="60">
        <v>0</v>
      </c>
      <c r="AD48" s="60">
        <v>0</v>
      </c>
      <c r="AE48" s="60">
        <v>0</v>
      </c>
      <c r="AF48" s="60" t="str">
        <v>New licensing model: MOIA opens ridepooling ecosystem to cities and local transport operators</v>
      </c>
      <c r="AG48" s="60">
        <v>0</v>
      </c>
    </row>
    <row r="49" spans="1:33" x14ac:dyDescent="0.35">
      <c r="A49" s="60" t="str">
        <v>https://motional.com/news/motional-derq-partner-give-driverless-vehicles-birds-eye-view</v>
      </c>
      <c r="B49" s="60" t="str">
        <v>2021, 4, 20</v>
      </c>
      <c r="C49" s="105">
        <v>44306</v>
      </c>
      <c r="D49" s="60" t="str">
        <v>Motional + Derq Partner to Give Driverless Vehicles a Bird's-Eye View</v>
      </c>
      <c r="E49" s="60" t="str">
        <v>Motional</v>
      </c>
      <c r="F49" s="60" t="str">
        <v>L1</v>
      </c>
      <c r="G49" s="60" t="str">
        <v>Motional-SAV</v>
      </c>
      <c r="H49" s="60" t="str">
        <v>SAV</v>
      </c>
      <c r="I49" s="60" t="str">
        <v>Last-Mile</v>
      </c>
      <c r="J49" s="60" t="str">
        <v>Ridehailing</v>
      </c>
      <c r="K49" s="60" t="str">
        <v>Derq</v>
      </c>
      <c r="L49" s="60" t="str">
        <v>Derq</v>
      </c>
      <c r="M49" s="60">
        <v>0</v>
      </c>
      <c r="N49" s="60">
        <v>0</v>
      </c>
      <c r="O49"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49" s="60" t="str">
        <v>We've partnered with Derq, an AI company developing innovative road solutions, to find those answers. Together, Derq and Motional are testing how driverless technology reacts when given an even broader perspective than it already has: a bird's-eye view.</v>
      </c>
      <c r="Q49" s="60" t="str">
        <v>Strategic Alliance</v>
      </c>
      <c r="R49" s="60" t="str">
        <v>n.a.</v>
      </c>
      <c r="S49" s="60" t="str">
        <v xml:space="preserve">One time - Pilot </v>
      </c>
      <c r="T49" s="60" t="str">
        <v>-</v>
      </c>
      <c r="U49" s="60" t="str">
        <v>-</v>
      </c>
      <c r="V49" s="60" t="str">
        <v>-</v>
      </c>
      <c r="W49" s="60" t="str">
        <v>2.1. Short term Alliance (no exclusivity / previous experience)</v>
      </c>
      <c r="X49" s="60">
        <v>0</v>
      </c>
      <c r="Y49"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49" s="60" t="str">
        <v>Joint D&amp;D</v>
      </c>
      <c r="AA49"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49" s="60" t="str">
        <v>Research &amp; Collaboration</v>
      </c>
      <c r="AC49" s="60" t="str">
        <v>We've partnered with Derq, an AI company developing innovative road solutions, to find those answers. Together, Derq and Motional are testing how driverless technology reacts when given an even broader perspective than it already has: a bird's-eye view.</v>
      </c>
      <c r="AD49" s="60">
        <v>0</v>
      </c>
      <c r="AE49" s="60">
        <v>0</v>
      </c>
      <c r="AF49" s="60" t="str">
        <v xml:space="preserve">Motional + Derq Partner to Give </v>
      </c>
      <c r="AG49" s="60" t="str">
        <v>Driverless Vehicles a Bird's-Eye View</v>
      </c>
    </row>
    <row r="50" spans="1:33" x14ac:dyDescent="0.35">
      <c r="A50" s="60" t="str">
        <v>https://motional.com/news/motional-boston-university-partner-navigational-assistance-research-blind</v>
      </c>
      <c r="B50" s="60" t="str">
        <v>2022, 7, 21</v>
      </c>
      <c r="C50" s="105">
        <v>44763</v>
      </c>
      <c r="D50" s="60" t="str">
        <v>Motional, Boston University Partner on Navigational Assistance Research for the Blind</v>
      </c>
      <c r="E50" s="60" t="str">
        <v>Motional</v>
      </c>
      <c r="F50" s="60" t="str">
        <v>L1</v>
      </c>
      <c r="G50" s="60" t="str">
        <v>Motional-SAV</v>
      </c>
      <c r="H50" s="60" t="str">
        <v>SAV</v>
      </c>
      <c r="I50" s="60" t="str">
        <v>Last-Mile</v>
      </c>
      <c r="J50" s="60" t="str">
        <v>Ridehailing</v>
      </c>
      <c r="K50" s="60" t="str">
        <v>Boston University</v>
      </c>
      <c r="L50" s="60" t="str">
        <v>Boston University</v>
      </c>
      <c r="M50" s="60">
        <v>0</v>
      </c>
      <c r="N50" s="60">
        <v>0</v>
      </c>
      <c r="O50"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50"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50" s="60" t="str">
        <v>Strategic Alliance</v>
      </c>
      <c r="R50" s="60" t="str">
        <v>n.a.</v>
      </c>
      <c r="S50" s="60" t="str">
        <v>One time - Pilot</v>
      </c>
      <c r="T50" s="60" t="str">
        <v>-</v>
      </c>
      <c r="U50" s="60" t="str">
        <v>-</v>
      </c>
      <c r="V50" s="60" t="str">
        <v>-</v>
      </c>
      <c r="W50" s="60" t="str">
        <v>2.1. Short term Alliance (no exclusivity / previous experience)</v>
      </c>
      <c r="X50" s="60">
        <v>0</v>
      </c>
      <c r="Y50"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50" s="60" t="str">
        <v>Research &amp; Collaboration</v>
      </c>
      <c r="AA50" s="60" t="str">
        <v>Once across the street, Howell swiped his finger across his smartphone's screen. The vehicle's rear passenger door unlocked. Using a couple more verbal cues, Howell was able to find the vehicle, open the door, fold up his cane, and sit himself down in the backseat.</v>
      </c>
      <c r="AB50" s="60" t="str">
        <v>Joint D&amp;D</v>
      </c>
      <c r="AC50" s="60" t="str">
        <v>Motional worked with people who are blind or have low-vision to develop features that help improve driverless rideshare accessibility. These features include a button on an app that triggers the vehicle's horn, making it easier to find.</v>
      </c>
      <c r="AD50" s="60">
        <v>0</v>
      </c>
      <c r="AE50" s="60">
        <v>0</v>
      </c>
      <c r="AF50" s="60" t="str">
        <v xml:space="preserve">Motional, Boston University Partner on </v>
      </c>
      <c r="AG50" s="60" t="str">
        <v>Navigational Assistance Research for the Blind</v>
      </c>
    </row>
    <row r="51" spans="1:33" x14ac:dyDescent="0.35">
      <c r="A51" s="60" t="str">
        <v>https://motional.com/news/tfnsw-and-motional-partner-lay-foundations-nsws-driverless-future</v>
      </c>
      <c r="B51" s="60" t="str">
        <v>2021, 10, 19</v>
      </c>
      <c r="C51" s="105">
        <v>44215</v>
      </c>
      <c r="D51" s="60" t="str">
        <v>TfNSW and Motional Partner to Lay Foundations for NSW's Driverless Future</v>
      </c>
      <c r="E51" s="60" t="str">
        <v>Motional</v>
      </c>
      <c r="F51" s="60" t="str">
        <v>L1</v>
      </c>
      <c r="G51" s="60" t="str">
        <v>Motional-SAV</v>
      </c>
      <c r="H51" s="60" t="str">
        <v>SAV</v>
      </c>
      <c r="I51" s="60" t="str">
        <v>Last-Mile</v>
      </c>
      <c r="J51" s="60" t="str">
        <v>Ridehailing</v>
      </c>
      <c r="K51" s="60" t="str">
        <v>tfnsw</v>
      </c>
      <c r="L51" s="60" t="str">
        <v>tfnsw</v>
      </c>
      <c r="M51" s="60">
        <v>0</v>
      </c>
      <c r="N51" s="60">
        <v>0</v>
      </c>
      <c r="O51"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51"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51" s="60" t="str">
        <v>Strategic Alliance</v>
      </c>
      <c r="R51" s="60" t="str">
        <v>n.a.</v>
      </c>
      <c r="S51" s="60" t="str">
        <v>One time - Pilot</v>
      </c>
      <c r="T51" s="60" t="str">
        <v>-</v>
      </c>
      <c r="U51" s="60" t="str">
        <v>-</v>
      </c>
      <c r="V51" s="60" t="str">
        <v>-</v>
      </c>
      <c r="W51" s="60" t="str">
        <v>2.1. Short term Alliance (no exclusivity / previous experience)</v>
      </c>
      <c r="X51" s="60">
        <v>0</v>
      </c>
      <c r="Y51"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51" s="60" t="str">
        <v>Research &amp; Collaboration</v>
      </c>
      <c r="AA51"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51" s="60">
        <v>0</v>
      </c>
      <c r="AC51" s="60">
        <v>0</v>
      </c>
      <c r="AD51" s="60">
        <v>0</v>
      </c>
      <c r="AE51" s="60">
        <v>0</v>
      </c>
      <c r="AF51" s="60" t="str">
        <v xml:space="preserve">TfNSW and Motional Partner to Lay Foundations </v>
      </c>
      <c r="AG51" s="60" t="str">
        <v>for NSW's Driverless Future</v>
      </c>
    </row>
    <row r="52" spans="1:33" x14ac:dyDescent="0.35">
      <c r="A52" s="60" t="str">
        <v>https://www.navya.tech/en/valeo-navya-technological-collaboration/</v>
      </c>
      <c r="B52" s="60" t="str">
        <v>2021, 6, 17</v>
      </c>
      <c r="C52" s="105">
        <v>44364</v>
      </c>
      <c r="D52" s="60" t="str">
        <v>Valeo and Navya strengthen their technological and industrial collaboration</v>
      </c>
      <c r="E52" s="60" t="str">
        <v>Navya</v>
      </c>
      <c r="F52" s="60" t="str">
        <v>L2</v>
      </c>
      <c r="G52" s="60" t="str">
        <v>Navya-SAV</v>
      </c>
      <c r="H52" s="60" t="str">
        <v>SAV</v>
      </c>
      <c r="I52" s="60" t="str">
        <v>Ridepooling</v>
      </c>
      <c r="J52" s="60" t="str">
        <v>Ridepooling</v>
      </c>
      <c r="K52" s="60" t="str">
        <v>Valeo</v>
      </c>
      <c r="L52" s="60" t="str">
        <v>Valeo</v>
      </c>
      <c r="M52" s="60">
        <v>0</v>
      </c>
      <c r="N52" s="60">
        <v>0</v>
      </c>
      <c r="O52"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2"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2" s="60" t="str">
        <v>Strategic Alliance</v>
      </c>
      <c r="R52" s="60" t="str">
        <v>n.a.</v>
      </c>
      <c r="S52" s="60" t="str">
        <v>Research cooperation</v>
      </c>
      <c r="T52" s="60" t="str">
        <v>Long term - 3 years</v>
      </c>
      <c r="U52" s="60" t="str">
        <v>Yes</v>
      </c>
      <c r="V52" s="60" t="str">
        <v>-</v>
      </c>
      <c r="W52" s="60" t="str">
        <v>2.3. Long term Alliance</v>
      </c>
      <c r="X52" s="60">
        <v>0</v>
      </c>
      <c r="Y52"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2" s="60" t="str">
        <v>Joint Production</v>
      </c>
      <c r="AA52" s="60" t="str">
        <v>At the end of this phase, Valeo will manufacture and supply the selected components, so that they can be integrated in the autonomous driving solutions marketed by Navya.</v>
      </c>
      <c r="AB52" s="60" t="str">
        <v>Research &amp; Collaboration</v>
      </c>
      <c r="AC52" s="60" t="str">
        <v>The aim is to ramp up the Research and Development program to build level 4 autonomous driving systems that can be brought to market within the next three years.</v>
      </c>
      <c r="AD52" s="60" t="str">
        <v>Supply Partnership (traditional)</v>
      </c>
      <c r="AE52" s="60" t="str">
        <v>Valeo will provide Navya with the sensors and associated algorithms that will enable the vehicle to closely perceive its surroundings</v>
      </c>
      <c r="AF52" s="60" t="str">
        <v xml:space="preserve">Valeo and Navya strengthen </v>
      </c>
      <c r="AG52" s="60" t="str">
        <v>their technological and industrial collaboration</v>
      </c>
    </row>
    <row r="53" spans="1:33" x14ac:dyDescent="0.35">
      <c r="A53" s="60" t="str">
        <v>https://www.navya.tech/en/ion-and-navya-form-partnership-to-deliver-sustainable-and-autonomous-transportation-offerings-in-gcc-region/</v>
      </c>
      <c r="B53" s="60" t="str">
        <v>2020, 6, 24</v>
      </c>
      <c r="C53" s="105">
        <v>44006</v>
      </c>
      <c r="D53" s="60" t="str">
        <v>ION And NAVYA Form Partnership To Deliver Sustainable And Autonomous Transportation Offerings In GCC Region</v>
      </c>
      <c r="E53" s="60" t="str">
        <v>Navya</v>
      </c>
      <c r="F53" s="60" t="str">
        <v>L2</v>
      </c>
      <c r="G53" s="60" t="str">
        <v>Navya-SAV</v>
      </c>
      <c r="H53" s="60" t="str">
        <v>SAV</v>
      </c>
      <c r="I53" s="60" t="str">
        <v>Ridepooling</v>
      </c>
      <c r="J53" s="60" t="str">
        <v>Ridepooling</v>
      </c>
      <c r="K53" s="60" t="str">
        <v>Ion</v>
      </c>
      <c r="L53" s="60" t="str">
        <v>Ion</v>
      </c>
      <c r="M53" s="60">
        <v>0</v>
      </c>
      <c r="N53" s="60">
        <v>0</v>
      </c>
      <c r="O53"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3" s="60" t="str">
        <v>ION will be the official distributor of NAVYA vehicles in the GCC operating and maintaining NAVYA vehicles in the region
Already operating in Masdar City since October 2018, the shuttles are also wheelchair-accessible and have a capacity of 15 passengers.</v>
      </c>
      <c r="Q53" s="60" t="str">
        <v>Strategic Alliance</v>
      </c>
      <c r="R53" s="60" t="str">
        <v>n.a.</v>
      </c>
      <c r="S53" s="60" t="str">
        <v>Service Integration</v>
      </c>
      <c r="T53" s="60" t="str">
        <v>-</v>
      </c>
      <c r="U53" s="60" t="str">
        <v>Yes</v>
      </c>
      <c r="V53" s="60" t="str">
        <v>-</v>
      </c>
      <c r="W53" s="60" t="str">
        <v xml:space="preserve">2.2. Renewed Alliance </v>
      </c>
      <c r="X53" s="60">
        <v>0</v>
      </c>
      <c r="Y53"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3" s="60" t="str">
        <v>Joint Service Agreement</v>
      </c>
      <c r="AA53"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3" s="60" t="str">
        <v>Marketing Agreement</v>
      </c>
      <c r="AC53" s="60" t="str">
        <v>As an official distributor, ION will engage with NAVYA's existing and new customers on sales and after-sales support.</v>
      </c>
      <c r="AD53" s="60">
        <v>0</v>
      </c>
      <c r="AE53" s="60">
        <v>0</v>
      </c>
      <c r="AF53" s="60" t="str">
        <v xml:space="preserve">ION And NAVYA Form Partnership To Deliver </v>
      </c>
      <c r="AG53" s="60" t="str">
        <v>Sustainable And Autonomous Transportation Offerings In GCC Region</v>
      </c>
    </row>
    <row r="54" spans="1:33" x14ac:dyDescent="0.35">
      <c r="A54" s="60" t="str">
        <v>https://www.navya.tech/en/navya-and-valeo-partner-to-develop-a-unique-safety-system-for-the-commercialization-of-level-4-autonomous-vehicles/</v>
      </c>
      <c r="B54" s="60" t="str">
        <v>2022, 1, 27</v>
      </c>
      <c r="C54" s="105">
        <v>44588</v>
      </c>
      <c r="D54" s="60" t="str">
        <v>NAVYA and VALEO partner to develop a unique safety system for the commercialization of level 4 autonomous vehicles</v>
      </c>
      <c r="E54" s="60" t="str">
        <v>Navya</v>
      </c>
      <c r="F54" s="60" t="str">
        <v>L2</v>
      </c>
      <c r="G54" s="60" t="str">
        <v>Navya-SAV</v>
      </c>
      <c r="H54" s="60" t="str">
        <v>SAV</v>
      </c>
      <c r="I54" s="60" t="str">
        <v>Ridepooling</v>
      </c>
      <c r="J54" s="60" t="str">
        <v>Ridepooling</v>
      </c>
      <c r="K54" s="60" t="str">
        <v>Valeo</v>
      </c>
      <c r="L54" s="60" t="str">
        <v>Valeo</v>
      </c>
      <c r="M54" s="60">
        <v>0</v>
      </c>
      <c r="N54" s="60">
        <v>0</v>
      </c>
      <c r="O54"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54"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54" s="60" t="str">
        <v>Strategic Alliance</v>
      </c>
      <c r="R54" s="60" t="str">
        <v>n.a.</v>
      </c>
      <c r="S54" s="60" t="str">
        <v>Product cooperation</v>
      </c>
      <c r="T54" s="60" t="str">
        <v>-</v>
      </c>
      <c r="U54" s="60" t="str">
        <v>Yes</v>
      </c>
      <c r="V54" s="60" t="str">
        <v>-</v>
      </c>
      <c r="W54" s="60" t="str">
        <v xml:space="preserve">2.2. Renewed Alliance </v>
      </c>
      <c r="X54" s="60">
        <v>0</v>
      </c>
      <c r="Y54" s="60" t="str">
        <v>have announced a new strategic partnership leveraging their respective industry advantages in software, hardware and technology products. The two sides will work together to create new products based on Mobileye SuperVision and Mobileye Chauffeur platform</v>
      </c>
      <c r="Z54" s="60" t="str">
        <v>Joint D&amp;D</v>
      </c>
      <c r="AA54" s="60" t="str">
        <v>project ensure the design of such a system, its realization, and a final evaluation of the concept.</v>
      </c>
      <c r="AB54" s="60" t="str">
        <v>Research &amp; Collaboration</v>
      </c>
      <c r="AC54" s="60" t="str">
        <v>The various stages of this R&amp;D project ensure the design of such a system, its realization, and a final evaluation of the concept.</v>
      </c>
      <c r="AD54" s="60">
        <v>0</v>
      </c>
      <c r="AE54" s="60">
        <v>0</v>
      </c>
      <c r="AF54" s="60" t="str">
        <v xml:space="preserve">NAVYA and VALEO partner to develop </v>
      </c>
      <c r="AG54" s="60" t="str">
        <v>a unique safety system for the commercialization of level 4 autonomous vehicles</v>
      </c>
    </row>
    <row r="55" spans="1:33" x14ac:dyDescent="0.35">
      <c r="A55" s="60" t="str">
        <v>https://www.navya.tech/en/navya-and-lohr-form-a-strategic-alliance-to-speed-up-their-technological-industrial-and-commercial-development-in-the-field-of-autonomous-mobility/</v>
      </c>
      <c r="B55" s="60" t="str">
        <v>2022, 9, 22</v>
      </c>
      <c r="C55" s="105">
        <v>44826</v>
      </c>
      <c r="D55" s="60" t="str">
        <v>Navya and Lohr form a strategic alliance to speed up their technological, industrial and commercial development in the field of autonomous mobility</v>
      </c>
      <c r="E55" s="60" t="str">
        <v>Navya</v>
      </c>
      <c r="F55" s="60" t="str">
        <v>L2</v>
      </c>
      <c r="G55" s="60" t="str">
        <v>Navya-SAV</v>
      </c>
      <c r="H55" s="60" t="str">
        <v>SAV</v>
      </c>
      <c r="I55" s="60" t="str">
        <v>Ridepooling</v>
      </c>
      <c r="J55" s="60" t="str">
        <v>Ridepooling</v>
      </c>
      <c r="K55" s="60" t="str">
        <v>Lohr</v>
      </c>
      <c r="L55" s="60" t="str">
        <v>Lohr</v>
      </c>
      <c r="M55" s="60">
        <v>0</v>
      </c>
      <c r="N55" s="60">
        <v>0</v>
      </c>
      <c r="O55"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55" s="60" t="str">
        <v>NAVYA (FR0013018041- Navya), an autonomous mobility systems leader, signs a strategic alliance with Lohr, an industrial group known worldwide for its expertise in the engineering, production and marketing of systems for the transportation of people and goods.</v>
      </c>
      <c r="Q55" s="60" t="str">
        <v>Strategic Alliance</v>
      </c>
      <c r="R55" s="60" t="str">
        <v>Yes</v>
      </c>
      <c r="S55" s="60" t="str">
        <v>Product cooperation</v>
      </c>
      <c r="T55" s="60" t="str">
        <v>-</v>
      </c>
      <c r="U55" s="60" t="str">
        <v>-</v>
      </c>
      <c r="V55" s="60" t="str">
        <v>-</v>
      </c>
      <c r="W55" s="60" t="str">
        <v>2.1. Short term Alliance (no exclusivity / previous experience)</v>
      </c>
      <c r="X55" s="60">
        <v>0</v>
      </c>
      <c r="Y55"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55" s="60" t="str">
        <v>Joint Production</v>
      </c>
      <c r="AA55"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55" s="60">
        <v>0</v>
      </c>
      <c r="AC55" s="60">
        <v>0</v>
      </c>
      <c r="AD55" s="60">
        <v>0</v>
      </c>
      <c r="AE55" s="60">
        <v>0</v>
      </c>
      <c r="AF55" s="60" t="str">
        <v>Navya and Lohr form a strategic alliance to speed up their technological, industrial and commercial development in the field of autonomous mobility</v>
      </c>
      <c r="AG55" s="60">
        <v>0</v>
      </c>
    </row>
    <row r="56" spans="1:33" x14ac:dyDescent="0.35">
      <c r="A56" s="60" t="str">
        <v>https://www.navya.tech/en/michelin-navya-and-beti-enter-into-a-technological-partnership-and-launch-their-first-autonomous-mobility-experimentation-within-the-framework-of-the-movinon-think-do-tank/</v>
      </c>
      <c r="B56" s="60" t="str">
        <v>2022, 6, 17</v>
      </c>
      <c r="C56" s="105">
        <v>44729</v>
      </c>
      <c r="D56" s="60" t="str">
        <v>Michelin, Navya and beti enter into a technological partnership and launch their first autonomous mobility experimentation within the framework of the Movin On Think &amp; Do Tank</v>
      </c>
      <c r="E56" s="60" t="str">
        <v>Navya</v>
      </c>
      <c r="F56" s="60" t="str">
        <v>L2</v>
      </c>
      <c r="G56" s="60" t="str">
        <v>Navya-SAV</v>
      </c>
      <c r="H56" s="60" t="str">
        <v>SAV</v>
      </c>
      <c r="I56" s="60" t="str">
        <v>Ridepooling</v>
      </c>
      <c r="J56" s="60" t="str">
        <v>Ridepooling</v>
      </c>
      <c r="K56" s="60" t="str">
        <v>Michelin;Beti</v>
      </c>
      <c r="L56" s="60" t="str">
        <v>Michelin</v>
      </c>
      <c r="M56" s="60" t="str">
        <v>Beti</v>
      </c>
      <c r="N56" s="60">
        <v>0</v>
      </c>
      <c r="O56"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56" s="60" t="str">
        <v>j</v>
      </c>
      <c r="Q56" s="60" t="str">
        <v>Strategic Alliance</v>
      </c>
      <c r="R56" s="60" t="str">
        <v>Yes</v>
      </c>
      <c r="S56" s="60" t="str">
        <v>One time</v>
      </c>
      <c r="T56" s="60" t="str">
        <v>-</v>
      </c>
      <c r="U56" s="60" t="str">
        <v>Yes</v>
      </c>
      <c r="V56" s="60" t="str">
        <v>-</v>
      </c>
      <c r="W56" s="60" t="str">
        <v xml:space="preserve">2.2. Renewed Alliance </v>
      </c>
      <c r="X56" s="60">
        <v>0</v>
      </c>
      <c r="Y56"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56" s="60" t="str">
        <v>Research &amp; Collaboration</v>
      </c>
      <c r="AA56"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56" s="60">
        <v>0</v>
      </c>
      <c r="AC56" s="60">
        <v>0</v>
      </c>
      <c r="AD56" s="60">
        <v>0</v>
      </c>
      <c r="AE56" s="60">
        <v>0</v>
      </c>
      <c r="AF56" s="60" t="str">
        <v>Michelin, Navya and beti enter into a technological partnership and launch their first autonomous mobility experimentation within the framework of the Movin On Think &amp; Do Tank</v>
      </c>
      <c r="AG56" s="60">
        <v>0</v>
      </c>
    </row>
    <row r="57" spans="1:33" x14ac:dyDescent="0.35">
      <c r="A57" s="60" t="str">
        <v>https://oxa.tech/news-and-insights/oxa-and-eversum-announce-partnership-to-develop-and-deploy-autonomous-passenger-shuttles/</v>
      </c>
      <c r="B57" s="60" t="str">
        <v>2023, 10, 8</v>
      </c>
      <c r="C57" s="105">
        <v>44934</v>
      </c>
      <c r="D57" s="60" t="str">
        <v>Oxa and eVersum Announce Partnership To Develop and Deploy Autonomous Passenger Shuttles</v>
      </c>
      <c r="E57" s="60" t="str">
        <v>Oxa</v>
      </c>
      <c r="F57" s="60" t="str">
        <v>L1</v>
      </c>
      <c r="G57" s="60" t="str">
        <v>Oxa-SAV</v>
      </c>
      <c r="H57" s="60" t="str">
        <v>SAV</v>
      </c>
      <c r="I57" s="60" t="str">
        <v>Ridepooling</v>
      </c>
      <c r="J57" s="60" t="str">
        <v>Ridepooling</v>
      </c>
      <c r="K57" s="60" t="str">
        <v>eVersum</v>
      </c>
      <c r="L57" s="60" t="str">
        <v>eVersum</v>
      </c>
      <c r="M57" s="60">
        <v>0</v>
      </c>
      <c r="N57" s="60">
        <v>0</v>
      </c>
      <c r="O57"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57"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57" s="60" t="str">
        <v>Strategic Alliance</v>
      </c>
      <c r="R57" s="60" t="str">
        <v>n.a.</v>
      </c>
      <c r="S57" s="60" t="str">
        <v>Product cooperation</v>
      </c>
      <c r="T57" s="60" t="str">
        <v>Long term - Min 1 year</v>
      </c>
      <c r="U57" s="60" t="str">
        <v>-</v>
      </c>
      <c r="V57" s="60" t="str">
        <v>-</v>
      </c>
      <c r="W57" s="60" t="str">
        <v>2.3. Long term Alliance</v>
      </c>
      <c r="X57" s="60">
        <v>0</v>
      </c>
      <c r="Y57"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57" s="60" t="str">
        <v>Joint D&amp;D</v>
      </c>
      <c r="AA57"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57" s="60" t="str">
        <v>Joint Production</v>
      </c>
      <c r="AC57" s="60" t="str">
        <v xml:space="preserve">this partnership will see eVersum produce autonomous-ready electric base vehicles, featuring Oxa Driver, Oxa's autonomy software, along with sensors and computing technology integrated directly on the production line. </v>
      </c>
      <c r="AD57" s="60">
        <v>0</v>
      </c>
      <c r="AE57" s="60">
        <v>0</v>
      </c>
      <c r="AF57" s="60" t="str">
        <v xml:space="preserve">Partnership To Develop and Deploy </v>
      </c>
      <c r="AG57" s="60" t="str">
        <v>Autonomous Passenger Shuttles</v>
      </c>
    </row>
    <row r="58" spans="1:33" x14ac:dyDescent="0.35">
      <c r="A58" s="60" t="str">
        <v>https://oxa.tech/news-and-insights/oxbotica-partners-with-nevs-to-reshape-the-future-of-urban-mobility-with-fleet-of-shared-self-driving-all-electric-vehicles/</v>
      </c>
      <c r="B58" s="60" t="str">
        <v>2022, 5, 11</v>
      </c>
      <c r="C58" s="105">
        <v>44692</v>
      </c>
      <c r="D58" s="60" t="str">
        <v>Oxbotica partners with NEVS to reshape the future of urban mobility with fleet of shared, self-driving, all-electric vehicles</v>
      </c>
      <c r="E58" s="60" t="str">
        <v>Oxa</v>
      </c>
      <c r="F58" s="60" t="str">
        <v>L1</v>
      </c>
      <c r="G58" s="60" t="str">
        <v>Oxa-SAV</v>
      </c>
      <c r="H58" s="60" t="str">
        <v>SAV</v>
      </c>
      <c r="I58" s="60" t="str">
        <v>Ridepooling</v>
      </c>
      <c r="J58" s="60" t="str">
        <v>Ridepooling</v>
      </c>
      <c r="K58" s="60" t="str">
        <v>NEVS</v>
      </c>
      <c r="L58" s="60" t="str">
        <v>NEVS</v>
      </c>
      <c r="M58" s="60">
        <v>0</v>
      </c>
      <c r="N58" s="60">
        <v>0</v>
      </c>
      <c r="O58"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58"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58" s="60" t="str">
        <v>Strategic Alliance</v>
      </c>
      <c r="R58" s="60" t="str">
        <v>Yes</v>
      </c>
      <c r="S58" s="60" t="str">
        <v>Product cooperation</v>
      </c>
      <c r="T58" s="60" t="str">
        <v>Long term - Min 2025 (&gt;2 years)</v>
      </c>
      <c r="U58" s="60" t="str">
        <v>-</v>
      </c>
      <c r="V58" s="60" t="str">
        <v>-</v>
      </c>
      <c r="W58" s="60" t="str">
        <v>2.3. Long term Alliance</v>
      </c>
      <c r="X58" s="60">
        <v>0</v>
      </c>
      <c r="Y58"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58" s="60" t="str">
        <v>Joint D&amp;D</v>
      </c>
      <c r="AA58"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58" s="60">
        <v>0</v>
      </c>
      <c r="AC58" s="60">
        <v>0</v>
      </c>
      <c r="AD58" s="60">
        <v>0</v>
      </c>
      <c r="AE58" s="60">
        <v>0</v>
      </c>
      <c r="AF58" s="60" t="str">
        <v>Oxbotica partners with NEVS to reshape the future of urban mobility with fleet of shared, self-driving, all-electric vehicles</v>
      </c>
      <c r="AG58" s="60">
        <v>0</v>
      </c>
    </row>
    <row r="59" spans="1:33" x14ac:dyDescent="0.35">
      <c r="A59" s="60" t="str">
        <v>https://www.perronerobotics.com/news/perrone-robotics-and-global-finance-group-partner-to-bring-turnkey-autonomous-vehicle-program-to-university-and-college-campuses</v>
      </c>
      <c r="B59" s="60" t="str">
        <v>2023, 5, 10</v>
      </c>
      <c r="C59" s="105">
        <v>45056</v>
      </c>
      <c r="D59" s="60" t="str">
        <v>Perrone Robotics and Global Finance Group Partner to Bring Turnkey Autonomous Vehicle Program to University and College Campuses</v>
      </c>
      <c r="E59" s="60" t="str">
        <v>Perrone Robotics</v>
      </c>
      <c r="F59" s="60" t="str">
        <v>L1</v>
      </c>
      <c r="G59" s="60" t="str">
        <v>Perrone Robotics-SAV</v>
      </c>
      <c r="H59" s="60" t="str">
        <v>SAV</v>
      </c>
      <c r="I59" s="60" t="str">
        <v>Ridepooling</v>
      </c>
      <c r="J59" s="60" t="str">
        <v>Ridepooling</v>
      </c>
      <c r="K59" s="60" t="str">
        <v>Global Finance Group</v>
      </c>
      <c r="L59" s="60" t="str">
        <v>Global Finance Group</v>
      </c>
      <c r="M59" s="60">
        <v>0</v>
      </c>
      <c r="N59" s="60">
        <v>0</v>
      </c>
      <c r="O59"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59"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59" s="60" t="str">
        <v>Strategic Alliance</v>
      </c>
      <c r="R59" s="60" t="str">
        <v>n.a.</v>
      </c>
      <c r="S59" s="60" t="str">
        <v>Financing</v>
      </c>
      <c r="T59" s="60" t="str">
        <v>-</v>
      </c>
      <c r="U59" s="60" t="str">
        <v>-</v>
      </c>
      <c r="V59" s="60" t="str">
        <v>-</v>
      </c>
      <c r="W59" s="60" t="str">
        <v>2.1. Short term Alliance (no exclusivity / previous experience)</v>
      </c>
      <c r="X59" s="60">
        <v>0</v>
      </c>
      <c r="Y59"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59" s="60" t="str">
        <v>Other</v>
      </c>
      <c r="AA59" s="60" t="str">
        <v>By lowering the financial barriers to this technology, Perrone and GFG open the doors for universities and colleges to bring fully functional autonomy to their communities for safe, reliable, and affordable transportation.</v>
      </c>
      <c r="AB59" s="60">
        <v>0</v>
      </c>
      <c r="AC59" s="60">
        <v>0</v>
      </c>
      <c r="AD59" s="60">
        <v>0</v>
      </c>
      <c r="AE59" s="60">
        <v>0</v>
      </c>
      <c r="AF59" s="60" t="str">
        <v xml:space="preserve">Perrone Robotics and Global Finance Group Partner to Bring </v>
      </c>
      <c r="AG59" s="60" t="str">
        <v>Turnkey Autonomous Vehicle Program to University and College Campuses</v>
      </c>
    </row>
    <row r="60" spans="1:33" x14ac:dyDescent="0.35">
      <c r="A60" s="60" t="str">
        <v>https://www.perronerobotics.com/news/western-reserve-transit-authority-selects-first-transit-in-partnership-with-perrone-robotics-and-greenpower-motor-company-for-autonomous-vehicle-pilot</v>
      </c>
      <c r="B60" s="60" t="str">
        <v>2022, 10, 5</v>
      </c>
      <c r="C60" s="105">
        <v>44566</v>
      </c>
      <c r="D60" s="60" t="str">
        <v>Western Reserve Transit Authority Selects First Transit, in Partnership with Perrone Robotics and GreenPower for Autonomous Vehicle Pilot</v>
      </c>
      <c r="E60" s="60" t="str">
        <v>Perrone Robotics</v>
      </c>
      <c r="F60" s="60" t="str">
        <v>L1</v>
      </c>
      <c r="G60" s="60" t="str">
        <v>Perrone Robotics-SAV</v>
      </c>
      <c r="H60" s="60" t="str">
        <v>SAV</v>
      </c>
      <c r="I60" s="60" t="str">
        <v>Ridepooling</v>
      </c>
      <c r="J60" s="60" t="str">
        <v>Ridepooling</v>
      </c>
      <c r="K60" s="60" t="str">
        <v>Western Reserve Transit Authority;GreenPower</v>
      </c>
      <c r="L60" s="60" t="str">
        <v>Western Reserve Transit Authority</v>
      </c>
      <c r="M60" s="60" t="str">
        <v>GreenPower</v>
      </c>
      <c r="N60" s="60">
        <v>0</v>
      </c>
      <c r="O60"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60"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60" s="60" t="str">
        <v>Strategic Alliance</v>
      </c>
      <c r="R60" s="60" t="str">
        <v>n.a.</v>
      </c>
      <c r="S60" s="60" t="str">
        <v>One time - pilot</v>
      </c>
      <c r="T60" s="60" t="str">
        <v>-</v>
      </c>
      <c r="U60" s="60" t="str">
        <v>-</v>
      </c>
      <c r="V60" s="60" t="str">
        <v>-</v>
      </c>
      <c r="W60" s="60" t="str">
        <v>2.1. Short term Alliance (no exclusivity / previous experience)</v>
      </c>
      <c r="X60" s="60">
        <v>0</v>
      </c>
      <c r="Y60" s="60" t="str">
        <v>First Transit, the leader in mobility solutions, announces that it will operate the Western Reserve Transit Authority (WRTA) autonomous vehicle (AV) pilot, in partnership with Perrone Robotics and GreenPower.</v>
      </c>
      <c r="Z60" s="60" t="str">
        <v>Joint Service Agreement</v>
      </c>
      <c r="AA60" s="60" t="str">
        <v>First Transit, the leader in mobility solutions, announces that it will operate the Western Reserve Transit Authority (WRTA) autonomous vehicle (AV) pilot, in partnership with Perrone Robotics and GreenPower.</v>
      </c>
      <c r="AB60" s="60">
        <v>0</v>
      </c>
      <c r="AC60" s="60">
        <v>0</v>
      </c>
      <c r="AD60" s="60">
        <v>0</v>
      </c>
      <c r="AE60" s="60">
        <v>0</v>
      </c>
      <c r="AF60" s="60" t="str">
        <v xml:space="preserve">Western Reserve Transit Authority Selects First Transit, in Partnership with Perrone Robotics and GreenPower </v>
      </c>
      <c r="AG60" s="60" t="str">
        <v>for Autonomous Vehicle Pilot</v>
      </c>
    </row>
    <row r="61" spans="1:33" x14ac:dyDescent="0.35">
      <c r="A61" s="60" t="str">
        <v>https://www.perronerobotics.com/news/pri-partners-sae-tampa</v>
      </c>
      <c r="B61" s="60" t="str">
        <v>2018, 5, 1</v>
      </c>
      <c r="C61" s="105">
        <v>43221</v>
      </c>
      <c r="D61" s="60" t="str">
        <v>PRI Partners with SAE in Tampa</v>
      </c>
      <c r="E61" s="60" t="str">
        <v>Perrone Robotics</v>
      </c>
      <c r="F61" s="60" t="str">
        <v>L1</v>
      </c>
      <c r="G61" s="60" t="str">
        <v>Perrone Robotics-SAV</v>
      </c>
      <c r="H61" s="60" t="str">
        <v>SAV</v>
      </c>
      <c r="I61" s="60" t="str">
        <v>Ridepooling</v>
      </c>
      <c r="J61" s="60" t="str">
        <v>Ridepooling</v>
      </c>
      <c r="K61" s="60" t="str">
        <v>SAE</v>
      </c>
      <c r="L61" s="60" t="str">
        <v>SAE</v>
      </c>
      <c r="M61" s="60">
        <v>0</v>
      </c>
      <c r="N61" s="60">
        <v>0</v>
      </c>
      <c r="O61"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61"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61" s="60" t="str">
        <v>Strategic Alliance</v>
      </c>
      <c r="R61" s="60" t="str">
        <v>n.a.</v>
      </c>
      <c r="S61" s="60" t="str">
        <v>One time - Pilot</v>
      </c>
      <c r="T61" s="60" t="str">
        <v>Short term - 3 days</v>
      </c>
      <c r="U61" s="60" t="str">
        <v>-</v>
      </c>
      <c r="V61" s="60" t="str">
        <v>-</v>
      </c>
      <c r="W61" s="60" t="str">
        <v>2.1. Short term Alliance (no exclusivity / previous experience)</v>
      </c>
      <c r="X61" s="60">
        <v>0</v>
      </c>
      <c r="Y61"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61" s="60" t="str">
        <v>Research &amp; Collaboration</v>
      </c>
      <c r="AA61"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61" s="60">
        <v>0</v>
      </c>
      <c r="AC61" s="60">
        <v>0</v>
      </c>
      <c r="AD61" s="60">
        <v>0</v>
      </c>
      <c r="AE61" s="60">
        <v>0</v>
      </c>
      <c r="AF61" s="60" t="str">
        <v xml:space="preserve">PRI Partners with SAE </v>
      </c>
      <c r="AG61" s="60" t="str">
        <v>in Tampa</v>
      </c>
    </row>
    <row r="62" spans="1:33" x14ac:dyDescent="0.35">
      <c r="A62" s="60" t="str">
        <v>https://www.perronerobotics.com/news/perrone-robotics-and-tropos-team-up-to-develop-autonomous-electric-compact-utility-vehicles</v>
      </c>
      <c r="B62" s="60" t="str">
        <v>2021, 8, 18</v>
      </c>
      <c r="C62" s="105">
        <v>44426</v>
      </c>
      <c r="D62" s="60" t="str">
        <v>Perrone Robotics and Tropos Team up to Develop Autonomous Electric Compact Utility Vehicles</v>
      </c>
      <c r="E62" s="60" t="str">
        <v>Perrone Robotics</v>
      </c>
      <c r="F62" s="60" t="str">
        <v>L1</v>
      </c>
      <c r="G62" s="60" t="str">
        <v>Perrone Robotics-SAV</v>
      </c>
      <c r="H62" s="60" t="str">
        <v>SAV</v>
      </c>
      <c r="I62" s="60" t="str">
        <v>Ridepooling</v>
      </c>
      <c r="J62" s="60" t="str">
        <v>Ridepooling</v>
      </c>
      <c r="K62" s="60" t="str">
        <v>Tropos Technologies</v>
      </c>
      <c r="L62" s="60" t="str">
        <v>Tropos Technologies</v>
      </c>
      <c r="M62" s="60">
        <v>0</v>
      </c>
      <c r="N62" s="60">
        <v>0</v>
      </c>
      <c r="O62"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2" s="60" t="str">
        <v>Autonomous vehicle technology provider Perrone Robotics  and cleantech vehicle manufacturer Tropos Motors yesterday announced a partnership to produce a series of fully autonomous, electric low-speed vehicles (e-LSVs) and trucks.</v>
      </c>
      <c r="Q62" s="60" t="str">
        <v>Strategic Alliance</v>
      </c>
      <c r="R62" s="60" t="str">
        <v>n.a.</v>
      </c>
      <c r="S62" s="60" t="str">
        <v>Product cooperation</v>
      </c>
      <c r="T62" s="60" t="str">
        <v>-</v>
      </c>
      <c r="U62" s="60" t="str">
        <v>-</v>
      </c>
      <c r="V62" s="60" t="str">
        <v>-</v>
      </c>
      <c r="W62" s="60" t="str">
        <v>2.1. Short term Alliance (no exclusivity / previous experience)</v>
      </c>
      <c r="X62" s="60">
        <v>0</v>
      </c>
      <c r="Y62"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2" s="60" t="str">
        <v>Joint D&amp;D</v>
      </c>
      <c r="AA62"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2" s="60">
        <v>0</v>
      </c>
      <c r="AC62" s="60">
        <v>0</v>
      </c>
      <c r="AD62" s="60">
        <v>0</v>
      </c>
      <c r="AE62" s="60">
        <v>0</v>
      </c>
      <c r="AF62" s="60" t="str">
        <v xml:space="preserve">Perrone Robotics and Tropos Team up to Develop </v>
      </c>
      <c r="AG62" s="60" t="str">
        <v>Autonomous Electric Compact Utility Vehicles</v>
      </c>
    </row>
    <row r="63" spans="1:33" x14ac:dyDescent="0.35">
      <c r="A63" s="60" t="str">
        <v>https://www.perronerobotics.com/news/perrone-robotics-partners-with-tropos-on-self-driving-trucks</v>
      </c>
      <c r="B63" s="60" t="str">
        <v>2021, 8, 18</v>
      </c>
      <c r="C63" s="105">
        <v>44426</v>
      </c>
      <c r="D63" s="60" t="str">
        <v>Perrone Robotics Partners With Tropos on Self-Driving Trucks</v>
      </c>
      <c r="E63" s="60" t="str">
        <v>Perrone Robotics</v>
      </c>
      <c r="F63" s="60" t="str">
        <v>L1</v>
      </c>
      <c r="G63" s="60" t="str">
        <v>Perrone Robotics-SAV</v>
      </c>
      <c r="H63" s="60" t="str">
        <v>SAV</v>
      </c>
      <c r="I63" s="60" t="str">
        <v>Ridepooling</v>
      </c>
      <c r="J63" s="60" t="str">
        <v>Ridepooling</v>
      </c>
      <c r="K63" s="60" t="str">
        <v>Tropos Technologies</v>
      </c>
      <c r="L63" s="60" t="str">
        <v>Tropos Technologies</v>
      </c>
      <c r="M63" s="60">
        <v>0</v>
      </c>
      <c r="N63" s="60">
        <v>0</v>
      </c>
      <c r="O63"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3" s="60" t="str">
        <v>Future platforms in development will include a series of emergency and first-responder solutions that will be available later this year.</v>
      </c>
      <c r="Q63" s="60" t="str">
        <v>Strategic Alliance</v>
      </c>
      <c r="R63" s="60" t="str">
        <v>n.a.</v>
      </c>
      <c r="S63" s="60" t="str">
        <v>Service cooperation</v>
      </c>
      <c r="T63" s="60" t="str">
        <v>-</v>
      </c>
      <c r="U63" s="60" t="str">
        <v>-</v>
      </c>
      <c r="V63" s="60" t="str">
        <v>-</v>
      </c>
      <c r="W63" s="60" t="str">
        <v>2.1. Short term Alliance (no exclusivity / previous experience)</v>
      </c>
      <c r="X63" s="60">
        <v>0</v>
      </c>
      <c r="Y63"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3" s="60" t="str">
        <v>Joint D&amp;D</v>
      </c>
      <c r="AA63"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3" s="60">
        <v>0</v>
      </c>
      <c r="AC63" s="60">
        <v>0</v>
      </c>
      <c r="AD63" s="60">
        <v>0</v>
      </c>
      <c r="AE63" s="60">
        <v>0</v>
      </c>
      <c r="AF63" s="60" t="str">
        <v>Perrone Robotics Partners With Tropos on Self-Driving Trucks</v>
      </c>
      <c r="AG63" s="60">
        <v>0</v>
      </c>
    </row>
    <row r="64" spans="1:33" x14ac:dyDescent="0.35">
      <c r="A64" s="60" t="str">
        <v>https://www.perronerobotics.com/news/autonomous-ev-bus-collaboration-announced</v>
      </c>
      <c r="B64" s="60" t="str">
        <v>2020, 3, 2</v>
      </c>
      <c r="C64" s="105">
        <v>43892</v>
      </c>
      <c r="D64" s="60" t="str">
        <v>Autonomous EV Bus Collaboration Announced</v>
      </c>
      <c r="E64" s="60" t="str">
        <v>Perrone Robotics</v>
      </c>
      <c r="F64" s="60" t="str">
        <v>L1</v>
      </c>
      <c r="G64" s="60" t="str">
        <v>Perrone Robotics-SAV</v>
      </c>
      <c r="H64" s="60" t="str">
        <v>SAV</v>
      </c>
      <c r="I64" s="60" t="str">
        <v>Ridepooling</v>
      </c>
      <c r="J64" s="60" t="str">
        <v>Ridepooling</v>
      </c>
      <c r="K64" s="60" t="str">
        <v>Greenpower</v>
      </c>
      <c r="L64" s="60" t="str">
        <v>Greenpower</v>
      </c>
      <c r="M64" s="60">
        <v>0</v>
      </c>
      <c r="N64" s="60">
        <v>0</v>
      </c>
      <c r="O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64" s="60" t="str">
        <v>Strategic Alliance</v>
      </c>
      <c r="R64" s="60" t="str">
        <v>n.a.</v>
      </c>
      <c r="S64" s="60" t="str">
        <v>Product cooperation</v>
      </c>
      <c r="T64" s="60" t="str">
        <v>-</v>
      </c>
      <c r="U64" s="60" t="str">
        <v>-</v>
      </c>
      <c r="V64" s="60" t="str">
        <v>-</v>
      </c>
      <c r="W64" s="60" t="str">
        <v>2.1. Short term Alliance (no exclusivity / previous experience)</v>
      </c>
      <c r="X64" s="60">
        <v>0</v>
      </c>
      <c r="Y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64" s="60" t="str">
        <v>Joint D&amp;D</v>
      </c>
      <c r="AA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64" s="60">
        <v>0</v>
      </c>
      <c r="AC64" s="60">
        <v>0</v>
      </c>
      <c r="AD64" s="60">
        <v>0</v>
      </c>
      <c r="AE64" s="60">
        <v>0</v>
      </c>
      <c r="AF64" s="60" t="str">
        <v>Autonomous EV Bus Collaboration Announced</v>
      </c>
      <c r="AG64" s="60">
        <v>0</v>
      </c>
    </row>
    <row r="65" spans="1:33" x14ac:dyDescent="0.35">
      <c r="A65" s="60" t="str">
        <v>https://www.perronerobotics.com/news/perrone-robotics-inc-and-guident-corp-sign-strategic-alliance</v>
      </c>
      <c r="B65" s="60" t="str">
        <v>2022, 4, 19</v>
      </c>
      <c r="C65" s="105">
        <v>44670</v>
      </c>
      <c r="D65" s="60" t="str">
        <v>Perrone Robotics,  and Guident Corp. Sign Strategic Alliance</v>
      </c>
      <c r="E65" s="60" t="str">
        <v>Perrone Robotics</v>
      </c>
      <c r="F65" s="60" t="str">
        <v>L1</v>
      </c>
      <c r="G65" s="60" t="str">
        <v>Perrone Robotics-SAV</v>
      </c>
      <c r="H65" s="60" t="str">
        <v>SAV</v>
      </c>
      <c r="I65" s="60" t="str">
        <v>Ridepooling</v>
      </c>
      <c r="J65" s="60" t="str">
        <v>Ridepooling</v>
      </c>
      <c r="K65" s="60" t="str">
        <v>Guident</v>
      </c>
      <c r="L65" s="60" t="str">
        <v>Guident</v>
      </c>
      <c r="M65" s="60">
        <v>0</v>
      </c>
      <c r="N65" s="60">
        <v>0</v>
      </c>
      <c r="O65"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65"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65" s="60" t="str">
        <v>Strategic Alliance</v>
      </c>
      <c r="R65" s="60" t="str">
        <v>Yes</v>
      </c>
      <c r="S65" s="60" t="str">
        <v>Product cooperation</v>
      </c>
      <c r="T65" s="60" t="str">
        <v>-</v>
      </c>
      <c r="U65" s="60" t="str">
        <v>-</v>
      </c>
      <c r="V65" s="60" t="str">
        <v>-</v>
      </c>
      <c r="W65" s="60" t="str">
        <v>2.1. Short term Alliance (no exclusivity / previous experience)</v>
      </c>
      <c r="X65" s="60">
        <v>0</v>
      </c>
      <c r="Y65"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65" s="60" t="str">
        <v>Joint D&amp;D</v>
      </c>
      <c r="AA65"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65" s="60">
        <v>0</v>
      </c>
      <c r="AC65" s="60">
        <v>0</v>
      </c>
      <c r="AD65" s="60">
        <v>0</v>
      </c>
      <c r="AE65" s="60">
        <v>0</v>
      </c>
      <c r="AF65" s="60" t="str">
        <v>Perrone Robotics,  and Guident Corp. Sign Strategic Alliance</v>
      </c>
      <c r="AG65" s="60">
        <v>0</v>
      </c>
    </row>
    <row r="66" spans="1:33" x14ac:dyDescent="0.35">
      <c r="A66" s="60" t="str">
        <v>https://www.perronerobotics.com/news/lightning-emotors-partners-with-perrone-robotics-to-offer-fully-autonomous-vehicle-option-to-zero-emission-fleet-customers</v>
      </c>
      <c r="B66" s="60" t="str">
        <v>2022, 5, 9</v>
      </c>
      <c r="C66" s="105">
        <v>44690</v>
      </c>
      <c r="D66" s="60" t="str">
        <v>Lightning eMotors Partners with Perrone Robotics to Offer Fully Autonomous Vehicle Option to Zero-Emission Fleet Customers</v>
      </c>
      <c r="E66" s="60" t="str">
        <v>Perrone Robotics</v>
      </c>
      <c r="F66" s="60" t="str">
        <v>L1</v>
      </c>
      <c r="G66" s="60" t="str">
        <v>Perrone Robotics-SAV</v>
      </c>
      <c r="H66" s="60" t="str">
        <v>SAV</v>
      </c>
      <c r="I66" s="60" t="str">
        <v>Ridepooling</v>
      </c>
      <c r="J66" s="60" t="str">
        <v>Ridepooling</v>
      </c>
      <c r="K66" s="60" t="str">
        <v>Lightning eMotors</v>
      </c>
      <c r="L66" s="60" t="str">
        <v>Lightning eMotors</v>
      </c>
      <c r="M66" s="60">
        <v>0</v>
      </c>
      <c r="N66" s="60">
        <v>0</v>
      </c>
      <c r="O66"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66"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66" s="60" t="str">
        <v>Strategic Alliance</v>
      </c>
      <c r="R66" s="60" t="str">
        <v>n.a.</v>
      </c>
      <c r="S66" s="60" t="str">
        <v>Product cooperation</v>
      </c>
      <c r="T66" s="60" t="str">
        <v>-</v>
      </c>
      <c r="U66" s="60" t="str">
        <v>-</v>
      </c>
      <c r="V66" s="60" t="str">
        <v>-</v>
      </c>
      <c r="W66" s="60" t="str">
        <v>2.1. Short term Alliance (no exclusivity / previous experience)</v>
      </c>
      <c r="X66" s="60">
        <v>0</v>
      </c>
      <c r="Y66"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66" s="60" t="str">
        <v>Joint D&amp;D</v>
      </c>
      <c r="AA66"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66" s="60">
        <v>0</v>
      </c>
      <c r="AC66" s="60">
        <v>0</v>
      </c>
      <c r="AD66" s="60">
        <v>0</v>
      </c>
      <c r="AE66" s="60">
        <v>0</v>
      </c>
      <c r="AF66" s="60" t="str">
        <v>Lightning eMotors Partners with Perrone Robotics to Offer Fully Autonomous Vehicle Option to Zero-Emission Fleet Customers</v>
      </c>
      <c r="AG66" s="60">
        <v>0</v>
      </c>
    </row>
    <row r="67" spans="1:33" x14ac:dyDescent="0.35">
      <c r="A67" s="60" t="str">
        <v>https://www.perronerobotics.com/news/perrone-robotics-collaborates-machine-learning-pioneer</v>
      </c>
      <c r="B67" s="60" t="str">
        <v>2021, 2, 8</v>
      </c>
      <c r="C67" s="105">
        <v>44235</v>
      </c>
      <c r="D67" s="60" t="str">
        <v>Perrone Robotics Collaborates with Machine Learning Pioneer</v>
      </c>
      <c r="E67" s="60" t="str">
        <v>Perrone Robotics</v>
      </c>
      <c r="F67" s="60" t="str">
        <v>L1</v>
      </c>
      <c r="G67" s="60" t="str">
        <v>Perrone Robotics-SAV</v>
      </c>
      <c r="H67" s="60" t="str">
        <v>SAV</v>
      </c>
      <c r="I67" s="60" t="str">
        <v>Ridepooling</v>
      </c>
      <c r="J67" s="60" t="str">
        <v>Ridepooling</v>
      </c>
      <c r="K67" s="60" t="str">
        <v>University of California</v>
      </c>
      <c r="L67" s="60" t="str">
        <v>University of California</v>
      </c>
      <c r="M67" s="60">
        <v>0</v>
      </c>
      <c r="N67" s="60">
        <v>0</v>
      </c>
      <c r="O67"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67" s="60" t="str">
        <v>Perrone Robotics has signed a memorandum of understanding for a collaboration with Professor Robert Hecht-Nielsen of the University of California (San Diego), San Diego's Vertebrate Movement Laboratory and its research team on advanced machine learning methods</v>
      </c>
      <c r="Q67" s="60" t="str">
        <v>Strategic Alliance</v>
      </c>
      <c r="R67" s="60" t="str">
        <v>Yes</v>
      </c>
      <c r="S67" s="60" t="str">
        <v>Research cooperation</v>
      </c>
      <c r="T67" s="60" t="str">
        <v>-</v>
      </c>
      <c r="U67" s="60" t="str">
        <v>-</v>
      </c>
      <c r="V67" s="60" t="str">
        <v>-</v>
      </c>
      <c r="W67" s="60" t="str">
        <v>2.1. Short term Alliance (no exclusivity / previous experience)</v>
      </c>
      <c r="X67" s="60">
        <v>0</v>
      </c>
      <c r="Y67" s="60" t="str">
        <v>Perrone Robotics has signed a memorandum of understanding for a collaboration with Professor Robert Hecht-Nielsen of the University of California (San Diego), San Diego's Vertebrate Movement Laboratory and its research team on advanced machine learning methods</v>
      </c>
      <c r="Z67" s="60" t="str">
        <v>Research &amp; Collaboration</v>
      </c>
      <c r="AA67" s="60" t="str">
        <v>Perrone Robotics has signed a memorandum of understanding for a collaboration with Professor Robert Hecht-Nielsen of the University of California (San Diego), San Diego's Vertebrate Movement Laboratory and its research team on advanced machine learning methods</v>
      </c>
      <c r="AB67" s="60">
        <v>0</v>
      </c>
      <c r="AC67" s="60">
        <v>0</v>
      </c>
      <c r="AD67" s="60">
        <v>0</v>
      </c>
      <c r="AE67" s="60">
        <v>0</v>
      </c>
      <c r="AF67" s="60" t="str">
        <v>Perrone Robotics Collaborates with Machine Learning Pioneer</v>
      </c>
      <c r="AG67" s="60">
        <v>0</v>
      </c>
    </row>
    <row r="68" spans="1:33" x14ac:dyDescent="0.35">
      <c r="A68" s="60" t="str">
        <v>https://www.perronerobotics.com/news/perrone-robotics-enters-into-agreement-with-sustainability-partners-bringing-autonomous-vehicles-to-the-state-of-hawaii</v>
      </c>
      <c r="B68" s="60" t="str">
        <v>2023, 2, 17</v>
      </c>
      <c r="C68" s="105">
        <v>44974</v>
      </c>
      <c r="D68" s="60" t="str">
        <v>Perrone Robotics Enters into Agreement with Sustainability Partners Bringing Autonomous Vehicles to the State of Hawaii</v>
      </c>
      <c r="E68" s="60" t="str">
        <v>Perrone Robotics</v>
      </c>
      <c r="F68" s="60" t="str">
        <v>L1</v>
      </c>
      <c r="G68" s="60" t="str">
        <v>Perrone Robotics-SAV</v>
      </c>
      <c r="H68" s="60" t="str">
        <v>SAV</v>
      </c>
      <c r="I68" s="60" t="str">
        <v>Ridepooling</v>
      </c>
      <c r="J68" s="60" t="str">
        <v>Ridepooling</v>
      </c>
      <c r="K68" s="60" t="str">
        <v>Sustainability Partners</v>
      </c>
      <c r="L68" s="60" t="str">
        <v>Sustainability Partners</v>
      </c>
      <c r="M68" s="60">
        <v>0</v>
      </c>
      <c r="N68" s="60">
        <v>0</v>
      </c>
      <c r="O68"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68"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68" s="60" t="str">
        <v>Strategic Alliance</v>
      </c>
      <c r="R68" s="60" t="str">
        <v>n.a.</v>
      </c>
      <c r="S68" s="60" t="str">
        <v>Financing</v>
      </c>
      <c r="T68" s="60" t="str">
        <v>-</v>
      </c>
      <c r="U68" s="60" t="str">
        <v>-</v>
      </c>
      <c r="V68" s="60" t="str">
        <v>-</v>
      </c>
      <c r="W68" s="60" t="str">
        <v>2.1. Short term Alliance (no exclusivity / previous experience)</v>
      </c>
      <c r="X68" s="60">
        <v>0</v>
      </c>
      <c r="Y68"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68" s="60" t="str">
        <v>Other</v>
      </c>
      <c r="AA68"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68" s="60">
        <v>0</v>
      </c>
      <c r="AC68" s="60">
        <v>0</v>
      </c>
      <c r="AD68" s="60">
        <v>0</v>
      </c>
      <c r="AE68" s="60">
        <v>0</v>
      </c>
      <c r="AF68" s="60" t="str">
        <v>Perrone Robotics Enters into Agreement with Sustainability Partners Bringing Autonomous Vehicles to the State of Hawaii</v>
      </c>
      <c r="AG68" s="60">
        <v>0</v>
      </c>
    </row>
    <row r="69" spans="1:33" x14ac:dyDescent="0.35">
      <c r="A69" s="60" t="str">
        <v>https://www.perronerobotics.com/news/perrone-robotics-and-rampini-announce-partnership-to-provide-automated-6-meter-electric-buses</v>
      </c>
      <c r="B69" s="60" t="str">
        <v>2022, 12, 10</v>
      </c>
      <c r="C69" s="105">
        <v>44571</v>
      </c>
      <c r="D69" s="60" t="str">
        <v>Perrone Robotics and Rampini announce Partnership to Provide Automated 6-meter Electric Buses</v>
      </c>
      <c r="E69" s="60" t="str">
        <v>Perrone Robotics</v>
      </c>
      <c r="F69" s="60" t="str">
        <v>L1</v>
      </c>
      <c r="G69" s="60" t="str">
        <v>Perrone Robotics-SAV</v>
      </c>
      <c r="H69" s="60" t="str">
        <v>SAV</v>
      </c>
      <c r="I69" s="60" t="str">
        <v>Ridepooling</v>
      </c>
      <c r="J69" s="60" t="str">
        <v>Ridepooling</v>
      </c>
      <c r="K69" s="60" t="str">
        <v>Rampini</v>
      </c>
      <c r="L69" s="60" t="str">
        <v>Rampini</v>
      </c>
      <c r="M69" s="60">
        <v>0</v>
      </c>
      <c r="N69" s="60">
        <v>0</v>
      </c>
      <c r="O69"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69"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69" s="60" t="str">
        <v>Strategic Alliance</v>
      </c>
      <c r="R69" s="60" t="str">
        <v>n.a.</v>
      </c>
      <c r="S69" s="60" t="str">
        <v>Product cooperation</v>
      </c>
      <c r="T69" s="60" t="str">
        <v>-</v>
      </c>
      <c r="U69" s="60" t="str">
        <v>-</v>
      </c>
      <c r="V69" s="60" t="str">
        <v>-</v>
      </c>
      <c r="W69" s="60" t="str">
        <v>2.1. Short term Alliance (no exclusivity / previous experience)</v>
      </c>
      <c r="X69" s="60">
        <v>0</v>
      </c>
      <c r="Y69"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69" s="60" t="str">
        <v>Joint D&amp;D</v>
      </c>
      <c r="AA69"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69" s="60">
        <v>0</v>
      </c>
      <c r="AC69" s="60">
        <v>0</v>
      </c>
      <c r="AD69" s="60">
        <v>0</v>
      </c>
      <c r="AE69" s="60">
        <v>0</v>
      </c>
      <c r="AF69" s="60" t="str">
        <v>Perrone Robotics and Rampini announce Partnership to Provide Automated 6-meter Electric Buses</v>
      </c>
      <c r="AG69" s="60">
        <v>0</v>
      </c>
    </row>
    <row r="70" spans="1:33" x14ac:dyDescent="0.35">
      <c r="A70" s="60" t="str">
        <v>https://www.perronerobotics.com/news/perrone-robotics-and-tropos-technologies-announce-partnership-to-develop-fully-autonomous-electric-compact-utility-vehicles</v>
      </c>
      <c r="B70" s="60" t="str">
        <v>2021, 8, 17</v>
      </c>
      <c r="C70" s="105">
        <v>44425</v>
      </c>
      <c r="D70" s="60" t="str">
        <v>Perrone Robotics and Tropos Technologies Announce Partnership to Develop Fully Autonomous Electric Compact Utility Vehicles</v>
      </c>
      <c r="E70" s="60" t="str">
        <v>Perrone Robotics</v>
      </c>
      <c r="F70" s="60" t="str">
        <v>L1</v>
      </c>
      <c r="G70" s="60" t="str">
        <v>Perrone Robotics-SAV</v>
      </c>
      <c r="H70" s="60" t="str">
        <v>SAV</v>
      </c>
      <c r="I70" s="60" t="str">
        <v>Ridepooling</v>
      </c>
      <c r="J70" s="60" t="str">
        <v>Ridepooling</v>
      </c>
      <c r="K70" s="60" t="str">
        <v>Tropos Technologies</v>
      </c>
      <c r="L70" s="60" t="str">
        <v>Tropos Technologies</v>
      </c>
      <c r="M70" s="60">
        <v>0</v>
      </c>
      <c r="N70" s="60">
        <v>0</v>
      </c>
      <c r="O70"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70" s="60" t="str">
        <v>today announced a partnership to produce a series of fully autonomous, electric low speed vehicles (e-LSVs) and trucks.
Future platforms in development will include a series of emergency and first-responder solutions that will be available later this year.</v>
      </c>
      <c r="Q70" s="60" t="str">
        <v>Strategic Alliance</v>
      </c>
      <c r="R70" s="60" t="str">
        <v>n.a.</v>
      </c>
      <c r="S70" s="60" t="str">
        <v>Product cooperation</v>
      </c>
      <c r="T70" s="60" t="str">
        <v>-</v>
      </c>
      <c r="U70" s="60" t="str">
        <v>-</v>
      </c>
      <c r="V70" s="60" t="str">
        <v>-</v>
      </c>
      <c r="W70" s="60" t="str">
        <v>2.1. Short term Alliance (no exclusivity / previous experience)</v>
      </c>
      <c r="X70" s="60">
        <v>0</v>
      </c>
      <c r="Y70"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70" s="60" t="str">
        <v>Joint D&amp;D</v>
      </c>
      <c r="AA70"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70" s="60" t="str">
        <v>Licensing</v>
      </c>
      <c r="AC70" s="60" t="str">
        <v>The partnership will include the delivery of Perrone's reliable core TONY autonomous vehicle driverless system, the licensing of software, and the provision of related services.</v>
      </c>
      <c r="AD70" s="60">
        <v>0</v>
      </c>
      <c r="AE70" s="60">
        <v>0</v>
      </c>
      <c r="AF70" s="60" t="str">
        <v>Perrone Robotics and Tropos Technologies Announce Partnership to Develop Fully Autonomous Electric Compact Utility Vehicles</v>
      </c>
      <c r="AG70" s="60">
        <v>0</v>
      </c>
    </row>
    <row r="71" spans="1:33" x14ac:dyDescent="0.35">
      <c r="A71" s="60" t="str">
        <v>https://www.perronerobotics.com/news/greenpower-partners-with-perrone-robotics-jta-to-win-innovative-solutions-award-for-autonomous-vehicles</v>
      </c>
      <c r="B71" s="60" t="str">
        <v>2021, 11, 9</v>
      </c>
      <c r="C71" s="105">
        <v>44205</v>
      </c>
      <c r="D71" s="60" t="str">
        <v>GreenPower Partners with Perrone Robotics, JTA to Win Innovative Solutions Award for Autonomous Vehicles</v>
      </c>
      <c r="E71" s="60" t="str">
        <v>Perrone Robotics</v>
      </c>
      <c r="F71" s="60" t="str">
        <v>L1</v>
      </c>
      <c r="G71" s="60" t="str">
        <v>Perrone Robotics-SAV</v>
      </c>
      <c r="H71" s="60" t="str">
        <v>SAV</v>
      </c>
      <c r="I71" s="60" t="str">
        <v>Ridepooling</v>
      </c>
      <c r="J71" s="60" t="str">
        <v>Ridepooling</v>
      </c>
      <c r="K71" s="60" t="str">
        <v>GreenPower;JTA</v>
      </c>
      <c r="L71" s="60" t="str">
        <v>GreenPower</v>
      </c>
      <c r="M71" s="60" t="str">
        <v>JTA</v>
      </c>
      <c r="N71" s="60">
        <v>0</v>
      </c>
      <c r="O71"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71"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71" s="60" t="str">
        <v>Strategic Alliance</v>
      </c>
      <c r="R71" s="60" t="str">
        <v>n.a.</v>
      </c>
      <c r="S71" s="60" t="str">
        <v>Financing</v>
      </c>
      <c r="T71" s="60" t="str">
        <v>Short term - 6 months</v>
      </c>
      <c r="U71" s="60" t="str">
        <v>-</v>
      </c>
      <c r="V71" s="60" t="str">
        <v>-</v>
      </c>
      <c r="W71" s="60" t="str">
        <v>2.1. Short term Alliance (no exclusivity / previous experience)</v>
      </c>
      <c r="X71" s="60">
        <v>0</v>
      </c>
      <c r="Y71"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71" s="60" t="str">
        <v>Joint D&amp;D</v>
      </c>
      <c r="AA71"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71" s="60">
        <v>0</v>
      </c>
      <c r="AC71" s="60">
        <v>0</v>
      </c>
      <c r="AD71" s="60">
        <v>0</v>
      </c>
      <c r="AE71" s="60">
        <v>0</v>
      </c>
      <c r="AF71" s="60" t="str">
        <v>GreenPower Partners with Perrone Robotics, JTA to Win Innovative Solutions Award for Autonomous Vehicles</v>
      </c>
      <c r="AG71" s="60">
        <v>0</v>
      </c>
    </row>
    <row r="72" spans="1:33" x14ac:dyDescent="0.35">
      <c r="A72" s="60" t="str">
        <v>https://www.perronerobotics.com/news/perrone-robotics-collaborates-with-uva-foundation-to-bring-autonomous-shuttle-service-to-north-fork</v>
      </c>
      <c r="B72" s="60" t="str">
        <v>2022, 12, 8</v>
      </c>
      <c r="C72" s="105">
        <v>44569</v>
      </c>
      <c r="D72" s="60" t="str">
        <v>Perrone Robotics Collaborates with UVA Foundation to Bring Autonomous Shuttle Service to North Fork</v>
      </c>
      <c r="E72" s="60" t="str">
        <v>Perrone Robotics</v>
      </c>
      <c r="F72" s="60" t="str">
        <v>L1</v>
      </c>
      <c r="G72" s="60" t="str">
        <v>Perrone Robotics-SAV</v>
      </c>
      <c r="H72" s="60" t="str">
        <v>SAV</v>
      </c>
      <c r="I72" s="60" t="str">
        <v>Ridepooling</v>
      </c>
      <c r="J72" s="60" t="str">
        <v>Ridepooling</v>
      </c>
      <c r="K72" s="60" t="str">
        <v>UVA Foundation</v>
      </c>
      <c r="L72" s="60" t="str">
        <v>UVA Foundation</v>
      </c>
      <c r="M72" s="60">
        <v>0</v>
      </c>
      <c r="N72" s="60">
        <v>0</v>
      </c>
      <c r="O72"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2"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2" s="60" t="str">
        <v>Strategic Alliance</v>
      </c>
      <c r="R72" s="60" t="str">
        <v>n.a.</v>
      </c>
      <c r="S72" s="60" t="str">
        <v>Research cooperation</v>
      </c>
      <c r="T72" s="60" t="str">
        <v>Long term - min 12 months</v>
      </c>
      <c r="U72" s="60" t="str">
        <v>-</v>
      </c>
      <c r="V72" s="60" t="str">
        <v>-</v>
      </c>
      <c r="W72" s="60" t="str">
        <v>2.3. Long term Alliance</v>
      </c>
      <c r="X72" s="60">
        <v>0</v>
      </c>
      <c r="Y72"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2" s="60" t="str">
        <v>Other</v>
      </c>
      <c r="AA72"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2" s="60">
        <v>0</v>
      </c>
      <c r="AC72" s="60">
        <v>0</v>
      </c>
      <c r="AD72" s="60">
        <v>0</v>
      </c>
      <c r="AE72" s="60">
        <v>0</v>
      </c>
      <c r="AF72" s="60" t="str">
        <v>Perrone Robotics Collaborates with UVA Foundation to Bring Autonomous Shuttle Service to North Fork</v>
      </c>
      <c r="AG72" s="60">
        <v>0</v>
      </c>
    </row>
    <row r="73" spans="1:33" x14ac:dyDescent="0.35">
      <c r="A73" s="60" t="str">
        <v>https://www.perronerobotics.com/news/revolutionizing-transportation-perrone-robotics-unveils-historic-collaboration-with-e-charger-systems-revealed-at-sema-2023</v>
      </c>
      <c r="B73" s="60" t="str">
        <v>2023, 11, 1</v>
      </c>
      <c r="C73" s="105">
        <v>44927</v>
      </c>
      <c r="D73" s="60" t="str">
        <v>Revolutionizing Transportation: Perrone Robotics Unveils Historic Collaboration with E Charger Systems - Revealed at SEMA 2023</v>
      </c>
      <c r="E73" s="60" t="str">
        <v>Perrone Robotics</v>
      </c>
      <c r="F73" s="60" t="str">
        <v>L1</v>
      </c>
      <c r="G73" s="60" t="str">
        <v>Perrone Robotics-SAV</v>
      </c>
      <c r="H73" s="60" t="str">
        <v>SAV</v>
      </c>
      <c r="I73" s="60" t="str">
        <v>Ridepooling</v>
      </c>
      <c r="J73" s="60" t="str">
        <v>Ridepooling</v>
      </c>
      <c r="K73" s="60" t="str">
        <v>E Charger Systems</v>
      </c>
      <c r="L73" s="60" t="str">
        <v>E Charger Systems</v>
      </c>
      <c r="M73" s="60">
        <v>0</v>
      </c>
      <c r="N73" s="60">
        <v>0</v>
      </c>
      <c r="O73"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3"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3" s="60" t="str">
        <v>Strategic Alliance</v>
      </c>
      <c r="R73" s="60" t="str">
        <v>n.a.</v>
      </c>
      <c r="S73" s="60" t="str">
        <v>Product cooperation</v>
      </c>
      <c r="T73" s="60" t="str">
        <v>-</v>
      </c>
      <c r="U73" s="60" t="str">
        <v>Yes</v>
      </c>
      <c r="V73" s="60" t="str">
        <v>-</v>
      </c>
      <c r="W73" s="60" t="str">
        <v xml:space="preserve">2.2. Renewed Alliance </v>
      </c>
      <c r="X73" s="60">
        <v>0</v>
      </c>
      <c r="Y73"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3" s="60" t="str">
        <v>Joint D&amp;D</v>
      </c>
      <c r="AA73"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3" s="60">
        <v>0</v>
      </c>
      <c r="AC73" s="60">
        <v>0</v>
      </c>
      <c r="AD73" s="60">
        <v>0</v>
      </c>
      <c r="AE73" s="60">
        <v>0</v>
      </c>
      <c r="AF73" s="60" t="str">
        <v>Revolutionizing Transportation: Perrone Robotics Unveils Historic Collaboration with E Charger Systems - Revealed at SEMA 2023</v>
      </c>
      <c r="AG73" s="60">
        <v>0</v>
      </c>
    </row>
    <row r="74" spans="1:33" x14ac:dyDescent="0.35">
      <c r="A74" s="60" t="str">
        <v>https://www.businesswire.com/news/home/20230804774136/en/Pony.ai-and-Toyota-to-Form-Joint-Venture-to-Advance-Mass-Production-of-L4-Autonomous-Vehicles</v>
      </c>
      <c r="B74" s="60" t="str">
        <v>2023, 8, 4</v>
      </c>
      <c r="C74" s="105">
        <v>45142</v>
      </c>
      <c r="D74" s="60" t="str">
        <v>Pony.ai and Toyota to Form Joint Venture to Advance Mass Production of L4 Autonomous Vehicles</v>
      </c>
      <c r="E74" s="60" t="str">
        <v>Pony.ai</v>
      </c>
      <c r="F74" s="60" t="str">
        <v>L1</v>
      </c>
      <c r="G74" s="60" t="str">
        <v>Pony.ai-SAV</v>
      </c>
      <c r="H74" s="60" t="str">
        <v>SAV</v>
      </c>
      <c r="I74" s="60" t="str">
        <v>Ridehailing</v>
      </c>
      <c r="J74" s="60" t="str">
        <v>Ridehailing</v>
      </c>
      <c r="K74" s="60" t="str">
        <v>Toyota</v>
      </c>
      <c r="L74" s="60" t="str">
        <v>Toyota</v>
      </c>
      <c r="M74" s="60">
        <v>0</v>
      </c>
      <c r="N74" s="60">
        <v>0</v>
      </c>
      <c r="O74"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74"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74" s="60" t="str">
        <v>Joint Venture</v>
      </c>
      <c r="R74" s="60" t="str">
        <v>Yes</v>
      </c>
      <c r="S74" s="60" t="str">
        <v>Product cooperation</v>
      </c>
      <c r="T74" s="60" t="str">
        <v>-</v>
      </c>
      <c r="U74" s="60" t="str">
        <v>Yes</v>
      </c>
      <c r="V74" s="60" t="str">
        <v>-</v>
      </c>
      <c r="W74" s="60" t="str">
        <v>4. Joint Venture</v>
      </c>
      <c r="X74" s="60">
        <v>0</v>
      </c>
      <c r="Y74" s="60" t="str">
        <v>It will provide the capacity for scaled-up robotaxi services, encourage the full commercialization of advanced autonomous mobility, and drive the development of the entire industry into a new stage.</v>
      </c>
      <c r="Z74" s="60" t="str">
        <v>Joint D&amp;D</v>
      </c>
      <c r="AA74" s="60" t="str">
        <v>It will provide the capacity for scaled-up robotaxi services, encourage the full commercialization of advanced autonomous mobility, and drive the development of the entire industry into a new stage.</v>
      </c>
      <c r="AB74" s="60" t="str">
        <v>Supply Partnership (traditional)</v>
      </c>
      <c r="AC74"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74" s="60">
        <v>0</v>
      </c>
      <c r="AE74" s="60">
        <v>0</v>
      </c>
      <c r="AF74" s="60" t="str">
        <v xml:space="preserve">Pony.ai and Toyota to Form Joint Venture </v>
      </c>
      <c r="AG74" s="60" t="str">
        <v>to Advance Mass Production of L4 Autonomous Vehicles</v>
      </c>
    </row>
    <row r="75" spans="1:33" x14ac:dyDescent="0.35">
      <c r="A75" s="60" t="str">
        <v>https://www.globenewswire.com/news-release/2020/01/06/1966657/0/en/ON-Semiconductor-and-Pony-ai-Collaboration-on-Next-Gen-Image-Sensing-and-Processing-Technologies-for-Autonomous-Vehicles.html</v>
      </c>
      <c r="B75" s="60" t="str">
        <v>2020, 6, 1</v>
      </c>
      <c r="C75" s="105">
        <v>43983</v>
      </c>
      <c r="D75" s="60" t="str">
        <v>Onsemi and Pony.ai Collaboration on Next-Gen Image Sensing and Processing Technologies for Autonomous Vehicles</v>
      </c>
      <c r="E75" s="60" t="str">
        <v>Pony.ai</v>
      </c>
      <c r="F75" s="60" t="str">
        <v>L1</v>
      </c>
      <c r="G75" s="60" t="str">
        <v>Pony.ai-SAV</v>
      </c>
      <c r="H75" s="60" t="str">
        <v>SAV</v>
      </c>
      <c r="I75" s="60" t="str">
        <v>Ridehailing</v>
      </c>
      <c r="J75" s="60" t="str">
        <v>Ridehailing</v>
      </c>
      <c r="K75" s="60" t="str">
        <v>Onsemi</v>
      </c>
      <c r="L75" s="60" t="str">
        <v>Onsemi</v>
      </c>
      <c r="M75" s="60">
        <v>0</v>
      </c>
      <c r="N75" s="60">
        <v>0</v>
      </c>
      <c r="O75"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75"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75" s="60" t="str">
        <v>Strategic Alliance</v>
      </c>
      <c r="R75" s="60" t="str">
        <v>n.a.</v>
      </c>
      <c r="S75" s="60" t="str">
        <v>Product cooperation</v>
      </c>
      <c r="T75" s="60" t="str">
        <v>-</v>
      </c>
      <c r="U75" s="60" t="str">
        <v>-</v>
      </c>
      <c r="V75" s="60" t="str">
        <v>-</v>
      </c>
      <c r="W75" s="60" t="str">
        <v>2.1. Short term Alliance (no exclusivity / previous experience)</v>
      </c>
      <c r="X75" s="60">
        <v>0</v>
      </c>
      <c r="Y75"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75" s="60" t="str">
        <v>Supply Partnership (traditional)</v>
      </c>
      <c r="AA75"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75" s="60" t="str">
        <v>Joint D&amp;D</v>
      </c>
      <c r="AC75" s="60" t="str">
        <v>announced today that they will collaborate on developing next-generation image sensing and processing technologies for machine vision to enhance the reliability and scalability of mass-produced autonomous vehicles.</v>
      </c>
      <c r="AD75" s="60">
        <v>0</v>
      </c>
      <c r="AE75" s="60">
        <v>0</v>
      </c>
      <c r="AF75" s="60" t="str">
        <v xml:space="preserve">Onsemi and Pony.ai Collaboration on </v>
      </c>
      <c r="AG75" s="60" t="str">
        <v>Next-Gen Image Sensing and Processing Technologies for Autonomous Vehicles</v>
      </c>
    </row>
    <row r="76" spans="1:33" x14ac:dyDescent="0.35">
      <c r="A76" s="60" t="str">
        <v>https://www.businesswire.com/news/home/20230109005725/en/Pony.ai-and-Horizon-Robotics-Partner-to-Create-a-Comprehensive-Smart-Driving-Solution-for-OEMs</v>
      </c>
      <c r="B76" s="60" t="str">
        <v>2023, 1, 9</v>
      </c>
      <c r="C76" s="105">
        <v>44935</v>
      </c>
      <c r="D76" s="60" t="str">
        <v>Pony.ai and Horizon Robotics Partner to Create a Comprehensive Smart Driving Solution for OEMs</v>
      </c>
      <c r="E76" s="60" t="str">
        <v>Pony.ai</v>
      </c>
      <c r="F76" s="60" t="str">
        <v>L1</v>
      </c>
      <c r="G76" s="60" t="str">
        <v>Pony.ai-SAV</v>
      </c>
      <c r="H76" s="60" t="str">
        <v>SAV</v>
      </c>
      <c r="I76" s="60" t="str">
        <v>Ridehailing</v>
      </c>
      <c r="J76" s="60" t="str">
        <v>Ridehailing</v>
      </c>
      <c r="K76" s="60" t="str">
        <v>Horizon Robotics</v>
      </c>
      <c r="L76" s="60" t="str">
        <v>Horizon Robotics</v>
      </c>
      <c r="M76" s="60">
        <v>0</v>
      </c>
      <c r="N76" s="60">
        <v>0</v>
      </c>
      <c r="O76"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76" s="60" t="str">
        <v xml:space="preserve">The partnership combines Pony.ai's industry-leading L2++ smart driving solution with Horizon Robotics' Journey series auto-grade processors to provide smart driving solutions for series production vehicles. </v>
      </c>
      <c r="Q76" s="60" t="str">
        <v>Strategic Alliance</v>
      </c>
      <c r="R76" s="60" t="str">
        <v>n.a.</v>
      </c>
      <c r="S76" s="60" t="str">
        <v>Product cooperation</v>
      </c>
      <c r="T76" s="60" t="str">
        <v>-</v>
      </c>
      <c r="U76" s="60" t="str">
        <v>-</v>
      </c>
      <c r="V76" s="60" t="str">
        <v>-</v>
      </c>
      <c r="W76" s="60" t="str">
        <v>2.1. Short term Alliance (no exclusivity / previous experience)</v>
      </c>
      <c r="X76" s="60">
        <v>0</v>
      </c>
      <c r="Y76"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76" s="60" t="str">
        <v>Joint D&amp;D</v>
      </c>
      <c r="AA76" s="60" t="str">
        <v xml:space="preserve">The partnership combines Pony.ai's industry-leading L2++ smart driving solution with Horizon Robotics' Journey series auto-grade processors to provide smart driving solutions for series production vehicles. </v>
      </c>
      <c r="AB76" s="60" t="str">
        <v>Supply Partnership (traditional)</v>
      </c>
      <c r="AC76"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76" s="60">
        <v>0</v>
      </c>
      <c r="AE76" s="60">
        <v>0</v>
      </c>
      <c r="AF76" s="60" t="str">
        <v xml:space="preserve">Pony.ai and Horizon Robotics Partner to </v>
      </c>
      <c r="AG76" s="60" t="str">
        <v>Create a Comprehensive Smart Driving Solution for OEMs</v>
      </c>
    </row>
    <row r="77" spans="1:33" x14ac:dyDescent="0.35">
      <c r="A77" s="60" t="str">
        <v>https://www.globenewswire.com/news-release/2019/08/26/1906248/0/en/Pony-ai-collaborates-with-Toyota-for-future-of-autonomous-mobility.html</v>
      </c>
      <c r="B77" s="60" t="str">
        <v>2019, 8, 26</v>
      </c>
      <c r="C77" s="105">
        <v>43703</v>
      </c>
      <c r="D77" s="60" t="str">
        <v>Pony.ai collaborates with Toyota for future of autonomous mobility</v>
      </c>
      <c r="E77" s="60" t="str">
        <v>Pony.ai</v>
      </c>
      <c r="F77" s="60" t="str">
        <v>L1</v>
      </c>
      <c r="G77" s="60" t="str">
        <v>Pony.ai-SAV</v>
      </c>
      <c r="H77" s="60" t="str">
        <v>SAV</v>
      </c>
      <c r="I77" s="60" t="str">
        <v>Ridehailing</v>
      </c>
      <c r="J77" s="60" t="str">
        <v>Ridehailing</v>
      </c>
      <c r="K77" s="60" t="str">
        <v>Toyota</v>
      </c>
      <c r="L77" s="60" t="str">
        <v>Toyota</v>
      </c>
      <c r="M77" s="60">
        <v>0</v>
      </c>
      <c r="N77" s="60">
        <v>0</v>
      </c>
      <c r="O77"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77" s="60" t="str">
        <v>Pony.ai and Toyota are teaming up on an autonomous driving pilot to accelerate the development and deployment of autonomous vehicles. Together, the companies will explore a variety of possibilities to provide safe mobility services for all.</v>
      </c>
      <c r="Q77" s="60" t="str">
        <v>Strategic Alliance</v>
      </c>
      <c r="R77" s="60" t="str">
        <v>n.a.</v>
      </c>
      <c r="S77" s="60" t="str">
        <v>Product cooperation</v>
      </c>
      <c r="T77" s="60" t="str">
        <v>-</v>
      </c>
      <c r="U77" s="60" t="str">
        <v>-</v>
      </c>
      <c r="V77" s="60" t="str">
        <v>-</v>
      </c>
      <c r="W77" s="60" t="str">
        <v>2.1. Short term Alliance (no exclusivity / previous experience)</v>
      </c>
      <c r="X77" s="60">
        <v>0</v>
      </c>
      <c r="Y77" s="60" t="str">
        <v>Pony.ai and Toyota are teaming up on an autonomous driving pilot to accelerate the development and deployment of autonomous vehicles. Together, the companies will explore a variety of possibilities to provide safe mobility services for all.</v>
      </c>
      <c r="Z77" s="60" t="str">
        <v>Research &amp; Collaboration</v>
      </c>
      <c r="AA77" s="60" t="str">
        <v>Pony.ai and Toyota are teaming up on an autonomous driving pilot to accelerate the development and deployment of autonomous vehicles. Together, the companies will explore a variety of possibilities to provide safe mobility services for all</v>
      </c>
      <c r="AB77" s="60">
        <v>0</v>
      </c>
      <c r="AC77" s="60">
        <v>0</v>
      </c>
      <c r="AD77" s="60">
        <v>0</v>
      </c>
      <c r="AE77" s="60">
        <v>0</v>
      </c>
      <c r="AF77" s="60" t="str">
        <v>Pony.ai collaborates with Toyota for future of autonomous mobility</v>
      </c>
      <c r="AG77" s="60">
        <v>0</v>
      </c>
    </row>
    <row r="78" spans="1:33" x14ac:dyDescent="0.35">
      <c r="A78" s="60" t="str">
        <v>https://www.reuters.com/article/us-autonomous-luminar-pony-ai/toyota-backed-self-driving-car-pony-ai-partners-with-luminar-idUSKBN2CR0ZY/</v>
      </c>
      <c r="B78" s="60" t="str">
        <v>2021, 5, 10</v>
      </c>
      <c r="C78" s="105">
        <v>44326</v>
      </c>
      <c r="D78" s="60" t="str">
        <v>Toyota-backed self-driving car Pony.ai partners with Luminar</v>
      </c>
      <c r="E78" s="60" t="str">
        <v>Pony.ai</v>
      </c>
      <c r="F78" s="60" t="str">
        <v>L1</v>
      </c>
      <c r="G78" s="60" t="str">
        <v>Pony.ai-SAV</v>
      </c>
      <c r="H78" s="60" t="str">
        <v>SAV</v>
      </c>
      <c r="I78" s="60" t="str">
        <v>Ridehailing</v>
      </c>
      <c r="J78" s="60" t="str">
        <v>Ridehailing</v>
      </c>
      <c r="K78" s="60" t="str">
        <v>Luminar</v>
      </c>
      <c r="L78" s="60" t="str">
        <v>Luminar</v>
      </c>
      <c r="M78" s="60">
        <v>0</v>
      </c>
      <c r="N78" s="60">
        <v>0</v>
      </c>
      <c r="O78"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78"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78" s="60" t="str">
        <v>Strategic Alliance</v>
      </c>
      <c r="R78" s="60" t="str">
        <v>n.a.</v>
      </c>
      <c r="S78" s="60" t="str">
        <v>Product integration</v>
      </c>
      <c r="T78" s="60" t="str">
        <v>Long term - min 2023</v>
      </c>
      <c r="U78" s="60" t="str">
        <v>-</v>
      </c>
      <c r="V78" s="60" t="str">
        <v>-</v>
      </c>
      <c r="W78" s="60" t="str">
        <v>2.3. Long term Alliance</v>
      </c>
      <c r="X78" s="60">
        <v>0</v>
      </c>
      <c r="Y78" s="60" t="str">
        <v>James Peng, Pony.ai CEO said the startup chose Luminar's Iris lidar for its performance but also as it can be integrated into the car better than traditional lidars.</v>
      </c>
      <c r="Z78" s="60" t="str">
        <v>Supply Partnership (traditional)</v>
      </c>
      <c r="AA78" s="60" t="str">
        <v>James Peng, Pony.ai CEO said the startup chose Luminar's Iris lidar for its performance but also as it can be integrated into the car better than traditional lidars.</v>
      </c>
      <c r="AB78" s="60">
        <v>0</v>
      </c>
      <c r="AC78" s="60">
        <v>0</v>
      </c>
      <c r="AD78" s="60">
        <v>0</v>
      </c>
      <c r="AE78" s="60">
        <v>0</v>
      </c>
      <c r="AF78" s="60" t="str">
        <v>Toyota-backed self-driving car Pony.ai partners with Luminar</v>
      </c>
      <c r="AG78" s="60">
        <v>0</v>
      </c>
    </row>
    <row r="79" spans="1:33" x14ac:dyDescent="0.35">
      <c r="A79" s="60" t="str">
        <v>https://www.businesswire.com/news/home/20220104005793/en/Autonomous-Trucking-Milestone-Pony.ai-Forms-Joint-Venture-with-Sinotrans-One-of-China%E2%80%99s-Leading-Logistics-Firms-to-Further-Deployment-of-Autonomous-Driving-Technologies</v>
      </c>
      <c r="B79" s="60" t="str">
        <v>2022, 1, 4</v>
      </c>
      <c r="C79" s="105">
        <v>44565</v>
      </c>
      <c r="D79" s="60" t="str">
        <v>Autonomous Trucking Milestone: Pony.ai Forms Joint Venture with Sinotrans, One of China's Leading Logistics Firms, to Further Deployment of Autonomous Driving Technologies</v>
      </c>
      <c r="E79" s="60" t="str">
        <v>Pony.ai</v>
      </c>
      <c r="F79" s="60" t="str">
        <v>L1</v>
      </c>
      <c r="G79" s="60" t="str">
        <v>Pony.ai-SAV</v>
      </c>
      <c r="H79" s="60" t="str">
        <v>SAV</v>
      </c>
      <c r="I79" s="60" t="str">
        <v>Ridehailing</v>
      </c>
      <c r="J79" s="60" t="str">
        <v>Ridehailing</v>
      </c>
      <c r="K79" s="60" t="str">
        <v>Sinotrans</v>
      </c>
      <c r="L79" s="60" t="str">
        <v>Sinotrans</v>
      </c>
      <c r="M79" s="60">
        <v>0</v>
      </c>
      <c r="N79" s="60">
        <v>0</v>
      </c>
      <c r="O79"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79"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79" s="60" t="str">
        <v>Joint Venture</v>
      </c>
      <c r="R79" s="60" t="str">
        <v>n.a.</v>
      </c>
      <c r="S79" s="60" t="str">
        <v>Product cooperation</v>
      </c>
      <c r="T79" s="60" t="str">
        <v>-</v>
      </c>
      <c r="U79" s="60" t="str">
        <v>Yes</v>
      </c>
      <c r="V79" s="60" t="str">
        <v>-</v>
      </c>
      <c r="W79" s="60" t="str">
        <v>4. Joint Venture</v>
      </c>
      <c r="X79" s="60">
        <v>0</v>
      </c>
      <c r="Y79" s="60" t="str">
        <v>The two companies will work together to build a smart logistics network featuring autonomous driving trucking technologies.</v>
      </c>
      <c r="Z79" s="60" t="str">
        <v>Joint D&amp;D</v>
      </c>
      <c r="AA79" s="60" t="str">
        <v>The two companies will work together to build a smart logistics network featuring autonomous driving trucking technologies.</v>
      </c>
      <c r="AB79" s="60">
        <v>0</v>
      </c>
      <c r="AC79" s="60">
        <v>0</v>
      </c>
      <c r="AD79" s="60">
        <v>0</v>
      </c>
      <c r="AE79" s="60">
        <v>0</v>
      </c>
      <c r="AF79" s="60" t="str">
        <v>Autonomous Trucking Milestone: Pony.ai Forms Joint Venture with Sinotrans, One of China's Leading Logistics Firms, to Further Deployment of Autonomous Driving Technologies</v>
      </c>
      <c r="AG79" s="60">
        <v>0</v>
      </c>
    </row>
    <row r="80" spans="1:33" x14ac:dyDescent="0.35">
      <c r="A80" s="60" t="str">
        <v>https://www.transdev.com/en/press-release/partnership-torc-autonomous-shuttle/</v>
      </c>
      <c r="B80" s="60" t="str">
        <v>2019, 1, 7</v>
      </c>
      <c r="C80" s="105">
        <v>43472</v>
      </c>
      <c r="D80" s="60" t="str">
        <v>Torc and Transdev partner to develop technology for i-Cristal, a shared and fully autonomous shuttle</v>
      </c>
      <c r="E80" s="60" t="str">
        <v>Transdev</v>
      </c>
      <c r="F80" s="60" t="str">
        <v>L3</v>
      </c>
      <c r="G80" s="60" t="str">
        <v>Transdev-SAV</v>
      </c>
      <c r="H80" s="60" t="str">
        <v>SAV</v>
      </c>
      <c r="I80" s="60" t="str">
        <v>Ridepooling</v>
      </c>
      <c r="J80" s="60" t="str">
        <v>Ridepooling</v>
      </c>
      <c r="K80" s="60" t="str">
        <v>Torc</v>
      </c>
      <c r="L80" s="60" t="str">
        <v>Torc</v>
      </c>
      <c r="M80" s="60">
        <v>0</v>
      </c>
      <c r="N80" s="60">
        <v>0</v>
      </c>
      <c r="O80"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0"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0" s="60" t="str">
        <v>Strategic Alliance</v>
      </c>
      <c r="R80" s="60" t="str">
        <v>n.a.</v>
      </c>
      <c r="S80" s="60" t="str">
        <v>Service integration</v>
      </c>
      <c r="T80" s="60" t="str">
        <v>-</v>
      </c>
      <c r="U80" s="60" t="str">
        <v>Yes</v>
      </c>
      <c r="V80" s="60" t="str">
        <v>-</v>
      </c>
      <c r="W80" s="60" t="str">
        <v xml:space="preserve">2.2. Renewed Alliance </v>
      </c>
      <c r="X80" s="60">
        <v>0</v>
      </c>
      <c r="Y80"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0" s="60" t="str">
        <v>Joint Service Agreement</v>
      </c>
      <c r="AA80"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0" s="60" t="str">
        <v>Research &amp; Collaboration</v>
      </c>
      <c r="AC80" s="60" t="str">
        <v>The partners have already begun testing on closed courses, while testing on public roads will proceed after obtaining successive safety authorizations and before providing public service trials in two locations in France: Paris-Saclay and Rouen.</v>
      </c>
      <c r="AD80" s="60">
        <v>0</v>
      </c>
      <c r="AE80" s="60">
        <v>0</v>
      </c>
      <c r="AF80" s="60" t="str">
        <v xml:space="preserve">Torc and Transdev partner to develop </v>
      </c>
      <c r="AG80" s="60" t="str">
        <v>technology for i-Cristal, a shared and fully autonomous shuttle</v>
      </c>
    </row>
    <row r="81" spans="1:57" x14ac:dyDescent="0.35">
      <c r="A81" s="60" t="str">
        <v>https://www.transdev.com/en/sustainable-mobility/transdev-usa-partners-lavta-begin-testing-shared-autonomous-vehicle/</v>
      </c>
      <c r="B81" s="60" t="str">
        <v>2020, 7, 31</v>
      </c>
      <c r="C81" s="105">
        <v>44043</v>
      </c>
      <c r="D81" s="60" t="str">
        <v>Transdev USA partners with LAVTA to begin testing of its shared autonomous vehicle</v>
      </c>
      <c r="E81" s="60" t="str">
        <v>Transdev</v>
      </c>
      <c r="F81" s="60" t="str">
        <v>L3</v>
      </c>
      <c r="G81" s="60" t="str">
        <v>Transdev-SAV</v>
      </c>
      <c r="H81" s="60" t="str">
        <v>SAV</v>
      </c>
      <c r="I81" s="60" t="str">
        <v>Ridepooling</v>
      </c>
      <c r="J81" s="60" t="str">
        <v>Ridepooling</v>
      </c>
      <c r="K81" s="60" t="str">
        <v>LAVTA</v>
      </c>
      <c r="L81" s="60" t="str">
        <v>LAVTA</v>
      </c>
      <c r="M81" s="60">
        <v>0</v>
      </c>
      <c r="N81" s="60">
        <v>0</v>
      </c>
      <c r="O81"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81"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81" s="60" t="str">
        <v>Strategic Alliance</v>
      </c>
      <c r="R81" s="60" t="str">
        <v>n.a.</v>
      </c>
      <c r="S81" s="60" t="str">
        <v>One time - pilot</v>
      </c>
      <c r="T81" s="60" t="str">
        <v>-</v>
      </c>
      <c r="U81" s="60" t="str">
        <v>-</v>
      </c>
      <c r="V81" s="60" t="str">
        <v>-</v>
      </c>
      <c r="W81" s="60" t="str">
        <v>2.1. Short term Alliance (no exclusivity / previous experience)</v>
      </c>
      <c r="X81" s="60">
        <v>0</v>
      </c>
      <c r="Y81"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81" s="60" t="str">
        <v>Research &amp; Collaboration</v>
      </c>
      <c r="AA81" s="60" t="str">
        <v>When testing is complete, the SAV will improve mobility for riders by providing first- and last-mile solutions for passengers by connecting them between the Dublin/Pleasanton Bay Area Rapid Transit (BART) station and nearby locations.</v>
      </c>
      <c r="AB81" s="60">
        <v>0</v>
      </c>
      <c r="AC81" s="60">
        <v>0</v>
      </c>
      <c r="AD81" s="60">
        <v>0</v>
      </c>
      <c r="AE81" s="60">
        <v>0</v>
      </c>
      <c r="AF81" s="60" t="str">
        <v xml:space="preserve">Transdev USA partners with LAVTA to begin </v>
      </c>
      <c r="AG81" s="60" t="str">
        <v>testing of its shared autonomous vehicle</v>
      </c>
    </row>
    <row r="82" spans="1:57" x14ac:dyDescent="0.35">
      <c r="A82" s="60" t="str">
        <v>https://www.transdev.com/en/press-release/transdev-and-delphi-announce-commercial-partnership-for-autonomous-transportation/</v>
      </c>
      <c r="B82" s="60" t="str">
        <v>2017, 6, 7</v>
      </c>
      <c r="C82" s="105">
        <v>42893</v>
      </c>
      <c r="D82" s="60" t="str">
        <v>Transdev and Delphi Announce Commercial Partnership for Autonomous Transportation</v>
      </c>
      <c r="E82" s="60" t="str">
        <v>Transdev</v>
      </c>
      <c r="F82" s="60" t="str">
        <v>L3</v>
      </c>
      <c r="G82" s="60" t="str">
        <v>Transdev-SAV</v>
      </c>
      <c r="H82" s="60" t="str">
        <v>SAV</v>
      </c>
      <c r="I82" s="60" t="str">
        <v>Ridepooling</v>
      </c>
      <c r="J82" s="60" t="str">
        <v>Ridepooling</v>
      </c>
      <c r="K82" s="60" t="str">
        <v>Delphi</v>
      </c>
      <c r="L82" s="60" t="str">
        <v>Delphi</v>
      </c>
      <c r="M82" s="60">
        <v>0</v>
      </c>
      <c r="N82" s="60">
        <v>0</v>
      </c>
      <c r="O82"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82"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82" s="60" t="str">
        <v>Strategic Alliance</v>
      </c>
      <c r="R82" s="60" t="str">
        <v>n.a.</v>
      </c>
      <c r="S82" s="60" t="str">
        <v>Product cooperation</v>
      </c>
      <c r="T82" s="60" t="str">
        <v>-</v>
      </c>
      <c r="U82" s="60" t="str">
        <v>-</v>
      </c>
      <c r="V82" s="60" t="str">
        <v>-</v>
      </c>
      <c r="W82" s="60" t="str">
        <v>2.1. Short term Alliance (no exclusivity / previous experience)</v>
      </c>
      <c r="X82" s="60">
        <v>0</v>
      </c>
      <c r="Y82" s="60" t="str">
        <v>"With Transdev's deep understanding of mobility operations, this collaboration will further strengthen our AMoD and data management capabilities, while expanding our automated driving platform to include a variety of different vehicle types.</v>
      </c>
      <c r="Z82" s="60" t="str">
        <v>Joint Service Agreement</v>
      </c>
      <c r="AA82" s="60" t="str">
        <v>"With Transdev's deep understanding of mobility operations, this collaboration will further strengthen our AMoD and data management capabilities, while expanding our automated driving platform to include a variety of different vehicle types.</v>
      </c>
      <c r="AB82" s="60">
        <v>0</v>
      </c>
      <c r="AC82" s="60">
        <v>0</v>
      </c>
      <c r="AD82" s="60">
        <v>0</v>
      </c>
      <c r="AE82" s="60">
        <v>0</v>
      </c>
      <c r="AF82" s="60" t="str">
        <v xml:space="preserve">Transdev and Delphi Announce Commercial Partnership </v>
      </c>
      <c r="AG82" s="60" t="str">
        <v>for Autonomous Transportation</v>
      </c>
    </row>
    <row r="83" spans="1:57" x14ac:dyDescent="0.35">
      <c r="A83" s="60" t="str">
        <v>https://www.transdev.com/en/press-release/zf-partnership/</v>
      </c>
      <c r="B83" s="60" t="str">
        <v>2019, 1, 8</v>
      </c>
      <c r="C83" s="105">
        <v>43473</v>
      </c>
      <c r="D83" s="60" t="str">
        <v>Transdev, ZF and e.GO announce partnership to develop shared autonomous mobility</v>
      </c>
      <c r="E83" s="60" t="str">
        <v>Transdev</v>
      </c>
      <c r="F83" s="60" t="str">
        <v>L3</v>
      </c>
      <c r="G83" s="60" t="str">
        <v>Transdev-SAV</v>
      </c>
      <c r="H83" s="60" t="str">
        <v>SAV</v>
      </c>
      <c r="I83" s="60" t="str">
        <v>Ridepooling</v>
      </c>
      <c r="J83" s="60" t="str">
        <v>Ridepooling</v>
      </c>
      <c r="K83" s="60" t="str">
        <v>ZF;e.GO</v>
      </c>
      <c r="L83" s="60" t="str">
        <v>ZF</v>
      </c>
      <c r="M83" s="60" t="str">
        <v>e.GO</v>
      </c>
      <c r="N83" s="60">
        <v>0</v>
      </c>
      <c r="O83"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3" s="60" t="str">
        <v>The partners will start working together immediately to provide a fully functional solution by 2020, with priority markets in France and Germany.</v>
      </c>
      <c r="Q83" s="60" t="str">
        <v>Strategic Alliance</v>
      </c>
      <c r="R83" s="60" t="str">
        <v>n.a.</v>
      </c>
      <c r="S83" s="60" t="str">
        <v>Product cooperation</v>
      </c>
      <c r="T83" s="60" t="str">
        <v>Long term - &gt;1 year</v>
      </c>
      <c r="U83" s="60" t="str">
        <v>-</v>
      </c>
      <c r="V83" s="60" t="str">
        <v>-</v>
      </c>
      <c r="W83" s="60" t="str">
        <v>2.3. Long term Alliance</v>
      </c>
      <c r="X83" s="60">
        <v>0</v>
      </c>
      <c r="Y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3" s="60" t="str">
        <v>Joint D&amp;D</v>
      </c>
      <c r="AA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3" s="60">
        <v>0</v>
      </c>
      <c r="AC83" s="60">
        <v>0</v>
      </c>
      <c r="AD83" s="60">
        <v>0</v>
      </c>
      <c r="AE83" s="60">
        <v>0</v>
      </c>
      <c r="AF83" s="60" t="str">
        <v>Transdev, ZF and e.GO announce partnership to develop shared autonomous mobility</v>
      </c>
      <c r="AG83" s="60">
        <v>0</v>
      </c>
    </row>
    <row r="84" spans="1:57" x14ac:dyDescent="0.35">
      <c r="A84" s="60" t="str">
        <v>https://www.uber.com/newsroom/uber-toyota-team-self-driving-cars/</v>
      </c>
      <c r="B84" s="60" t="str">
        <v>2018, 8, 27</v>
      </c>
      <c r="C84" s="105">
        <v>43339</v>
      </c>
      <c r="D84" s="60" t="str">
        <v>Uber and Toyota Team Up on Self-Driving Cars</v>
      </c>
      <c r="E84" s="60" t="str">
        <v>Uber</v>
      </c>
      <c r="F84" s="60" t="str">
        <v>L4</v>
      </c>
      <c r="G84" s="60" t="str">
        <v>Uber-SAV</v>
      </c>
      <c r="H84" s="60" t="str">
        <v>SAV</v>
      </c>
      <c r="I84" s="60" t="str">
        <v>Ridehailing</v>
      </c>
      <c r="J84" s="60" t="str">
        <v>Ridehailing</v>
      </c>
      <c r="K84" s="60" t="str">
        <v>Toyota</v>
      </c>
      <c r="L84" s="60" t="str">
        <v>Toyota</v>
      </c>
      <c r="M84" s="60">
        <v>0</v>
      </c>
      <c r="N84" s="60">
        <v>0</v>
      </c>
      <c r="O84"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84" s="60" t="str">
        <v>Our expanded partnership with Toyota signals our commitment to deploying self-driving technology at scale for our riders around the globe. We look forward to making progress in the years ahead with another strong partner by our side.</v>
      </c>
      <c r="Q84" s="60" t="str">
        <v>Strategic Alliance</v>
      </c>
      <c r="R84" s="60" t="str">
        <v>n.a.</v>
      </c>
      <c r="S84" s="60" t="str">
        <v>Product cooperation</v>
      </c>
      <c r="T84" s="60" t="str">
        <v>-</v>
      </c>
      <c r="U84" s="60" t="str">
        <v>Yes</v>
      </c>
      <c r="V84" s="60" t="str">
        <v>-</v>
      </c>
      <c r="W84" s="60" t="str">
        <v xml:space="preserve">2.2. Renewed Alliance </v>
      </c>
      <c r="X84" s="60">
        <v>0</v>
      </c>
      <c r="Y84"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84" s="60" t="str">
        <v>Supply Partnership (traditional)</v>
      </c>
      <c r="AA84"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84" s="60">
        <v>0</v>
      </c>
      <c r="AC84" s="60">
        <v>0</v>
      </c>
      <c r="AD84" s="60">
        <v>0</v>
      </c>
      <c r="AE84" s="60">
        <v>0</v>
      </c>
      <c r="AF84" s="60" t="str">
        <v>Uber and Toyota Team Up on Self-Driving Cars</v>
      </c>
      <c r="AG84" s="60">
        <v>0</v>
      </c>
    </row>
    <row r="85" spans="1:57" x14ac:dyDescent="0.35">
      <c r="A85" s="60" t="str">
        <v>https://waymo.com/blog/2020/07/waymo-and-fiat-chrysler-automobiles-fca-expand-partnership/</v>
      </c>
      <c r="B85" s="60" t="str">
        <v>2020, 7, 22</v>
      </c>
      <c r="C85" s="105">
        <v>44034</v>
      </c>
      <c r="D85" s="60" t="str">
        <v>Waymo and Fiat Chrysler Automobiles (FCA) expand autonomous driving technology partnership</v>
      </c>
      <c r="E85" s="60" t="str">
        <v>Waymo</v>
      </c>
      <c r="F85" s="60" t="str">
        <v>L1</v>
      </c>
      <c r="G85" s="60" t="str">
        <v>Waymo-SAV</v>
      </c>
      <c r="H85" s="60" t="str">
        <v>SAV</v>
      </c>
      <c r="I85" s="60" t="str">
        <v>Ridehailing</v>
      </c>
      <c r="J85" s="60" t="str">
        <v>Ridehailing</v>
      </c>
      <c r="K85" s="60" t="str">
        <v>Fiat Chrysler Automobiles</v>
      </c>
      <c r="L85" s="60" t="str">
        <v>Fiat Chrysler Automobiles</v>
      </c>
      <c r="M85" s="60">
        <v>0</v>
      </c>
      <c r="N85" s="60">
        <v>0</v>
      </c>
      <c r="O85"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85" s="60" t="str">
        <v xml:space="preserve">Now, we're pleased to share that we've strengthened our partnership with FCA in several important ways.
FCA has selected Waymo as its exclusive, strategic technology partner for L4 fully self-driving technology across FCA's full product portfolio. </v>
      </c>
      <c r="Q85" s="60" t="str">
        <v>Strategic Alliance</v>
      </c>
      <c r="R85" s="60" t="str">
        <v>n.a.</v>
      </c>
      <c r="S85" s="60" t="str">
        <v>Product cooperation</v>
      </c>
      <c r="T85" s="60" t="str">
        <v>-</v>
      </c>
      <c r="U85" s="60" t="str">
        <v>Yes</v>
      </c>
      <c r="V85" s="60" t="str">
        <v>Yes</v>
      </c>
      <c r="W85" s="60" t="str">
        <v>2.4. Exclusive Alliance</v>
      </c>
      <c r="X85" s="60">
        <v>0</v>
      </c>
      <c r="Y85"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85" s="60" t="str">
        <v>Joint D&amp;D</v>
      </c>
      <c r="AA85"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85" s="60" t="str">
        <v>Research &amp; Collaboration</v>
      </c>
      <c r="AC85"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85" s="60">
        <v>0</v>
      </c>
      <c r="AE85" s="60">
        <v>0</v>
      </c>
      <c r="AF85" s="60" t="str">
        <v xml:space="preserve">Waymo and Fiat Chrysler Automobiles (FCA) expand </v>
      </c>
      <c r="AG85" s="60" t="str">
        <v>autonomous driving technology partnership</v>
      </c>
    </row>
    <row r="86" spans="1:57" s="55" customFormat="1" x14ac:dyDescent="0.35">
      <c r="A86" s="60" t="str">
        <v>https://waymo.com/blog/2017/06/well-oiled-and-squeaky-clean-partnering/</v>
      </c>
      <c r="B86" s="60" t="str">
        <v>2017, 6, 27</v>
      </c>
      <c r="C86" s="105">
        <v>42913</v>
      </c>
      <c r="D86" s="60" t="str">
        <v>Well-oiled and squeaky-clean: Partnering with Avis to maintain our self-driving fleet</v>
      </c>
      <c r="E86" s="60" t="str">
        <v>Waymo</v>
      </c>
      <c r="F86" s="60" t="str">
        <v>L1</v>
      </c>
      <c r="G86" s="60" t="str">
        <v>Waymo-SAV</v>
      </c>
      <c r="H86" s="60" t="str">
        <v>SAV</v>
      </c>
      <c r="I86" s="60" t="str">
        <v>Ridehailing</v>
      </c>
      <c r="J86" s="60" t="str">
        <v>Ridehailing</v>
      </c>
      <c r="K86" s="60" t="str">
        <v>Avis</v>
      </c>
      <c r="L86" s="60" t="str">
        <v>Avis</v>
      </c>
      <c r="M86" s="60">
        <v>0</v>
      </c>
      <c r="N86" s="60">
        <v>0</v>
      </c>
      <c r="O86"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86"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86" s="60" t="str">
        <v>Strategic Alliance</v>
      </c>
      <c r="R86" s="60" t="str">
        <v>n.a.</v>
      </c>
      <c r="S86" s="60" t="str">
        <v>Service cooperation</v>
      </c>
      <c r="T86" s="60" t="str">
        <v>-</v>
      </c>
      <c r="U86" s="60" t="str">
        <v>-</v>
      </c>
      <c r="V86" s="60" t="str">
        <v>-</v>
      </c>
      <c r="W86" s="60" t="str">
        <v>2.1. Short term Alliance (no exclusivity / previous experience)</v>
      </c>
      <c r="X86" s="60">
        <v>0</v>
      </c>
      <c r="Y86"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86" s="60" t="str">
        <v>Joint Service Agreement</v>
      </c>
      <c r="AA86"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86" s="60">
        <v>0</v>
      </c>
      <c r="AC86" s="60">
        <v>0</v>
      </c>
      <c r="AD86" s="60">
        <v>0</v>
      </c>
      <c r="AE86" s="60">
        <v>0</v>
      </c>
      <c r="AF86" s="60" t="str">
        <v>Well-oiled and squeaky-clean: Partnering with Avis to maintain our self-driving fleet</v>
      </c>
      <c r="AG86" s="60">
        <v>0</v>
      </c>
      <c r="AH86"/>
      <c r="AI86"/>
      <c r="AJ86"/>
      <c r="AK86"/>
      <c r="AL86"/>
      <c r="AM86"/>
      <c r="AN86"/>
      <c r="AO86"/>
      <c r="AP86"/>
      <c r="AQ86"/>
      <c r="AR86"/>
      <c r="AS86"/>
      <c r="AT86"/>
      <c r="AU86"/>
    </row>
    <row r="87" spans="1:57" s="55" customFormat="1" x14ac:dyDescent="0.35">
      <c r="A87" s="60" t="str">
        <v>https://waymo.com/blog/2018/07/partnering-with-valley-metro-to-explore-public-transport-solutions/</v>
      </c>
      <c r="B87" s="60" t="str">
        <v>2018, 7, 31</v>
      </c>
      <c r="C87" s="105">
        <v>43312</v>
      </c>
      <c r="D87" s="60" t="str">
        <v>Partnering with Valley Metro to explore public transportation solutions</v>
      </c>
      <c r="E87" s="60" t="str">
        <v>Waymo</v>
      </c>
      <c r="F87" s="60" t="str">
        <v>L1</v>
      </c>
      <c r="G87" s="60" t="str">
        <v>Waymo-SAV</v>
      </c>
      <c r="H87" s="60" t="str">
        <v>SAV</v>
      </c>
      <c r="I87" s="60" t="str">
        <v>Ridehailing</v>
      </c>
      <c r="J87" s="60" t="str">
        <v>Ridehailing</v>
      </c>
      <c r="K87" s="60" t="str">
        <v>Valley Metro</v>
      </c>
      <c r="L87" s="60" t="str">
        <v>Valley Metro</v>
      </c>
      <c r="M87" s="60">
        <v>0</v>
      </c>
      <c r="N87" s="60">
        <v>0</v>
      </c>
      <c r="O87"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87"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87" s="60" t="str">
        <v>Strategic Alliance</v>
      </c>
      <c r="R87" s="60" t="str">
        <v>n.a.</v>
      </c>
      <c r="S87" s="60" t="str">
        <v>Research cooperation</v>
      </c>
      <c r="T87" s="60" t="str">
        <v>-</v>
      </c>
      <c r="U87" s="60" t="str">
        <v>-</v>
      </c>
      <c r="V87" s="60" t="str">
        <v>-</v>
      </c>
      <c r="W87" s="60" t="str">
        <v>2.1. Short term Alliance (no exclusivity / previous experience)</v>
      </c>
      <c r="X87" s="60">
        <v>0</v>
      </c>
      <c r="Y87"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87" s="60" t="str">
        <v>Research &amp; Collaboration</v>
      </c>
      <c r="AA87" s="60" t="str">
        <v>Waymo is partnering with Valley Metro, the Phoenix area's regional public transportation authority, to explore mobility solutions that use self-driving technology to better connect travelers with the city's existing buses and light rail.</v>
      </c>
      <c r="AB87" s="60">
        <v>0</v>
      </c>
      <c r="AC87" s="60">
        <v>0</v>
      </c>
      <c r="AD87" s="60">
        <v>0</v>
      </c>
      <c r="AE87" s="60">
        <v>0</v>
      </c>
      <c r="AF87" s="60" t="str">
        <v>Partnering with Valley Metro to explore public transportation solutions</v>
      </c>
      <c r="AG87" s="60">
        <v>0</v>
      </c>
      <c r="AH87"/>
      <c r="AI87"/>
      <c r="AJ87"/>
      <c r="AK87"/>
      <c r="AL87"/>
      <c r="AM87"/>
      <c r="AN87"/>
      <c r="AO87"/>
      <c r="AP87"/>
      <c r="AQ87"/>
      <c r="AR87"/>
      <c r="AS87"/>
      <c r="AT87"/>
      <c r="AU87"/>
    </row>
    <row r="88" spans="1:57" s="107" customFormat="1" x14ac:dyDescent="0.35">
      <c r="A88" s="60" t="str">
        <v>https://waymo.com/blog/2019/05/partnering-with-lyft-to-serve-more-riders/</v>
      </c>
      <c r="B88" s="60" t="str">
        <v>2019, 5, 7</v>
      </c>
      <c r="C88" s="105">
        <v>43592</v>
      </c>
      <c r="D88" s="60" t="str">
        <v>Partnering with Lyft to serve more riders in Metro Phoenix</v>
      </c>
      <c r="E88" s="60" t="str">
        <v>Waymo</v>
      </c>
      <c r="F88" s="60" t="str">
        <v>L1</v>
      </c>
      <c r="G88" s="60" t="str">
        <v>Waymo-SAV</v>
      </c>
      <c r="H88" s="60" t="str">
        <v>SAV</v>
      </c>
      <c r="I88" s="60" t="str">
        <v>Ridehailing</v>
      </c>
      <c r="J88" s="60" t="str">
        <v>Ridehailing</v>
      </c>
      <c r="K88" s="60" t="str">
        <v>Lyft</v>
      </c>
      <c r="L88" s="60" t="str">
        <v>Lyft</v>
      </c>
      <c r="M88" s="60">
        <v>0</v>
      </c>
      <c r="N88" s="60">
        <v>0</v>
      </c>
      <c r="O88"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88"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88" s="60" t="str">
        <v>Strategic Alliance</v>
      </c>
      <c r="R88" s="60" t="str">
        <v>n.a.</v>
      </c>
      <c r="S88" s="60" t="str">
        <v>Service integration</v>
      </c>
      <c r="T88" s="60" t="str">
        <v>Short term - months</v>
      </c>
      <c r="U88" s="60" t="str">
        <v>-</v>
      </c>
      <c r="V88" s="60" t="str">
        <v>-</v>
      </c>
      <c r="W88" s="60" t="str">
        <v>2.1. Short term Alliance (no exclusivity / previous experience)</v>
      </c>
      <c r="X88" s="60">
        <v>0</v>
      </c>
      <c r="Y88" s="60" t="str">
        <v>As a first step, we'll deploy 10 Waymo vehicles on Lyft over the next few months. Once Waymo vehicles are on the platform, Lyft users in the area will have the option to select a Waymo directly from the Lyft app for eligible rides.</v>
      </c>
      <c r="Z88" s="60" t="str">
        <v>Supply Partnership (extended)</v>
      </c>
      <c r="AA88" s="60" t="str">
        <v>As a first step, we'll deploy 10 Waymo vehicles on Lyft over the next few months. Once Waymo vehicles are on the platform, Lyft users in the area will have the option to select a Waymo directly from the Lyft app for eligible rides.</v>
      </c>
      <c r="AB88" s="60">
        <v>0</v>
      </c>
      <c r="AC88" s="60">
        <v>0</v>
      </c>
      <c r="AD88" s="60">
        <v>0</v>
      </c>
      <c r="AE88" s="60">
        <v>0</v>
      </c>
      <c r="AF88" s="60" t="str">
        <v>Partnering with Lyft to serve more riders in Metro Phoenix</v>
      </c>
      <c r="AG88" s="60">
        <v>0</v>
      </c>
      <c r="AH88"/>
      <c r="AI88"/>
      <c r="AJ88"/>
      <c r="AK88"/>
      <c r="AL88"/>
      <c r="AM88"/>
      <c r="AN88"/>
      <c r="AO88"/>
      <c r="AP88"/>
      <c r="AQ88"/>
      <c r="AR88"/>
      <c r="AS88"/>
      <c r="AT88"/>
      <c r="AU88"/>
    </row>
    <row r="89" spans="1:57" x14ac:dyDescent="0.35">
      <c r="A89" s="60" t="str">
        <v>https://waymo.com/blog/2019/06/partnering-with-alliance-in-france-japan-and-beyond/</v>
      </c>
      <c r="B89" s="60" t="str">
        <v>2019, 6, 19</v>
      </c>
      <c r="C89" s="105">
        <v>43635</v>
      </c>
      <c r="D89" s="60" t="str">
        <v>Partnering with The Alliance in France, Japan, and beyond</v>
      </c>
      <c r="E89" s="60" t="str">
        <v>Waymo</v>
      </c>
      <c r="F89" s="60" t="str">
        <v>L1</v>
      </c>
      <c r="G89" s="60" t="str">
        <v>Waymo-SAV</v>
      </c>
      <c r="H89" s="60" t="str">
        <v>SAV</v>
      </c>
      <c r="I89" s="60" t="str">
        <v>Ridehailing; Last-Mile</v>
      </c>
      <c r="J89" s="60" t="str">
        <v>Ridehailing</v>
      </c>
      <c r="K89" s="60" t="str">
        <v>Alliance Ventures (Renault, Nissan, Mitsubishi)</v>
      </c>
      <c r="L89" s="60" t="str">
        <v>Alliance Ventures (Renault, Nissan, Mitsubishi)</v>
      </c>
      <c r="M89" s="60">
        <v>0</v>
      </c>
      <c r="N89" s="60">
        <v>0</v>
      </c>
      <c r="O89"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89" s="60" t="str">
        <v>Today we're announcing that Waymo has entered into an exclusive partnership with Renault and Nissan on behalf of The Alliance to explore driverless mobility services for passengers and deliveries in France and Japan.</v>
      </c>
      <c r="Q89" s="60" t="str">
        <v>Strategic Alliance</v>
      </c>
      <c r="R89" s="60" t="str">
        <v>n.a.</v>
      </c>
      <c r="S89" s="60" t="str">
        <v>Research cooperation</v>
      </c>
      <c r="T89" s="60" t="str">
        <v>-</v>
      </c>
      <c r="U89" s="60" t="str">
        <v>-</v>
      </c>
      <c r="V89" s="60" t="str">
        <v>Yes</v>
      </c>
      <c r="W89" s="60" t="str">
        <v>2.4. Exclusive Alliance</v>
      </c>
      <c r="X89" s="60">
        <v>0</v>
      </c>
      <c r="Y89"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89" s="60" t="str">
        <v>Research &amp; Collaboration</v>
      </c>
      <c r="AA89" s="60" t="str">
        <v>By teaming up with Renault and Nissan initially to research commercial, legal, and regulatory issues related to transportation-as-a-service in France and Japan, we're on the path to creating long-term driverless solutions hand-in-hand with the world's largest automaker.</v>
      </c>
      <c r="AB89" s="60">
        <v>0</v>
      </c>
      <c r="AC89" s="60">
        <v>0</v>
      </c>
      <c r="AD89" s="60">
        <v>0</v>
      </c>
      <c r="AE89" s="60">
        <v>0</v>
      </c>
      <c r="AF89" s="60" t="str">
        <v>Partnering with The Alliance in France, Japan, and beyond</v>
      </c>
      <c r="AG89" s="60">
        <v>0</v>
      </c>
    </row>
    <row r="90" spans="1:57" x14ac:dyDescent="0.35">
      <c r="A90" s="60" t="str">
        <v>https://waymo.com/blog/2020/06/partnering-with-volvo-car-group-to-scale-the-waymo-driver/</v>
      </c>
      <c r="B90" s="60" t="str">
        <v>2020, 6, 25</v>
      </c>
      <c r="C90" s="105">
        <v>44007</v>
      </c>
      <c r="D90" s="60" t="str">
        <v>Partnering with Volvo Car Group to scale the Waymo Driver</v>
      </c>
      <c r="E90" s="60" t="str">
        <v>Waymo</v>
      </c>
      <c r="F90" s="60" t="str">
        <v>L1</v>
      </c>
      <c r="G90" s="60" t="str">
        <v>Waymo-SAV</v>
      </c>
      <c r="H90" s="60" t="str">
        <v>SAV</v>
      </c>
      <c r="I90" s="60" t="str">
        <v>Ridehailing</v>
      </c>
      <c r="J90" s="60" t="str">
        <v>Ridehailing</v>
      </c>
      <c r="K90" s="60" t="str">
        <v>Volvo Car Group</v>
      </c>
      <c r="L90" s="60" t="str">
        <v>Volvo Car Group</v>
      </c>
      <c r="M90" s="60">
        <v>0</v>
      </c>
      <c r="N90" s="60">
        <v>0</v>
      </c>
      <c r="O90"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90"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90" s="60" t="str">
        <v>Strategic Alliance</v>
      </c>
      <c r="R90" s="60" t="str">
        <v>n.a.</v>
      </c>
      <c r="S90" s="60" t="str">
        <v>Product cooperation</v>
      </c>
      <c r="T90" s="60" t="str">
        <v>-</v>
      </c>
      <c r="U90" s="60" t="str">
        <v>-</v>
      </c>
      <c r="V90" s="60" t="str">
        <v>Yes</v>
      </c>
      <c r="W90" s="60" t="str">
        <v>2.4. Exclusive Alliance</v>
      </c>
      <c r="X90" s="60">
        <v>0</v>
      </c>
      <c r="Y90"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90" s="60" t="str">
        <v>Joint D&amp;D</v>
      </c>
      <c r="AA90"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90" s="60">
        <v>0</v>
      </c>
      <c r="AC90" s="60">
        <v>0</v>
      </c>
      <c r="AD90" s="60">
        <v>0</v>
      </c>
      <c r="AE90" s="60">
        <v>0</v>
      </c>
      <c r="AF90" s="60" t="str">
        <v>Partnering with Volvo Car Group to scale the Waymo Driver</v>
      </c>
      <c r="AG90" s="60">
        <v>0</v>
      </c>
    </row>
    <row r="91" spans="1:57" x14ac:dyDescent="0.35">
      <c r="A91" s="60" t="str">
        <v>https://press.zf.com/press/en/releases/release_14913.html</v>
      </c>
      <c r="B91" s="60" t="str">
        <v>2020, 2, 19</v>
      </c>
      <c r="C91" s="105">
        <v>43880</v>
      </c>
      <c r="D91" s="60" t="str">
        <v>Open Manufacturing Platform expands: Anheuser-Busch InBev, BMW Group, Bosch, Microsoft and ZF team up to accelerate manufacturing innovation at scale</v>
      </c>
      <c r="E91" s="60" t="str">
        <v>ZF</v>
      </c>
      <c r="F91" s="60" t="str">
        <v>L2</v>
      </c>
      <c r="G91" s="60" t="str">
        <v>ZF-SAV</v>
      </c>
      <c r="H91" s="60" t="str">
        <v>SAV</v>
      </c>
      <c r="I91" s="60" t="str">
        <v>Ridepooling</v>
      </c>
      <c r="J91" s="60" t="str">
        <v>Ridepooling</v>
      </c>
      <c r="K91" s="60" t="str">
        <v>Anheuser - Busch InBev;Bosch;Microsoft</v>
      </c>
      <c r="L91" s="60" t="str">
        <v>Anheuser - Busch InBev</v>
      </c>
      <c r="M91" s="60" t="str">
        <v>Bosch</v>
      </c>
      <c r="N91" s="60" t="str">
        <v>Microsoft</v>
      </c>
      <c r="O91"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91"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91" s="60" t="str">
        <v>Strategic Alliance</v>
      </c>
      <c r="R91" s="60" t="str">
        <v>n.a.</v>
      </c>
      <c r="S91" s="60" t="str">
        <v>Membership</v>
      </c>
      <c r="T91" s="60" t="str">
        <v>-</v>
      </c>
      <c r="U91" s="60" t="str">
        <v>-</v>
      </c>
      <c r="V91" s="60" t="str">
        <v>-</v>
      </c>
      <c r="W91" s="60" t="str">
        <v>2.1. Short term Alliance (no exclusivity / previous experience)</v>
      </c>
      <c r="X91" s="60">
        <v>0</v>
      </c>
      <c r="Y91"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91" s="60" t="str">
        <v>Research &amp; Collaboration</v>
      </c>
      <c r="AA91"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91" s="60">
        <v>0</v>
      </c>
      <c r="AC91" s="60">
        <v>0</v>
      </c>
      <c r="AD91" s="60">
        <v>0</v>
      </c>
      <c r="AE91" s="60">
        <v>0</v>
      </c>
      <c r="AF91" s="60" t="str">
        <v xml:space="preserve">Open Manufacturing Platform expands: Anheuser-Busch InBev, BMW Group, Bosch, Microsoft and ZF team up to accelerate </v>
      </c>
      <c r="AG91" s="60" t="str">
        <v>manufacturing innovation at scale</v>
      </c>
    </row>
    <row r="92" spans="1:57" x14ac:dyDescent="0.35">
      <c r="A92" s="60" t="str">
        <v>https://press.zf.com/press/en/releases/release_31362.html</v>
      </c>
      <c r="B92" s="60" t="str">
        <v>2021, 10, 7</v>
      </c>
      <c r="C92" s="105">
        <v>44203</v>
      </c>
      <c r="D92" s="60" t="str">
        <v>ZF and DB Regio agree on strategic partnership for autonomous transport systems</v>
      </c>
      <c r="E92" s="60" t="str">
        <v>ZF</v>
      </c>
      <c r="F92" s="60" t="str">
        <v>L2</v>
      </c>
      <c r="G92" s="60" t="str">
        <v>ZF-SAV</v>
      </c>
      <c r="H92" s="60" t="str">
        <v>SAV</v>
      </c>
      <c r="I92" s="60" t="str">
        <v>Ridepooling</v>
      </c>
      <c r="J92" s="60" t="str">
        <v>Ridepooling</v>
      </c>
      <c r="K92" s="60" t="str">
        <v>DB Regio</v>
      </c>
      <c r="L92" s="60" t="str">
        <v>DB Regio</v>
      </c>
      <c r="M92" s="60">
        <v>0</v>
      </c>
      <c r="N92" s="60">
        <v>0</v>
      </c>
      <c r="O92"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92"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92" s="60" t="str">
        <v>Strategic Alliance</v>
      </c>
      <c r="R92" s="60" t="str">
        <v>Yes</v>
      </c>
      <c r="S92" s="60" t="str">
        <v>Service cooperation</v>
      </c>
      <c r="T92" s="60" t="str">
        <v>-</v>
      </c>
      <c r="U92" s="60" t="str">
        <v>-</v>
      </c>
      <c r="V92" s="60" t="str">
        <v>-</v>
      </c>
      <c r="W92" s="60" t="str">
        <v>2.1. Short term Alliance (no exclusivity / previous experience)</v>
      </c>
      <c r="X92" s="60">
        <v>0</v>
      </c>
      <c r="Y92"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92" s="60" t="str">
        <v>Joint Service Agreement</v>
      </c>
      <c r="AA92"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92" s="60">
        <v>0</v>
      </c>
      <c r="AC92" s="60">
        <v>0</v>
      </c>
      <c r="AD92" s="60">
        <v>0</v>
      </c>
      <c r="AE92" s="60">
        <v>0</v>
      </c>
      <c r="AF92" s="60" t="str">
        <v>ZF and DB Regio agree on strategic partnership for autonomous transport systems</v>
      </c>
      <c r="AG92" s="60">
        <v>0</v>
      </c>
    </row>
    <row r="93" spans="1:57" x14ac:dyDescent="0.35">
      <c r="A93" s="60" t="str">
        <v>https://ridebeep.com/press-releases/zf-announces-partnership-with-beep-unveils-next-generation-autonomous-shuttle</v>
      </c>
      <c r="B93" s="60" t="str">
        <v>2023, 1, 4</v>
      </c>
      <c r="C93" s="105">
        <v>44930</v>
      </c>
      <c r="D93" s="60" t="str">
        <v>ZF announces partnership with Beep, unveils next-generation autonomous shuttle</v>
      </c>
      <c r="E93" s="60" t="str">
        <v>ZF</v>
      </c>
      <c r="F93" s="60" t="str">
        <v>L2</v>
      </c>
      <c r="G93" s="60" t="str">
        <v>ZF-SAV</v>
      </c>
      <c r="H93" s="60" t="str">
        <v>SAV</v>
      </c>
      <c r="I93" s="60" t="str">
        <v>Ridepooling</v>
      </c>
      <c r="J93" s="60" t="str">
        <v>Ridepooling</v>
      </c>
      <c r="K93" s="60" t="str">
        <v>Beep</v>
      </c>
      <c r="L93" s="60" t="str">
        <v>Beep</v>
      </c>
      <c r="M93" s="60">
        <v>0</v>
      </c>
      <c r="N93" s="60">
        <v>0</v>
      </c>
      <c r="O93"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93"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93" s="60" t="str">
        <v>Strategic Alliance</v>
      </c>
      <c r="R93" s="60" t="str">
        <v>Yes</v>
      </c>
      <c r="S93" s="60" t="str">
        <v>Service Integration</v>
      </c>
      <c r="T93" s="60" t="str">
        <v>Long term - coming years</v>
      </c>
      <c r="U93" s="60" t="str">
        <v>-</v>
      </c>
      <c r="V93" s="60" t="str">
        <v>-</v>
      </c>
      <c r="W93" s="60" t="str">
        <v>2.3. Long term Alliance</v>
      </c>
      <c r="X93" s="60">
        <v>0</v>
      </c>
      <c r="Y93" s="60" t="str">
        <v>"Our offer of clean, efficient and affordable mobility is convincing, and has found a partner and major customer in Beep"</v>
      </c>
      <c r="Z93" s="60" t="str">
        <v>Joint Service Agreement</v>
      </c>
      <c r="AA93" s="60" t="str">
        <v>"Our offer of clean, efficient and affordable mobility is convincing, and has found a partner and major customer in Beep"</v>
      </c>
      <c r="AB93" s="60">
        <v>0</v>
      </c>
      <c r="AC93" s="60">
        <v>0</v>
      </c>
      <c r="AD93" s="60">
        <v>0</v>
      </c>
      <c r="AE93" s="60">
        <v>0</v>
      </c>
      <c r="AF93" s="60" t="str">
        <v>ZF announces partnership with Beep, unveils next-generation autonomous shuttle</v>
      </c>
      <c r="AG93" s="60">
        <v>0</v>
      </c>
    </row>
    <row r="94" spans="1:57" x14ac:dyDescent="0.35">
      <c r="A94" s="60" t="str">
        <v>https://www.ridebeep.com/press-releases/beep-and-oxa-announce-partnership-to-deploy-autonomous-vehicles-driven-by-oxa-in-united-states</v>
      </c>
      <c r="B94" s="60" t="str">
        <v>2023, 8, 24</v>
      </c>
      <c r="C94" s="105">
        <v>45162</v>
      </c>
      <c r="D94" s="60" t="str">
        <v>Beep and Oxa Announce Partnership to Deploy Autonomous Vehicles Driven by Oxa in United States</v>
      </c>
      <c r="E94" s="60" t="str">
        <v>Oxa</v>
      </c>
      <c r="F94" s="60" t="str">
        <v>L1</v>
      </c>
      <c r="G94" s="60" t="str">
        <v>Oxa-SAV</v>
      </c>
      <c r="H94" s="60" t="str">
        <v>SAV</v>
      </c>
      <c r="I94" s="60" t="str">
        <v>Ridepooling</v>
      </c>
      <c r="J94" s="60" t="str">
        <v>Ridepooling</v>
      </c>
      <c r="K94" s="60" t="str">
        <v>Beep</v>
      </c>
      <c r="L94" s="60" t="str">
        <v>Beep</v>
      </c>
      <c r="M94" s="60">
        <v>0</v>
      </c>
      <c r="N94" s="60">
        <v>0</v>
      </c>
      <c r="O94"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94"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94" s="60" t="str">
        <v>Strategic Alliance</v>
      </c>
      <c r="R94" s="60" t="str">
        <v>n.a.</v>
      </c>
      <c r="S94" s="60" t="str">
        <v>Service Integration</v>
      </c>
      <c r="T94" s="60" t="str">
        <v>Long term - Future years mentioned</v>
      </c>
      <c r="U94" s="60" t="str">
        <v>Yes</v>
      </c>
      <c r="V94" s="60" t="str">
        <v>-</v>
      </c>
      <c r="W94" s="60" t="str">
        <v>2.3. Long term Alliance</v>
      </c>
      <c r="X94" s="60">
        <v>0</v>
      </c>
      <c r="Y94" s="60" t="str">
        <v>the strategic partnership will see Oxa's autonomy software installed in a variety of vehicle types operated by Beep, from current passenger shuttles to future vehicle platforms</v>
      </c>
      <c r="Z94" s="60" t="str">
        <v>Joint Service Agreement</v>
      </c>
      <c r="AA94" s="60" t="str">
        <v>the strategic partnership will see Oxa's autonomy software installed in a variety of vehicle types operated by Beep, from current passenger shuttles to future vehicle platforms</v>
      </c>
      <c r="AB94" s="60">
        <v>0</v>
      </c>
      <c r="AC94" s="60">
        <v>0</v>
      </c>
      <c r="AD94" s="60">
        <v>0</v>
      </c>
      <c r="AE94" s="60">
        <v>0</v>
      </c>
      <c r="AF94" s="60" t="str">
        <v>Beep and Oxa Announce Partnership to Deploy Autonomous Vehicles Driven by Oxa in United States</v>
      </c>
      <c r="AG94" s="60">
        <v>0</v>
      </c>
    </row>
    <row r="95" spans="1:57" x14ac:dyDescent="0.35">
      <c r="A95" s="60" t="str">
        <v>Ridepooling</v>
      </c>
      <c r="B95" s="60" t="str">
        <v>2020, 11, 18</v>
      </c>
      <c r="C95" s="105">
        <v>43848</v>
      </c>
      <c r="D95" s="60" t="str">
        <v>May Mobility and Via announce partnership that will integrate on-demand AVs into public transit</v>
      </c>
      <c r="E95" s="60" t="str">
        <v>Via</v>
      </c>
      <c r="F95" s="60" t="str">
        <v>L3</v>
      </c>
      <c r="G95" s="60" t="str">
        <v>Via-SAV</v>
      </c>
      <c r="H95" s="60" t="str">
        <v>SAV</v>
      </c>
      <c r="I95" s="60" t="str">
        <v>Ridepooling</v>
      </c>
      <c r="J95" s="60" t="str">
        <v>Ridepooling</v>
      </c>
      <c r="K95" s="60" t="str">
        <v>May Mobility</v>
      </c>
      <c r="L95" s="60" t="str">
        <v>May Mobility</v>
      </c>
      <c r="M95" s="60">
        <v>0</v>
      </c>
      <c r="N95" s="60">
        <v>0</v>
      </c>
      <c r="O95"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95"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95" s="60" t="str">
        <v>Strategic Alliance</v>
      </c>
      <c r="R95" s="60" t="str">
        <v>n.a.</v>
      </c>
      <c r="S95" s="60" t="str">
        <v>Service Integration</v>
      </c>
      <c r="T95" s="60" t="str">
        <v>Long term - -</v>
      </c>
      <c r="U95" s="60" t="str">
        <v>-</v>
      </c>
      <c r="V95" s="60" t="str">
        <v>-</v>
      </c>
      <c r="W95" s="60" t="str">
        <v>2.3. Long term Alliance</v>
      </c>
      <c r="X95" s="60">
        <v>0</v>
      </c>
      <c r="Y95"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95" s="60" t="str">
        <v>Joint Service Agreement</v>
      </c>
      <c r="AA95" s="60" t="str">
        <v>May Mobility will adopt Via's autonomous fleet platform to power booking, routing, passenger and vehicle assignment and identification, customer experience, and fleet management as part of their new transit solution for future autonomous vehicle deployments.</v>
      </c>
      <c r="AB95" s="60">
        <v>0</v>
      </c>
      <c r="AC95" s="60">
        <v>0</v>
      </c>
      <c r="AD95" s="60">
        <v>0</v>
      </c>
      <c r="AE95" s="60">
        <v>0</v>
      </c>
      <c r="AF95" s="60" t="str">
        <v>May Mobility and Via announce partnership that will integrate on-demand AVs into public transit</v>
      </c>
      <c r="AG95" s="60">
        <v>0</v>
      </c>
      <c r="AO95" s="55"/>
      <c r="AP95" s="55"/>
      <c r="AQ95" s="55"/>
      <c r="AR95" s="55"/>
      <c r="AS95" s="55"/>
      <c r="AT95" s="55"/>
      <c r="AU95" s="55"/>
      <c r="AV95" s="55"/>
      <c r="AW95" s="55"/>
      <c r="AX95" s="55"/>
      <c r="AY95" s="55"/>
      <c r="AZ95" s="55"/>
      <c r="BA95" s="55"/>
      <c r="BB95" s="55"/>
      <c r="BC95" s="55"/>
      <c r="BD95" s="55"/>
      <c r="BE95" s="55"/>
    </row>
    <row r="96" spans="1:57" x14ac:dyDescent="0.35">
      <c r="A96" s="60" t="str">
        <v>https://www.navya.tech/en/navya-and-lohr-form-a-strategic-alliance-to-speed-up-their-technological-industrial-and-commercial-development-in-the-field-of-autonomous-mobility/</v>
      </c>
      <c r="B96" s="60" t="str">
        <v>2022, 9, 22</v>
      </c>
      <c r="C96" s="60">
        <v>44826</v>
      </c>
      <c r="D96" s="60" t="str">
        <v>Navya and Lohr form a strategic alliance to speed up their technological, industrial and commercial development in the field of autonomous mobility</v>
      </c>
      <c r="E96" s="60" t="str">
        <v>Lohr</v>
      </c>
      <c r="F96" s="60" t="str">
        <v>L2</v>
      </c>
      <c r="G96" s="60" t="str">
        <v>Lohr-SAV</v>
      </c>
      <c r="H96" s="60" t="str">
        <v>SAV</v>
      </c>
      <c r="I96" s="60" t="str">
        <v>Ridepooling</v>
      </c>
      <c r="J96" s="60" t="str">
        <v>Ridepooling</v>
      </c>
      <c r="K96" s="60" t="str">
        <v>Navya</v>
      </c>
      <c r="L96" s="60" t="str">
        <v>Navya</v>
      </c>
      <c r="M96" s="60">
        <v>0</v>
      </c>
      <c r="N96" s="60">
        <v>0</v>
      </c>
      <c r="O96"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96" s="60" t="str">
        <v>NAVYA (FR0013018041- Navya), an autonomous mobility systems leader, signs a strategic alliance with Lohr, an industrial group known worldwide for its expertise in the engineering, production and marketing of systems for the transportation of people and goods.</v>
      </c>
      <c r="Q96" s="60" t="str">
        <v>Strategic Alliance</v>
      </c>
      <c r="R96" s="60" t="str">
        <v>Yes</v>
      </c>
      <c r="S96" s="60" t="str">
        <v>Product cooperation</v>
      </c>
      <c r="T96" s="60" t="str">
        <v>-</v>
      </c>
      <c r="U96" s="60" t="str">
        <v>-</v>
      </c>
      <c r="V96" s="60" t="str">
        <v>-</v>
      </c>
      <c r="W96" s="60" t="str">
        <v>2.1. Short term Alliance (no exclusivity / previous experience)</v>
      </c>
      <c r="X96" s="60">
        <v>0</v>
      </c>
      <c r="Y96"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96" s="60" t="str">
        <v>Joint Production</v>
      </c>
      <c r="AA96"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96" s="60">
        <v>0</v>
      </c>
      <c r="AC96" s="60">
        <v>0</v>
      </c>
      <c r="AD96" s="60">
        <v>0</v>
      </c>
      <c r="AE96" s="60">
        <v>0</v>
      </c>
      <c r="AF96" s="60" t="str">
        <v>Navya and Lohr form a strategic alliance to speed up their technological, industrial and commercial development in the field of autonomous mobility</v>
      </c>
      <c r="AG96" s="60">
        <v>0</v>
      </c>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row>
    <row r="97" spans="1:57" x14ac:dyDescent="0.35">
      <c r="A97" s="60" t="str">
        <v>https://www.transdev.com/en/press-release/partnership-torc-autonomous-shuttle/</v>
      </c>
      <c r="B97" s="60" t="str">
        <v>2019, 1, 7</v>
      </c>
      <c r="C97" s="60">
        <v>43472</v>
      </c>
      <c r="D97" s="60" t="str">
        <v>Torc and Transdev partner to develop technology for i-Cristal, a shared and fully autonomous shuttle</v>
      </c>
      <c r="E97" s="60" t="str">
        <v>Torc</v>
      </c>
      <c r="F97" s="60" t="str">
        <v>L1</v>
      </c>
      <c r="G97" s="60" t="str">
        <v>Torc-SAV</v>
      </c>
      <c r="H97" s="60" t="str">
        <v>SAV</v>
      </c>
      <c r="I97" s="60" t="str">
        <v>Ridepooling</v>
      </c>
      <c r="J97" s="60" t="str">
        <v>Ridepooling</v>
      </c>
      <c r="K97" s="60" t="str">
        <v>Transdev</v>
      </c>
      <c r="L97" s="60" t="str">
        <v>Transdev</v>
      </c>
      <c r="M97" s="60">
        <v>0</v>
      </c>
      <c r="N97" s="60">
        <v>0</v>
      </c>
      <c r="O97"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97"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97" s="60" t="str">
        <v>Strategic Alliance</v>
      </c>
      <c r="R97" s="60" t="str">
        <v>n.a.</v>
      </c>
      <c r="S97" s="60" t="str">
        <v>Service integration</v>
      </c>
      <c r="T97" s="60" t="str">
        <v>-</v>
      </c>
      <c r="U97" s="60" t="str">
        <v>Yes</v>
      </c>
      <c r="V97" s="60" t="str">
        <v>-</v>
      </c>
      <c r="W97" s="60" t="str">
        <v xml:space="preserve">2.2. Renewed Alliance </v>
      </c>
      <c r="X97" s="60">
        <v>0</v>
      </c>
      <c r="Y97"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97" s="60" t="str">
        <v>Joint Service Agreement</v>
      </c>
      <c r="AA97"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97" s="60" t="str">
        <v>Research &amp; Collaboration</v>
      </c>
      <c r="AC97" s="60" t="str">
        <v>The partners have already begun testing on closed courses, while testing on public roads will proceed after obtaining successive safety authorizations and before providing public service trials in two locations in France: Paris-Saclay and Rouen.</v>
      </c>
      <c r="AD97" s="60">
        <v>0</v>
      </c>
      <c r="AE97" s="60">
        <v>0</v>
      </c>
      <c r="AF97" s="60" t="str">
        <v xml:space="preserve">Torc and Transdev partner to develop </v>
      </c>
      <c r="AG97" s="60" t="str">
        <v>technology for i-Cristal, a shared and fully autonomous shuttle</v>
      </c>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row>
    <row r="98" spans="1:57" x14ac:dyDescent="0.35">
      <c r="A98" s="60" t="str">
        <v>https://www.transdev.com/en/press-release/zf-partnership/</v>
      </c>
      <c r="B98" s="60" t="str">
        <v>2019, 1, 8</v>
      </c>
      <c r="C98" s="60">
        <v>43473</v>
      </c>
      <c r="D98" s="60" t="str">
        <v>Transdev, ZF and e.GO announce partnership to develop shared autonomous mobility</v>
      </c>
      <c r="E98" s="60" t="str">
        <v>ZF</v>
      </c>
      <c r="F98" s="60" t="str">
        <v>L2</v>
      </c>
      <c r="G98" s="60" t="str">
        <v>ZF-SAV</v>
      </c>
      <c r="H98" s="60" t="str">
        <v>SAV</v>
      </c>
      <c r="I98" s="60" t="str">
        <v>Ridepooling</v>
      </c>
      <c r="J98" s="60" t="str">
        <v>Ridepooling</v>
      </c>
      <c r="K98" s="60" t="str">
        <v>Transdev;e.GO</v>
      </c>
      <c r="L98" s="60" t="str">
        <v>Transdev</v>
      </c>
      <c r="M98" s="60" t="str">
        <v>e.GO</v>
      </c>
      <c r="N98" s="60">
        <v>0</v>
      </c>
      <c r="O98"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98" s="60" t="str">
        <v>The partners will start working together immediately to provide a fully functional solution by 2020, with priority markets in France and Germany.</v>
      </c>
      <c r="Q98" s="60" t="str">
        <v>Strategic Alliance</v>
      </c>
      <c r="R98" s="60" t="str">
        <v>n.a.</v>
      </c>
      <c r="S98" s="60" t="str">
        <v>Product cooperation</v>
      </c>
      <c r="T98" s="60" t="str">
        <v>Long term - &gt;1 year</v>
      </c>
      <c r="U98" s="60" t="str">
        <v>-</v>
      </c>
      <c r="V98" s="60" t="str">
        <v>-</v>
      </c>
      <c r="W98" s="60" t="str">
        <v>2.3. Long term Alliance</v>
      </c>
      <c r="X98" s="60">
        <v>0</v>
      </c>
      <c r="Y9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98" s="60" t="str">
        <v>Joint D&amp;D</v>
      </c>
      <c r="AA9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98" s="60">
        <v>0</v>
      </c>
      <c r="AC98" s="60">
        <v>0</v>
      </c>
      <c r="AD98" s="60">
        <v>0</v>
      </c>
      <c r="AE98" s="60">
        <v>0</v>
      </c>
      <c r="AF98" s="60" t="str">
        <v>Transdev, ZF and e.GO announce partnership to develop shared autonomous mobility</v>
      </c>
      <c r="AG98" s="60">
        <v>0</v>
      </c>
    </row>
    <row r="99" spans="1:57" x14ac:dyDescent="0.35">
      <c r="A99" t="str">
        <v>https://waymo.com/blog/2019/05/partnering-with-lyft-to-serve-more-riders/</v>
      </c>
      <c r="B99" t="str">
        <v>2019, 5, 7</v>
      </c>
      <c r="C99">
        <v>43592</v>
      </c>
      <c r="D99" t="str">
        <v>Partnering with Lyft to serve more riders in Metro Phoenix</v>
      </c>
      <c r="E99" t="str">
        <v>Lyft</v>
      </c>
      <c r="F99" t="str">
        <v>L4</v>
      </c>
      <c r="G99" t="str">
        <v>Lyft-SAV</v>
      </c>
      <c r="H99" t="str">
        <v>SAV</v>
      </c>
      <c r="I99" t="str">
        <v>Ridehailing</v>
      </c>
      <c r="J99" t="str">
        <v>Ridehailing</v>
      </c>
      <c r="K99" t="str">
        <v>Waymo</v>
      </c>
      <c r="L99" t="str">
        <v>Waymo</v>
      </c>
      <c r="M99">
        <v>0</v>
      </c>
      <c r="N99">
        <v>0</v>
      </c>
      <c r="O99"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99"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99" t="str">
        <v>Strategic Alliance</v>
      </c>
      <c r="R99" t="str">
        <v>n.a.</v>
      </c>
      <c r="S99" t="str">
        <v>Service integration</v>
      </c>
      <c r="T99" t="str">
        <v>Short term - months</v>
      </c>
      <c r="U99" t="str">
        <v>-</v>
      </c>
      <c r="V99" t="str">
        <v>-</v>
      </c>
      <c r="W99" t="str">
        <v>2.1. Short term Alliance (no exclusivity / previous experience)</v>
      </c>
      <c r="X99">
        <v>0</v>
      </c>
      <c r="Y99" t="str">
        <v>As a first step, we'll deploy 10 Waymo vehicles on Lyft over the next few months. Once Waymo vehicles are on the platform, Lyft users in the area will have the option to select a Waymo directly from the Lyft app for eligible rides.</v>
      </c>
      <c r="Z99" t="str">
        <v>Supply Partnership (extended)</v>
      </c>
      <c r="AA99" t="str">
        <v>As a first step, we'll deploy 10 Waymo vehicles on Lyft over the next few months. Once Waymo vehicles are on the platform, Lyft users in the area will have the option to select a Waymo directly from the Lyft app for eligible rides.</v>
      </c>
      <c r="AB99">
        <v>0</v>
      </c>
      <c r="AC99">
        <v>0</v>
      </c>
      <c r="AD99">
        <v>0</v>
      </c>
      <c r="AE99">
        <v>0</v>
      </c>
      <c r="AF99" t="str">
        <v>Partnering with Lyft to serve more riders in Metro Phoenix</v>
      </c>
      <c r="AG99">
        <v>0</v>
      </c>
    </row>
    <row r="100" spans="1:57" x14ac:dyDescent="0.35">
      <c r="A100" t="str">
        <v>https://www.mobileye.com/news/mobileye-willer-self-driving-mobility-solutions/</v>
      </c>
      <c r="B100" t="str">
        <v>2020, 7, 7</v>
      </c>
      <c r="C100">
        <v>44019</v>
      </c>
      <c r="D100" t="str">
        <v>Mobileye and WILLER Partner on Self-Driving Mobility Solutions for Japan, Southeast Asia</v>
      </c>
      <c r="E100" t="str">
        <v>Mobileye</v>
      </c>
      <c r="F100" t="str">
        <v>L1</v>
      </c>
      <c r="G100" t="str">
        <v>Mobileye-SAV</v>
      </c>
      <c r="H100" t="str">
        <v>SAV</v>
      </c>
      <c r="I100" t="str">
        <v>Ridepooling</v>
      </c>
      <c r="J100" t="str">
        <v>Ridepooling</v>
      </c>
      <c r="K100" t="str">
        <v>WILLER</v>
      </c>
      <c r="L100" t="str">
        <v>WILLER</v>
      </c>
      <c r="M100">
        <v>0</v>
      </c>
      <c r="N100">
        <v>0</v>
      </c>
      <c r="O10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0" t="str">
        <v>Strategic Alliance</v>
      </c>
      <c r="R100" t="str">
        <v>n.a.</v>
      </c>
      <c r="S100" t="str">
        <v>Service integration</v>
      </c>
      <c r="T100" t="str">
        <v>Long term - 2023 (&gt;2 years)</v>
      </c>
      <c r="U100" t="str">
        <v>-</v>
      </c>
      <c r="V100" t="str">
        <v>-</v>
      </c>
      <c r="W100" t="str">
        <v>2.3. Long term Alliance</v>
      </c>
      <c r="X100">
        <v>0</v>
      </c>
      <c r="Y10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0" t="str">
        <v>Supply Partnership (extended)</v>
      </c>
      <c r="AA10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0">
        <v>0</v>
      </c>
      <c r="AC100">
        <v>0</v>
      </c>
      <c r="AD100">
        <v>0</v>
      </c>
      <c r="AE100">
        <v>0</v>
      </c>
      <c r="AF100">
        <v>0</v>
      </c>
      <c r="AG100">
        <v>0</v>
      </c>
    </row>
    <row r="101" spans="1:57" x14ac:dyDescent="0.35">
      <c r="L101" s="152"/>
      <c r="M101" s="152"/>
      <c r="N101" s="152"/>
      <c r="O101" s="152"/>
      <c r="P101" s="152"/>
      <c r="Q101" s="152"/>
      <c r="R101" s="152"/>
      <c r="S101" s="152"/>
      <c r="T101" s="152"/>
      <c r="U101" s="152"/>
      <c r="V101" s="152"/>
    </row>
    <row r="102" spans="1:57" x14ac:dyDescent="0.35">
      <c r="O102" s="58"/>
      <c r="P102" s="58"/>
      <c r="Q102" s="58"/>
      <c r="R102" s="58"/>
      <c r="S102" s="58"/>
      <c r="W102" s="89"/>
      <c r="AV102" s="154"/>
      <c r="AW102" s="154"/>
      <c r="AX102" s="154"/>
      <c r="AY102" s="154"/>
      <c r="AZ102" s="154"/>
      <c r="BA102" s="154"/>
      <c r="BB102" s="154"/>
      <c r="BC102" s="118"/>
      <c r="BD102" s="118"/>
      <c r="BE102" s="118"/>
    </row>
    <row r="103" spans="1:57" x14ac:dyDescent="0.35">
      <c r="O103" s="58"/>
      <c r="P103" s="58"/>
      <c r="Q103" s="58"/>
      <c r="R103" s="58"/>
      <c r="S103" s="58"/>
      <c r="W103" s="89"/>
      <c r="AV103" s="154"/>
      <c r="AW103" s="154"/>
      <c r="AX103" s="154"/>
      <c r="AY103" s="154"/>
      <c r="AZ103" s="154"/>
      <c r="BA103" s="154"/>
      <c r="BB103" s="154"/>
      <c r="BC103" s="118"/>
      <c r="BD103" s="118"/>
      <c r="BE103" s="118"/>
    </row>
  </sheetData>
  <conditionalFormatting sqref="B102:B103 B2:B10">
    <cfRule type="duplicateValues" dxfId="57" priority="385"/>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900EF-6644-413C-B817-242A5330FBF6}">
  <sheetPr>
    <tabColor rgb="FFC00000"/>
  </sheetPr>
  <dimension ref="A1:BA64"/>
  <sheetViews>
    <sheetView workbookViewId="0"/>
  </sheetViews>
  <sheetFormatPr defaultRowHeight="14.5" x14ac:dyDescent="0.35"/>
  <cols>
    <col min="1" max="1" width="38.08984375" style="55" customWidth="1"/>
    <col min="2" max="27" width="8.6328125" customWidth="1"/>
    <col min="31" max="31" width="8.81640625" bestFit="1" customWidth="1"/>
  </cols>
  <sheetData>
    <row r="1" spans="1:53" s="117" customFormat="1" ht="70" customHeight="1" x14ac:dyDescent="0.35">
      <c r="A1" s="413" t="s">
        <v>2082</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c r="C3" s="116"/>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0.393284115206677</v>
      </c>
      <c r="C4" s="116"/>
      <c r="D4" s="116">
        <v>1</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c r="C5" s="116"/>
      <c r="D5" s="116"/>
      <c r="E5" s="116"/>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-0.41464421443136401</v>
      </c>
      <c r="C6" s="116"/>
      <c r="D6" s="116">
        <v>7.3771111356331701E-2</v>
      </c>
      <c r="E6" s="116"/>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0.81110710565381205</v>
      </c>
      <c r="C7" s="116"/>
      <c r="D7" s="116">
        <v>0.50507627227610497</v>
      </c>
      <c r="E7" s="116"/>
      <c r="F7" s="116">
        <v>-0.121716123890036</v>
      </c>
      <c r="G7" s="116">
        <v>0.999999999999999</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c r="C8" s="116"/>
      <c r="D8" s="116"/>
      <c r="E8" s="116"/>
      <c r="F8" s="116"/>
      <c r="G8" s="116"/>
      <c r="H8" s="116"/>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c r="C9" s="116"/>
      <c r="D9" s="116"/>
      <c r="E9" s="116"/>
      <c r="F9" s="116"/>
      <c r="G9" s="116"/>
      <c r="H9" s="116"/>
      <c r="I9" s="116"/>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v>0.22941573387056099</v>
      </c>
      <c r="C10" s="182"/>
      <c r="D10" s="182">
        <v>-0.32653061224489799</v>
      </c>
      <c r="E10" s="182"/>
      <c r="F10" s="182">
        <v>-0.44262666813799001</v>
      </c>
      <c r="G10" s="182">
        <v>-8.4179378712684202E-2</v>
      </c>
      <c r="H10" s="182"/>
      <c r="I10" s="182"/>
      <c r="J10" s="183">
        <v>1</v>
      </c>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c r="C11" s="116"/>
      <c r="D11" s="116"/>
      <c r="E11" s="116"/>
      <c r="F11" s="116"/>
      <c r="G11" s="116"/>
      <c r="H11" s="116"/>
      <c r="I11" s="116"/>
      <c r="J11" s="184"/>
      <c r="K11" s="116"/>
      <c r="L11" s="181"/>
      <c r="M11" s="181"/>
      <c r="N11" s="181"/>
      <c r="O11" s="181"/>
      <c r="P11" s="181"/>
      <c r="Q11" s="186"/>
      <c r="R11" s="181"/>
      <c r="S11" s="181"/>
      <c r="T11" s="181"/>
      <c r="U11" s="181"/>
      <c r="V11" s="192"/>
      <c r="W11" s="116"/>
      <c r="X11" s="116"/>
      <c r="Y11" s="116"/>
      <c r="Z11" s="190"/>
      <c r="AA11" s="190"/>
      <c r="AB11" s="190"/>
      <c r="AC11" s="190"/>
      <c r="AD11" s="16"/>
    </row>
    <row r="12" spans="1:53" ht="29" x14ac:dyDescent="0.35">
      <c r="A12" s="124" t="s">
        <v>2233</v>
      </c>
      <c r="B12" s="204">
        <v>0.78947368421052599</v>
      </c>
      <c r="C12" s="116"/>
      <c r="D12" s="116">
        <v>0.68824720161168496</v>
      </c>
      <c r="E12" s="116"/>
      <c r="F12" s="116">
        <v>-0.177704663327727</v>
      </c>
      <c r="G12" s="116">
        <v>0.81110710565381205</v>
      </c>
      <c r="H12" s="116"/>
      <c r="I12" s="116"/>
      <c r="J12" s="184">
        <v>-6.5547352534446199E-2</v>
      </c>
      <c r="K12" s="116"/>
      <c r="L12" s="116">
        <v>1</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-0.433554984762059</v>
      </c>
      <c r="C13" s="116"/>
      <c r="D13" s="116">
        <v>-0.215979698862415</v>
      </c>
      <c r="E13" s="116"/>
      <c r="F13" s="116">
        <v>-0.29277002188455897</v>
      </c>
      <c r="G13" s="116">
        <v>-0.35634832254989901</v>
      </c>
      <c r="H13" s="116"/>
      <c r="I13" s="116"/>
      <c r="J13" s="184">
        <v>0.53994924715603798</v>
      </c>
      <c r="K13" s="116"/>
      <c r="L13" s="116">
        <v>-0.433554984762059</v>
      </c>
      <c r="M13" s="116">
        <v>0.999999999999999</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0.132453235706504</v>
      </c>
      <c r="C14" s="116"/>
      <c r="D14" s="116">
        <v>-0.32991443953692901</v>
      </c>
      <c r="E14" s="116"/>
      <c r="F14" s="116">
        <v>0.14907119849998501</v>
      </c>
      <c r="G14" s="116">
        <v>-0.13608276348795401</v>
      </c>
      <c r="H14" s="116"/>
      <c r="I14" s="116"/>
      <c r="J14" s="184">
        <v>0.41239304942116101</v>
      </c>
      <c r="K14" s="116"/>
      <c r="L14" s="116">
        <v>-0.132453235706504</v>
      </c>
      <c r="M14" s="116">
        <v>-0.218217890235992</v>
      </c>
      <c r="N14" s="116">
        <v>1</v>
      </c>
      <c r="O14" s="181"/>
      <c r="P14" s="181"/>
      <c r="Q14" s="186"/>
      <c r="R14" s="181"/>
      <c r="S14" s="181"/>
      <c r="T14" s="181"/>
      <c r="U14" s="181"/>
      <c r="V14" s="192"/>
      <c r="W14" s="116"/>
      <c r="X14" s="116"/>
      <c r="Y14" s="116"/>
      <c r="Z14" s="190"/>
      <c r="AA14" s="190"/>
      <c r="AB14" s="190"/>
      <c r="AC14" s="190"/>
      <c r="AD14" s="16"/>
    </row>
    <row r="15" spans="1:53" x14ac:dyDescent="0.35">
      <c r="A15" s="124" t="s">
        <v>2236</v>
      </c>
      <c r="B15" s="204">
        <v>0.26013299085723601</v>
      </c>
      <c r="C15" s="116"/>
      <c r="D15" s="116">
        <v>0.53994924715603798</v>
      </c>
      <c r="E15" s="116"/>
      <c r="F15" s="116">
        <v>0.48795003647426599</v>
      </c>
      <c r="G15" s="116">
        <v>0.53452248382484802</v>
      </c>
      <c r="H15" s="116"/>
      <c r="I15" s="116"/>
      <c r="J15" s="184">
        <v>-0.215979698862415</v>
      </c>
      <c r="K15" s="116"/>
      <c r="L15" s="116">
        <v>0.26013299085723601</v>
      </c>
      <c r="M15" s="116">
        <v>-0.14285714285714199</v>
      </c>
      <c r="N15" s="116">
        <v>-0.218217890235992</v>
      </c>
      <c r="O15" s="116">
        <v>0.999999999999999</v>
      </c>
      <c r="P15" s="181"/>
      <c r="Q15" s="186"/>
      <c r="R15" s="181"/>
      <c r="S15" s="181"/>
      <c r="T15" s="181"/>
      <c r="U15" s="181"/>
      <c r="V15" s="192"/>
      <c r="W15" s="116"/>
      <c r="X15" s="116"/>
      <c r="Y15" s="116"/>
      <c r="Z15" s="190"/>
      <c r="AA15" s="190"/>
      <c r="AB15" s="190"/>
      <c r="AC15" s="190"/>
      <c r="AD15" s="16"/>
    </row>
    <row r="16" spans="1:53" x14ac:dyDescent="0.35">
      <c r="A16" s="124" t="s">
        <v>1204</v>
      </c>
      <c r="B16" s="204">
        <v>0.132453235706504</v>
      </c>
      <c r="C16" s="116"/>
      <c r="D16" s="116">
        <v>0.41239304942116101</v>
      </c>
      <c r="E16" s="116"/>
      <c r="F16" s="116">
        <v>-0.44721359549995698</v>
      </c>
      <c r="G16" s="116">
        <v>-0.13608276348795401</v>
      </c>
      <c r="H16" s="116"/>
      <c r="I16" s="116"/>
      <c r="J16" s="184">
        <v>-0.32991443953692901</v>
      </c>
      <c r="K16" s="116"/>
      <c r="L16" s="116">
        <v>0.132453235706504</v>
      </c>
      <c r="M16" s="116">
        <v>-0.218217890235992</v>
      </c>
      <c r="N16" s="116">
        <v>-0.33333333333333298</v>
      </c>
      <c r="O16" s="116">
        <v>-0.218217890235992</v>
      </c>
      <c r="P16" s="116">
        <v>1</v>
      </c>
      <c r="Q16" s="194"/>
      <c r="R16" s="181"/>
      <c r="S16" s="181"/>
      <c r="T16" s="181"/>
      <c r="U16" s="181"/>
      <c r="V16" s="192"/>
      <c r="W16" s="116"/>
      <c r="X16" s="116"/>
      <c r="Y16" s="116"/>
      <c r="Z16" s="190"/>
      <c r="AA16" s="190"/>
      <c r="AB16" s="190"/>
      <c r="AC16" s="190"/>
      <c r="AD16" s="16"/>
    </row>
    <row r="17" spans="1:30" x14ac:dyDescent="0.35">
      <c r="A17" s="124" t="s">
        <v>1205</v>
      </c>
      <c r="B17" s="205">
        <v>0.60697697866688405</v>
      </c>
      <c r="C17" s="182"/>
      <c r="D17" s="182">
        <v>-0.215979698862415</v>
      </c>
      <c r="E17" s="182"/>
      <c r="F17" s="182">
        <v>-0.29277002188455897</v>
      </c>
      <c r="G17" s="182">
        <v>0.17817416127494901</v>
      </c>
      <c r="H17" s="182"/>
      <c r="I17" s="182"/>
      <c r="J17" s="183">
        <v>0.75592894601845395</v>
      </c>
      <c r="K17" s="182"/>
      <c r="L17" s="182">
        <v>0.26013299085723601</v>
      </c>
      <c r="M17" s="182">
        <v>-0.14285714285714199</v>
      </c>
      <c r="N17" s="182">
        <v>0.65465367070797698</v>
      </c>
      <c r="O17" s="182">
        <v>-0.14285714285714199</v>
      </c>
      <c r="P17" s="182">
        <v>-0.218217890235992</v>
      </c>
      <c r="Q17" s="195">
        <v>0.999999999999999</v>
      </c>
      <c r="R17" s="182"/>
      <c r="S17" s="182"/>
      <c r="T17" s="182"/>
      <c r="U17" s="182"/>
      <c r="V17" s="182"/>
      <c r="W17" s="182"/>
      <c r="X17" s="182"/>
      <c r="Y17" s="182"/>
      <c r="Z17" s="182"/>
      <c r="AA17" s="182"/>
      <c r="AB17" s="182"/>
      <c r="AC17" s="182"/>
      <c r="AD17" s="115"/>
    </row>
    <row r="18" spans="1:30" x14ac:dyDescent="0.35">
      <c r="A18" s="125" t="s">
        <v>2096</v>
      </c>
      <c r="B18" s="204">
        <v>0.66226617853252101</v>
      </c>
      <c r="C18" s="116"/>
      <c r="D18" s="116">
        <v>0.32991443953692901</v>
      </c>
      <c r="E18" s="116"/>
      <c r="F18" s="116">
        <v>-0.14907119849998501</v>
      </c>
      <c r="G18" s="116">
        <v>0.54433105395181702</v>
      </c>
      <c r="H18" s="116"/>
      <c r="I18" s="116"/>
      <c r="J18" s="184">
        <v>-0.247435829652696</v>
      </c>
      <c r="K18" s="116"/>
      <c r="L18" s="116">
        <v>0.39735970711951302</v>
      </c>
      <c r="M18" s="116">
        <v>-0.65465367070797698</v>
      </c>
      <c r="N18" s="116">
        <v>0.33333333333333298</v>
      </c>
      <c r="O18" s="116">
        <v>0.218217890235992</v>
      </c>
      <c r="P18" s="116">
        <v>0.33333333333333298</v>
      </c>
      <c r="Q18" s="194">
        <v>0.218217890235992</v>
      </c>
      <c r="R18" s="116">
        <v>1</v>
      </c>
      <c r="S18" s="181"/>
      <c r="T18" s="181"/>
      <c r="U18" s="181"/>
      <c r="V18" s="192"/>
      <c r="W18" s="116"/>
      <c r="X18" s="116"/>
      <c r="Y18" s="116"/>
      <c r="Z18" s="190"/>
      <c r="AA18" s="190"/>
      <c r="AB18" s="190"/>
      <c r="AC18" s="190"/>
      <c r="AD18" s="16"/>
    </row>
    <row r="19" spans="1:30" x14ac:dyDescent="0.35">
      <c r="A19" s="125" t="s">
        <v>2097</v>
      </c>
      <c r="B19" s="204"/>
      <c r="C19" s="116"/>
      <c r="D19" s="116"/>
      <c r="E19" s="116"/>
      <c r="F19" s="116"/>
      <c r="G19" s="116"/>
      <c r="H19" s="116"/>
      <c r="I19" s="116"/>
      <c r="J19" s="184"/>
      <c r="K19" s="116"/>
      <c r="L19" s="116"/>
      <c r="M19" s="116"/>
      <c r="N19" s="116"/>
      <c r="O19" s="116"/>
      <c r="P19" s="116"/>
      <c r="Q19" s="194"/>
      <c r="R19" s="116"/>
      <c r="S19" s="116"/>
      <c r="T19" s="181"/>
      <c r="U19" s="181"/>
      <c r="V19" s="192"/>
      <c r="W19" s="116"/>
      <c r="X19" s="116"/>
      <c r="Y19" s="116"/>
      <c r="Z19" s="190"/>
      <c r="AA19" s="190"/>
      <c r="AB19" s="190"/>
      <c r="AC19" s="190"/>
      <c r="AD19" s="16"/>
    </row>
    <row r="20" spans="1:30" x14ac:dyDescent="0.35">
      <c r="A20" s="125" t="s">
        <v>2098</v>
      </c>
      <c r="B20" s="206"/>
      <c r="C20" s="122"/>
      <c r="D20" s="122"/>
      <c r="E20" s="122"/>
      <c r="F20" s="122"/>
      <c r="G20" s="122"/>
      <c r="H20" s="122"/>
      <c r="I20" s="122"/>
      <c r="J20" s="184"/>
      <c r="K20" s="122"/>
      <c r="L20" s="122"/>
      <c r="M20" s="122"/>
      <c r="N20" s="122"/>
      <c r="O20" s="122"/>
      <c r="P20" s="122"/>
      <c r="Q20" s="194"/>
      <c r="R20" s="122"/>
      <c r="S20" s="122"/>
      <c r="T20" s="122"/>
      <c r="U20" s="193"/>
      <c r="V20" s="193"/>
      <c r="W20" s="122"/>
      <c r="X20" s="122"/>
      <c r="Y20" s="122"/>
      <c r="Z20" s="190"/>
      <c r="AA20" s="190"/>
      <c r="AB20" s="190"/>
      <c r="AC20" s="190"/>
      <c r="AD20" s="16"/>
    </row>
    <row r="21" spans="1:30" x14ac:dyDescent="0.35">
      <c r="A21" s="125" t="s">
        <v>2099</v>
      </c>
      <c r="B21" s="206">
        <v>-0.66226617853252101</v>
      </c>
      <c r="C21" s="122"/>
      <c r="D21" s="122">
        <v>-0.32991443953692901</v>
      </c>
      <c r="E21" s="122"/>
      <c r="F21" s="122">
        <v>0.14907119849998501</v>
      </c>
      <c r="G21" s="122">
        <v>-0.54433105395181702</v>
      </c>
      <c r="H21" s="122"/>
      <c r="I21" s="122"/>
      <c r="J21" s="184">
        <v>0.247435829652696</v>
      </c>
      <c r="K21" s="122"/>
      <c r="L21" s="122">
        <v>-0.39735970711951302</v>
      </c>
      <c r="M21" s="122">
        <v>0.65465367070797698</v>
      </c>
      <c r="N21" s="122">
        <v>-0.33333333333333298</v>
      </c>
      <c r="O21" s="122">
        <v>-0.218217890235992</v>
      </c>
      <c r="P21" s="122">
        <v>-0.33333333333333298</v>
      </c>
      <c r="Q21" s="194">
        <v>-0.218217890235992</v>
      </c>
      <c r="R21" s="122">
        <v>-1</v>
      </c>
      <c r="S21" s="122"/>
      <c r="T21" s="122"/>
      <c r="U21" s="122">
        <v>1</v>
      </c>
      <c r="V21" s="193"/>
      <c r="W21" s="122"/>
      <c r="X21" s="122"/>
      <c r="Y21" s="122"/>
      <c r="Z21" s="190"/>
      <c r="AA21" s="190"/>
      <c r="AB21" s="190"/>
      <c r="AC21" s="190"/>
      <c r="AD21" s="16"/>
    </row>
    <row r="22" spans="1:30" x14ac:dyDescent="0.35">
      <c r="A22" s="125" t="s">
        <v>2247</v>
      </c>
      <c r="B22" s="207">
        <v>0</v>
      </c>
      <c r="C22" s="208"/>
      <c r="D22" s="208">
        <v>0.81928803037291398</v>
      </c>
      <c r="E22" s="208"/>
      <c r="F22" s="208">
        <v>0.54395809669394901</v>
      </c>
      <c r="G22" s="208">
        <v>0.19310804067388501</v>
      </c>
      <c r="H22" s="208"/>
      <c r="I22" s="208"/>
      <c r="J22" s="209">
        <v>-0.53504524432516798</v>
      </c>
      <c r="K22" s="208"/>
      <c r="L22" s="208">
        <v>0.456468371509896</v>
      </c>
      <c r="M22" s="208">
        <v>-0.35389916416304701</v>
      </c>
      <c r="N22" s="208">
        <v>-0.13514747567989699</v>
      </c>
      <c r="O22" s="208">
        <v>0.44237395520380801</v>
      </c>
      <c r="P22" s="208">
        <v>0.20272121351984501</v>
      </c>
      <c r="Q22" s="209">
        <v>-0.35389916416304701</v>
      </c>
      <c r="R22" s="208">
        <v>0.13514747567989699</v>
      </c>
      <c r="S22" s="208"/>
      <c r="T22" s="208"/>
      <c r="U22" s="208">
        <v>-0.13514747567989699</v>
      </c>
      <c r="V22" s="215">
        <v>1</v>
      </c>
      <c r="W22" s="216"/>
      <c r="X22" s="216"/>
      <c r="Y22" s="216"/>
      <c r="Z22" s="217"/>
      <c r="AA22" s="217"/>
      <c r="AB22" s="217"/>
      <c r="AC22" s="217"/>
      <c r="AD22" s="99"/>
    </row>
    <row r="23" spans="1:30" x14ac:dyDescent="0.35">
      <c r="A23" s="227" t="s">
        <v>2248</v>
      </c>
      <c r="B23" s="207">
        <v>0.96112001691234195</v>
      </c>
      <c r="C23" s="208"/>
      <c r="D23" s="208">
        <v>0.38820926884957502</v>
      </c>
      <c r="E23" s="208"/>
      <c r="F23" s="208">
        <v>-0.52623481158421703</v>
      </c>
      <c r="G23" s="208">
        <v>0.80064076902543502</v>
      </c>
      <c r="H23" s="208"/>
      <c r="I23" s="208"/>
      <c r="J23" s="209">
        <v>0.39629696195060798</v>
      </c>
      <c r="K23" s="208"/>
      <c r="L23" s="208">
        <v>0.75331028352589002</v>
      </c>
      <c r="M23" s="208">
        <v>-0.17118419700436499</v>
      </c>
      <c r="N23" s="208">
        <v>6.5372045046061297E-2</v>
      </c>
      <c r="O23" s="208">
        <v>0.25677629550654701</v>
      </c>
      <c r="P23" s="208">
        <v>6.5372045046061297E-2</v>
      </c>
      <c r="Q23" s="209">
        <v>0.599144689515278</v>
      </c>
      <c r="R23" s="208">
        <v>0.52297636036849005</v>
      </c>
      <c r="S23" s="208"/>
      <c r="T23" s="208"/>
      <c r="U23" s="208">
        <v>-0.52297636036849005</v>
      </c>
      <c r="V23" s="207">
        <v>-7.9513801812069407E-2</v>
      </c>
      <c r="W23" s="208">
        <v>1</v>
      </c>
      <c r="X23" s="208"/>
      <c r="Y23" s="208"/>
      <c r="Z23" s="210"/>
      <c r="AA23" s="210"/>
      <c r="AB23" s="210"/>
      <c r="AC23" s="210"/>
      <c r="AD23" s="16"/>
    </row>
    <row r="24" spans="1:30" x14ac:dyDescent="0.35">
      <c r="A24" s="227" t="s">
        <v>2249</v>
      </c>
      <c r="B24" s="207">
        <v>0.75331028352589002</v>
      </c>
      <c r="C24" s="208"/>
      <c r="D24" s="208">
        <v>0.67936622048675699</v>
      </c>
      <c r="E24" s="208"/>
      <c r="F24" s="208">
        <v>-0.29235267310234297</v>
      </c>
      <c r="G24" s="208">
        <v>0.80064076902543502</v>
      </c>
      <c r="H24" s="208"/>
      <c r="I24" s="208"/>
      <c r="J24" s="209">
        <v>0.105140010313426</v>
      </c>
      <c r="K24" s="208"/>
      <c r="L24" s="208">
        <v>0.96112001691234195</v>
      </c>
      <c r="M24" s="208">
        <v>-0.17118419700436499</v>
      </c>
      <c r="N24" s="208">
        <v>-0.19611613513818399</v>
      </c>
      <c r="O24" s="208">
        <v>0.25677629550654701</v>
      </c>
      <c r="P24" s="208">
        <v>6.5372045046061297E-2</v>
      </c>
      <c r="Q24" s="209">
        <v>0.25677629550654701</v>
      </c>
      <c r="R24" s="208">
        <v>0.26148818018424502</v>
      </c>
      <c r="S24" s="208"/>
      <c r="T24" s="208"/>
      <c r="U24" s="208">
        <v>-0.26148818018424502</v>
      </c>
      <c r="V24" s="207">
        <v>0.37106440845632399</v>
      </c>
      <c r="W24" s="208">
        <v>0.79487179487179405</v>
      </c>
      <c r="X24" s="208">
        <v>1</v>
      </c>
      <c r="Y24" s="208"/>
      <c r="Z24" s="210"/>
      <c r="AA24" s="210"/>
      <c r="AB24" s="210"/>
      <c r="AC24" s="210"/>
      <c r="AD24" s="16"/>
    </row>
    <row r="25" spans="1:30" x14ac:dyDescent="0.35">
      <c r="A25" s="125" t="s">
        <v>2228</v>
      </c>
      <c r="B25" s="211">
        <v>0.60697697866688405</v>
      </c>
      <c r="C25" s="210"/>
      <c r="D25" s="210">
        <v>0.134987311789009</v>
      </c>
      <c r="E25" s="210"/>
      <c r="F25" s="210">
        <v>-0.58554004376911895</v>
      </c>
      <c r="G25" s="210">
        <v>4.4543540318737397E-2</v>
      </c>
      <c r="H25" s="210"/>
      <c r="I25" s="210"/>
      <c r="J25" s="209">
        <v>0.37796447300922698</v>
      </c>
      <c r="K25" s="210"/>
      <c r="L25" s="210">
        <v>0.31794032215884399</v>
      </c>
      <c r="M25" s="210">
        <v>-0.28571428571428498</v>
      </c>
      <c r="N25" s="210">
        <v>0.290957186981323</v>
      </c>
      <c r="O25" s="210">
        <v>-0.28571428571428498</v>
      </c>
      <c r="P25" s="210">
        <v>0.581914373962646</v>
      </c>
      <c r="Q25" s="209">
        <v>0.66666666666666596</v>
      </c>
      <c r="R25" s="210">
        <v>0.436435780471984</v>
      </c>
      <c r="S25" s="210"/>
      <c r="T25" s="210"/>
      <c r="U25" s="210">
        <v>-0.436435780471984</v>
      </c>
      <c r="V25" s="211">
        <v>-0.14008508581453899</v>
      </c>
      <c r="W25" s="210">
        <v>0.54921596538900497</v>
      </c>
      <c r="X25" s="210">
        <v>0.263908970381729</v>
      </c>
      <c r="Y25" s="210">
        <v>1</v>
      </c>
      <c r="Z25" s="210"/>
      <c r="AA25" s="210"/>
      <c r="AB25" s="210"/>
      <c r="AC25" s="210"/>
      <c r="AD25" s="16"/>
    </row>
    <row r="26" spans="1:30" x14ac:dyDescent="0.35">
      <c r="A26" s="125" t="s">
        <v>2169</v>
      </c>
      <c r="B26" s="211">
        <v>0.912936743019793</v>
      </c>
      <c r="C26" s="210"/>
      <c r="D26" s="210">
        <v>0.57684565403807198</v>
      </c>
      <c r="E26" s="210"/>
      <c r="F26" s="210">
        <v>-0.120879577043099</v>
      </c>
      <c r="G26" s="210">
        <v>0.85519275155578001</v>
      </c>
      <c r="H26" s="210"/>
      <c r="I26" s="210"/>
      <c r="J26" s="209">
        <v>0.21736213050709899</v>
      </c>
      <c r="K26" s="210"/>
      <c r="L26" s="210">
        <v>0.83238350098863401</v>
      </c>
      <c r="M26" s="210">
        <v>-0.35389916416304701</v>
      </c>
      <c r="N26" s="210">
        <v>0.13514747567989699</v>
      </c>
      <c r="O26" s="210">
        <v>0.53084874624457001</v>
      </c>
      <c r="P26" s="210">
        <v>-6.7573737839948494E-2</v>
      </c>
      <c r="Q26" s="209">
        <v>0.53084874624457001</v>
      </c>
      <c r="R26" s="210">
        <v>0.54058990271958796</v>
      </c>
      <c r="S26" s="210"/>
      <c r="T26" s="210"/>
      <c r="U26" s="210">
        <v>-0.54058990271958796</v>
      </c>
      <c r="V26" s="211">
        <v>0.267123287671232</v>
      </c>
      <c r="W26" s="210">
        <v>0.90115642053678702</v>
      </c>
      <c r="X26" s="210">
        <v>0.821642618724717</v>
      </c>
      <c r="Y26" s="210">
        <v>0.39076366043003102</v>
      </c>
      <c r="Z26" s="210">
        <v>1</v>
      </c>
      <c r="AA26" s="210"/>
      <c r="AB26" s="210"/>
      <c r="AC26" s="210"/>
      <c r="AD26" s="16"/>
    </row>
    <row r="27" spans="1:30" x14ac:dyDescent="0.35">
      <c r="A27" s="125" t="s">
        <v>2081</v>
      </c>
      <c r="B27" s="211">
        <v>0.80930263822251203</v>
      </c>
      <c r="C27" s="210"/>
      <c r="D27" s="210">
        <v>0.57594586363310796</v>
      </c>
      <c r="E27" s="210"/>
      <c r="F27" s="210">
        <v>-0.130120009726471</v>
      </c>
      <c r="G27" s="210">
        <v>0.56421817737067304</v>
      </c>
      <c r="H27" s="210"/>
      <c r="I27" s="210"/>
      <c r="J27" s="209">
        <v>0.37796447300922698</v>
      </c>
      <c r="K27" s="210"/>
      <c r="L27" s="210">
        <v>0.7225916412701</v>
      </c>
      <c r="M27" s="210">
        <v>-0.28571428571428498</v>
      </c>
      <c r="N27" s="210">
        <v>0.290957186981323</v>
      </c>
      <c r="O27" s="210">
        <v>0.38095238095238099</v>
      </c>
      <c r="P27" s="210">
        <v>7.2739296745330806E-2</v>
      </c>
      <c r="Q27" s="209">
        <v>0.66666666666666596</v>
      </c>
      <c r="R27" s="210">
        <v>0.436435780471984</v>
      </c>
      <c r="S27" s="210"/>
      <c r="T27" s="210"/>
      <c r="U27" s="210">
        <v>-0.436435780471984</v>
      </c>
      <c r="V27" s="211">
        <v>0.32440756714945901</v>
      </c>
      <c r="W27" s="210">
        <v>0.79885958602036999</v>
      </c>
      <c r="X27" s="210">
        <v>0.71326748751818803</v>
      </c>
      <c r="Y27" s="210">
        <v>0.61111111111111105</v>
      </c>
      <c r="Z27" s="210">
        <v>0.90686660816780795</v>
      </c>
      <c r="AA27" s="210">
        <v>1</v>
      </c>
      <c r="AB27" s="210"/>
      <c r="AC27" s="210"/>
      <c r="AD27" s="16"/>
    </row>
    <row r="28" spans="1:30" x14ac:dyDescent="0.35">
      <c r="A28" s="125" t="s">
        <v>2061</v>
      </c>
      <c r="B28" s="211">
        <v>-0.88852331663863804</v>
      </c>
      <c r="C28" s="210"/>
      <c r="D28" s="210">
        <v>-0.44262666813799001</v>
      </c>
      <c r="E28" s="210"/>
      <c r="F28" s="210">
        <v>0.46666666666666601</v>
      </c>
      <c r="G28" s="210">
        <v>-0.73029674334022099</v>
      </c>
      <c r="H28" s="210"/>
      <c r="I28" s="210"/>
      <c r="J28" s="209">
        <v>7.3771111356331701E-2</v>
      </c>
      <c r="K28" s="210"/>
      <c r="L28" s="210">
        <v>-0.65158376553500097</v>
      </c>
      <c r="M28" s="210">
        <v>0.48795003647426599</v>
      </c>
      <c r="N28" s="210">
        <v>0.14907119849998501</v>
      </c>
      <c r="O28" s="210">
        <v>-0.29277002188455897</v>
      </c>
      <c r="P28" s="210">
        <v>-0.44721359549995698</v>
      </c>
      <c r="Q28" s="209">
        <v>-0.29277002188455897</v>
      </c>
      <c r="R28" s="210">
        <v>-0.74535599249992901</v>
      </c>
      <c r="S28" s="210"/>
      <c r="T28" s="210"/>
      <c r="U28" s="210">
        <v>0.74535599249992901</v>
      </c>
      <c r="V28" s="211">
        <v>0</v>
      </c>
      <c r="W28" s="210">
        <v>-0.81858748468655995</v>
      </c>
      <c r="X28" s="210">
        <v>-0.58470534620468595</v>
      </c>
      <c r="Y28" s="210">
        <v>-0.58554004376911895</v>
      </c>
      <c r="Z28" s="210">
        <v>-0.72527746225859901</v>
      </c>
      <c r="AA28" s="210">
        <v>-0.58554004376911895</v>
      </c>
      <c r="AB28" s="210">
        <v>1</v>
      </c>
      <c r="AC28" s="210"/>
      <c r="AD28" s="16"/>
    </row>
    <row r="29" spans="1:30" x14ac:dyDescent="0.35">
      <c r="A29" s="125" t="s">
        <v>2024</v>
      </c>
      <c r="B29" s="211">
        <v>-0.69690473944155096</v>
      </c>
      <c r="C29" s="210"/>
      <c r="D29" s="210">
        <v>-0.45003516037040903</v>
      </c>
      <c r="E29" s="210"/>
      <c r="F29" s="210">
        <v>0.52289360439671395</v>
      </c>
      <c r="G29" s="210">
        <v>-0.63644582734058397</v>
      </c>
      <c r="H29" s="210"/>
      <c r="I29" s="210"/>
      <c r="J29" s="209">
        <v>-0.23305392233467601</v>
      </c>
      <c r="K29" s="210"/>
      <c r="L29" s="210">
        <v>-0.72271602608753405</v>
      </c>
      <c r="M29" s="210">
        <v>8.5048651112512405E-2</v>
      </c>
      <c r="N29" s="210">
        <v>-0.19487094073848901</v>
      </c>
      <c r="O29" s="210">
        <v>8.5048651112512405E-2</v>
      </c>
      <c r="P29" s="210">
        <v>-0.12991396049232601</v>
      </c>
      <c r="Q29" s="209">
        <v>-0.34019460445004901</v>
      </c>
      <c r="R29" s="210">
        <v>-0.51965584196930403</v>
      </c>
      <c r="S29" s="210"/>
      <c r="T29" s="210"/>
      <c r="U29" s="210">
        <v>0.51965584196930403</v>
      </c>
      <c r="V29" s="211">
        <v>-0.13168157862086799</v>
      </c>
      <c r="W29" s="210">
        <v>-0.75160760305136698</v>
      </c>
      <c r="X29" s="210">
        <v>-0.77708582688361705</v>
      </c>
      <c r="Y29" s="210">
        <v>-0.38271893000630602</v>
      </c>
      <c r="Z29" s="210">
        <v>-0.65182381417329804</v>
      </c>
      <c r="AA29" s="210">
        <v>-0.581165782602168</v>
      </c>
      <c r="AB29" s="210">
        <v>0.52289360439671395</v>
      </c>
      <c r="AC29" s="210">
        <v>1</v>
      </c>
      <c r="AD29" s="16"/>
    </row>
    <row r="30" spans="1:30" ht="15" thickBot="1" x14ac:dyDescent="0.4">
      <c r="A30" s="224" t="s">
        <v>2250</v>
      </c>
      <c r="B30" s="212">
        <v>0</v>
      </c>
      <c r="C30" s="213"/>
      <c r="D30" s="213">
        <v>0.34291382751370197</v>
      </c>
      <c r="E30" s="213"/>
      <c r="F30" s="213">
        <v>0.28171808490950501</v>
      </c>
      <c r="G30" s="213">
        <v>0.54006172486732096</v>
      </c>
      <c r="H30" s="213"/>
      <c r="I30" s="213"/>
      <c r="J30" s="214">
        <v>-0.54554472558998102</v>
      </c>
      <c r="K30" s="213"/>
      <c r="L30" s="213">
        <v>0.400500939457407</v>
      </c>
      <c r="M30" s="213">
        <v>-8.2478609884232196E-2</v>
      </c>
      <c r="N30" s="213">
        <v>-0.62994078834871203</v>
      </c>
      <c r="O30" s="213">
        <v>0.41239304942116101</v>
      </c>
      <c r="P30" s="213">
        <v>-0.251976315339484</v>
      </c>
      <c r="Q30" s="214">
        <v>-0.57735026918962495</v>
      </c>
      <c r="R30" s="213">
        <v>-0.125988157669742</v>
      </c>
      <c r="S30" s="213"/>
      <c r="T30" s="213"/>
      <c r="U30" s="214">
        <v>0.125988157669742</v>
      </c>
      <c r="V30" s="213">
        <v>0.35756661096715697</v>
      </c>
      <c r="W30" s="213">
        <v>1.2354155277685E-2</v>
      </c>
      <c r="X30" s="213">
        <v>0.40768712416360497</v>
      </c>
      <c r="Y30" s="213">
        <v>-0.67357531405456295</v>
      </c>
      <c r="Z30" s="213">
        <v>0.14047259716566901</v>
      </c>
      <c r="AA30" s="213">
        <v>-0.19245008972987501</v>
      </c>
      <c r="AB30" s="213">
        <v>-5.6343616981901101E-2</v>
      </c>
      <c r="AC30" s="213">
        <v>-6.1378577017529502E-2</v>
      </c>
      <c r="AD30" s="214">
        <v>1</v>
      </c>
    </row>
    <row r="31" spans="1:30" x14ac:dyDescent="0.35">
      <c r="A31"/>
    </row>
    <row r="32" spans="1:30" x14ac:dyDescent="0.35">
      <c r="A32"/>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S33" s="158"/>
      <c r="AT33" s="158"/>
      <c r="AU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c r="AG34" s="202">
        <v>0.1</v>
      </c>
    </row>
    <row r="35" spans="1:53" x14ac:dyDescent="0.35">
      <c r="A35" s="123" t="s">
        <v>12</v>
      </c>
      <c r="B35" s="204"/>
      <c r="C35" s="116"/>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c r="AG35" s="203">
        <v>0.05</v>
      </c>
    </row>
    <row r="36" spans="1:53" x14ac:dyDescent="0.35">
      <c r="A36" s="123" t="s">
        <v>8</v>
      </c>
      <c r="B36" s="204">
        <v>0.33510174708801999</v>
      </c>
      <c r="C36" s="116"/>
      <c r="D36" s="116">
        <v>0</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c r="C37" s="116"/>
      <c r="D37" s="116"/>
      <c r="E37" s="116"/>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0.30705792168509799</v>
      </c>
      <c r="C38" s="116"/>
      <c r="D38" s="116">
        <v>0.86218019116419398</v>
      </c>
      <c r="E38" s="116"/>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1.45526118549808E-2</v>
      </c>
      <c r="C39" s="116"/>
      <c r="D39" s="116">
        <v>0.20171364634723901</v>
      </c>
      <c r="E39" s="116"/>
      <c r="F39" s="116">
        <v>0.77402625221246601</v>
      </c>
      <c r="G39" s="116">
        <v>2.7369110631344098E-47</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c r="C40" s="116"/>
      <c r="D40" s="116"/>
      <c r="E40" s="116"/>
      <c r="F40" s="116"/>
      <c r="G40" s="116"/>
      <c r="H40" s="116"/>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c r="C41" s="116"/>
      <c r="D41" s="116"/>
      <c r="E41" s="116"/>
      <c r="F41" s="116"/>
      <c r="G41" s="116"/>
      <c r="H41" s="116"/>
      <c r="I41" s="116"/>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v>0.58470032663597704</v>
      </c>
      <c r="C42" s="182"/>
      <c r="D42" s="182">
        <v>0.42988234696626398</v>
      </c>
      <c r="E42" s="182"/>
      <c r="F42" s="182">
        <v>0.27210219558124599</v>
      </c>
      <c r="G42" s="182">
        <v>0.84290771630572203</v>
      </c>
      <c r="H42" s="182"/>
      <c r="I42" s="182"/>
      <c r="J42" s="183">
        <v>0</v>
      </c>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c r="C43" s="116"/>
      <c r="D43" s="116"/>
      <c r="E43" s="116"/>
      <c r="F43" s="116"/>
      <c r="G43" s="116"/>
      <c r="H43" s="116"/>
      <c r="I43" s="116"/>
      <c r="J43" s="184"/>
      <c r="K43" s="116"/>
      <c r="L43" s="181"/>
      <c r="M43" s="181"/>
      <c r="N43" s="181"/>
      <c r="O43" s="181"/>
      <c r="P43" s="181"/>
      <c r="Q43" s="186"/>
      <c r="R43" s="181"/>
      <c r="S43" s="181"/>
      <c r="T43" s="181"/>
      <c r="U43" s="181"/>
      <c r="V43" s="192"/>
      <c r="W43" s="116"/>
      <c r="X43" s="116"/>
      <c r="Y43" s="116"/>
      <c r="Z43" s="190"/>
      <c r="AA43" s="190"/>
      <c r="AB43" s="190"/>
      <c r="AC43" s="190"/>
      <c r="AD43" s="16"/>
    </row>
    <row r="44" spans="1:53" ht="29" x14ac:dyDescent="0.35">
      <c r="A44" s="124" t="s">
        <v>2233</v>
      </c>
      <c r="B44" s="204">
        <v>1.9798885262665E-2</v>
      </c>
      <c r="C44" s="116"/>
      <c r="D44" s="116">
        <v>5.9141290871560198E-2</v>
      </c>
      <c r="E44" s="116"/>
      <c r="F44" s="116">
        <v>0.673751959370956</v>
      </c>
      <c r="G44" s="116">
        <v>1.45526118549808E-2</v>
      </c>
      <c r="H44" s="116"/>
      <c r="I44" s="116"/>
      <c r="J44" s="184">
        <v>0.87745028685586601</v>
      </c>
      <c r="K44" s="116"/>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0.283209026549469</v>
      </c>
      <c r="C45" s="116"/>
      <c r="D45" s="116">
        <v>0.60745539655338898</v>
      </c>
      <c r="E45" s="116"/>
      <c r="F45" s="116">
        <v>0.481617814312154</v>
      </c>
      <c r="G45" s="116">
        <v>0.38625533146616398</v>
      </c>
      <c r="H45" s="116"/>
      <c r="I45" s="116"/>
      <c r="J45" s="184">
        <v>0.167159070285263</v>
      </c>
      <c r="K45" s="116"/>
      <c r="L45" s="116">
        <v>0.283209026549469</v>
      </c>
      <c r="M45" s="116">
        <v>3.4211388289180402E-48</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0.75453957150234996</v>
      </c>
      <c r="C46" s="116"/>
      <c r="D46" s="116">
        <v>0.424831068472868</v>
      </c>
      <c r="E46" s="116"/>
      <c r="F46" s="116">
        <v>0.72460476366002502</v>
      </c>
      <c r="G46" s="116">
        <v>0.74797738207432696</v>
      </c>
      <c r="H46" s="116"/>
      <c r="I46" s="116"/>
      <c r="J46" s="184">
        <v>0.30995873550624098</v>
      </c>
      <c r="K46" s="116"/>
      <c r="L46" s="116">
        <v>0.75453957150234996</v>
      </c>
      <c r="M46" s="116">
        <v>0.603645056510136</v>
      </c>
      <c r="N46" s="116">
        <v>0</v>
      </c>
      <c r="O46" s="181"/>
      <c r="P46" s="181"/>
      <c r="Q46" s="186"/>
      <c r="R46" s="181"/>
      <c r="S46" s="181"/>
      <c r="T46" s="181"/>
      <c r="U46" s="181"/>
      <c r="V46" s="192"/>
      <c r="W46" s="116"/>
      <c r="X46" s="116"/>
      <c r="Y46" s="116"/>
      <c r="Z46" s="190"/>
      <c r="AA46" s="190"/>
      <c r="AB46" s="190"/>
      <c r="AC46" s="190"/>
      <c r="AD46" s="16"/>
    </row>
    <row r="47" spans="1:53" x14ac:dyDescent="0.35">
      <c r="A47" s="124" t="s">
        <v>2236</v>
      </c>
      <c r="B47" s="204">
        <v>0.533807680300455</v>
      </c>
      <c r="C47" s="116"/>
      <c r="D47" s="116">
        <v>0.167159070285263</v>
      </c>
      <c r="E47" s="116"/>
      <c r="F47" s="116">
        <v>0.21994381924181799</v>
      </c>
      <c r="G47" s="116">
        <v>0.17230829673039999</v>
      </c>
      <c r="H47" s="116"/>
      <c r="I47" s="116"/>
      <c r="J47" s="184">
        <v>0.60745539655338898</v>
      </c>
      <c r="K47" s="116"/>
      <c r="L47" s="116">
        <v>0.533807680300455</v>
      </c>
      <c r="M47" s="116">
        <v>0.73576485987981199</v>
      </c>
      <c r="N47" s="116">
        <v>0.603645056510136</v>
      </c>
      <c r="O47" s="116">
        <v>3.4211388289180402E-48</v>
      </c>
      <c r="P47" s="181"/>
      <c r="Q47" s="186"/>
      <c r="R47" s="181"/>
      <c r="S47" s="181"/>
      <c r="T47" s="181"/>
      <c r="U47" s="181"/>
      <c r="V47" s="192"/>
      <c r="W47" s="116"/>
      <c r="X47" s="116"/>
      <c r="Y47" s="116"/>
      <c r="Z47" s="190"/>
      <c r="AA47" s="190"/>
      <c r="AB47" s="190"/>
      <c r="AC47" s="190"/>
      <c r="AD47" s="16"/>
    </row>
    <row r="48" spans="1:53" x14ac:dyDescent="0.35">
      <c r="A48" s="124" t="s">
        <v>1204</v>
      </c>
      <c r="B48" s="204">
        <v>0.75453957150234996</v>
      </c>
      <c r="C48" s="116"/>
      <c r="D48" s="116">
        <v>0.30995873550624098</v>
      </c>
      <c r="E48" s="116"/>
      <c r="F48" s="116">
        <v>0.26656970338006902</v>
      </c>
      <c r="G48" s="116">
        <v>0.74797738207432696</v>
      </c>
      <c r="H48" s="116"/>
      <c r="I48" s="116"/>
      <c r="J48" s="184">
        <v>0.424831068472868</v>
      </c>
      <c r="K48" s="116"/>
      <c r="L48" s="116">
        <v>0.75453957150234996</v>
      </c>
      <c r="M48" s="116">
        <v>0.603645056510136</v>
      </c>
      <c r="N48" s="116">
        <v>0.41975308641975301</v>
      </c>
      <c r="O48" s="116">
        <v>0.603645056510136</v>
      </c>
      <c r="P48" s="116">
        <v>0</v>
      </c>
      <c r="Q48" s="194"/>
      <c r="R48" s="181"/>
      <c r="S48" s="181"/>
      <c r="T48" s="181"/>
      <c r="U48" s="181"/>
      <c r="V48" s="192"/>
      <c r="W48" s="116"/>
      <c r="X48" s="116"/>
      <c r="Y48" s="116"/>
      <c r="Z48" s="190"/>
      <c r="AA48" s="190"/>
      <c r="AB48" s="190"/>
      <c r="AC48" s="190"/>
      <c r="AD48" s="16"/>
    </row>
    <row r="49" spans="1:30" x14ac:dyDescent="0.35">
      <c r="A49" s="124" t="s">
        <v>1205</v>
      </c>
      <c r="B49" s="205">
        <v>0.11055174040226599</v>
      </c>
      <c r="C49" s="182"/>
      <c r="D49" s="182">
        <v>0.60745539655338898</v>
      </c>
      <c r="E49" s="182"/>
      <c r="F49" s="182">
        <v>0.481617814312154</v>
      </c>
      <c r="G49" s="182">
        <v>0.67292651366109202</v>
      </c>
      <c r="H49" s="182"/>
      <c r="I49" s="182"/>
      <c r="J49" s="183">
        <v>3.0019745287544398E-2</v>
      </c>
      <c r="K49" s="182"/>
      <c r="L49" s="182">
        <v>0.533807680300455</v>
      </c>
      <c r="M49" s="182">
        <v>0.73576485987981199</v>
      </c>
      <c r="N49" s="182">
        <v>7.8140749411215807E-2</v>
      </c>
      <c r="O49" s="182">
        <v>0.73576485987981199</v>
      </c>
      <c r="P49" s="182">
        <v>0.603645056510136</v>
      </c>
      <c r="Q49" s="195">
        <v>3.4211388289180402E-48</v>
      </c>
      <c r="R49" s="182"/>
      <c r="S49" s="182"/>
      <c r="T49" s="182"/>
      <c r="U49" s="182"/>
      <c r="V49" s="182"/>
      <c r="W49" s="182"/>
      <c r="X49" s="182"/>
      <c r="Y49" s="182"/>
      <c r="Z49" s="182"/>
      <c r="AA49" s="182"/>
      <c r="AB49" s="182"/>
      <c r="AC49" s="182"/>
      <c r="AD49" s="115"/>
    </row>
    <row r="50" spans="1:30" x14ac:dyDescent="0.35">
      <c r="A50" s="125" t="s">
        <v>2096</v>
      </c>
      <c r="B50" s="204">
        <v>7.3561162994671497E-2</v>
      </c>
      <c r="C50" s="116"/>
      <c r="D50" s="116">
        <v>0.424831068472868</v>
      </c>
      <c r="E50" s="116"/>
      <c r="F50" s="116">
        <v>0.72460476366002502</v>
      </c>
      <c r="G50" s="116">
        <v>0.163063003980461</v>
      </c>
      <c r="H50" s="116"/>
      <c r="I50" s="116"/>
      <c r="J50" s="184">
        <v>0.55464642322193702</v>
      </c>
      <c r="K50" s="116"/>
      <c r="L50" s="116">
        <v>0.32966187912525302</v>
      </c>
      <c r="M50" s="116">
        <v>7.8140749411215807E-2</v>
      </c>
      <c r="N50" s="116">
        <v>0.41975308641975301</v>
      </c>
      <c r="O50" s="116">
        <v>0.603645056510136</v>
      </c>
      <c r="P50" s="116">
        <v>0.41975308641975301</v>
      </c>
      <c r="Q50" s="194">
        <v>0.603645056510136</v>
      </c>
      <c r="R50" s="116">
        <v>0</v>
      </c>
      <c r="S50" s="181"/>
      <c r="T50" s="181"/>
      <c r="U50" s="181"/>
      <c r="V50" s="192"/>
      <c r="W50" s="116"/>
      <c r="X50" s="116"/>
      <c r="Y50" s="116"/>
      <c r="Z50" s="190"/>
      <c r="AA50" s="190"/>
      <c r="AB50" s="190"/>
      <c r="AC50" s="190"/>
      <c r="AD50" s="16"/>
    </row>
    <row r="51" spans="1:30" x14ac:dyDescent="0.35">
      <c r="A51" s="125" t="s">
        <v>2097</v>
      </c>
      <c r="B51" s="204"/>
      <c r="C51" s="116"/>
      <c r="D51" s="116"/>
      <c r="E51" s="116"/>
      <c r="F51" s="116"/>
      <c r="G51" s="116"/>
      <c r="H51" s="116"/>
      <c r="I51" s="116"/>
      <c r="J51" s="184"/>
      <c r="K51" s="116"/>
      <c r="L51" s="116"/>
      <c r="M51" s="116"/>
      <c r="N51" s="116"/>
      <c r="O51" s="116"/>
      <c r="P51" s="116"/>
      <c r="Q51" s="194"/>
      <c r="R51" s="116"/>
      <c r="S51" s="116"/>
      <c r="T51" s="181"/>
      <c r="U51" s="181"/>
      <c r="V51" s="192"/>
      <c r="W51" s="116"/>
      <c r="X51" s="116"/>
      <c r="Y51" s="116"/>
      <c r="Z51" s="190"/>
      <c r="AA51" s="190"/>
      <c r="AB51" s="190"/>
      <c r="AC51" s="190"/>
      <c r="AD51" s="16"/>
    </row>
    <row r="52" spans="1:30" x14ac:dyDescent="0.35">
      <c r="A52" s="125" t="s">
        <v>2098</v>
      </c>
      <c r="B52" s="206"/>
      <c r="C52" s="122"/>
      <c r="D52" s="122"/>
      <c r="E52" s="122"/>
      <c r="F52" s="122"/>
      <c r="G52" s="122"/>
      <c r="H52" s="122"/>
      <c r="I52" s="122"/>
      <c r="J52" s="184"/>
      <c r="K52" s="122"/>
      <c r="L52" s="122"/>
      <c r="M52" s="122"/>
      <c r="N52" s="122"/>
      <c r="O52" s="122"/>
      <c r="P52" s="122"/>
      <c r="Q52" s="194"/>
      <c r="R52" s="122"/>
      <c r="S52" s="122"/>
      <c r="T52" s="122"/>
      <c r="U52" s="193"/>
      <c r="V52" s="193"/>
      <c r="W52" s="122"/>
      <c r="X52" s="122"/>
      <c r="Y52" s="122"/>
      <c r="Z52" s="190"/>
      <c r="AA52" s="190"/>
      <c r="AB52" s="190"/>
      <c r="AC52" s="190"/>
      <c r="AD52" s="16"/>
    </row>
    <row r="53" spans="1:30" x14ac:dyDescent="0.35">
      <c r="A53" s="125" t="s">
        <v>2099</v>
      </c>
      <c r="B53" s="206">
        <v>7.3561162994671497E-2</v>
      </c>
      <c r="C53" s="122"/>
      <c r="D53" s="122">
        <v>0.424831068472868</v>
      </c>
      <c r="E53" s="122"/>
      <c r="F53" s="122">
        <v>0.72460476366002502</v>
      </c>
      <c r="G53" s="122">
        <v>0.163063003980461</v>
      </c>
      <c r="H53" s="122"/>
      <c r="I53" s="122"/>
      <c r="J53" s="184">
        <v>0.55464642322193702</v>
      </c>
      <c r="K53" s="122"/>
      <c r="L53" s="122">
        <v>0.32966187912525302</v>
      </c>
      <c r="M53" s="122">
        <v>7.8140749411215807E-2</v>
      </c>
      <c r="N53" s="122">
        <v>0.41975308641975301</v>
      </c>
      <c r="O53" s="122">
        <v>0.603645056510136</v>
      </c>
      <c r="P53" s="122">
        <v>0.41975308641975301</v>
      </c>
      <c r="Q53" s="194">
        <v>0.603645056510136</v>
      </c>
      <c r="R53" s="122">
        <v>0</v>
      </c>
      <c r="S53" s="122"/>
      <c r="T53" s="122"/>
      <c r="U53" s="122">
        <v>0</v>
      </c>
      <c r="V53" s="193"/>
      <c r="W53" s="122"/>
      <c r="X53" s="122"/>
      <c r="Y53" s="122"/>
      <c r="Z53" s="190"/>
      <c r="AA53" s="190"/>
      <c r="AB53" s="190"/>
      <c r="AC53" s="190"/>
      <c r="AD53" s="16"/>
    </row>
    <row r="54" spans="1:30" x14ac:dyDescent="0.35">
      <c r="A54" s="125" t="s">
        <v>2247</v>
      </c>
      <c r="B54" s="207">
        <v>1</v>
      </c>
      <c r="C54" s="208"/>
      <c r="D54" s="208">
        <v>1.28263383328053E-2</v>
      </c>
      <c r="E54" s="208"/>
      <c r="F54" s="208">
        <v>0.16340949382292</v>
      </c>
      <c r="G54" s="208">
        <v>0.646823144131631</v>
      </c>
      <c r="H54" s="208"/>
      <c r="I54" s="208"/>
      <c r="J54" s="209">
        <v>0.171808598259868</v>
      </c>
      <c r="K54" s="208"/>
      <c r="L54" s="208">
        <v>0.25557927504370598</v>
      </c>
      <c r="M54" s="208">
        <v>0.38976227258500901</v>
      </c>
      <c r="N54" s="208">
        <v>0.74966713473413304</v>
      </c>
      <c r="O54" s="208">
        <v>0.27240863866819598</v>
      </c>
      <c r="P54" s="208">
        <v>0.63018309678491602</v>
      </c>
      <c r="Q54" s="209">
        <v>0.38976227258500901</v>
      </c>
      <c r="R54" s="208">
        <v>0.74966713473413304</v>
      </c>
      <c r="S54" s="208"/>
      <c r="T54" s="208"/>
      <c r="U54" s="208">
        <v>0.74966713473413304</v>
      </c>
      <c r="V54" s="215">
        <v>0</v>
      </c>
      <c r="W54" s="216"/>
      <c r="X54" s="216"/>
      <c r="Y54" s="216"/>
      <c r="Z54" s="217"/>
      <c r="AA54" s="217"/>
      <c r="AB54" s="217"/>
      <c r="AC54" s="217"/>
      <c r="AD54" s="99"/>
    </row>
    <row r="55" spans="1:30" x14ac:dyDescent="0.35">
      <c r="A55" s="125" t="s">
        <v>2248</v>
      </c>
      <c r="B55" s="207">
        <v>1.42681379392257E-4</v>
      </c>
      <c r="C55" s="208"/>
      <c r="D55" s="208">
        <v>0.34193322433588702</v>
      </c>
      <c r="E55" s="208"/>
      <c r="F55" s="208">
        <v>0.18033478918715001</v>
      </c>
      <c r="G55" s="208">
        <v>1.6964736255752001E-2</v>
      </c>
      <c r="H55" s="208"/>
      <c r="I55" s="208"/>
      <c r="J55" s="209">
        <v>0.33107636393136403</v>
      </c>
      <c r="K55" s="208"/>
      <c r="L55" s="208">
        <v>3.0929927501063801E-2</v>
      </c>
      <c r="M55" s="208">
        <v>0.68524498889471797</v>
      </c>
      <c r="N55" s="208">
        <v>0.87777617747630499</v>
      </c>
      <c r="O55" s="208">
        <v>0.53928872097580605</v>
      </c>
      <c r="P55" s="208">
        <v>0.87777617747630499</v>
      </c>
      <c r="Q55" s="209">
        <v>0.116497931954911</v>
      </c>
      <c r="R55" s="208">
        <v>0.183544274571556</v>
      </c>
      <c r="S55" s="208"/>
      <c r="T55" s="208"/>
      <c r="U55" s="208">
        <v>0.183544274571556</v>
      </c>
      <c r="V55" s="207">
        <v>0.85153883170770195</v>
      </c>
      <c r="W55" s="208">
        <v>0</v>
      </c>
      <c r="X55" s="208"/>
      <c r="Y55" s="208"/>
      <c r="Z55" s="210"/>
      <c r="AA55" s="210"/>
      <c r="AB55" s="210"/>
      <c r="AC55" s="210"/>
      <c r="AD55" s="16"/>
    </row>
    <row r="56" spans="1:30" x14ac:dyDescent="0.35">
      <c r="A56" s="125" t="s">
        <v>2249</v>
      </c>
      <c r="B56" s="207">
        <v>3.0929927501063801E-2</v>
      </c>
      <c r="C56" s="208"/>
      <c r="D56" s="208">
        <v>6.3861487598498995E-2</v>
      </c>
      <c r="E56" s="208"/>
      <c r="F56" s="208">
        <v>0.482272119419763</v>
      </c>
      <c r="G56" s="208">
        <v>1.6964736255752001E-2</v>
      </c>
      <c r="H56" s="208"/>
      <c r="I56" s="208"/>
      <c r="J56" s="209">
        <v>0.80431049013532796</v>
      </c>
      <c r="K56" s="208"/>
      <c r="L56" s="208">
        <v>1.42681379392257E-4</v>
      </c>
      <c r="M56" s="208">
        <v>0.68524498889471797</v>
      </c>
      <c r="N56" s="208">
        <v>0.64160211472435702</v>
      </c>
      <c r="O56" s="208">
        <v>0.53928872097580605</v>
      </c>
      <c r="P56" s="208">
        <v>0.87777617747630499</v>
      </c>
      <c r="Q56" s="209">
        <v>0.53928872097580605</v>
      </c>
      <c r="R56" s="208">
        <v>0.53160062968256505</v>
      </c>
      <c r="S56" s="208"/>
      <c r="T56" s="208"/>
      <c r="U56" s="208">
        <v>0.53160062968256505</v>
      </c>
      <c r="V56" s="207">
        <v>0.36548048025435798</v>
      </c>
      <c r="W56" s="208">
        <v>1.83947102705782E-2</v>
      </c>
      <c r="X56" s="208">
        <v>0</v>
      </c>
      <c r="Y56" s="208"/>
      <c r="Z56" s="210"/>
      <c r="AA56" s="210"/>
      <c r="AB56" s="210"/>
      <c r="AC56" s="210"/>
      <c r="AD56" s="16"/>
    </row>
    <row r="57" spans="1:30" x14ac:dyDescent="0.35">
      <c r="A57" s="125" t="s">
        <v>2228</v>
      </c>
      <c r="B57" s="211">
        <v>0.11055174040226599</v>
      </c>
      <c r="C57" s="210"/>
      <c r="D57" s="210">
        <v>0.74995658484230399</v>
      </c>
      <c r="E57" s="210"/>
      <c r="F57" s="210">
        <v>0.12724658986372001</v>
      </c>
      <c r="G57" s="210">
        <v>0.91659127119380202</v>
      </c>
      <c r="H57" s="210"/>
      <c r="I57" s="210"/>
      <c r="J57" s="209">
        <v>0.35591768374958199</v>
      </c>
      <c r="K57" s="210"/>
      <c r="L57" s="210">
        <v>0.44281774523450501</v>
      </c>
      <c r="M57" s="210">
        <v>0.492726245016957</v>
      </c>
      <c r="N57" s="210">
        <v>0.48446244881272799</v>
      </c>
      <c r="O57" s="210">
        <v>0.492726245016957</v>
      </c>
      <c r="P57" s="210">
        <v>0.13020124213513501</v>
      </c>
      <c r="Q57" s="209">
        <v>7.0987654320987595E-2</v>
      </c>
      <c r="R57" s="210">
        <v>0.27965829090465699</v>
      </c>
      <c r="S57" s="210"/>
      <c r="T57" s="210"/>
      <c r="U57" s="210">
        <v>0.27965829090465699</v>
      </c>
      <c r="V57" s="211">
        <v>0.74075649194481197</v>
      </c>
      <c r="W57" s="210">
        <v>0.158561665959361</v>
      </c>
      <c r="X57" s="210">
        <v>0.52766651004129805</v>
      </c>
      <c r="Y57" s="210">
        <v>0</v>
      </c>
      <c r="Z57" s="210"/>
      <c r="AA57" s="210"/>
      <c r="AB57" s="210"/>
      <c r="AC57" s="210"/>
      <c r="AD57" s="16"/>
    </row>
    <row r="58" spans="1:30" x14ac:dyDescent="0.35">
      <c r="A58" s="125" t="s">
        <v>2169</v>
      </c>
      <c r="B58" s="211">
        <v>1.54399588089568E-3</v>
      </c>
      <c r="C58" s="210"/>
      <c r="D58" s="210">
        <v>0.13439547637784399</v>
      </c>
      <c r="E58" s="210"/>
      <c r="F58" s="210">
        <v>0.77554896097050097</v>
      </c>
      <c r="G58" s="210">
        <v>6.7906390430927102E-3</v>
      </c>
      <c r="H58" s="210"/>
      <c r="I58" s="210"/>
      <c r="J58" s="209">
        <v>0.60510100026403002</v>
      </c>
      <c r="K58" s="210"/>
      <c r="L58" s="210">
        <v>1.03426783680845E-2</v>
      </c>
      <c r="M58" s="210">
        <v>0.38976227258500901</v>
      </c>
      <c r="N58" s="210">
        <v>0.74966713473413304</v>
      </c>
      <c r="O58" s="210">
        <v>0.17584202850799699</v>
      </c>
      <c r="P58" s="210">
        <v>0.87368440805167003</v>
      </c>
      <c r="Q58" s="209">
        <v>0.17584202850799699</v>
      </c>
      <c r="R58" s="210">
        <v>0.16655675229756001</v>
      </c>
      <c r="S58" s="210"/>
      <c r="T58" s="210"/>
      <c r="U58" s="210">
        <v>0.16655675229756001</v>
      </c>
      <c r="V58" s="211">
        <v>0.52245949023489302</v>
      </c>
      <c r="W58" s="210">
        <v>2.2388295665935298E-3</v>
      </c>
      <c r="X58" s="210">
        <v>1.2354729861835299E-2</v>
      </c>
      <c r="Y58" s="210">
        <v>0.338486650209739</v>
      </c>
      <c r="Z58" s="210">
        <v>0</v>
      </c>
      <c r="AA58" s="210"/>
      <c r="AB58" s="210"/>
      <c r="AC58" s="210"/>
      <c r="AD58" s="16"/>
    </row>
    <row r="59" spans="1:30" x14ac:dyDescent="0.35">
      <c r="A59" s="125" t="s">
        <v>2081</v>
      </c>
      <c r="B59" s="211">
        <v>1.4951984058423099E-2</v>
      </c>
      <c r="C59" s="210"/>
      <c r="D59" s="210">
        <v>0.13514778102429401</v>
      </c>
      <c r="E59" s="210"/>
      <c r="F59" s="210">
        <v>0.75876485652885495</v>
      </c>
      <c r="G59" s="210">
        <v>0.145166886801222</v>
      </c>
      <c r="H59" s="210"/>
      <c r="I59" s="210"/>
      <c r="J59" s="209">
        <v>0.35591768374958199</v>
      </c>
      <c r="K59" s="210"/>
      <c r="L59" s="210">
        <v>4.28822449982844E-2</v>
      </c>
      <c r="M59" s="210">
        <v>0.492726245016957</v>
      </c>
      <c r="N59" s="210">
        <v>0.48446244881272799</v>
      </c>
      <c r="O59" s="210">
        <v>0.35181255311756399</v>
      </c>
      <c r="P59" s="210">
        <v>0.86409413498837795</v>
      </c>
      <c r="Q59" s="209">
        <v>7.0987654320987595E-2</v>
      </c>
      <c r="R59" s="210">
        <v>0.27965829090465699</v>
      </c>
      <c r="S59" s="210"/>
      <c r="T59" s="210"/>
      <c r="U59" s="210">
        <v>0.27965829090465699</v>
      </c>
      <c r="V59" s="211">
        <v>0.43306436863877301</v>
      </c>
      <c r="W59" s="210">
        <v>1.7398526887714299E-2</v>
      </c>
      <c r="X59" s="210">
        <v>4.6987604404850503E-2</v>
      </c>
      <c r="Y59" s="210">
        <v>0.107484290059949</v>
      </c>
      <c r="Z59" s="210">
        <v>1.88111911137562E-3</v>
      </c>
      <c r="AA59" s="210">
        <v>0</v>
      </c>
      <c r="AB59" s="210"/>
      <c r="AC59" s="210"/>
      <c r="AD59" s="16"/>
    </row>
    <row r="60" spans="1:30" x14ac:dyDescent="0.35">
      <c r="A60" s="125" t="s">
        <v>2061</v>
      </c>
      <c r="B60" s="211">
        <v>3.1802126353224101E-3</v>
      </c>
      <c r="C60" s="210"/>
      <c r="D60" s="210">
        <v>0.27210219558124599</v>
      </c>
      <c r="E60" s="210"/>
      <c r="F60" s="210">
        <v>0.243737283950617</v>
      </c>
      <c r="G60" s="210">
        <v>3.9659782507608703E-2</v>
      </c>
      <c r="H60" s="210"/>
      <c r="I60" s="210"/>
      <c r="J60" s="209">
        <v>0.86218019116419398</v>
      </c>
      <c r="K60" s="210"/>
      <c r="L60" s="210">
        <v>8.0033514123489802E-2</v>
      </c>
      <c r="M60" s="210">
        <v>0.21994381924181799</v>
      </c>
      <c r="N60" s="210">
        <v>0.72460476366002502</v>
      </c>
      <c r="O60" s="210">
        <v>0.481617814312154</v>
      </c>
      <c r="P60" s="210">
        <v>0.26656970338006902</v>
      </c>
      <c r="Q60" s="209">
        <v>0.481617814312154</v>
      </c>
      <c r="R60" s="210">
        <v>3.3797787500090798E-2</v>
      </c>
      <c r="S60" s="210"/>
      <c r="T60" s="210"/>
      <c r="U60" s="210">
        <v>3.3797787500090798E-2</v>
      </c>
      <c r="V60" s="211">
        <v>1</v>
      </c>
      <c r="W60" s="210">
        <v>1.29688103366647E-2</v>
      </c>
      <c r="X60" s="210">
        <v>0.12792344471525999</v>
      </c>
      <c r="Y60" s="210">
        <v>0.12724658986372001</v>
      </c>
      <c r="Z60" s="210">
        <v>4.1741613627035899E-2</v>
      </c>
      <c r="AA60" s="210">
        <v>0.12724658986372001</v>
      </c>
      <c r="AB60" s="210">
        <v>0</v>
      </c>
      <c r="AC60" s="210"/>
      <c r="AD60" s="16"/>
    </row>
    <row r="61" spans="1:30" x14ac:dyDescent="0.35">
      <c r="A61" s="125" t="s">
        <v>2024</v>
      </c>
      <c r="B61" s="211">
        <v>5.47461132643145E-2</v>
      </c>
      <c r="C61" s="210"/>
      <c r="D61" s="210">
        <v>0.26319451782249598</v>
      </c>
      <c r="E61" s="210"/>
      <c r="F61" s="210">
        <v>0.183626181093277</v>
      </c>
      <c r="G61" s="210">
        <v>8.9755504067675601E-2</v>
      </c>
      <c r="H61" s="210"/>
      <c r="I61" s="210"/>
      <c r="J61" s="209">
        <v>0.57858872905573</v>
      </c>
      <c r="K61" s="210"/>
      <c r="L61" s="210">
        <v>4.2829008557516E-2</v>
      </c>
      <c r="M61" s="210">
        <v>0.84130108564756101</v>
      </c>
      <c r="N61" s="210">
        <v>0.64376180694032603</v>
      </c>
      <c r="O61" s="210">
        <v>0.84130108564756101</v>
      </c>
      <c r="P61" s="210">
        <v>0.75913824745847702</v>
      </c>
      <c r="Q61" s="209">
        <v>0.40964081592738399</v>
      </c>
      <c r="R61" s="210">
        <v>0.18684601895657901</v>
      </c>
      <c r="S61" s="210"/>
      <c r="T61" s="210"/>
      <c r="U61" s="210">
        <v>0.18684601895657901</v>
      </c>
      <c r="V61" s="211">
        <v>0.75593639697727699</v>
      </c>
      <c r="W61" s="210">
        <v>3.15307212316705E-2</v>
      </c>
      <c r="X61" s="210">
        <v>2.3268632976668899E-2</v>
      </c>
      <c r="Y61" s="210">
        <v>0.34939571539095199</v>
      </c>
      <c r="Z61" s="210">
        <v>7.9884556631806602E-2</v>
      </c>
      <c r="AA61" s="210">
        <v>0.130816014344248</v>
      </c>
      <c r="AB61" s="210">
        <v>0.183626181093277</v>
      </c>
      <c r="AC61" s="210">
        <v>0</v>
      </c>
      <c r="AD61" s="16"/>
    </row>
    <row r="62" spans="1:30" ht="15" thickBot="1" x14ac:dyDescent="0.4">
      <c r="A62" s="224" t="s">
        <v>2250</v>
      </c>
      <c r="B62" s="212">
        <v>1</v>
      </c>
      <c r="C62" s="213"/>
      <c r="D62" s="213">
        <v>0.40566247350600898</v>
      </c>
      <c r="E62" s="213"/>
      <c r="F62" s="213">
        <v>0.49906137962992297</v>
      </c>
      <c r="G62" s="213">
        <v>0.16705323814408499</v>
      </c>
      <c r="H62" s="213"/>
      <c r="I62" s="213"/>
      <c r="J62" s="214">
        <v>0.161938228466283</v>
      </c>
      <c r="K62" s="213"/>
      <c r="L62" s="213">
        <v>0.32549757336433999</v>
      </c>
      <c r="M62" s="213">
        <v>0.84605252386664398</v>
      </c>
      <c r="N62" s="213">
        <v>9.41327665658164E-2</v>
      </c>
      <c r="O62" s="213">
        <v>0.30995873550624098</v>
      </c>
      <c r="P62" s="213">
        <v>0.54716161242702699</v>
      </c>
      <c r="Q62" s="214">
        <v>0.13397459621556099</v>
      </c>
      <c r="R62" s="213">
        <v>0.76626006575934702</v>
      </c>
      <c r="S62" s="213"/>
      <c r="T62" s="213"/>
      <c r="U62" s="213">
        <v>0.76626006575934702</v>
      </c>
      <c r="V62" s="218">
        <v>0.38451607682954198</v>
      </c>
      <c r="W62" s="219">
        <v>0.97683831568996504</v>
      </c>
      <c r="X62" s="219">
        <v>0.31606468312905001</v>
      </c>
      <c r="Y62" s="219">
        <v>6.7055745087942098E-2</v>
      </c>
      <c r="Z62" s="219">
        <v>0.74005822247797004</v>
      </c>
      <c r="AA62" s="219">
        <v>0.64796681117312904</v>
      </c>
      <c r="AB62" s="219">
        <v>0.89457909100176902</v>
      </c>
      <c r="AC62" s="219">
        <v>0.88520388308900699</v>
      </c>
      <c r="AD62" s="220">
        <v>0</v>
      </c>
    </row>
    <row r="63" spans="1:30" x14ac:dyDescent="0.35">
      <c r="A63" s="80"/>
    </row>
    <row r="64" spans="1:30" ht="15" thickBot="1" x14ac:dyDescent="0.4">
      <c r="A64" s="81"/>
    </row>
  </sheetData>
  <conditionalFormatting sqref="B54:AC57 B60:AC62">
    <cfRule type="expression" dxfId="56" priority="21">
      <formula>AND(B86&lt;$AG$35,NOT(ISBLANK(B54)))</formula>
    </cfRule>
    <cfRule type="expression" dxfId="55" priority="22">
      <formula>AND(B86&lt;$AG$34,NOT(ISBLANK(B54)))</formula>
    </cfRule>
    <cfRule type="expression" dxfId="54" priority="23">
      <formula>AND(B86&lt;$AG$33,NOT(ISBLANK(B54)))</formula>
    </cfRule>
  </conditionalFormatting>
  <conditionalFormatting sqref="B34:AC62">
    <cfRule type="expression" dxfId="53" priority="24">
      <formula>B66&gt;$AG$33</formula>
    </cfRule>
  </conditionalFormatting>
  <conditionalFormatting sqref="AD62">
    <cfRule type="expression" dxfId="52" priority="17">
      <formula>AND(AD94&lt;$AG$35,NOT(ISBLANK(AD62)))</formula>
    </cfRule>
    <cfRule type="expression" dxfId="51" priority="18">
      <formula>AND(AD94&lt;$AG$34,NOT(ISBLANK(AD62)))</formula>
    </cfRule>
    <cfRule type="expression" dxfId="50" priority="19">
      <formula>AND(AD94&lt;$AG$33,NOT(ISBLANK(AD62)))</formula>
    </cfRule>
  </conditionalFormatting>
  <conditionalFormatting sqref="AD62">
    <cfRule type="expression" dxfId="49" priority="20">
      <formula>AD94&gt;$AG$33</formula>
    </cfRule>
  </conditionalFormatting>
  <conditionalFormatting sqref="B2:AC29 B30:U30">
    <cfRule type="expression" dxfId="48" priority="4">
      <formula>B34&gt;$AG$33</formula>
    </cfRule>
  </conditionalFormatting>
  <conditionalFormatting sqref="B28:AD30 AB2:AD27">
    <cfRule type="expression" dxfId="47" priority="1">
      <formula>AND(B34&lt;$AG$35,NOT(ISBLANK(B2)))</formula>
    </cfRule>
    <cfRule type="expression" dxfId="46" priority="2">
      <formula>AND(B34&lt;$AG$34,NOT(ISBLANK(B2)))</formula>
    </cfRule>
    <cfRule type="expression" dxfId="45" priority="3">
      <formula>AND(B34&lt;$AG$33,NOT(ISBLANK(B2)))</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2F4AD-A835-4A21-8D9B-1E4DA83A6083}">
  <sheetPr>
    <tabColor rgb="FFC00000"/>
  </sheetPr>
  <dimension ref="A1:BH107"/>
  <sheetViews>
    <sheetView zoomScale="25" zoomScaleNormal="25" workbookViewId="0"/>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1" spans="1:60" s="45" customFormat="1" ht="69" customHeight="1"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s="83" t="s">
        <v>2061</v>
      </c>
      <c r="AP1" s="83" t="s">
        <v>2024</v>
      </c>
      <c r="AQ1" s="83" t="s">
        <v>2054</v>
      </c>
      <c r="AR1" s="83"/>
      <c r="AS1" s="83"/>
      <c r="AT1" s="83"/>
      <c r="AU1" s="83"/>
      <c r="AV1" s="90"/>
      <c r="AW1" s="90"/>
      <c r="AX1" s="90"/>
      <c r="AY1" s="90"/>
      <c r="AZ1"/>
      <c r="BA1"/>
      <c r="BB1"/>
      <c r="BC1"/>
      <c r="BD1"/>
      <c r="BE1"/>
      <c r="BF1"/>
      <c r="BG1"/>
      <c r="BH1"/>
    </row>
    <row r="2" spans="1:60" x14ac:dyDescent="0.35">
      <c r="A2" t="str" cm="1">
        <f t="array" ref="A2:AQ13">_xlfn._xlws.FILTER('Summary per Company and Use Cas'!A159:AQ215,'Summary per Company and Use Cas'!C159:C215=A15)</f>
        <v>Aurora-Trucking</v>
      </c>
      <c r="B2" t="str">
        <v>Aurora</v>
      </c>
      <c r="C2" t="str">
        <v>Trucking</v>
      </c>
      <c r="D2">
        <v>4</v>
      </c>
      <c r="E2" t="str">
        <v>Continental; Hirschbach; Covenant; U.S. Xpress</v>
      </c>
      <c r="F2">
        <v>2</v>
      </c>
      <c r="G2" t="str">
        <v>Logistics</v>
      </c>
      <c r="H2">
        <v>0.75</v>
      </c>
      <c r="I2" t="str">
        <v>Automotive Supplier</v>
      </c>
      <c r="J2">
        <v>0.25</v>
      </c>
      <c r="K2" t="str">
        <v/>
      </c>
      <c r="L2" t="str">
        <v/>
      </c>
      <c r="M2" t="str">
        <v>L1</v>
      </c>
      <c r="N2">
        <v>164</v>
      </c>
      <c r="O2">
        <v>1</v>
      </c>
      <c r="P2">
        <v>1</v>
      </c>
      <c r="Q2">
        <v>0</v>
      </c>
      <c r="R2">
        <v>0</v>
      </c>
      <c r="S2">
        <v>3</v>
      </c>
      <c r="T2">
        <v>0</v>
      </c>
      <c r="U2">
        <v>0</v>
      </c>
      <c r="V2">
        <v>0</v>
      </c>
      <c r="W2">
        <v>0</v>
      </c>
      <c r="X2">
        <v>0</v>
      </c>
      <c r="Y2">
        <v>3</v>
      </c>
      <c r="Z2">
        <v>0</v>
      </c>
      <c r="AA2">
        <v>1</v>
      </c>
      <c r="AB2">
        <v>0</v>
      </c>
      <c r="AC2">
        <v>0</v>
      </c>
      <c r="AD2">
        <v>0</v>
      </c>
      <c r="AE2">
        <v>1</v>
      </c>
      <c r="AF2">
        <v>0</v>
      </c>
      <c r="AG2">
        <v>0</v>
      </c>
      <c r="AH2">
        <v>0</v>
      </c>
      <c r="AI2">
        <v>3</v>
      </c>
      <c r="AJ2">
        <v>2</v>
      </c>
      <c r="AK2">
        <v>3</v>
      </c>
      <c r="AL2">
        <v>0</v>
      </c>
      <c r="AM2">
        <v>4</v>
      </c>
      <c r="AN2">
        <v>2</v>
      </c>
      <c r="AO2">
        <v>1</v>
      </c>
      <c r="AP2">
        <v>1700</v>
      </c>
      <c r="AQ2">
        <v>3710</v>
      </c>
      <c r="AV2" s="154"/>
      <c r="AW2" s="154"/>
      <c r="AX2" s="154"/>
      <c r="AY2" s="154"/>
      <c r="AZ2" s="154"/>
      <c r="BA2" s="154"/>
      <c r="BB2" s="154"/>
      <c r="BC2" s="118"/>
      <c r="BD2" s="118"/>
      <c r="BE2" s="118"/>
      <c r="BF2" s="118"/>
      <c r="BG2" s="118"/>
      <c r="BH2" s="118"/>
    </row>
    <row r="3" spans="1:60" x14ac:dyDescent="0.35">
      <c r="A3" t="str">
        <v>Einride-Trucking</v>
      </c>
      <c r="B3" t="str">
        <v>Einride</v>
      </c>
      <c r="C3" t="str">
        <v>Trucking</v>
      </c>
      <c r="D3">
        <v>14</v>
      </c>
      <c r="E3" t="str">
        <v>Bridgestone; Ericsson;Bridgestone; SKF; Svenska Retursystem; Polarrenen; Ericsson;Telia; Oatly; Electrolux; Beyond Meat; Coca - Cola; UAE Ministry of Energy and Infrastructure; Oatly; GE Appliances; Lidl</v>
      </c>
      <c r="F3">
        <v>9</v>
      </c>
      <c r="G3" t="str">
        <v>Food &amp; Beverage</v>
      </c>
      <c r="H3">
        <v>0.25</v>
      </c>
      <c r="I3" t="str">
        <v>Telecommunications</v>
      </c>
      <c r="J3">
        <v>0.1875</v>
      </c>
      <c r="K3" t="str">
        <v>Automotive Supplier</v>
      </c>
      <c r="L3">
        <v>0.125</v>
      </c>
      <c r="M3" t="str">
        <v>L2</v>
      </c>
      <c r="N3">
        <v>9</v>
      </c>
      <c r="O3">
        <v>2</v>
      </c>
      <c r="P3">
        <v>0</v>
      </c>
      <c r="Q3">
        <v>0</v>
      </c>
      <c r="R3">
        <v>1</v>
      </c>
      <c r="S3">
        <v>10</v>
      </c>
      <c r="T3">
        <v>0</v>
      </c>
      <c r="U3">
        <v>0</v>
      </c>
      <c r="V3">
        <v>1</v>
      </c>
      <c r="W3">
        <v>1</v>
      </c>
      <c r="X3">
        <v>1</v>
      </c>
      <c r="Y3">
        <v>5</v>
      </c>
      <c r="Z3">
        <v>1</v>
      </c>
      <c r="AA3">
        <v>7</v>
      </c>
      <c r="AB3">
        <v>0</v>
      </c>
      <c r="AC3">
        <v>0</v>
      </c>
      <c r="AD3">
        <v>0</v>
      </c>
      <c r="AE3">
        <v>0</v>
      </c>
      <c r="AF3">
        <v>1</v>
      </c>
      <c r="AG3">
        <v>0</v>
      </c>
      <c r="AH3">
        <v>0</v>
      </c>
      <c r="AI3">
        <v>10</v>
      </c>
      <c r="AJ3">
        <v>3</v>
      </c>
      <c r="AK3">
        <v>7</v>
      </c>
      <c r="AL3">
        <v>0</v>
      </c>
      <c r="AM3">
        <v>14</v>
      </c>
      <c r="AN3">
        <v>9</v>
      </c>
      <c r="AO3">
        <v>0</v>
      </c>
      <c r="AP3">
        <v>375</v>
      </c>
      <c r="AQ3">
        <v>652.34307000000001</v>
      </c>
      <c r="AV3" s="154"/>
      <c r="AW3" s="154"/>
      <c r="AX3" s="154"/>
      <c r="AY3" s="154"/>
      <c r="AZ3" s="154"/>
      <c r="BA3" s="154"/>
      <c r="BB3" s="154"/>
      <c r="BC3" s="118"/>
      <c r="BD3" s="118"/>
      <c r="BE3" s="118"/>
      <c r="BF3" s="118"/>
      <c r="BG3" s="118"/>
      <c r="BH3" s="118"/>
    </row>
    <row r="4" spans="1:60" x14ac:dyDescent="0.35">
      <c r="A4" t="str">
        <v>Gatik-Trucking</v>
      </c>
      <c r="B4" t="str">
        <v>Gatik</v>
      </c>
      <c r="C4" t="str">
        <v>Trucking</v>
      </c>
      <c r="D4">
        <v>7</v>
      </c>
      <c r="E4" t="str">
        <v>Goodyear; Ryder; Walmart; ChargePoint; Isuzu North America; Pitney Bowes; Kroger</v>
      </c>
      <c r="F4">
        <v>4</v>
      </c>
      <c r="G4" t="str">
        <v>Logistics</v>
      </c>
      <c r="H4">
        <v>0.2857142857142857</v>
      </c>
      <c r="I4" t="str">
        <v>Logistics</v>
      </c>
      <c r="J4">
        <v>0.2857142857142857</v>
      </c>
      <c r="K4" t="str">
        <v>OEM Commercial Vehicles</v>
      </c>
      <c r="L4">
        <v>0.14285714285714285</v>
      </c>
      <c r="M4" t="str">
        <v>L1</v>
      </c>
      <c r="N4">
        <v>27</v>
      </c>
      <c r="O4">
        <v>3</v>
      </c>
      <c r="P4">
        <v>0</v>
      </c>
      <c r="Q4">
        <v>2</v>
      </c>
      <c r="R4">
        <v>2</v>
      </c>
      <c r="S4">
        <v>1</v>
      </c>
      <c r="T4">
        <v>0</v>
      </c>
      <c r="U4">
        <v>0</v>
      </c>
      <c r="V4">
        <v>0</v>
      </c>
      <c r="W4">
        <v>2</v>
      </c>
      <c r="X4">
        <v>1</v>
      </c>
      <c r="Y4">
        <v>2</v>
      </c>
      <c r="Z4">
        <v>0</v>
      </c>
      <c r="AA4">
        <v>2</v>
      </c>
      <c r="AB4">
        <v>0</v>
      </c>
      <c r="AC4">
        <v>2</v>
      </c>
      <c r="AD4">
        <v>0</v>
      </c>
      <c r="AE4">
        <v>1</v>
      </c>
      <c r="AF4">
        <v>0</v>
      </c>
      <c r="AG4">
        <v>0</v>
      </c>
      <c r="AH4">
        <v>0</v>
      </c>
      <c r="AI4">
        <v>3</v>
      </c>
      <c r="AJ4">
        <v>5</v>
      </c>
      <c r="AK4">
        <v>3</v>
      </c>
      <c r="AL4">
        <v>2</v>
      </c>
      <c r="AM4">
        <v>7</v>
      </c>
      <c r="AN4">
        <v>4</v>
      </c>
      <c r="AO4">
        <v>0</v>
      </c>
      <c r="AP4">
        <v>120</v>
      </c>
      <c r="AQ4">
        <v>122.857843</v>
      </c>
      <c r="AV4" s="154"/>
      <c r="AW4" s="154"/>
      <c r="AX4" s="154"/>
      <c r="AY4" s="154"/>
      <c r="AZ4" s="154"/>
      <c r="BA4" s="154"/>
      <c r="BB4" s="154"/>
      <c r="BC4" s="118"/>
      <c r="BD4" s="118"/>
      <c r="BE4" s="118"/>
      <c r="BF4" s="118"/>
      <c r="BG4" s="118"/>
      <c r="BH4" s="118"/>
    </row>
    <row r="5" spans="1:60" x14ac:dyDescent="0.35">
      <c r="A5" t="str">
        <v>Kodiak-Trucking</v>
      </c>
      <c r="B5" t="str">
        <v>Kodiak</v>
      </c>
      <c r="C5" t="str">
        <v>Trucking</v>
      </c>
      <c r="D5">
        <v>2</v>
      </c>
      <c r="E5" t="str">
        <v>Ten Roads Express; Werner</v>
      </c>
      <c r="F5">
        <v>1</v>
      </c>
      <c r="G5" t="str">
        <v>Logistics</v>
      </c>
      <c r="H5">
        <v>1</v>
      </c>
      <c r="I5" t="str">
        <v/>
      </c>
      <c r="J5" t="str">
        <v/>
      </c>
      <c r="K5" t="str">
        <v/>
      </c>
      <c r="L5" t="str">
        <v/>
      </c>
      <c r="M5" t="str">
        <v>L1</v>
      </c>
      <c r="N5">
        <v>4</v>
      </c>
      <c r="O5">
        <v>1</v>
      </c>
      <c r="P5">
        <v>0</v>
      </c>
      <c r="Q5">
        <v>0</v>
      </c>
      <c r="R5">
        <v>0</v>
      </c>
      <c r="S5">
        <v>1</v>
      </c>
      <c r="T5">
        <v>0</v>
      </c>
      <c r="U5">
        <v>0</v>
      </c>
      <c r="V5">
        <v>0</v>
      </c>
      <c r="W5">
        <v>0</v>
      </c>
      <c r="X5">
        <v>0</v>
      </c>
      <c r="Y5">
        <v>2</v>
      </c>
      <c r="Z5">
        <v>0</v>
      </c>
      <c r="AA5">
        <v>0</v>
      </c>
      <c r="AB5">
        <v>0</v>
      </c>
      <c r="AC5">
        <v>0</v>
      </c>
      <c r="AD5">
        <v>0</v>
      </c>
      <c r="AE5">
        <v>1</v>
      </c>
      <c r="AF5">
        <v>0</v>
      </c>
      <c r="AG5">
        <v>0</v>
      </c>
      <c r="AH5">
        <v>0</v>
      </c>
      <c r="AI5">
        <v>1</v>
      </c>
      <c r="AJ5">
        <v>1</v>
      </c>
      <c r="AK5">
        <v>2</v>
      </c>
      <c r="AL5">
        <v>0</v>
      </c>
      <c r="AM5">
        <v>2</v>
      </c>
      <c r="AN5">
        <v>1</v>
      </c>
      <c r="AO5">
        <v>0</v>
      </c>
      <c r="AP5">
        <v>250</v>
      </c>
      <c r="AQ5">
        <v>319.89999999999998</v>
      </c>
      <c r="AV5" s="154"/>
      <c r="AW5" s="154"/>
      <c r="AX5" s="154"/>
      <c r="AY5" s="154"/>
      <c r="AZ5" s="154"/>
      <c r="BA5" s="154"/>
      <c r="BB5" s="154"/>
      <c r="BC5" s="118"/>
      <c r="BD5" s="118"/>
      <c r="BE5" s="118"/>
      <c r="BF5" s="118"/>
      <c r="BG5" s="118"/>
      <c r="BH5" s="118"/>
    </row>
    <row r="6" spans="1:60" x14ac:dyDescent="0.35">
      <c r="A6" t="str">
        <v>Plus.ai-Trucking</v>
      </c>
      <c r="B6" t="str">
        <v>Plus.ai</v>
      </c>
      <c r="C6" t="str">
        <v>Trucking</v>
      </c>
      <c r="D6">
        <v>7</v>
      </c>
      <c r="E6" t="str">
        <v>Bosch; Minnesota Department of Transportation; Transurban; Goodyear; IVECO; Cummins; Luminar</v>
      </c>
      <c r="F6">
        <v>2</v>
      </c>
      <c r="G6" t="str">
        <v>Automotive Supplier</v>
      </c>
      <c r="H6">
        <v>0.42857142857142855</v>
      </c>
      <c r="I6" t="str">
        <v>Transport Operator</v>
      </c>
      <c r="J6">
        <v>0.2857142857142857</v>
      </c>
      <c r="K6" t="str">
        <v>OEM Commercial Vehicles</v>
      </c>
      <c r="L6">
        <v>0.14285714285714285</v>
      </c>
      <c r="M6" t="str">
        <v>L1</v>
      </c>
      <c r="N6">
        <v>106</v>
      </c>
      <c r="O6">
        <v>3</v>
      </c>
      <c r="P6">
        <v>0</v>
      </c>
      <c r="Q6">
        <v>0</v>
      </c>
      <c r="R6">
        <v>0</v>
      </c>
      <c r="S6">
        <v>0</v>
      </c>
      <c r="T6">
        <v>3</v>
      </c>
      <c r="U6">
        <v>0</v>
      </c>
      <c r="V6">
        <v>0</v>
      </c>
      <c r="W6">
        <v>2</v>
      </c>
      <c r="X6">
        <v>0</v>
      </c>
      <c r="Y6">
        <v>6</v>
      </c>
      <c r="Z6">
        <v>0</v>
      </c>
      <c r="AA6">
        <v>0</v>
      </c>
      <c r="AB6">
        <v>1</v>
      </c>
      <c r="AC6">
        <v>0</v>
      </c>
      <c r="AD6">
        <v>0</v>
      </c>
      <c r="AE6">
        <v>1</v>
      </c>
      <c r="AF6">
        <v>0</v>
      </c>
      <c r="AG6">
        <v>0</v>
      </c>
      <c r="AH6">
        <v>0</v>
      </c>
      <c r="AI6">
        <v>0</v>
      </c>
      <c r="AJ6">
        <v>5</v>
      </c>
      <c r="AK6">
        <v>6</v>
      </c>
      <c r="AL6">
        <v>0</v>
      </c>
      <c r="AM6">
        <v>7</v>
      </c>
      <c r="AN6">
        <v>2</v>
      </c>
      <c r="AO6">
        <v>0</v>
      </c>
      <c r="AP6">
        <v>250</v>
      </c>
      <c r="AQ6">
        <v>520.02510199999995</v>
      </c>
      <c r="AV6" s="154"/>
      <c r="AW6" s="154"/>
      <c r="AX6" s="154"/>
      <c r="AY6" s="154"/>
      <c r="AZ6" s="154"/>
      <c r="BA6" s="154"/>
      <c r="BB6" s="154"/>
      <c r="BC6" s="118"/>
      <c r="BD6" s="118"/>
      <c r="BE6" s="118"/>
      <c r="BF6" s="118"/>
      <c r="BG6" s="118"/>
      <c r="BH6" s="118"/>
    </row>
    <row r="7" spans="1:60" x14ac:dyDescent="0.35">
      <c r="A7" t="str">
        <v>Pony.ai-Trucking</v>
      </c>
      <c r="B7" t="str">
        <v>Pony.ai</v>
      </c>
      <c r="C7" t="str">
        <v>Trucking</v>
      </c>
      <c r="D7">
        <v>1</v>
      </c>
      <c r="E7" t="str">
        <v>SANY Heavy Truck</v>
      </c>
      <c r="F7">
        <v>1</v>
      </c>
      <c r="G7" t="str">
        <v>OEM Commercial Vehicles</v>
      </c>
      <c r="H7">
        <v>1</v>
      </c>
      <c r="I7" t="str">
        <v/>
      </c>
      <c r="J7" t="str">
        <v/>
      </c>
      <c r="K7" t="str">
        <v/>
      </c>
      <c r="L7" t="str">
        <v/>
      </c>
      <c r="M7" t="str">
        <v>L1</v>
      </c>
      <c r="N7">
        <v>0</v>
      </c>
      <c r="O7">
        <v>1</v>
      </c>
      <c r="P7">
        <v>0</v>
      </c>
      <c r="Q7">
        <v>0</v>
      </c>
      <c r="R7">
        <v>0</v>
      </c>
      <c r="S7">
        <v>0</v>
      </c>
      <c r="T7">
        <v>0</v>
      </c>
      <c r="U7">
        <v>0</v>
      </c>
      <c r="V7">
        <v>0</v>
      </c>
      <c r="W7">
        <v>0</v>
      </c>
      <c r="X7">
        <v>0</v>
      </c>
      <c r="Y7">
        <v>0</v>
      </c>
      <c r="Z7">
        <v>0</v>
      </c>
      <c r="AA7">
        <v>0</v>
      </c>
      <c r="AB7">
        <v>0</v>
      </c>
      <c r="AC7">
        <v>0</v>
      </c>
      <c r="AD7">
        <v>1</v>
      </c>
      <c r="AE7">
        <v>1</v>
      </c>
      <c r="AF7">
        <v>0</v>
      </c>
      <c r="AG7">
        <v>0</v>
      </c>
      <c r="AH7">
        <v>0</v>
      </c>
      <c r="AI7">
        <v>0</v>
      </c>
      <c r="AJ7">
        <v>1</v>
      </c>
      <c r="AK7">
        <v>0</v>
      </c>
      <c r="AL7">
        <v>1</v>
      </c>
      <c r="AM7">
        <v>1</v>
      </c>
      <c r="AN7">
        <v>1</v>
      </c>
      <c r="AO7">
        <v>0</v>
      </c>
      <c r="AP7">
        <v>750</v>
      </c>
      <c r="AQ7">
        <v>1332</v>
      </c>
      <c r="AV7" s="154"/>
      <c r="AW7" s="154"/>
      <c r="AX7" s="154"/>
      <c r="AY7" s="154"/>
      <c r="AZ7" s="154"/>
      <c r="BA7" s="154"/>
      <c r="BB7" s="154"/>
      <c r="BC7" s="118"/>
      <c r="BD7" s="118"/>
      <c r="BE7" s="118"/>
      <c r="BF7" s="118"/>
      <c r="BG7" s="118"/>
      <c r="BH7" s="118"/>
    </row>
    <row r="8" spans="1:60" x14ac:dyDescent="0.35">
      <c r="A8" t="str">
        <v>Torc-Trucking</v>
      </c>
      <c r="B8" t="str">
        <v>Torc</v>
      </c>
      <c r="C8" t="str">
        <v>Trucking</v>
      </c>
      <c r="D8">
        <v>3</v>
      </c>
      <c r="E8" t="str">
        <v>Daimler Truck; Applied Intuition; Daimler Truck;Luminar</v>
      </c>
      <c r="F8">
        <v>0</v>
      </c>
      <c r="G8" t="str">
        <v>OEM Commercial Vehicles</v>
      </c>
      <c r="H8">
        <v>0.5</v>
      </c>
      <c r="I8" t="str">
        <v>V&amp;V</v>
      </c>
      <c r="J8">
        <v>0.25</v>
      </c>
      <c r="K8" t="str">
        <v>V&amp;V</v>
      </c>
      <c r="L8">
        <v>0.25</v>
      </c>
      <c r="M8" t="str">
        <v>L1</v>
      </c>
      <c r="N8">
        <v>1</v>
      </c>
      <c r="O8">
        <v>3</v>
      </c>
      <c r="P8">
        <v>0</v>
      </c>
      <c r="Q8">
        <v>0</v>
      </c>
      <c r="R8">
        <v>0</v>
      </c>
      <c r="S8">
        <v>0</v>
      </c>
      <c r="T8">
        <v>0</v>
      </c>
      <c r="U8">
        <v>0</v>
      </c>
      <c r="V8">
        <v>0</v>
      </c>
      <c r="W8">
        <v>0</v>
      </c>
      <c r="X8">
        <v>0</v>
      </c>
      <c r="Y8">
        <v>1</v>
      </c>
      <c r="Z8">
        <v>0</v>
      </c>
      <c r="AA8">
        <v>1</v>
      </c>
      <c r="AB8">
        <v>0</v>
      </c>
      <c r="AC8">
        <v>1</v>
      </c>
      <c r="AD8">
        <v>0</v>
      </c>
      <c r="AE8">
        <v>1</v>
      </c>
      <c r="AF8">
        <v>0</v>
      </c>
      <c r="AG8">
        <v>0</v>
      </c>
      <c r="AH8">
        <v>0</v>
      </c>
      <c r="AI8">
        <v>0</v>
      </c>
      <c r="AJ8">
        <v>3</v>
      </c>
      <c r="AK8">
        <v>1</v>
      </c>
      <c r="AL8">
        <v>1</v>
      </c>
      <c r="AM8">
        <v>3</v>
      </c>
      <c r="AN8">
        <v>0</v>
      </c>
      <c r="AO8">
        <v>0</v>
      </c>
      <c r="AP8">
        <v>175</v>
      </c>
      <c r="AQ8" t="str">
        <v>n.a.</v>
      </c>
      <c r="AV8" s="154"/>
      <c r="AW8" s="154"/>
      <c r="AX8" s="154"/>
      <c r="AY8" s="154"/>
      <c r="AZ8" s="154"/>
      <c r="BA8" s="154"/>
      <c r="BB8" s="154"/>
      <c r="BC8" s="118"/>
      <c r="BD8" s="118"/>
      <c r="BE8" s="118"/>
      <c r="BF8" s="118"/>
      <c r="BG8" s="118"/>
      <c r="BH8" s="118"/>
    </row>
    <row r="9" spans="1:60" x14ac:dyDescent="0.35">
      <c r="A9" t="str">
        <v>TuSimple-Trucking</v>
      </c>
      <c r="B9" t="str">
        <v>TuSimple</v>
      </c>
      <c r="C9" t="str">
        <v>Trucking</v>
      </c>
      <c r="D9">
        <v>9</v>
      </c>
      <c r="E9" t="str">
        <v>ZF; Navistar; Traton; Goodyear; Liberty Mutual Insurance; Ryder; Loadsmith; Hegelmann Group; DHL</v>
      </c>
      <c r="F9">
        <v>3</v>
      </c>
      <c r="G9" t="str">
        <v>Logistics</v>
      </c>
      <c r="H9">
        <v>0.44444444444444442</v>
      </c>
      <c r="I9" t="str">
        <v>OEM Commercial Vehicles</v>
      </c>
      <c r="J9">
        <v>0.22222222222222221</v>
      </c>
      <c r="K9" t="str">
        <v>Autonomous Vehicles</v>
      </c>
      <c r="L9">
        <v>0.1111111111111111</v>
      </c>
      <c r="M9" t="str">
        <v>L1</v>
      </c>
      <c r="N9">
        <v>222</v>
      </c>
      <c r="O9">
        <v>3</v>
      </c>
      <c r="P9">
        <v>1</v>
      </c>
      <c r="Q9">
        <v>1</v>
      </c>
      <c r="R9">
        <v>0</v>
      </c>
      <c r="S9">
        <v>3</v>
      </c>
      <c r="T9">
        <v>3</v>
      </c>
      <c r="U9">
        <v>0</v>
      </c>
      <c r="V9">
        <v>0</v>
      </c>
      <c r="W9">
        <v>2</v>
      </c>
      <c r="X9">
        <v>1</v>
      </c>
      <c r="Y9">
        <v>5</v>
      </c>
      <c r="Z9">
        <v>1</v>
      </c>
      <c r="AA9">
        <v>0</v>
      </c>
      <c r="AB9">
        <v>0</v>
      </c>
      <c r="AC9">
        <v>2</v>
      </c>
      <c r="AD9">
        <v>0</v>
      </c>
      <c r="AE9">
        <v>1</v>
      </c>
      <c r="AF9">
        <v>0</v>
      </c>
      <c r="AG9">
        <v>0</v>
      </c>
      <c r="AH9">
        <v>0</v>
      </c>
      <c r="AI9">
        <v>4</v>
      </c>
      <c r="AJ9">
        <v>6</v>
      </c>
      <c r="AK9">
        <v>7</v>
      </c>
      <c r="AL9">
        <v>2</v>
      </c>
      <c r="AM9">
        <v>9</v>
      </c>
      <c r="AN9">
        <v>3</v>
      </c>
      <c r="AO9">
        <v>1</v>
      </c>
      <c r="AP9">
        <v>700</v>
      </c>
      <c r="AQ9">
        <v>648.071101</v>
      </c>
      <c r="AV9" s="154"/>
      <c r="AW9" s="154"/>
      <c r="AX9" s="154"/>
      <c r="AY9" s="154"/>
      <c r="AZ9" s="154"/>
      <c r="BA9" s="154"/>
      <c r="BB9" s="154"/>
      <c r="BC9" s="118"/>
      <c r="BD9" s="118"/>
      <c r="BE9" s="118"/>
      <c r="BF9" s="118"/>
      <c r="BG9" s="118"/>
      <c r="BH9" s="118"/>
    </row>
    <row r="10" spans="1:60" x14ac:dyDescent="0.35">
      <c r="A10" t="str">
        <v>Uber Freight-Trucking</v>
      </c>
      <c r="B10" t="str">
        <v>Uber Freight</v>
      </c>
      <c r="C10" t="str">
        <v>Trucking</v>
      </c>
      <c r="D10">
        <v>3</v>
      </c>
      <c r="E10" t="str">
        <v>Volvo Autonomous Solutions; Waymo; Waabi</v>
      </c>
      <c r="F10">
        <v>0</v>
      </c>
      <c r="G10" t="str">
        <v>Autonomous Vehicles</v>
      </c>
      <c r="H10">
        <v>1</v>
      </c>
      <c r="I10" t="str">
        <v/>
      </c>
      <c r="J10" t="str">
        <v/>
      </c>
      <c r="K10" t="str">
        <v/>
      </c>
      <c r="L10" t="str">
        <v/>
      </c>
      <c r="M10" t="str">
        <v>L4</v>
      </c>
      <c r="N10" t="str">
        <v>n.a.</v>
      </c>
      <c r="O10">
        <v>0</v>
      </c>
      <c r="P10">
        <v>0</v>
      </c>
      <c r="Q10">
        <v>2</v>
      </c>
      <c r="R10">
        <v>0</v>
      </c>
      <c r="S10">
        <v>1</v>
      </c>
      <c r="T10">
        <v>0</v>
      </c>
      <c r="U10">
        <v>0</v>
      </c>
      <c r="V10">
        <v>0</v>
      </c>
      <c r="W10">
        <v>0</v>
      </c>
      <c r="X10">
        <v>0</v>
      </c>
      <c r="Y10">
        <v>1</v>
      </c>
      <c r="Z10">
        <v>0</v>
      </c>
      <c r="AA10">
        <v>2</v>
      </c>
      <c r="AB10">
        <v>0</v>
      </c>
      <c r="AC10">
        <v>0</v>
      </c>
      <c r="AD10">
        <v>0</v>
      </c>
      <c r="AE10">
        <v>0</v>
      </c>
      <c r="AF10">
        <v>0</v>
      </c>
      <c r="AG10">
        <v>0</v>
      </c>
      <c r="AH10">
        <v>1</v>
      </c>
      <c r="AI10">
        <v>3</v>
      </c>
      <c r="AJ10">
        <v>0</v>
      </c>
      <c r="AK10">
        <v>1</v>
      </c>
      <c r="AL10">
        <v>0</v>
      </c>
      <c r="AM10">
        <v>3</v>
      </c>
      <c r="AN10">
        <v>0</v>
      </c>
      <c r="AO10">
        <v>0</v>
      </c>
      <c r="AP10">
        <v>3000</v>
      </c>
      <c r="AQ10">
        <v>1050</v>
      </c>
      <c r="AV10" s="154"/>
      <c r="AW10" s="154"/>
      <c r="AX10" s="154"/>
      <c r="AY10" s="154"/>
      <c r="AZ10" s="154"/>
      <c r="BA10" s="154"/>
      <c r="BB10" s="154"/>
      <c r="BC10" s="118"/>
      <c r="BD10" s="118"/>
      <c r="BE10" s="118"/>
      <c r="BF10" s="118"/>
      <c r="BG10" s="118"/>
      <c r="BH10" s="118"/>
    </row>
    <row r="11" spans="1:60" x14ac:dyDescent="0.35">
      <c r="A11" t="str">
        <v>Waabi-Trucking</v>
      </c>
      <c r="B11" t="str">
        <v>Waabi</v>
      </c>
      <c r="C11" t="str">
        <v>Trucking</v>
      </c>
      <c r="D11">
        <v>2</v>
      </c>
      <c r="E11" t="str">
        <v>MIT Center for Transportation &amp; Logistics; Uber Freight</v>
      </c>
      <c r="F11">
        <v>0</v>
      </c>
      <c r="G11" t="str">
        <v>Mobility Services Booking</v>
      </c>
      <c r="H11">
        <v>0.5</v>
      </c>
      <c r="I11" t="str">
        <v>Mobility Services Booking</v>
      </c>
      <c r="J11">
        <v>0.5</v>
      </c>
      <c r="K11" t="str">
        <v/>
      </c>
      <c r="L11" t="str">
        <v/>
      </c>
      <c r="M11" t="str">
        <v>L1</v>
      </c>
      <c r="N11">
        <v>1</v>
      </c>
      <c r="O11">
        <v>0</v>
      </c>
      <c r="P11">
        <v>0</v>
      </c>
      <c r="Q11">
        <v>1</v>
      </c>
      <c r="R11">
        <v>0</v>
      </c>
      <c r="S11">
        <v>0</v>
      </c>
      <c r="T11">
        <v>1</v>
      </c>
      <c r="U11">
        <v>0</v>
      </c>
      <c r="V11">
        <v>0</v>
      </c>
      <c r="W11">
        <v>0</v>
      </c>
      <c r="X11">
        <v>0</v>
      </c>
      <c r="Y11">
        <v>1</v>
      </c>
      <c r="Z11">
        <v>0</v>
      </c>
      <c r="AA11">
        <v>1</v>
      </c>
      <c r="AB11">
        <v>0</v>
      </c>
      <c r="AC11">
        <v>0</v>
      </c>
      <c r="AD11">
        <v>0</v>
      </c>
      <c r="AE11">
        <v>1</v>
      </c>
      <c r="AF11">
        <v>0</v>
      </c>
      <c r="AG11">
        <v>0</v>
      </c>
      <c r="AH11">
        <v>0</v>
      </c>
      <c r="AI11">
        <v>1</v>
      </c>
      <c r="AJ11">
        <v>0</v>
      </c>
      <c r="AK11">
        <v>1</v>
      </c>
      <c r="AL11">
        <v>0</v>
      </c>
      <c r="AM11">
        <v>2</v>
      </c>
      <c r="AN11">
        <v>0</v>
      </c>
      <c r="AO11">
        <v>0</v>
      </c>
      <c r="AP11">
        <v>110</v>
      </c>
      <c r="AQ11">
        <v>73</v>
      </c>
      <c r="AV11" s="154"/>
      <c r="AW11" s="154"/>
      <c r="AX11" s="154"/>
      <c r="AY11" s="154"/>
      <c r="AZ11" s="154"/>
      <c r="BA11" s="154"/>
      <c r="BB11" s="154"/>
      <c r="BC11" s="118"/>
      <c r="BD11" s="118"/>
      <c r="BE11" s="118"/>
      <c r="BF11" s="118"/>
      <c r="BG11" s="118"/>
      <c r="BH11" s="118"/>
    </row>
    <row r="12" spans="1:60" x14ac:dyDescent="0.35">
      <c r="A12" t="str">
        <v>ZF-Trucking</v>
      </c>
      <c r="B12" t="str">
        <v>ZF</v>
      </c>
      <c r="C12" t="str">
        <v>Trucking</v>
      </c>
      <c r="D12">
        <v>1</v>
      </c>
      <c r="E12" t="str">
        <v>TuSimple</v>
      </c>
      <c r="F12">
        <v>1</v>
      </c>
      <c r="G12" t="str">
        <v>Autonomous Vehicles</v>
      </c>
      <c r="H12">
        <v>1</v>
      </c>
      <c r="I12" t="str">
        <v/>
      </c>
      <c r="J12" t="str">
        <v/>
      </c>
      <c r="K12" t="str">
        <v/>
      </c>
      <c r="L12" t="str">
        <v/>
      </c>
      <c r="M12" t="str">
        <v>L2</v>
      </c>
      <c r="N12">
        <v>5.7859999999999996</v>
      </c>
      <c r="O12">
        <v>1</v>
      </c>
      <c r="P12">
        <v>0</v>
      </c>
      <c r="Q12">
        <v>0</v>
      </c>
      <c r="R12">
        <v>0</v>
      </c>
      <c r="S12">
        <v>0</v>
      </c>
      <c r="T12">
        <v>0</v>
      </c>
      <c r="U12">
        <v>0</v>
      </c>
      <c r="V12">
        <v>0</v>
      </c>
      <c r="W12">
        <v>1</v>
      </c>
      <c r="X12">
        <v>0</v>
      </c>
      <c r="Y12">
        <v>1</v>
      </c>
      <c r="Z12">
        <v>0</v>
      </c>
      <c r="AA12">
        <v>0</v>
      </c>
      <c r="AB12">
        <v>0</v>
      </c>
      <c r="AC12">
        <v>0</v>
      </c>
      <c r="AD12">
        <v>0</v>
      </c>
      <c r="AE12">
        <v>0</v>
      </c>
      <c r="AF12">
        <v>1</v>
      </c>
      <c r="AG12">
        <v>0</v>
      </c>
      <c r="AH12">
        <v>0</v>
      </c>
      <c r="AI12">
        <v>0</v>
      </c>
      <c r="AJ12">
        <v>2</v>
      </c>
      <c r="AK12">
        <v>1</v>
      </c>
      <c r="AL12">
        <v>0</v>
      </c>
      <c r="AM12">
        <v>1</v>
      </c>
      <c r="AN12">
        <v>1</v>
      </c>
      <c r="AO12">
        <v>0</v>
      </c>
      <c r="AP12">
        <v>3000</v>
      </c>
      <c r="AQ12" t="str">
        <v>n.a.</v>
      </c>
      <c r="AV12" s="154"/>
      <c r="AW12" s="154"/>
      <c r="AX12" s="154"/>
      <c r="AY12" s="154"/>
      <c r="AZ12" s="154"/>
      <c r="BA12" s="154"/>
      <c r="BB12" s="154"/>
      <c r="BC12" s="118"/>
      <c r="BD12" s="118"/>
      <c r="BE12" s="118"/>
      <c r="BF12" s="118"/>
      <c r="BG12" s="118"/>
      <c r="BH12" s="118"/>
    </row>
    <row r="13" spans="1:60" x14ac:dyDescent="0.35">
      <c r="A13" t="str">
        <v>Waymo-Trucking</v>
      </c>
      <c r="B13" t="str">
        <v>Waymo</v>
      </c>
      <c r="C13" t="str">
        <v>Trucking</v>
      </c>
      <c r="D13">
        <v>1</v>
      </c>
      <c r="E13" t="str">
        <v>Uber Freight</v>
      </c>
      <c r="F13">
        <v>0</v>
      </c>
      <c r="G13" t="str">
        <v>Mobility Services Booking</v>
      </c>
      <c r="H13">
        <v>1</v>
      </c>
      <c r="I13" t="str">
        <v/>
      </c>
      <c r="J13" t="str">
        <v/>
      </c>
      <c r="K13" t="str">
        <v/>
      </c>
      <c r="L13" t="str">
        <v/>
      </c>
      <c r="M13" t="str">
        <v>L1</v>
      </c>
      <c r="N13">
        <v>2.1379999999999999</v>
      </c>
      <c r="O13">
        <v>0</v>
      </c>
      <c r="P13">
        <v>0</v>
      </c>
      <c r="Q13">
        <v>1</v>
      </c>
      <c r="R13">
        <v>0</v>
      </c>
      <c r="S13">
        <v>0</v>
      </c>
      <c r="T13">
        <v>0</v>
      </c>
      <c r="U13">
        <v>0</v>
      </c>
      <c r="V13">
        <v>0</v>
      </c>
      <c r="W13">
        <v>0</v>
      </c>
      <c r="X13">
        <v>0</v>
      </c>
      <c r="Y13">
        <v>0</v>
      </c>
      <c r="Z13">
        <v>0</v>
      </c>
      <c r="AA13">
        <v>1</v>
      </c>
      <c r="AB13">
        <v>0</v>
      </c>
      <c r="AC13">
        <v>0</v>
      </c>
      <c r="AD13">
        <v>0</v>
      </c>
      <c r="AE13">
        <v>1</v>
      </c>
      <c r="AF13">
        <v>0</v>
      </c>
      <c r="AG13">
        <v>0</v>
      </c>
      <c r="AH13">
        <v>0</v>
      </c>
      <c r="AI13">
        <v>1</v>
      </c>
      <c r="AJ13">
        <v>0</v>
      </c>
      <c r="AK13">
        <v>0</v>
      </c>
      <c r="AL13">
        <v>0</v>
      </c>
      <c r="AM13">
        <v>1</v>
      </c>
      <c r="AN13">
        <v>0</v>
      </c>
      <c r="AO13">
        <v>0</v>
      </c>
      <c r="AP13">
        <v>3000</v>
      </c>
      <c r="AQ13">
        <v>5500</v>
      </c>
      <c r="AV13" s="154"/>
      <c r="AW13" s="154"/>
      <c r="AX13" s="154"/>
      <c r="AY13" s="154"/>
      <c r="AZ13" s="154"/>
      <c r="BA13" s="154"/>
      <c r="BB13" s="154"/>
      <c r="BC13" s="118"/>
      <c r="BD13" s="118"/>
      <c r="BE13" s="118"/>
      <c r="BF13" s="118"/>
      <c r="BG13" s="118"/>
      <c r="BH13" s="118"/>
    </row>
    <row r="14" spans="1:60" x14ac:dyDescent="0.35">
      <c r="O14" s="58"/>
      <c r="P14" s="58"/>
      <c r="Q14" s="58"/>
      <c r="R14" s="58"/>
      <c r="S14" s="58"/>
      <c r="W14" s="89"/>
      <c r="AV14" s="154"/>
      <c r="AW14" s="154"/>
      <c r="AX14" s="154"/>
      <c r="AY14" s="154"/>
      <c r="AZ14" s="154"/>
      <c r="BA14" s="154"/>
      <c r="BB14" s="154"/>
      <c r="BC14" s="118"/>
      <c r="BD14" s="118"/>
      <c r="BE14" s="118"/>
      <c r="BF14" s="118"/>
      <c r="BG14" s="118"/>
      <c r="BH14" s="118"/>
    </row>
    <row r="15" spans="1:60" x14ac:dyDescent="0.35">
      <c r="A15" s="177" t="s">
        <v>405</v>
      </c>
      <c r="H15" s="92"/>
    </row>
    <row r="16" spans="1:60" x14ac:dyDescent="0.35">
      <c r="A16" s="92" t="s">
        <v>2055</v>
      </c>
      <c r="B16" s="92" t="s">
        <v>372</v>
      </c>
    </row>
    <row r="17" spans="1:34" x14ac:dyDescent="0.35">
      <c r="B17" s="92" t="s">
        <v>341</v>
      </c>
    </row>
    <row r="18" spans="1:34" x14ac:dyDescent="0.35">
      <c r="A18" s="92" t="s">
        <v>2058</v>
      </c>
      <c r="B18" s="92">
        <f>COUNTA(A22:A102)</f>
        <v>81</v>
      </c>
    </row>
    <row r="19" spans="1:34" x14ac:dyDescent="0.35">
      <c r="A19" s="114" t="s">
        <v>2059</v>
      </c>
      <c r="B19">
        <f>COUNTA(_xlfn.UNIQUE(E22:E102))</f>
        <v>21</v>
      </c>
    </row>
    <row r="20" spans="1:34" x14ac:dyDescent="0.35">
      <c r="A20" s="98"/>
    </row>
    <row r="21" spans="1:34" ht="29" x14ac:dyDescent="0.35">
      <c r="A21" s="23" t="s">
        <v>1422</v>
      </c>
      <c r="B21" s="23" t="s">
        <v>1026</v>
      </c>
      <c r="C21" s="23"/>
      <c r="D21" s="23" t="s">
        <v>0</v>
      </c>
      <c r="E21" s="23" t="s">
        <v>1943</v>
      </c>
      <c r="F21" s="23" t="s">
        <v>1946</v>
      </c>
      <c r="G21" s="23" t="s">
        <v>2052</v>
      </c>
      <c r="H21" s="23" t="s">
        <v>1949</v>
      </c>
      <c r="I21" s="23" t="s">
        <v>1947</v>
      </c>
      <c r="J21" s="23" t="s">
        <v>1948</v>
      </c>
      <c r="K21" s="23" t="s">
        <v>2001</v>
      </c>
      <c r="L21" s="23" t="s">
        <v>1993</v>
      </c>
      <c r="M21" s="23" t="s">
        <v>1994</v>
      </c>
      <c r="N21" s="23" t="s">
        <v>1995</v>
      </c>
      <c r="O21" s="23" t="s">
        <v>1</v>
      </c>
      <c r="P21" s="23" t="s">
        <v>2</v>
      </c>
      <c r="Q21" s="23" t="s">
        <v>3</v>
      </c>
      <c r="R21" s="24" t="s">
        <v>976</v>
      </c>
      <c r="S21" s="24" t="s">
        <v>1193</v>
      </c>
      <c r="T21" s="24" t="s">
        <v>982</v>
      </c>
      <c r="U21" s="24" t="s">
        <v>975</v>
      </c>
      <c r="V21" s="24" t="s">
        <v>956</v>
      </c>
      <c r="W21" s="24" t="s">
        <v>1194</v>
      </c>
      <c r="X21" s="23" t="s">
        <v>2050</v>
      </c>
      <c r="Y21" s="10" t="s">
        <v>4</v>
      </c>
      <c r="Z21" s="23" t="s">
        <v>5</v>
      </c>
      <c r="AA21" s="10" t="s">
        <v>1638</v>
      </c>
      <c r="AB21" s="23" t="s">
        <v>1939</v>
      </c>
      <c r="AC21" s="23" t="s">
        <v>1942</v>
      </c>
      <c r="AD21" s="23" t="s">
        <v>1940</v>
      </c>
      <c r="AE21" s="23" t="s">
        <v>1941</v>
      </c>
      <c r="AF21" s="104" t="s">
        <v>1761</v>
      </c>
      <c r="AG21" s="104" t="s">
        <v>1762</v>
      </c>
      <c r="AH21" s="103"/>
    </row>
    <row r="22" spans="1:34" x14ac:dyDescent="0.35">
      <c r="A22" s="60" t="str" cm="1">
        <f t="array" ref="A22:AG104">_xlfn._xlws.FILTER(ANNOUNCEMENTS!A2:AG180,(ANNOUNCEMENTS!J2:J180=B16)+(ANNOUNCEMENTS!J2:J180=B17))</f>
        <v>https://www.2getthere.eu/news/strategic-cooperation-agreement-with-sltn-extended/</v>
      </c>
      <c r="B22" s="60" t="str">
        <v>2015, 9, 2</v>
      </c>
      <c r="C22" s="105">
        <v>42249</v>
      </c>
      <c r="D22" s="60" t="str">
        <v>Strategic Cooperation Agreement with SLTN extended</v>
      </c>
      <c r="E22" s="60" t="str">
        <v>2getthere</v>
      </c>
      <c r="F22" s="60" t="str">
        <v>L2</v>
      </c>
      <c r="G22" s="60" t="str">
        <v>2getthere-SAV</v>
      </c>
      <c r="H22" s="60" t="str">
        <v>SAV</v>
      </c>
      <c r="I22" s="60" t="str">
        <v>Ridepooling</v>
      </c>
      <c r="J22" s="60" t="str">
        <v>Ridepooling</v>
      </c>
      <c r="K22" s="60" t="str">
        <v>SLTN</v>
      </c>
      <c r="L22" s="60" t="str">
        <v>SLTN</v>
      </c>
      <c r="M22" s="60">
        <v>0</v>
      </c>
      <c r="N22" s="60">
        <v>0</v>
      </c>
      <c r="O22"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22"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22" s="60" t="str">
        <v>Strategic Alliance</v>
      </c>
      <c r="R22" s="60" t="str">
        <v>Yes</v>
      </c>
      <c r="S22" s="60" t="str">
        <v>Service Integration</v>
      </c>
      <c r="T22" s="60" t="str">
        <v>-</v>
      </c>
      <c r="U22" s="60" t="str">
        <v>Yes</v>
      </c>
      <c r="V22" s="60" t="str">
        <v>-</v>
      </c>
      <c r="W22" s="60" t="str">
        <v xml:space="preserve">2.2. Renewed Alliance </v>
      </c>
      <c r="X22" s="60">
        <v>0</v>
      </c>
      <c r="Y22" s="60" t="str">
        <v>The cooperation concerns the realization of 2getthere's innovative automated people mover systems, with SLTN Inter Access designing and providing the Information and Communication Technology (ICT) network.</v>
      </c>
      <c r="Z22" s="60" t="str">
        <v>Joint D&amp;D</v>
      </c>
      <c r="AA22" s="60" t="str">
        <v>The cooperation concerns the realization of 2getthere's innovative automated people mover systems, with SLTN Inter Access designing and providing the Information and Communication Technology (ICT) network.</v>
      </c>
      <c r="AB22" s="60">
        <v>0</v>
      </c>
      <c r="AC22" s="60">
        <v>0</v>
      </c>
      <c r="AD22" s="60">
        <v>0</v>
      </c>
      <c r="AE22" s="60">
        <v>0</v>
      </c>
      <c r="AF22" s="60" t="str">
        <v>Strategic Cooperation Agreement with SLTN extended</v>
      </c>
      <c r="AG22" s="60">
        <v>0</v>
      </c>
    </row>
    <row r="23" spans="1:34" x14ac:dyDescent="0.35">
      <c r="A23" s="60" t="str">
        <v>https://www.2getthere.eu/news/partnering-with-benteler/</v>
      </c>
      <c r="B23" s="60" t="str">
        <v>2015, 7, 28</v>
      </c>
      <c r="C23" s="105">
        <v>42213</v>
      </c>
      <c r="D23" s="60" t="str">
        <v>2getthere partners with Benteler for the engineering of the 3rd generation GRT</v>
      </c>
      <c r="E23" s="60" t="str">
        <v>2getthere</v>
      </c>
      <c r="F23" s="60" t="str">
        <v>L2</v>
      </c>
      <c r="G23" s="60" t="str">
        <v>2getthere-SAV</v>
      </c>
      <c r="H23" s="60" t="str">
        <v>SAV</v>
      </c>
      <c r="I23" s="60" t="str">
        <v>Ridepooling</v>
      </c>
      <c r="J23" s="60" t="str">
        <v>Ridepooling</v>
      </c>
      <c r="K23" s="60" t="str">
        <v>Benteler</v>
      </c>
      <c r="L23" s="60" t="str">
        <v>Benteler</v>
      </c>
      <c r="M23" s="60">
        <v>0</v>
      </c>
      <c r="N23" s="60">
        <v>0</v>
      </c>
      <c r="O23"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23"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23" s="60" t="str">
        <v>Strategic Alliance</v>
      </c>
      <c r="R23" s="60" t="str">
        <v>n.a.</v>
      </c>
      <c r="S23" s="60" t="str">
        <v>Product cooperation</v>
      </c>
      <c r="T23" s="60" t="str">
        <v>-</v>
      </c>
      <c r="U23" s="60" t="str">
        <v>Yes</v>
      </c>
      <c r="V23" s="60" t="str">
        <v>-</v>
      </c>
      <c r="W23" s="60" t="str">
        <v xml:space="preserve">2.2. Renewed Alliance </v>
      </c>
      <c r="X23" s="60">
        <v>0</v>
      </c>
      <c r="Y23" s="60" t="str">
        <v>BENTELER Engineering Services will be responsible for the engineering of both the chassis and the body of the GRT vehicle, with the IP of the work being owned by 2getthere.</v>
      </c>
      <c r="Z23" s="60" t="str">
        <v>Joint Production</v>
      </c>
      <c r="AA23" s="60" t="str">
        <v>BENTELER Engineering Services will be responsible for the engineering of both the chassis and the body of the GRT vehicle, with the IP of the work being owned by 2getthere.</v>
      </c>
      <c r="AB23" s="60">
        <v>0</v>
      </c>
      <c r="AC23" s="60">
        <v>0</v>
      </c>
      <c r="AD23" s="60">
        <v>0</v>
      </c>
      <c r="AE23" s="60">
        <v>0</v>
      </c>
      <c r="AF23" s="60" t="str">
        <v>2getthere partners with Benteler for the engineering of the 3rd generation GRT</v>
      </c>
      <c r="AG23" s="60">
        <v>0</v>
      </c>
    </row>
    <row r="24" spans="1:34" x14ac:dyDescent="0.35">
      <c r="A24" s="60" t="str">
        <v>https://www.2getthere.eu/news/singapore-partnership/</v>
      </c>
      <c r="B24" s="60" t="str">
        <v>2014, 6, 3</v>
      </c>
      <c r="C24" s="105">
        <v>41793</v>
      </c>
      <c r="D24" s="60" t="str">
        <v>SMRT and 2getthere enter into a partnership for Singapore</v>
      </c>
      <c r="E24" s="60" t="str">
        <v>2getthere</v>
      </c>
      <c r="F24" s="60" t="str">
        <v>L2</v>
      </c>
      <c r="G24" s="60" t="str">
        <v>2getthere-SAV</v>
      </c>
      <c r="H24" s="60" t="str">
        <v>SAV</v>
      </c>
      <c r="I24" s="60" t="str">
        <v>Ridepooling</v>
      </c>
      <c r="J24" s="60" t="str">
        <v>Ridepooling</v>
      </c>
      <c r="K24" s="60" t="str">
        <v>SMRT</v>
      </c>
      <c r="L24" s="60" t="str">
        <v>SMRT</v>
      </c>
      <c r="M24" s="60">
        <v>0</v>
      </c>
      <c r="N24" s="60">
        <v>0</v>
      </c>
      <c r="O24"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4"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4" s="60" t="str">
        <v>Strategic Alliance</v>
      </c>
      <c r="R24" s="60" t="str">
        <v>Yes</v>
      </c>
      <c r="S24" s="60" t="str">
        <v>Product cooperation</v>
      </c>
      <c r="T24" s="60" t="str">
        <v>-</v>
      </c>
      <c r="U24" s="60" t="str">
        <v>Yes</v>
      </c>
      <c r="V24" s="60" t="str">
        <v>Yes</v>
      </c>
      <c r="W24" s="60" t="str">
        <v>2.4. Exclusive Alliance</v>
      </c>
      <c r="X24" s="60">
        <v>0</v>
      </c>
      <c r="Y24" s="60" t="str">
        <v>cooperation agreement for the introduction of 2getthere's innovative driverless transit systems to Singapore.</v>
      </c>
      <c r="Z24" s="60" t="str">
        <v>Joint Service Agreement</v>
      </c>
      <c r="AA24" s="60" t="str">
        <v>cooperation agreement for the introduction of 2getthere's innovative driverless transit systems to Singapore.</v>
      </c>
      <c r="AB24" s="60">
        <v>0</v>
      </c>
      <c r="AC24" s="60">
        <v>0</v>
      </c>
      <c r="AD24" s="60">
        <v>0</v>
      </c>
      <c r="AE24" s="60">
        <v>0</v>
      </c>
      <c r="AF24" s="60" t="str">
        <v>SMRT and 2getthere enter into a partnership for Singapore</v>
      </c>
      <c r="AG24" s="60">
        <v>0</v>
      </c>
    </row>
    <row r="25" spans="1:34" x14ac:dyDescent="0.35">
      <c r="A25" s="60" t="str">
        <v>https://www.2getthere.eu/news/uae-partner-united-technical-services-takes-a-stake-in-2getthere/</v>
      </c>
      <c r="B25" s="60" t="str">
        <v>2016, 1, 25</v>
      </c>
      <c r="C25" s="105">
        <v>42394</v>
      </c>
      <c r="D25" s="60" t="str">
        <v>UAE partner United Technical Services takes a stake in 2getthere</v>
      </c>
      <c r="E25" s="60" t="str">
        <v>2getthere</v>
      </c>
      <c r="F25" s="60" t="str">
        <v>L2</v>
      </c>
      <c r="G25" s="60" t="str">
        <v>2getthere-SAV</v>
      </c>
      <c r="H25" s="60" t="str">
        <v>SAV</v>
      </c>
      <c r="I25" s="60" t="str">
        <v>Ridepooling</v>
      </c>
      <c r="J25" s="60" t="str">
        <v>Ridepooling</v>
      </c>
      <c r="K25" s="60" t="str">
        <v>United Technical Services</v>
      </c>
      <c r="L25" s="60" t="str">
        <v>United Technical Services</v>
      </c>
      <c r="M25" s="60">
        <v>0</v>
      </c>
      <c r="N25" s="60">
        <v>0</v>
      </c>
      <c r="O25"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5"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5" s="60" t="str">
        <v>Strategic Partnership</v>
      </c>
      <c r="R25" s="60" t="str">
        <v>n.a.</v>
      </c>
      <c r="S25" s="60" t="str">
        <v>Product cooperation</v>
      </c>
      <c r="T25" s="60" t="str">
        <v>-</v>
      </c>
      <c r="U25" s="60" t="str">
        <v>Yes</v>
      </c>
      <c r="V25" s="60" t="str">
        <v>-</v>
      </c>
      <c r="W25" s="60" t="str">
        <v>3. Strategic Partnership</v>
      </c>
      <c r="X25" s="60">
        <v>0</v>
      </c>
      <c r="Y25" s="60" t="str">
        <v>In anticipation of the growing demand for 2getthere's systems in the Middle East, the investment is used to support the road map development, organizational growth and marketing ambitions.</v>
      </c>
      <c r="Z25" s="60" t="str">
        <v>Other</v>
      </c>
      <c r="AA25" s="60" t="str">
        <v>In anticipation of the growing demand for 2getthere's systems in the Middle East, the investment is used to support the road map development, organizational growth and marketing ambitions.</v>
      </c>
      <c r="AB25" s="60">
        <v>0</v>
      </c>
      <c r="AC25" s="60">
        <v>0</v>
      </c>
      <c r="AD25" s="60">
        <v>0</v>
      </c>
      <c r="AE25" s="60">
        <v>0</v>
      </c>
      <c r="AF25" s="60" t="str">
        <v>UAE partner United Technical Services takes a stake in 2getthere</v>
      </c>
      <c r="AG25" s="60">
        <v>0</v>
      </c>
    </row>
    <row r="26" spans="1:34" x14ac:dyDescent="0.35">
      <c r="A26" s="60" t="str">
        <v>https://www.2getthere.eu/news/2getthere-asia-joint-venture/</v>
      </c>
      <c r="B26" s="60" t="str">
        <v>2016, 4, 20</v>
      </c>
      <c r="C26" s="105">
        <v>42480</v>
      </c>
      <c r="D26" s="60" t="str">
        <v>2getthere Asia Joint Venture established in Singapore</v>
      </c>
      <c r="E26" s="60" t="str">
        <v>2getthere</v>
      </c>
      <c r="F26" s="60" t="str">
        <v>L2</v>
      </c>
      <c r="G26" s="60" t="str">
        <v>2getthere-SAV</v>
      </c>
      <c r="H26" s="60" t="str">
        <v>SAV</v>
      </c>
      <c r="I26" s="60" t="str">
        <v>Ridepooling</v>
      </c>
      <c r="J26" s="60" t="str">
        <v>Ridepooling</v>
      </c>
      <c r="K26" s="60" t="str">
        <v>SMRT</v>
      </c>
      <c r="L26" s="60" t="str">
        <v>SMRT</v>
      </c>
      <c r="M26" s="60">
        <v>0</v>
      </c>
      <c r="N26" s="60">
        <v>0</v>
      </c>
      <c r="O26"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26"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26" s="60" t="str">
        <v>Joint Venture</v>
      </c>
      <c r="R26" s="60" t="str">
        <v>Yes</v>
      </c>
      <c r="S26" s="60" t="str">
        <v>Service Integration</v>
      </c>
      <c r="T26" s="60" t="str">
        <v>-</v>
      </c>
      <c r="U26" s="60" t="str">
        <v>Yes</v>
      </c>
      <c r="V26" s="60" t="str">
        <v>-</v>
      </c>
      <c r="W26" s="60" t="str">
        <v>4. Joint Venture</v>
      </c>
      <c r="X26" s="60">
        <v>0</v>
      </c>
      <c r="Y26"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26" s="60" t="str">
        <v>Joint Service Agreement</v>
      </c>
      <c r="AA26"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26" s="60">
        <v>0</v>
      </c>
      <c r="AC26" s="60">
        <v>0</v>
      </c>
      <c r="AD26" s="60">
        <v>0</v>
      </c>
      <c r="AE26" s="60">
        <v>0</v>
      </c>
      <c r="AF26" s="60" t="str">
        <v>2getthere Asia Joint Venture established in Singapore</v>
      </c>
      <c r="AG26" s="60">
        <v>0</v>
      </c>
    </row>
    <row r="27" spans="1:34" x14ac:dyDescent="0.35">
      <c r="A27" s="60" t="str">
        <v>https://www.adastec.com/news-coverage/adastec-and-vicinity-motor-corp-collaborate-to-deploy-automated-bus-at-michigan-state-university</v>
      </c>
      <c r="B27" s="60" t="str">
        <v>2023, 10, 9</v>
      </c>
      <c r="C27" s="105">
        <v>44935</v>
      </c>
      <c r="D27" s="60" t="str">
        <v>ADASTEC and Vicinity Motor Corp. Collaborate to Deploy Automated Bus at Michigan State University</v>
      </c>
      <c r="E27" s="60" t="str">
        <v>ADASTEC</v>
      </c>
      <c r="F27" s="60" t="str">
        <v>L1</v>
      </c>
      <c r="G27" s="60" t="str">
        <v>ADASTEC-SAV</v>
      </c>
      <c r="H27" s="60" t="str">
        <v>SAV</v>
      </c>
      <c r="I27" s="60" t="str">
        <v>Ridepooling</v>
      </c>
      <c r="J27" s="60" t="str">
        <v>Ridepooling</v>
      </c>
      <c r="K27" s="60" t="str">
        <v>Vicinity Motor Corp.</v>
      </c>
      <c r="L27" s="60" t="str">
        <v>Vicinity Motor Corp.</v>
      </c>
      <c r="M27" s="60">
        <v>0</v>
      </c>
      <c r="N27" s="60">
        <v>0</v>
      </c>
      <c r="O27"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27"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27" s="60" t="str">
        <v>Strategic Alliance</v>
      </c>
      <c r="R27" s="60" t="str">
        <v>n.a.</v>
      </c>
      <c r="S27" s="60" t="str">
        <v>Product cooperation</v>
      </c>
      <c r="T27" s="60" t="str">
        <v>-</v>
      </c>
      <c r="U27" s="60" t="str">
        <v>-</v>
      </c>
      <c r="V27" s="60" t="str">
        <v>-</v>
      </c>
      <c r="W27" s="60" t="str">
        <v>2.1. Short term Alliance (no exclusivity / previous experience)</v>
      </c>
      <c r="X27" s="60">
        <v>0</v>
      </c>
      <c r="Y27"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27" s="60" t="str">
        <v>Joint D&amp;D</v>
      </c>
      <c r="AA27"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27" s="60">
        <v>0</v>
      </c>
      <c r="AC27" s="60">
        <v>0</v>
      </c>
      <c r="AD27" s="60">
        <v>0</v>
      </c>
      <c r="AE27" s="60">
        <v>0</v>
      </c>
      <c r="AF27" s="60" t="str">
        <v xml:space="preserve">ADASTEC and Vicinity Motor Corp. Collaborate to Deploy </v>
      </c>
      <c r="AG27" s="60" t="str">
        <v>Automated Bus at Michigan State University</v>
      </c>
    </row>
    <row r="28" spans="1:34" x14ac:dyDescent="0.35">
      <c r="A28" s="60" t="str">
        <v>https://www.adastec.com/news-coverage/adastec-and-vicinity-motor-corp-partner-to-deploy-automated-bus-at-the-university-at-buffalo</v>
      </c>
      <c r="B28" s="60" t="str">
        <v>2023, 10, 5</v>
      </c>
      <c r="C28" s="105">
        <v>44931</v>
      </c>
      <c r="D28" s="60" t="str">
        <v>ADASTEC and Vicinity Motor Corp. Partner to Deploy Automated Bus at the University at Buffalo</v>
      </c>
      <c r="E28" s="60" t="str">
        <v>ADASTEC</v>
      </c>
      <c r="F28" s="60" t="str">
        <v>L1</v>
      </c>
      <c r="G28" s="60" t="str">
        <v>ADASTEC-SAV</v>
      </c>
      <c r="H28" s="60" t="str">
        <v>SAV</v>
      </c>
      <c r="I28" s="60" t="str">
        <v>Ridepooling</v>
      </c>
      <c r="J28" s="60" t="str">
        <v>Ridepooling</v>
      </c>
      <c r="K28" s="60" t="str">
        <v>Vicinity Motor Corp.</v>
      </c>
      <c r="L28" s="60" t="str">
        <v>Vicinity Motor Corp.</v>
      </c>
      <c r="M28" s="60">
        <v>0</v>
      </c>
      <c r="N28" s="60">
        <v>0</v>
      </c>
      <c r="O28"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28"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28" s="60" t="str">
        <v>Strategic Alliance</v>
      </c>
      <c r="R28" s="60" t="str">
        <v>n.a.</v>
      </c>
      <c r="S28" s="60" t="str">
        <v>Product cooperation</v>
      </c>
      <c r="T28" s="60" t="str">
        <v>-</v>
      </c>
      <c r="U28" s="60" t="str">
        <v>-</v>
      </c>
      <c r="V28" s="60" t="str">
        <v>-</v>
      </c>
      <c r="W28" s="60" t="str">
        <v>2.1. Short term Alliance (no exclusivity / previous experience)</v>
      </c>
      <c r="X28" s="60">
        <v>0</v>
      </c>
      <c r="Y28"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28" s="60" t="str">
        <v>Joint D&amp;D</v>
      </c>
      <c r="AA28"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28" s="60">
        <v>0</v>
      </c>
      <c r="AC28" s="60">
        <v>0</v>
      </c>
      <c r="AD28" s="60">
        <v>0</v>
      </c>
      <c r="AE28" s="60">
        <v>0</v>
      </c>
      <c r="AF28" s="60" t="str">
        <v>ADASTEC and Vicinity Motor Corp. Partner to Deploy Automated Bus at the University at Buffalo</v>
      </c>
      <c r="AG28" s="60">
        <v>0</v>
      </c>
    </row>
    <row r="29" spans="1:34" x14ac:dyDescent="0.35">
      <c r="A29" s="60" t="str">
        <v>https://www.ridebeep.com/press-releases/north-carolina-department-of-transportation-and-beep-partner-for-autonomous-vehicle-testing-projects</v>
      </c>
      <c r="B29" s="60" t="str">
        <v>2023, 3, 14</v>
      </c>
      <c r="C29" s="105">
        <v>44999</v>
      </c>
      <c r="D29" s="60" t="str">
        <v>North Carolina Department of Transportation and Beep Partner for Autonomous Vehicle Testing Projects</v>
      </c>
      <c r="E29" s="60" t="str">
        <v>Beep</v>
      </c>
      <c r="F29" s="60" t="str">
        <v>L3</v>
      </c>
      <c r="G29" s="60" t="str">
        <v>Beep-SAV</v>
      </c>
      <c r="H29" s="60" t="str">
        <v>SAV</v>
      </c>
      <c r="I29" s="60" t="str">
        <v>Ridepooling</v>
      </c>
      <c r="J29" s="60" t="str">
        <v>Ridepooling</v>
      </c>
      <c r="K29" s="60" t="str">
        <v>North Carolina Department of Transportation</v>
      </c>
      <c r="L29" s="60" t="str">
        <v>North Carolina Department of Transportation</v>
      </c>
      <c r="M29" s="60">
        <v>0</v>
      </c>
      <c r="N29" s="60">
        <v>0</v>
      </c>
      <c r="O29"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29"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29" s="60" t="str">
        <v>Strategic Alliance</v>
      </c>
      <c r="R29" s="60" t="str">
        <v>n.a.</v>
      </c>
      <c r="S29" s="60" t="str">
        <v>Service Integration</v>
      </c>
      <c r="T29" s="60" t="str">
        <v>-</v>
      </c>
      <c r="U29" s="60" t="str">
        <v>-</v>
      </c>
      <c r="V29" s="60" t="str">
        <v>-</v>
      </c>
      <c r="W29" s="60" t="str">
        <v>2.1. Short term Alliance (no exclusivity / previous experience)</v>
      </c>
      <c r="X29" s="60">
        <v>0</v>
      </c>
      <c r="Y29"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29" s="60" t="str">
        <v>Joint Service Agreement</v>
      </c>
      <c r="AA29"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29" s="60">
        <v>0</v>
      </c>
      <c r="AC29" s="60">
        <v>0</v>
      </c>
      <c r="AD29" s="60">
        <v>0</v>
      </c>
      <c r="AE29" s="60">
        <v>0</v>
      </c>
      <c r="AF29" s="60" t="str">
        <v xml:space="preserve">North Carolina Department of Transportation and Beep Partner for </v>
      </c>
      <c r="AG29" s="60" t="str">
        <v>Autonomous Vehicle Testing Projects</v>
      </c>
    </row>
    <row r="30" spans="1:34" x14ac:dyDescent="0.35">
      <c r="A30" s="60" t="str">
        <v>https://www.ridebeep.com/press-releases/contra-costa-transportation-authority-and-beep-partner-to-deliver-autonomous-vehicle-projects-in-california</v>
      </c>
      <c r="B30" s="60" t="str">
        <v>2023, 4, 21</v>
      </c>
      <c r="C30" s="105">
        <v>45037</v>
      </c>
      <c r="D30" s="60" t="str">
        <v>Contra Costa Transportation Authority and Beep Partner to Deliver Autonomous Vehicle Projects in California</v>
      </c>
      <c r="E30" s="60" t="str">
        <v>Beep</v>
      </c>
      <c r="F30" s="60" t="str">
        <v>L3</v>
      </c>
      <c r="G30" s="60" t="str">
        <v>Beep-SAV</v>
      </c>
      <c r="H30" s="60" t="str">
        <v>SAV</v>
      </c>
      <c r="I30" s="60" t="str">
        <v>Ridepooling</v>
      </c>
      <c r="J30" s="60" t="str">
        <v>Ridepooling</v>
      </c>
      <c r="K30" s="60" t="str">
        <v>Contra Costa Transportation Authority</v>
      </c>
      <c r="L30" s="60" t="str">
        <v>Contra Costa Transportation Authority</v>
      </c>
      <c r="M30" s="60">
        <v>0</v>
      </c>
      <c r="N30" s="60">
        <v>0</v>
      </c>
      <c r="O30"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30"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30" s="60" t="str">
        <v>Strategic Alliance</v>
      </c>
      <c r="R30" s="60" t="str">
        <v>n.a.</v>
      </c>
      <c r="S30" s="60" t="str">
        <v>Service Integration</v>
      </c>
      <c r="T30" s="60" t="str">
        <v>-</v>
      </c>
      <c r="U30" s="60" t="str">
        <v>-</v>
      </c>
      <c r="V30" s="60" t="str">
        <v>-</v>
      </c>
      <c r="W30" s="60" t="str">
        <v>2.1. Short term Alliance (no exclusivity / previous experience)</v>
      </c>
      <c r="X30" s="60">
        <v>0</v>
      </c>
      <c r="Y30"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30" s="60" t="str">
        <v>Joint Service Agreement</v>
      </c>
      <c r="AA30"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30" s="60">
        <v>0</v>
      </c>
      <c r="AC30" s="60">
        <v>0</v>
      </c>
      <c r="AD30" s="60">
        <v>0</v>
      </c>
      <c r="AE30" s="60">
        <v>0</v>
      </c>
      <c r="AF30" s="60" t="str">
        <v xml:space="preserve">Contra Costa Transportation Authority and Beep Partner to Deliver </v>
      </c>
      <c r="AG30" s="60" t="str">
        <v>Autonomous Vehicle Projects in California</v>
      </c>
    </row>
    <row r="31" spans="1:34" x14ac:dyDescent="0.35">
      <c r="A31" s="60" t="str">
        <v>https://ridebeep.com/press-releases/zf-announces-partnership-with-beep-unveils-next-generation-autonomous-shuttle</v>
      </c>
      <c r="B31" s="60" t="str">
        <v>2023, 1, 4</v>
      </c>
      <c r="C31" s="105">
        <v>44930</v>
      </c>
      <c r="D31" s="60" t="str">
        <v>ZF announces partnership with Beep, unveils next-generation autonomous shuttle</v>
      </c>
      <c r="E31" s="60" t="str">
        <v>Beep</v>
      </c>
      <c r="F31" s="60" t="str">
        <v>L3</v>
      </c>
      <c r="G31" s="60" t="str">
        <v>Beep-SAV</v>
      </c>
      <c r="H31" s="60" t="str">
        <v>SAV</v>
      </c>
      <c r="I31" s="60" t="str">
        <v>Ridepooling</v>
      </c>
      <c r="J31" s="60" t="str">
        <v>Ridepooling</v>
      </c>
      <c r="K31" s="60" t="str">
        <v>ZF</v>
      </c>
      <c r="L31" s="60" t="str">
        <v>ZF</v>
      </c>
      <c r="M31" s="60">
        <v>0</v>
      </c>
      <c r="N31" s="60">
        <v>0</v>
      </c>
      <c r="O31"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31"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31" s="60" t="str">
        <v>Strategic Alliance</v>
      </c>
      <c r="R31" s="60" t="str">
        <v>Yes</v>
      </c>
      <c r="S31" s="60" t="str">
        <v>Service Integration</v>
      </c>
      <c r="T31" s="60" t="str">
        <v>Long term - coming years</v>
      </c>
      <c r="U31" s="60" t="str">
        <v>-</v>
      </c>
      <c r="V31" s="60" t="str">
        <v>-</v>
      </c>
      <c r="W31" s="60" t="str">
        <v>2.3. Long term Alliance</v>
      </c>
      <c r="X31" s="60">
        <v>0</v>
      </c>
      <c r="Y31"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31" s="60" t="str">
        <v>Joint Service Agreement</v>
      </c>
      <c r="AA31" s="60" t="str">
        <v>"Our offer of clean, efficient and affordable mobility is convincing, and has found a partner and major customer in Beep"</v>
      </c>
      <c r="AB31" s="60">
        <v>0</v>
      </c>
      <c r="AC31" s="60">
        <v>0</v>
      </c>
      <c r="AD31" s="60">
        <v>0</v>
      </c>
      <c r="AE31" s="60">
        <v>0</v>
      </c>
      <c r="AF31" s="60" t="str">
        <v>ZF announces partnership with Beep, unveils next-generation autonomous shuttle</v>
      </c>
      <c r="AG31" s="60">
        <v>0</v>
      </c>
    </row>
    <row r="32" spans="1:34" x14ac:dyDescent="0.35">
      <c r="A32" s="60" t="str">
        <v>https://www.ridebeep.com/press-releases/beep-and-oxa-announce-partnership-to-deploy-autonomous-vehicles-driven-by-oxa-in-united-states</v>
      </c>
      <c r="B32" s="60" t="str">
        <v>2023, 8, 24</v>
      </c>
      <c r="C32" s="105">
        <v>45162</v>
      </c>
      <c r="D32" s="60" t="str">
        <v>Beep and Oxa Announce Partnership to Deploy Autonomous Vehicles Driven by Oxa in United States</v>
      </c>
      <c r="E32" s="60" t="str">
        <v>Beep</v>
      </c>
      <c r="F32" s="60" t="str">
        <v>L3</v>
      </c>
      <c r="G32" s="60" t="str">
        <v>Beep-SAV</v>
      </c>
      <c r="H32" s="60" t="str">
        <v>SAV</v>
      </c>
      <c r="I32" s="60" t="str">
        <v>Ridepooling</v>
      </c>
      <c r="J32" s="60" t="str">
        <v>Ridepooling</v>
      </c>
      <c r="K32" s="60" t="str">
        <v>Oxa</v>
      </c>
      <c r="L32" s="60" t="str">
        <v>Oxa</v>
      </c>
      <c r="M32" s="60">
        <v>0</v>
      </c>
      <c r="N32" s="60">
        <v>0</v>
      </c>
      <c r="O32"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32"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32" s="60" t="str">
        <v>Strategic Alliance</v>
      </c>
      <c r="R32" s="60" t="str">
        <v>n.a.</v>
      </c>
      <c r="S32" s="60" t="str">
        <v>Service Integration</v>
      </c>
      <c r="T32" s="60" t="str">
        <v>Long term - Future years mentioned</v>
      </c>
      <c r="U32" s="60" t="str">
        <v>Yes</v>
      </c>
      <c r="V32" s="60" t="str">
        <v>-</v>
      </c>
      <c r="W32" s="60" t="str">
        <v>2.3. Long term Alliance</v>
      </c>
      <c r="X32" s="60">
        <v>0</v>
      </c>
      <c r="Y32" s="60" t="str">
        <v>the strategic partnership will see Oxa's autonomy software installed in a variety of vehicle types operated by Beep, from current passenger shuttles to future vehicle platforms</v>
      </c>
      <c r="Z32" s="60" t="str">
        <v>Joint Service Agreement</v>
      </c>
      <c r="AA32" s="60" t="str">
        <v>the strategic partnership will see Oxa's autonomy software installed in a variety of vehicle types operated by Beep, from current passenger shuttles to future vehicle platforms</v>
      </c>
      <c r="AB32" s="60">
        <v>0</v>
      </c>
      <c r="AC32" s="60">
        <v>0</v>
      </c>
      <c r="AD32" s="60">
        <v>0</v>
      </c>
      <c r="AE32" s="60">
        <v>0</v>
      </c>
      <c r="AF32" s="60" t="str">
        <v>Beep and Oxa Announce Partnership to Deploy Autonomous Vehicles Driven by Oxa in United States</v>
      </c>
      <c r="AG32" s="60">
        <v>0</v>
      </c>
    </row>
    <row r="33" spans="1:33" x14ac:dyDescent="0.35">
      <c r="A33" s="60" t="str">
        <v>https://getcruise.com/news/pressrelease/2021/cruise-and-gm-team-up-with-microsoft-to-commercialize-self-driving-vehicles/</v>
      </c>
      <c r="B33" s="60" t="str">
        <v>2021, 1, 19</v>
      </c>
      <c r="C33" s="105">
        <v>44215</v>
      </c>
      <c r="D33" s="60" t="str">
        <v>Cruise and GM team up with Microsoft to commercialize self-driving vehicles</v>
      </c>
      <c r="E33" s="60" t="str">
        <v>Cruise</v>
      </c>
      <c r="F33" s="60" t="str">
        <v>L1</v>
      </c>
      <c r="G33" s="60" t="str">
        <v>Cruise-SAV</v>
      </c>
      <c r="H33" s="60" t="str">
        <v>SAV</v>
      </c>
      <c r="I33" s="60" t="str">
        <v>Ridehailing</v>
      </c>
      <c r="J33" s="60" t="str">
        <v>Ridehailing</v>
      </c>
      <c r="K33" s="60" t="str">
        <v>GM;Microsoft</v>
      </c>
      <c r="L33" s="60" t="str">
        <v>GM</v>
      </c>
      <c r="M33" s="60" t="str">
        <v>Microsoft</v>
      </c>
      <c r="N33" s="60">
        <v>0</v>
      </c>
      <c r="O33"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33"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33" s="60" t="str">
        <v>Strategic Partnership</v>
      </c>
      <c r="R33" s="60" t="str">
        <v>n.a.</v>
      </c>
      <c r="S33" s="60" t="str">
        <v>Product cooperation</v>
      </c>
      <c r="T33" s="60" t="str">
        <v>Long term</v>
      </c>
      <c r="U33" s="60" t="str">
        <v>-</v>
      </c>
      <c r="V33" s="60" t="str">
        <v>-</v>
      </c>
      <c r="W33" s="60" t="str">
        <v>3. Strategic Partnership</v>
      </c>
      <c r="X33" s="60">
        <v>0</v>
      </c>
      <c r="Y33"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33" s="60" t="str">
        <v>Joint D&amp;D</v>
      </c>
      <c r="AA33"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33" s="60">
        <v>0</v>
      </c>
      <c r="AC33" s="60">
        <v>0</v>
      </c>
      <c r="AD33" s="60">
        <v>0</v>
      </c>
      <c r="AE33" s="60">
        <v>0</v>
      </c>
      <c r="AF33" s="60" t="str">
        <v>Cruise and GM team up with Microsoft to commercialize self-driving vehicles</v>
      </c>
      <c r="AG33" s="60">
        <v>0</v>
      </c>
    </row>
    <row r="34" spans="1:33" x14ac:dyDescent="0.35">
      <c r="A34" s="60" t="str">
        <v>https://easymile.com/news/ces2023-trust-soft-and-easymile-collaborate-complement-product-development-strategies</v>
      </c>
      <c r="B34" s="60" t="str">
        <v>2023, 1, 5</v>
      </c>
      <c r="C34" s="105">
        <v>44931</v>
      </c>
      <c r="D34" s="60" t="str">
        <v>#CES2023 - Trust in Soft and EasyMile collaborate to complement product development strategies</v>
      </c>
      <c r="E34" s="60" t="str">
        <v>EasyMile</v>
      </c>
      <c r="F34" s="60" t="str">
        <v>L2</v>
      </c>
      <c r="G34" s="60" t="str">
        <v>EasyMile-SAV</v>
      </c>
      <c r="H34" s="60" t="str">
        <v>SAV</v>
      </c>
      <c r="I34" s="60" t="str">
        <v>Ridepooling</v>
      </c>
      <c r="J34" s="60" t="str">
        <v>Ridepooling</v>
      </c>
      <c r="K34" s="60" t="str">
        <v>TrustInSoft</v>
      </c>
      <c r="L34" s="60" t="str">
        <v>TrustInSoft</v>
      </c>
      <c r="M34" s="60">
        <v>0</v>
      </c>
      <c r="N34" s="60">
        <v>0</v>
      </c>
      <c r="O34"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4" s="60" t="str">
        <v>EasyMile, a vendor of autonomous mobility solutions, has chosen TrustInSoft Analyzer to complement its product development strategies.</v>
      </c>
      <c r="Q34" s="60" t="str">
        <v>Informal Agreement</v>
      </c>
      <c r="R34" s="60" t="str">
        <v>n.a.</v>
      </c>
      <c r="S34" s="60" t="str">
        <v>Financing</v>
      </c>
      <c r="T34" s="60" t="str">
        <v>-</v>
      </c>
      <c r="U34" s="60" t="str">
        <v>-</v>
      </c>
      <c r="V34" s="60" t="str">
        <v>-</v>
      </c>
      <c r="W34" s="60" t="str">
        <v>1. Informal Agreement</v>
      </c>
      <c r="X34" s="60">
        <v>0</v>
      </c>
      <c r="Y34"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4" s="60" t="str">
        <v>Licensing</v>
      </c>
      <c r="AA34"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4" s="60">
        <v>0</v>
      </c>
      <c r="AC34" s="60">
        <v>0</v>
      </c>
      <c r="AD34" s="60">
        <v>0</v>
      </c>
      <c r="AE34" s="60">
        <v>0</v>
      </c>
      <c r="AF34" s="60" t="str">
        <v xml:space="preserve">#CES2023 - Trust in Soft and EasyMile collaborate to complement </v>
      </c>
      <c r="AG34" s="60" t="str">
        <v>product development strategies</v>
      </c>
    </row>
    <row r="35" spans="1:33" x14ac:dyDescent="0.35">
      <c r="A35" s="60" t="str">
        <v>https://easymile.com/news/iaa-frankfurt-continental-and-easymile-partner-demonstrate-ez10</v>
      </c>
      <c r="B35" s="60" t="str">
        <v>2019, 9, 12</v>
      </c>
      <c r="C35" s="105">
        <v>43720</v>
      </c>
      <c r="D35" s="60" t="str">
        <v>IAA Frankfurt: Continental and EasyMile Partner to Demonstrate an EZ10</v>
      </c>
      <c r="E35" s="60" t="str">
        <v>EasyMile</v>
      </c>
      <c r="F35" s="60" t="str">
        <v>L2</v>
      </c>
      <c r="G35" s="60" t="str">
        <v>EasyMile-SAV</v>
      </c>
      <c r="H35" s="60" t="str">
        <v>SAV</v>
      </c>
      <c r="I35" s="60" t="str">
        <v>Ridepooling</v>
      </c>
      <c r="J35" s="60" t="str">
        <v>Ridepooling</v>
      </c>
      <c r="K35" s="60" t="str">
        <v>Continental</v>
      </c>
      <c r="L35" s="60" t="str">
        <v>Continental</v>
      </c>
      <c r="M35" s="60">
        <v>0</v>
      </c>
      <c r="N35" s="60">
        <v>0</v>
      </c>
      <c r="O35"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5"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5" s="60" t="str">
        <v>Informal Agreement</v>
      </c>
      <c r="R35" s="60" t="str">
        <v>n.a.</v>
      </c>
      <c r="S35" s="60" t="str">
        <v>One time - Trade show</v>
      </c>
      <c r="T35" s="60" t="str">
        <v>-</v>
      </c>
      <c r="U35" s="60" t="str">
        <v>Yes</v>
      </c>
      <c r="V35" s="60" t="str">
        <v>-</v>
      </c>
      <c r="W35" s="60" t="str">
        <v>1. Informal Agreement</v>
      </c>
      <c r="X35" s="60">
        <v>0</v>
      </c>
      <c r="Y35"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5" s="60" t="str">
        <v>Marketing Agreement</v>
      </c>
      <c r="AA35"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5" s="60">
        <v>0</v>
      </c>
      <c r="AC35" s="60">
        <v>0</v>
      </c>
      <c r="AD35" s="60">
        <v>0</v>
      </c>
      <c r="AE35" s="60">
        <v>0</v>
      </c>
      <c r="AF35" s="60" t="str">
        <v xml:space="preserve">IAA Frankfurt: Continental and EasyMile Partner to Demonstrate </v>
      </c>
      <c r="AG35" s="60" t="str">
        <v>an EZ10</v>
      </c>
    </row>
    <row r="36" spans="1:33" x14ac:dyDescent="0.35">
      <c r="A36" s="60" t="str">
        <v>https://easymile.com/news/easymile-and-sono-motors-reveal-collaboration-autonomous-solar-powered-passenger-shuttle</v>
      </c>
      <c r="B36" s="60" t="str">
        <v>2021, 1, 22</v>
      </c>
      <c r="C36" s="105">
        <v>44218</v>
      </c>
      <c r="D36" s="60" t="str">
        <v>EasyMile and Sono Motors Reveal Collaboration on Autonomous Solar-Powered Passenger Shuttle</v>
      </c>
      <c r="E36" s="60" t="str">
        <v>EasyMile</v>
      </c>
      <c r="F36" s="60" t="str">
        <v>L2</v>
      </c>
      <c r="G36" s="60" t="str">
        <v>EasyMile-SAV</v>
      </c>
      <c r="H36" s="60" t="str">
        <v>SAV</v>
      </c>
      <c r="I36" s="60" t="str">
        <v>Ridepooling</v>
      </c>
      <c r="J36" s="60" t="str">
        <v>Ridepooling</v>
      </c>
      <c r="K36" s="60" t="str">
        <v>Sono Motors</v>
      </c>
      <c r="L36" s="60" t="str">
        <v>Sono Motors</v>
      </c>
      <c r="M36" s="60">
        <v>0</v>
      </c>
      <c r="N36" s="60">
        <v>0</v>
      </c>
      <c r="O36"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6" s="60" t="str">
        <v>EasyMile and Sono Motors are equipping an EZ10 autonomous shuttle prototype with Sono Motors' patented solar technology, testing a new energy concept for electric and driverless shuttles.</v>
      </c>
      <c r="Q36" s="60" t="str">
        <v>Strategic Alliance</v>
      </c>
      <c r="R36" s="60" t="str">
        <v>n.a.</v>
      </c>
      <c r="S36" s="60" t="str">
        <v>One time -  Pilot</v>
      </c>
      <c r="T36" s="60" t="str">
        <v>-</v>
      </c>
      <c r="U36" s="60" t="str">
        <v>-</v>
      </c>
      <c r="V36" s="60" t="str">
        <v>-</v>
      </c>
      <c r="W36" s="60" t="str">
        <v>2.1. Short term Alliance (no exclusivity / previous experience)</v>
      </c>
      <c r="X36" s="60">
        <v>0</v>
      </c>
      <c r="Y36" s="60" t="str">
        <v>EasyMile and Sono Motors are equipping an EZ10 autonomous shuttle prototype with Sono Motors' patented solar technology, testing a new energy concept for electric and driverless shuttles.</v>
      </c>
      <c r="Z36" s="60" t="str">
        <v>Research &amp; Collaboration</v>
      </c>
      <c r="AA36" s="60" t="str">
        <v>EasyMile and Sono Motors are equipping an EZ10 autonomous shuttle prototype with Sono Motors' patented solar technology, testing a new energy concept for electric and driverless shuttles.</v>
      </c>
      <c r="AB36" s="60">
        <v>0</v>
      </c>
      <c r="AC36" s="60">
        <v>0</v>
      </c>
      <c r="AD36" s="60">
        <v>0</v>
      </c>
      <c r="AE36" s="60">
        <v>0</v>
      </c>
      <c r="AF36" s="60" t="str">
        <v xml:space="preserve">EasyMile and Sono Motors Reveal Collaboration on </v>
      </c>
      <c r="AG36" s="60" t="str">
        <v>Autonomous Solar-Powered Passenger Shuttle</v>
      </c>
    </row>
    <row r="37" spans="1:33" x14ac:dyDescent="0.35">
      <c r="A37" s="60" t="str">
        <v>https://easymile.com/news/phoenix-motorcars-and-easymile-collaborate-deploy-delivery-trucks-well-autonomous-shuttle</v>
      </c>
      <c r="B37" s="60" t="str">
        <v>2020, 12, 21</v>
      </c>
      <c r="C37" s="105">
        <v>43851</v>
      </c>
      <c r="D37" s="60" t="str">
        <v>Phoenix Motorcars and EasyMile Collaborate to Deploy Delivery Trucks as well as Autonomous Shuttle Buses</v>
      </c>
      <c r="E37" s="60" t="str">
        <v>EasyMile</v>
      </c>
      <c r="F37" s="60" t="str">
        <v>L2</v>
      </c>
      <c r="G37" s="60" t="str">
        <v>EasyMile-SAV</v>
      </c>
      <c r="H37" s="60" t="str">
        <v>SAV</v>
      </c>
      <c r="I37" s="60" t="str">
        <v>Ridepooling</v>
      </c>
      <c r="J37" s="60" t="str">
        <v>Ridepooling</v>
      </c>
      <c r="K37" s="60" t="str">
        <v>Phoenix Motorcars</v>
      </c>
      <c r="L37" s="60" t="str">
        <v>Phoenix Motorcars</v>
      </c>
      <c r="M37" s="60">
        <v>0</v>
      </c>
      <c r="N37" s="60">
        <v>0</v>
      </c>
      <c r="O37"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37"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37" s="60" t="str">
        <v>Strategic Alliance</v>
      </c>
      <c r="R37" s="60" t="str">
        <v>n.a.</v>
      </c>
      <c r="S37" s="60" t="str">
        <v>Product cooperation</v>
      </c>
      <c r="T37" s="60" t="str">
        <v>-</v>
      </c>
      <c r="U37" s="60" t="str">
        <v>-</v>
      </c>
      <c r="V37" s="60" t="str">
        <v>-</v>
      </c>
      <c r="W37" s="60" t="str">
        <v>2.1. Short term Alliance (no exclusivity / previous experience)</v>
      </c>
      <c r="X37" s="60">
        <v>0</v>
      </c>
      <c r="Y37"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37" s="60" t="str">
        <v>Joint D&amp;D</v>
      </c>
      <c r="AA37"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37" s="60">
        <v>0</v>
      </c>
      <c r="AC37" s="60">
        <v>0</v>
      </c>
      <c r="AD37" s="60">
        <v>0</v>
      </c>
      <c r="AE37" s="60">
        <v>0</v>
      </c>
      <c r="AF37" s="60" t="str">
        <v>Phoenix Motorcars and EasyMile Collaborate to Deploy Delivery Trucks as well as Autonomous Shuttle Buses</v>
      </c>
      <c r="AG37" s="60">
        <v>0</v>
      </c>
    </row>
    <row r="38" spans="1:33" x14ac:dyDescent="0.35">
      <c r="A38" s="60" t="str">
        <v>https://easymile.com/news/easymile-and-continental-collaborate-shanghai-jiading-industrial-zone-develop-driverless</v>
      </c>
      <c r="B38" s="60" t="str">
        <v>2019, 12, 19</v>
      </c>
      <c r="C38" s="105">
        <v>43484</v>
      </c>
      <c r="D38" s="60" t="str">
        <v>EasyMile and Continental Collaborate with Shanghai Jiading Industrial Zone to Develop Driverless Technology in China</v>
      </c>
      <c r="E38" s="60" t="str">
        <v>EasyMile</v>
      </c>
      <c r="F38" s="60" t="str">
        <v>L2</v>
      </c>
      <c r="G38" s="60" t="str">
        <v>EasyMile-SAV</v>
      </c>
      <c r="H38" s="60" t="str">
        <v>SAV</v>
      </c>
      <c r="I38" s="60" t="str">
        <v>Ridepooling</v>
      </c>
      <c r="J38" s="60" t="str">
        <v>Ridepooling</v>
      </c>
      <c r="K38" s="60" t="str">
        <v>Continental;Shanghai Jiading Industrial Zone</v>
      </c>
      <c r="L38" s="60" t="str">
        <v>Continental</v>
      </c>
      <c r="M38" s="60" t="str">
        <v>Shanghai Jiading Industrial Zone</v>
      </c>
      <c r="N38" s="60">
        <v>0</v>
      </c>
      <c r="O38"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38"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38" s="60" t="str">
        <v>Strategic Alliance</v>
      </c>
      <c r="R38" s="60" t="str">
        <v>Yes</v>
      </c>
      <c r="S38" s="60" t="str">
        <v>Product cooperation</v>
      </c>
      <c r="T38" s="60" t="str">
        <v>-</v>
      </c>
      <c r="U38" s="60" t="str">
        <v>Yes</v>
      </c>
      <c r="V38" s="60" t="str">
        <v>-</v>
      </c>
      <c r="W38" s="60" t="str">
        <v xml:space="preserve">2.2. Renewed Alliance </v>
      </c>
      <c r="X38" s="60">
        <v>0</v>
      </c>
      <c r="Y38"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38" s="60" t="str">
        <v>Joint D&amp;D</v>
      </c>
      <c r="AA38"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38" s="60">
        <v>0</v>
      </c>
      <c r="AC38" s="60">
        <v>0</v>
      </c>
      <c r="AD38" s="60">
        <v>0</v>
      </c>
      <c r="AE38" s="60">
        <v>0</v>
      </c>
      <c r="AF38" s="60" t="str">
        <v>EasyMile and Continental Collaborate with Shanghai Jiading Industrial Zone to Develop Driverless Technology in China</v>
      </c>
      <c r="AG38" s="60">
        <v>0</v>
      </c>
    </row>
    <row r="39" spans="1:33" x14ac:dyDescent="0.35">
      <c r="A39" s="60" t="str">
        <v>https://easymile.com/news/easymile-and-kalray-strengthen-development-platform-collaboration</v>
      </c>
      <c r="B39" s="60" t="str">
        <v>2021, 1, 6</v>
      </c>
      <c r="C39" s="105">
        <v>44202</v>
      </c>
      <c r="D39" s="60" t="str">
        <v>EasyMile and Kalray Strengthen Development Platform Collaboration</v>
      </c>
      <c r="E39" s="60" t="str">
        <v>EasyMile</v>
      </c>
      <c r="F39" s="60" t="str">
        <v>L2</v>
      </c>
      <c r="G39" s="60" t="str">
        <v>EasyMile-SAV</v>
      </c>
      <c r="H39" s="60" t="str">
        <v>SAV</v>
      </c>
      <c r="I39" s="60" t="str">
        <v>Ridepooling</v>
      </c>
      <c r="J39" s="60" t="str">
        <v>Ridepooling</v>
      </c>
      <c r="K39" s="60" t="str">
        <v>Kalray</v>
      </c>
      <c r="L39" s="60" t="str">
        <v>Kalray</v>
      </c>
      <c r="M39" s="60">
        <v>0</v>
      </c>
      <c r="N39" s="60">
        <v>0</v>
      </c>
      <c r="O39"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39" s="60" t="str">
        <v>“Autonomous technology provider EasyMile and intelligent processors supplier Kalray have deepened their relationship with the signature of a Memorandum of Understanding (MoU) formalizing their relationship to develop intelligent systems.</v>
      </c>
      <c r="Q39" s="60" t="str">
        <v>Strategic Alliance</v>
      </c>
      <c r="R39" s="60" t="str">
        <v>Yes</v>
      </c>
      <c r="S39" s="60" t="str">
        <v>Product cooperation</v>
      </c>
      <c r="T39" s="60" t="str">
        <v>-</v>
      </c>
      <c r="U39" s="60" t="str">
        <v>Yes</v>
      </c>
      <c r="V39" s="60" t="str">
        <v>-</v>
      </c>
      <c r="W39" s="60" t="str">
        <v xml:space="preserve">2.2. Renewed Alliance </v>
      </c>
      <c r="X39" s="60">
        <v>0</v>
      </c>
      <c r="Y39"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39" s="60" t="str">
        <v>Supply Partnership (traditional)</v>
      </c>
      <c r="AA39"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39" s="60">
        <v>0</v>
      </c>
      <c r="AC39" s="60">
        <v>0</v>
      </c>
      <c r="AD39" s="60">
        <v>0</v>
      </c>
      <c r="AE39" s="60">
        <v>0</v>
      </c>
      <c r="AF39" s="60" t="str">
        <v>EasyMile and Kalray Strengthen Development Platform Collaboration</v>
      </c>
      <c r="AG39" s="60">
        <v>0</v>
      </c>
    </row>
    <row r="40" spans="1:33" x14ac:dyDescent="0.35">
      <c r="A40" s="60" t="str">
        <v>https://ioki.com/en/deutsche-bahn-and-berlins-municipal-public-transportation-operator-berliner-verkehrsbetriebe-are-cooperation-partners-in-the-area-of-autonomous-driving/</v>
      </c>
      <c r="B40" s="60" t="str">
        <v>2018, 4, 9</v>
      </c>
      <c r="C40" s="105">
        <v>43199</v>
      </c>
      <c r="D40" s="60" t="str">
        <v>Deutsche Bahn and Berlin's municipal public transportation operator Berliner Verkehrsbetriebe are cooperation partners in the area of autonomous driving</v>
      </c>
      <c r="E40" s="60" t="str">
        <v>Ioki</v>
      </c>
      <c r="F40" s="60" t="str">
        <v>L4</v>
      </c>
      <c r="G40" s="60" t="str">
        <v>Ioki-SAV</v>
      </c>
      <c r="H40" s="60" t="str">
        <v>SAV</v>
      </c>
      <c r="I40" s="60" t="str">
        <v>Ridepooling</v>
      </c>
      <c r="J40" s="60" t="str">
        <v>Ridepooling</v>
      </c>
      <c r="K40" s="60" t="str">
        <v>Deutsche Bahn;Berliner Verkehrsbetriebe</v>
      </c>
      <c r="L40" s="60" t="str">
        <v>Deutsche Bahn</v>
      </c>
      <c r="M40" s="60" t="str">
        <v>Berliner Verkehrsbetriebe</v>
      </c>
      <c r="N40" s="60">
        <v>0</v>
      </c>
      <c r="O40"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40"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40" s="60" t="str">
        <v>Strategic Alliance</v>
      </c>
      <c r="R40" s="60" t="str">
        <v>n.a.</v>
      </c>
      <c r="S40" s="60" t="str">
        <v xml:space="preserve">One time  - Pilot </v>
      </c>
      <c r="T40" s="60" t="str">
        <v>-</v>
      </c>
      <c r="U40" s="60" t="str">
        <v>-</v>
      </c>
      <c r="V40" s="60" t="str">
        <v>-</v>
      </c>
      <c r="W40" s="60" t="str">
        <v>2.1. Short term Alliance (no exclusivity / previous experience)</v>
      </c>
      <c r="X40" s="60">
        <v>0</v>
      </c>
      <c r="Y40"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40" s="60" t="str">
        <v>Joint D&amp;D</v>
      </c>
      <c r="AA40" s="60" t="str">
        <v xml:space="preserve">Current plans foresee the expansion of the test project to include operations on public streets. The project partners are working in close collaboration with local authorities in the search for a suitable route. </v>
      </c>
      <c r="AB40" s="60">
        <v>0</v>
      </c>
      <c r="AC40" s="60">
        <v>0</v>
      </c>
      <c r="AD40" s="60">
        <v>0</v>
      </c>
      <c r="AE40" s="60">
        <v>0</v>
      </c>
      <c r="AF40" s="60" t="str">
        <v xml:space="preserve">Deutsche Bahn and Berlin's municipal public transportation operator Berliner Verkehrsbetriebe are cooperation partners </v>
      </c>
      <c r="AG40" s="60" t="str">
        <v>in the area of autonomous driving</v>
      </c>
    </row>
    <row r="41" spans="1:33" x14ac:dyDescent="0.35">
      <c r="A41" s="60" t="str">
        <v>https://ioki.com/en/automated-public-transport-ioki-to-be-technology-partner-of-the-research-project-minga-in-munich/</v>
      </c>
      <c r="B41" s="60" t="str">
        <v>2023, 5, 24</v>
      </c>
      <c r="C41" s="105">
        <v>45070</v>
      </c>
      <c r="D41" s="60" t="str">
        <v>Automated public transport: ioki to be technology partner of the research project MINGA in Munich</v>
      </c>
      <c r="E41" s="60" t="str">
        <v>Ioki</v>
      </c>
      <c r="F41" s="60" t="str">
        <v>L4</v>
      </c>
      <c r="G41" s="60" t="str">
        <v>Ioki-SAV</v>
      </c>
      <c r="H41" s="60" t="str">
        <v>SAV</v>
      </c>
      <c r="I41" s="60" t="str">
        <v>Ridepooling</v>
      </c>
      <c r="J41" s="60" t="str">
        <v>Ridepooling</v>
      </c>
      <c r="K41" s="60" t="str">
        <v>MINGA</v>
      </c>
      <c r="L41" s="60" t="str">
        <v>MINGA</v>
      </c>
      <c r="M41" s="60">
        <v>0</v>
      </c>
      <c r="N41" s="60">
        <v>0</v>
      </c>
      <c r="O41"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41" s="60" t="str">
        <v>Today, the consecutive partners presented the project to the public. The pilot operation of automated shuttles accompanied by a safety driver is planned from 2025.</v>
      </c>
      <c r="Q41" s="60" t="str">
        <v>Strategic Alliance</v>
      </c>
      <c r="R41" s="60" t="str">
        <v>n.a.</v>
      </c>
      <c r="S41" s="60" t="str">
        <v xml:space="preserve">One time  - Pilot </v>
      </c>
      <c r="T41" s="60" t="str">
        <v>-</v>
      </c>
      <c r="U41" s="60" t="str">
        <v>-</v>
      </c>
      <c r="V41" s="60" t="str">
        <v>-</v>
      </c>
      <c r="W41" s="60" t="str">
        <v>2.1. Short term Alliance (no exclusivity / previous experience)</v>
      </c>
      <c r="X41" s="60">
        <v>0</v>
      </c>
      <c r="Y41"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41" s="60" t="str">
        <v>Joint Service Agreement</v>
      </c>
      <c r="AA41"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41" s="60">
        <v>0</v>
      </c>
      <c r="AC41" s="60">
        <v>0</v>
      </c>
      <c r="AD41" s="60">
        <v>0</v>
      </c>
      <c r="AE41" s="60">
        <v>0</v>
      </c>
      <c r="AF41" s="60" t="str">
        <v xml:space="preserve">Automated public transport: ioki to be technology partner of </v>
      </c>
      <c r="AG41" s="60" t="str">
        <v>the research project MINGA in Munich</v>
      </c>
    </row>
    <row r="42" spans="1:33" x14ac:dyDescent="0.35">
      <c r="A42" s="60" t="str">
        <v>https://maymobility.com/posts/bridgestone-invests-in-autonomous-driving-technology-provider-may-mobility-kicks-off-broader-partnership/</v>
      </c>
      <c r="B42" s="60" t="str">
        <v>2022, 3, 21</v>
      </c>
      <c r="C42" s="105">
        <v>44641</v>
      </c>
      <c r="D42" s="60" t="str">
        <v>Bridgestone invests in autonomous driving technology provider May Mobility, kicks off broader partnership</v>
      </c>
      <c r="E42" s="60" t="str">
        <v>May Mobility</v>
      </c>
      <c r="F42" s="60" t="str">
        <v>L1</v>
      </c>
      <c r="G42" s="60" t="str">
        <v>May Mobility-SAV</v>
      </c>
      <c r="H42" s="60" t="str">
        <v>SAV</v>
      </c>
      <c r="I42" s="60" t="str">
        <v>Ridehailing</v>
      </c>
      <c r="J42" s="60" t="str">
        <v>Ridehailing</v>
      </c>
      <c r="K42" s="60" t="str">
        <v>Bridgestone</v>
      </c>
      <c r="L42" s="60" t="str">
        <v>Bridgestone</v>
      </c>
      <c r="M42" s="60">
        <v>0</v>
      </c>
      <c r="N42" s="60">
        <v>0</v>
      </c>
      <c r="O42"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42"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42" s="60" t="str">
        <v>Strategic Partnership</v>
      </c>
      <c r="R42" s="60" t="str">
        <v>n.a.</v>
      </c>
      <c r="S42" s="60" t="str">
        <v>Product Integration</v>
      </c>
      <c r="T42" s="60" t="str">
        <v>-</v>
      </c>
      <c r="U42" s="60" t="str">
        <v>-</v>
      </c>
      <c r="V42" s="60" t="str">
        <v>-</v>
      </c>
      <c r="W42" s="60" t="str">
        <v>3. Strategic Partnership</v>
      </c>
      <c r="X42" s="60">
        <v>0</v>
      </c>
      <c r="Y42"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42" s="60" t="str">
        <v>Joint D&amp;D</v>
      </c>
      <c r="AA42" s="60" t="str">
        <v>the new partnership will include the future integration of Bridgestone's digital and predictive tire-centric technologies into May Mobility autonomous vehicles, granting deeper AV intelligence for even safer and more efficient operation.</v>
      </c>
      <c r="AB42" s="60" t="str">
        <v>Research &amp; Collaboration</v>
      </c>
      <c r="AC42" s="60" t="str">
        <v>Through the partnership, Bridgestone will also gain valuable insights into autonomous vehicle operations to improve its core tire products and mobility solutions.</v>
      </c>
      <c r="AD42" s="60">
        <v>0</v>
      </c>
      <c r="AE42" s="60">
        <v>0</v>
      </c>
      <c r="AF42" s="60" t="str">
        <v xml:space="preserve">Bridgestone invests </v>
      </c>
      <c r="AG42" s="60" t="str">
        <v>in autonomous driving technology provider May Mobility, kicks off broader partnership</v>
      </c>
    </row>
    <row r="43" spans="1:33" x14ac:dyDescent="0.35">
      <c r="A43" s="60" t="str">
        <v>https://maymobility.com/posts/may-mobility-and-stantec-partner-to-deliver-turnkey-av-microtransit-solutions/</v>
      </c>
      <c r="B43" s="60" t="str">
        <v>2023, 3, 28</v>
      </c>
      <c r="C43" s="105">
        <v>45013</v>
      </c>
      <c r="D43" s="60" t="str">
        <v>May Mobility and Stantec partner to deliver turnkey AV microtransit solutions</v>
      </c>
      <c r="E43" s="60" t="str">
        <v>May Mobility</v>
      </c>
      <c r="F43" s="60" t="str">
        <v>L1</v>
      </c>
      <c r="G43" s="60" t="str">
        <v>May Mobility-SAV</v>
      </c>
      <c r="H43" s="60" t="str">
        <v>SAV</v>
      </c>
      <c r="I43" s="60" t="str">
        <v>Ridehailing</v>
      </c>
      <c r="J43" s="60" t="str">
        <v>Ridehailing</v>
      </c>
      <c r="K43" s="60" t="str">
        <v>Stantec</v>
      </c>
      <c r="L43" s="60" t="str">
        <v>Stantec</v>
      </c>
      <c r="M43" s="60">
        <v>0</v>
      </c>
      <c r="N43" s="60">
        <v>0</v>
      </c>
      <c r="O43"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43" s="60" t="str">
        <v>"May Mobility is a global technology leader in autonomous mobility and we're proud to partner with them to establish and scale a complete AV deployment system</v>
      </c>
      <c r="Q43" s="60" t="str">
        <v>Strategic Alliance</v>
      </c>
      <c r="R43" s="60" t="str">
        <v>n.a.</v>
      </c>
      <c r="S43" s="60" t="str">
        <v>Service Integration</v>
      </c>
      <c r="T43" s="60" t="str">
        <v>-</v>
      </c>
      <c r="U43" s="60" t="str">
        <v>-</v>
      </c>
      <c r="V43" s="60" t="str">
        <v>-</v>
      </c>
      <c r="W43" s="60" t="str">
        <v>2.1. Short term Alliance (no exclusivity / previous experience)</v>
      </c>
      <c r="X43" s="60">
        <v>0</v>
      </c>
      <c r="Y43"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43" s="60" t="str">
        <v>Joint D&amp;D</v>
      </c>
      <c r="AA43"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43" s="60">
        <v>0</v>
      </c>
      <c r="AC43" s="60">
        <v>0</v>
      </c>
      <c r="AD43" s="60">
        <v>0</v>
      </c>
      <c r="AE43" s="60">
        <v>0</v>
      </c>
      <c r="AF43" s="60" t="str">
        <v xml:space="preserve">May Mobility and Stantec partner to deliver </v>
      </c>
      <c r="AG43" s="60" t="str">
        <v>turnkey AV microtransit solutions</v>
      </c>
    </row>
    <row r="44" spans="1:33" x14ac:dyDescent="0.35">
      <c r="A44" s="60" t="str">
        <v>https://maymobility.com/posts/spare-and-may-mobility-partner-to-deliver-a-powerful-on-demand-transit-solution-with-autonomous-vehicles/</v>
      </c>
      <c r="B44" s="60" t="str">
        <v>2023, 7, 19</v>
      </c>
      <c r="C44" s="105">
        <v>45126</v>
      </c>
      <c r="D44" s="60" t="str">
        <v>Spare and May Mobility Partner to Deliver a Powerful On-Demand Transit Solution with Autonomous Vehicles</v>
      </c>
      <c r="E44" s="60" t="str">
        <v>May Mobility</v>
      </c>
      <c r="F44" s="60" t="str">
        <v>L1</v>
      </c>
      <c r="G44" s="60" t="str">
        <v>May Mobility-SAV</v>
      </c>
      <c r="H44" s="60" t="str">
        <v>SAV</v>
      </c>
      <c r="I44" s="60" t="str">
        <v>Ridehailing</v>
      </c>
      <c r="J44" s="60" t="str">
        <v>Ridehailing</v>
      </c>
      <c r="K44" s="60" t="str">
        <v>Spare</v>
      </c>
      <c r="L44" s="60" t="str">
        <v>Spare</v>
      </c>
      <c r="M44" s="60">
        <v>0</v>
      </c>
      <c r="N44" s="60">
        <v>0</v>
      </c>
      <c r="O44"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44" s="60" t="str">
        <v xml:space="preserve">Spare, the leading on-demand transit platform, and May Mobility, a leader in the development and deployment of autonomous vehicle (AV) technology, have joined forces to deliver on-demand transit solutions leveraging autonomous vehicles. </v>
      </c>
      <c r="Q44" s="60" t="str">
        <v>Strategic Alliance</v>
      </c>
      <c r="R44" s="60" t="str">
        <v>n.a.</v>
      </c>
      <c r="S44" s="60" t="str">
        <v>Service Integration</v>
      </c>
      <c r="T44" s="60" t="str">
        <v>-</v>
      </c>
      <c r="U44" s="60" t="str">
        <v>-</v>
      </c>
      <c r="V44" s="60" t="str">
        <v>-</v>
      </c>
      <c r="W44" s="60" t="str">
        <v>2.1. Short term Alliance (no exclusivity / previous experience)</v>
      </c>
      <c r="X44" s="60">
        <v>0</v>
      </c>
      <c r="Y44"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44" s="60" t="str">
        <v>Joint Service Agreement</v>
      </c>
      <c r="AA44"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44" s="60">
        <v>0</v>
      </c>
      <c r="AC44" s="60">
        <v>0</v>
      </c>
      <c r="AD44" s="60">
        <v>0</v>
      </c>
      <c r="AE44" s="60">
        <v>0</v>
      </c>
      <c r="AF44" s="60" t="str">
        <v>Spare and May Mobility Partner to Deliver a Powerful On-Demand Transit Solution with Autonomous Vehicles</v>
      </c>
      <c r="AG44" s="60">
        <v>0</v>
      </c>
    </row>
    <row r="45" spans="1:33" x14ac:dyDescent="0.35">
      <c r="A45" s="60" t="str">
        <v>https://maymobility.com/posts/may-mobility-moovit-partner-to-deploy-complete-autonomous-mobility-package/</v>
      </c>
      <c r="B45" s="60" t="str">
        <v>2023, 4, 13</v>
      </c>
      <c r="C45" s="105">
        <v>45029</v>
      </c>
      <c r="D45" s="60" t="str">
        <v>May Mobility and Moovit partner to deploy complete autonomous mobility package</v>
      </c>
      <c r="E45" s="60" t="str">
        <v>May Mobility</v>
      </c>
      <c r="F45" s="60" t="str">
        <v>L1</v>
      </c>
      <c r="G45" s="60" t="str">
        <v>May Mobility-SAV</v>
      </c>
      <c r="H45" s="60" t="str">
        <v>SAV</v>
      </c>
      <c r="I45" s="60" t="str">
        <v>Ridehailing</v>
      </c>
      <c r="J45" s="60" t="str">
        <v>Ridehailing</v>
      </c>
      <c r="K45" s="60" t="str">
        <v>Moovit</v>
      </c>
      <c r="L45" s="60" t="str">
        <v>Moovit</v>
      </c>
      <c r="M45" s="60">
        <v>0</v>
      </c>
      <c r="N45" s="60">
        <v>0</v>
      </c>
      <c r="O45"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45" s="60" t="str">
        <v>The partnership will allow riders to easily plan, pay and ride in shared AVs while providing them a safe, accessible, and sustainable form of mobility in regions around the globe.</v>
      </c>
      <c r="Q45" s="60" t="str">
        <v>Strategic Alliance</v>
      </c>
      <c r="R45" s="60" t="str">
        <v>n.a.</v>
      </c>
      <c r="S45" s="60" t="str">
        <v>Service Integration</v>
      </c>
      <c r="T45" s="60" t="str">
        <v>-</v>
      </c>
      <c r="U45" s="60" t="str">
        <v>-</v>
      </c>
      <c r="V45" s="60" t="str">
        <v>-</v>
      </c>
      <c r="W45" s="60" t="str">
        <v>2.1. Short term Alliance (no exclusivity / previous experience)</v>
      </c>
      <c r="X45" s="60">
        <v>0</v>
      </c>
      <c r="Y45"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45" s="60" t="str">
        <v>Joint Service Agreement</v>
      </c>
      <c r="AA45"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45" s="60">
        <v>0</v>
      </c>
      <c r="AC45" s="60">
        <v>0</v>
      </c>
      <c r="AD45" s="60">
        <v>0</v>
      </c>
      <c r="AE45" s="60">
        <v>0</v>
      </c>
      <c r="AF45" s="60" t="str">
        <v>May Mobility and Moovit partner to deploy complete autonomous mobility package</v>
      </c>
      <c r="AG45" s="60">
        <v>0</v>
      </c>
    </row>
    <row r="46" spans="1:33" x14ac:dyDescent="0.35">
      <c r="A46" s="60" t="str">
        <v>https://maymobility.com/posts/liftango-and-may-mobility-partner/</v>
      </c>
      <c r="B46" s="60" t="str">
        <v>2023, 10, 25</v>
      </c>
      <c r="C46" s="105">
        <v>44951</v>
      </c>
      <c r="D46" s="60" t="str">
        <v>Liftango and May Mobility partner to deliver dynamic on-demand shared transport solutions with autonomous vehicles</v>
      </c>
      <c r="E46" s="60" t="str">
        <v>May Mobility</v>
      </c>
      <c r="F46" s="60" t="str">
        <v>L1</v>
      </c>
      <c r="G46" s="60" t="str">
        <v>May Mobility-SAV</v>
      </c>
      <c r="H46" s="60" t="str">
        <v>SAV</v>
      </c>
      <c r="I46" s="60" t="str">
        <v>Ridehailing</v>
      </c>
      <c r="J46" s="60" t="str">
        <v>Ridehailing</v>
      </c>
      <c r="K46" s="60" t="str">
        <v>Liftango</v>
      </c>
      <c r="L46" s="60" t="str">
        <v>Liftango</v>
      </c>
      <c r="M46" s="60">
        <v>0</v>
      </c>
      <c r="N46" s="60">
        <v>0</v>
      </c>
      <c r="O46"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46"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46" s="60" t="str">
        <v>Strategic Alliance</v>
      </c>
      <c r="R46" s="60" t="str">
        <v>n.a.</v>
      </c>
      <c r="S46" s="60" t="str">
        <v>Service Integration</v>
      </c>
      <c r="T46" s="60" t="str">
        <v>-</v>
      </c>
      <c r="U46" s="60" t="str">
        <v>-</v>
      </c>
      <c r="V46" s="60" t="str">
        <v>-</v>
      </c>
      <c r="W46" s="60" t="str">
        <v>2.1. Short term Alliance (no exclusivity / previous experience)</v>
      </c>
      <c r="X46" s="60">
        <v>0</v>
      </c>
      <c r="Y46"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46" s="60" t="str">
        <v>Joint Service Agreement</v>
      </c>
      <c r="AA46"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46" s="60">
        <v>0</v>
      </c>
      <c r="AC46" s="60">
        <v>0</v>
      </c>
      <c r="AD46" s="60">
        <v>0</v>
      </c>
      <c r="AE46" s="60">
        <v>0</v>
      </c>
      <c r="AF46" s="60" t="str">
        <v>Liftango and May Mobility partner to deliver dynamic on-demand shared transport solutions with autonomous vehicles</v>
      </c>
      <c r="AG46" s="60">
        <v>0</v>
      </c>
    </row>
    <row r="47" spans="1:33" x14ac:dyDescent="0.35">
      <c r="A47" s="60" t="str">
        <v>https://maymobility.com/posts/may-mobility-and-via-announce-partnership-that-will-integrate-on-demand-avs-into-public-transit/</v>
      </c>
      <c r="B47" s="60" t="str">
        <v>2020, 11, 18</v>
      </c>
      <c r="C47" s="105">
        <v>43848</v>
      </c>
      <c r="D47" s="60" t="str">
        <v>May Mobility and Via announce partnership that will integrate on-demand AVs into public transit</v>
      </c>
      <c r="E47" s="60" t="str">
        <v>May Mobility</v>
      </c>
      <c r="F47" s="60" t="str">
        <v>L1</v>
      </c>
      <c r="G47" s="60" t="str">
        <v>May Mobility-SAV</v>
      </c>
      <c r="H47" s="60" t="str">
        <v>SAV</v>
      </c>
      <c r="I47" s="60" t="str">
        <v>Ridehailing</v>
      </c>
      <c r="J47" s="60" t="str">
        <v>Ridepooling</v>
      </c>
      <c r="K47" s="60" t="str">
        <v>Via</v>
      </c>
      <c r="L47" s="60" t="str">
        <v>Via</v>
      </c>
      <c r="M47" s="60">
        <v>0</v>
      </c>
      <c r="N47" s="60">
        <v>0</v>
      </c>
      <c r="O47"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7"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7" s="60" t="str">
        <v>Strategic Alliance</v>
      </c>
      <c r="R47" s="60" t="str">
        <v>n.a.</v>
      </c>
      <c r="S47" s="60" t="str">
        <v>Service Integration</v>
      </c>
      <c r="T47" s="60" t="str">
        <v>Long term - -</v>
      </c>
      <c r="U47" s="60" t="str">
        <v>-</v>
      </c>
      <c r="V47" s="60" t="str">
        <v>-</v>
      </c>
      <c r="W47" s="60" t="str">
        <v>2.3. Long term Alliance</v>
      </c>
      <c r="X47" s="60">
        <v>0</v>
      </c>
      <c r="Y47"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7" s="60" t="str">
        <v>Joint Service Agreement</v>
      </c>
      <c r="AA47" s="60" t="str">
        <v>May Mobility will adopt Via's autonomous fleet platform to power booking, routing, passenger and vehicle assignment and identification, customer experience, and fleet management as part of their new transit solution for future autonomous vehicle deployments.</v>
      </c>
      <c r="AB47" s="60">
        <v>0</v>
      </c>
      <c r="AC47" s="60">
        <v>0</v>
      </c>
      <c r="AD47" s="60">
        <v>0</v>
      </c>
      <c r="AE47" s="60">
        <v>0</v>
      </c>
      <c r="AF47" s="60" t="str">
        <v>May Mobility and Via announce partnership that will integrate on-demand AVs into public transit</v>
      </c>
      <c r="AG47" s="60">
        <v>0</v>
      </c>
    </row>
    <row r="48" spans="1:33" x14ac:dyDescent="0.35">
      <c r="A48" s="60" t="str">
        <v>https://www.globenewswire.com/en/news-release/2015/03/23/717890/34491/en/Mission-Secure-Inc-Perrone-Robotics-and-University-of-Virginia-Demonstrate-Cyber-Attacks-and-Protections-for-Automobile-Braking-and-Acceleration.html</v>
      </c>
      <c r="B48" s="60" t="str">
        <v>2015, 3, 25</v>
      </c>
      <c r="C48" s="105">
        <v>42088</v>
      </c>
      <c r="D48" s="60" t="str">
        <v>Mission Secure Announces Partnership with UVA &amp; Perrone</v>
      </c>
      <c r="E48" s="60" t="str">
        <v>Perrone Robotics</v>
      </c>
      <c r="F48" s="60" t="str">
        <v>L1</v>
      </c>
      <c r="G48" s="60" t="str">
        <v>Perrone Robotics-SAV</v>
      </c>
      <c r="H48" s="60" t="str">
        <v>SAV</v>
      </c>
      <c r="I48" s="60" t="str">
        <v>Ridepooling</v>
      </c>
      <c r="J48" s="60" t="str">
        <v>Ridepooling</v>
      </c>
      <c r="K48" s="60" t="str">
        <v>Mission Secure</v>
      </c>
      <c r="L48" s="60" t="str">
        <v>Mission Secure</v>
      </c>
      <c r="M48" s="60">
        <v>0</v>
      </c>
      <c r="N48" s="60">
        <v>0</v>
      </c>
      <c r="O48"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48"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48" s="60" t="str">
        <v>Strategic Alliance</v>
      </c>
      <c r="R48" s="60" t="str">
        <v>n.a.</v>
      </c>
      <c r="S48" s="60" t="str">
        <v>One time - Pilot</v>
      </c>
      <c r="T48" s="60" t="str">
        <v>Short term -  &gt;2 months</v>
      </c>
      <c r="U48" s="60" t="str">
        <v>-</v>
      </c>
      <c r="V48" s="60" t="str">
        <v>-</v>
      </c>
      <c r="W48" s="60" t="str">
        <v>2.1. Short term Alliance (no exclusivity / previous experience)</v>
      </c>
      <c r="X48" s="60">
        <v>0</v>
      </c>
      <c r="Y48"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48" s="60" t="str">
        <v>Research &amp; Collaboration</v>
      </c>
      <c r="AA48"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48" s="60">
        <v>0</v>
      </c>
      <c r="AC48" s="60">
        <v>0</v>
      </c>
      <c r="AD48" s="60">
        <v>0</v>
      </c>
      <c r="AE48" s="60">
        <v>0</v>
      </c>
      <c r="AF48" s="60" t="str">
        <v>Mission Secure Announces Partnership with UVA &amp; Perrone</v>
      </c>
      <c r="AG48" s="60">
        <v>0</v>
      </c>
    </row>
    <row r="49" spans="1:33" x14ac:dyDescent="0.35">
      <c r="A49" s="60" t="str">
        <v>https://www.mobileye.com/news/mobileye-and-man-truck-bus-launch-collaboration-for-av-city-buses/</v>
      </c>
      <c r="B49" s="60" t="str">
        <v>2023, 5, 17</v>
      </c>
      <c r="C49" s="105">
        <v>45063</v>
      </c>
      <c r="D49" s="60" t="str">
        <v>Mobileye and MAN Truck &amp; Bus launch collaboration for AV city buses</v>
      </c>
      <c r="E49" s="60" t="str">
        <v>Mobileye</v>
      </c>
      <c r="F49" s="60" t="str">
        <v>L1</v>
      </c>
      <c r="G49" s="60" t="str">
        <v>Mobileye-SAV</v>
      </c>
      <c r="H49" s="60" t="str">
        <v>SAV</v>
      </c>
      <c r="I49" s="60" t="str">
        <v>Ridepooling</v>
      </c>
      <c r="J49" s="60" t="str">
        <v>Ridepooling</v>
      </c>
      <c r="K49" s="60" t="str">
        <v>MAN Truck &amp; Bus</v>
      </c>
      <c r="L49" s="60" t="str">
        <v>MAN Truck &amp; Bus</v>
      </c>
      <c r="M49" s="60">
        <v>0</v>
      </c>
      <c r="N49" s="60">
        <v>0</v>
      </c>
      <c r="O49"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49"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49" s="60" t="str">
        <v>Strategic Alliance</v>
      </c>
      <c r="R49" s="60" t="str">
        <v>n.a.</v>
      </c>
      <c r="S49" s="60" t="str">
        <v>Product cooperation</v>
      </c>
      <c r="T49" s="60" t="str">
        <v>-</v>
      </c>
      <c r="U49" s="60" t="str">
        <v>-</v>
      </c>
      <c r="V49" s="60" t="str">
        <v>-</v>
      </c>
      <c r="W49" s="60" t="str">
        <v>2.1. Short term Alliance (no exclusivity / previous experience)</v>
      </c>
      <c r="X49" s="60">
        <v>0</v>
      </c>
      <c r="Y49" s="60" t="str">
        <v>Mobileye and MAN Truck &amp; Bus today announced a collaboration to explore autonomy in public transit, integrating state-of-the-art autonomous vehicle technology into the award-winning city buses of MAN.</v>
      </c>
      <c r="Z49" s="60" t="str">
        <v>Joint D&amp;D</v>
      </c>
      <c r="AA49" s="60" t="str">
        <v>Mobileye and MAN Truck &amp; Bus today announced a collaboration to explore autonomy in public transit, integrating state-of-the-art autonomous vehicle technology into the award-winning city buses of MAN.</v>
      </c>
      <c r="AB49" s="60">
        <v>0</v>
      </c>
      <c r="AC49" s="60">
        <v>0</v>
      </c>
      <c r="AD49" s="60">
        <v>0</v>
      </c>
      <c r="AE49" s="60">
        <v>0</v>
      </c>
      <c r="AF49" s="60" t="str">
        <v>Mobileye and MAN Truck &amp; Bus launch collaboration for AV city buses</v>
      </c>
      <c r="AG49" s="60">
        <v>0</v>
      </c>
    </row>
    <row r="50" spans="1:33" x14ac:dyDescent="0.35">
      <c r="A50" s="60" t="str">
        <v>https://www.mobileye.com/news/mobileye-willer-self-driving-mobility-solutions/</v>
      </c>
      <c r="B50" s="60" t="str">
        <v>2020, 7, 7</v>
      </c>
      <c r="C50" s="105">
        <v>44019</v>
      </c>
      <c r="D50" s="60" t="str">
        <v>Mobileye and WILLER Partner on Self-Driving Mobility Solutions for Japan, Southeast Asia</v>
      </c>
      <c r="E50" s="60" t="str">
        <v>Mobileye</v>
      </c>
      <c r="F50" s="60" t="str">
        <v>L1</v>
      </c>
      <c r="G50" s="60" t="str">
        <v>Mobileye-SAV</v>
      </c>
      <c r="H50" s="60" t="str">
        <v>SAV</v>
      </c>
      <c r="I50" s="60" t="str">
        <v>Ridepooling</v>
      </c>
      <c r="J50" s="60" t="str">
        <v>Ridehailing</v>
      </c>
      <c r="K50" s="60" t="str">
        <v>WILLER</v>
      </c>
      <c r="L50" s="60" t="str">
        <v>WILLER</v>
      </c>
      <c r="M50" s="60">
        <v>0</v>
      </c>
      <c r="N50" s="60">
        <v>0</v>
      </c>
      <c r="O50"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50"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50" s="60" t="str">
        <v>Strategic Alliance</v>
      </c>
      <c r="R50" s="60" t="str">
        <v>n.a.</v>
      </c>
      <c r="S50" s="60" t="str">
        <v>Service integration</v>
      </c>
      <c r="T50" s="60" t="str">
        <v>Long term - 2023 (&gt;2 years)</v>
      </c>
      <c r="U50" s="60" t="str">
        <v>-</v>
      </c>
      <c r="V50" s="60" t="str">
        <v>-</v>
      </c>
      <c r="W50" s="60" t="str">
        <v>2.3. Long term Alliance</v>
      </c>
      <c r="X50" s="60">
        <v>0</v>
      </c>
      <c r="Y50"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50" s="60" t="str">
        <v>Supply Partnership (extended)</v>
      </c>
      <c r="AA50"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50" s="60">
        <v>0</v>
      </c>
      <c r="AC50" s="60">
        <v>0</v>
      </c>
      <c r="AD50" s="60">
        <v>0</v>
      </c>
      <c r="AE50" s="60">
        <v>0</v>
      </c>
      <c r="AF50" s="60" t="str">
        <v>Mobileye and WILLER Partner on Self-Driving Mobility Solutions for Japan, Southeast Asia</v>
      </c>
      <c r="AG50" s="60">
        <v>0</v>
      </c>
    </row>
    <row r="51" spans="1:33" x14ac:dyDescent="0.35">
      <c r="A51" s="60" t="str">
        <v>https://www.moia.io/en/news-center/hochbahn-volkswagen-commercial-vehicles-and-moia-cooperate-for-the-traffic-turnaround</v>
      </c>
      <c r="B51" s="60" t="str">
        <v>2022, 1, 13</v>
      </c>
      <c r="C51" s="105">
        <v>44574</v>
      </c>
      <c r="D51" s="60" t="str">
        <v>Partnership: HOCHBAHN, Volkswagen Commercial Vehicles and MOIA cooperate for the traffic turnaround</v>
      </c>
      <c r="E51" s="60" t="str">
        <v>MOIA</v>
      </c>
      <c r="F51" s="60" t="str">
        <v>L3</v>
      </c>
      <c r="G51" s="60" t="str">
        <v>MOIA-SAV</v>
      </c>
      <c r="H51" s="60" t="str">
        <v>SAV</v>
      </c>
      <c r="I51" s="60" t="str">
        <v>Ridepooling</v>
      </c>
      <c r="J51" s="60" t="str">
        <v>Ridepooling</v>
      </c>
      <c r="K51" s="60" t="str">
        <v>HOCHBAHN;Volkswagen Commercial Vehicles</v>
      </c>
      <c r="L51" s="60" t="str">
        <v>HOCHBAHN</v>
      </c>
      <c r="M51" s="60" t="str">
        <v>Volkswagen Commercial Vehicles</v>
      </c>
      <c r="N51" s="60">
        <v>0</v>
      </c>
      <c r="O51"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51"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51" s="60" t="str">
        <v>Strategic Alliance</v>
      </c>
      <c r="R51" s="60" t="str">
        <v>Yes</v>
      </c>
      <c r="S51" s="60" t="str">
        <v>Service Integration</v>
      </c>
      <c r="T51" s="60" t="str">
        <v>Long term - coming years</v>
      </c>
      <c r="U51" s="60" t="str">
        <v>Yes</v>
      </c>
      <c r="V51" s="60" t="str">
        <v>-</v>
      </c>
      <c r="W51" s="60" t="str">
        <v>2.3. Long term Alliance</v>
      </c>
      <c r="X51" s="60">
        <v>0</v>
      </c>
      <c r="Y51"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51" s="60" t="str">
        <v>Joint Service Agreement</v>
      </c>
      <c r="AA51"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51" s="60" t="str">
        <v>Research &amp; Collaboration</v>
      </c>
      <c r="AC51"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51" s="60">
        <v>0</v>
      </c>
      <c r="AE51" s="60">
        <v>0</v>
      </c>
      <c r="AF51" s="60" t="str">
        <v xml:space="preserve">cooperate for </v>
      </c>
      <c r="AG51" s="60" t="str">
        <v>the traffic turnaround</v>
      </c>
    </row>
    <row r="52" spans="1:33" x14ac:dyDescent="0.35">
      <c r="A52" s="60" t="str">
        <v>https://www.moia.io/en/news-center/new-licensing-model-moia-opens-ridepooling-ecosystem-to-cities-and-local-transport-operators</v>
      </c>
      <c r="B52" s="60" t="str">
        <v>2023, 9, 19</v>
      </c>
      <c r="C52" s="105">
        <v>45188</v>
      </c>
      <c r="D52" s="60" t="str">
        <v>New licensing model: MOIA opens ridepooling ecosystem to cities and local transport operators</v>
      </c>
      <c r="E52" s="60" t="str">
        <v>MOIA</v>
      </c>
      <c r="F52" s="60" t="str">
        <v>L3</v>
      </c>
      <c r="G52" s="60" t="str">
        <v>MOIA-SAV</v>
      </c>
      <c r="H52" s="60" t="str">
        <v>SAV</v>
      </c>
      <c r="I52" s="60" t="str">
        <v>Ridepooling</v>
      </c>
      <c r="J52" s="60" t="str">
        <v>Ridepooling</v>
      </c>
      <c r="K52" s="60" t="str">
        <v/>
      </c>
      <c r="L52" s="60">
        <v>0</v>
      </c>
      <c r="M52" s="60">
        <v>0</v>
      </c>
      <c r="N52" s="60">
        <v>0</v>
      </c>
      <c r="O52"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52" s="60" t="str">
        <v>-</v>
      </c>
      <c r="Q52" s="60" t="str">
        <v>Strategic Alliance</v>
      </c>
      <c r="R52" s="60" t="str">
        <v>n.a.</v>
      </c>
      <c r="S52" s="60" t="str">
        <v>Licensing</v>
      </c>
      <c r="T52" s="60" t="str">
        <v>-</v>
      </c>
      <c r="U52" s="60" t="str">
        <v>-</v>
      </c>
      <c r="V52" s="60" t="str">
        <v>-</v>
      </c>
      <c r="W52" s="60" t="str">
        <v>2.1. Short term Alliance (no exclusivity / previous experience)</v>
      </c>
      <c r="X52" s="60">
        <v>0</v>
      </c>
      <c r="Y52"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52" s="60" t="str">
        <v>Licensing</v>
      </c>
      <c r="AA52"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52" s="60">
        <v>0</v>
      </c>
      <c r="AC52" s="60">
        <v>0</v>
      </c>
      <c r="AD52" s="60">
        <v>0</v>
      </c>
      <c r="AE52" s="60">
        <v>0</v>
      </c>
      <c r="AF52" s="60" t="str">
        <v>New licensing model: MOIA opens ridepooling ecosystem to cities and local transport operators</v>
      </c>
      <c r="AG52" s="60">
        <v>0</v>
      </c>
    </row>
    <row r="53" spans="1:33" x14ac:dyDescent="0.35">
      <c r="A53" s="60" t="str">
        <v>https://motional.com/news/motional-derq-partner-give-driverless-vehicles-birds-eye-view</v>
      </c>
      <c r="B53" s="60" t="str">
        <v>2021, 4, 20</v>
      </c>
      <c r="C53" s="105">
        <v>44306</v>
      </c>
      <c r="D53" s="60" t="str">
        <v>Motional + Derq Partner to Give Driverless Vehicles a Bird's-Eye View</v>
      </c>
      <c r="E53" s="60" t="str">
        <v>Motional</v>
      </c>
      <c r="F53" s="60" t="str">
        <v>L1</v>
      </c>
      <c r="G53" s="60" t="str">
        <v>Motional-SAV</v>
      </c>
      <c r="H53" s="60" t="str">
        <v>SAV</v>
      </c>
      <c r="I53" s="60" t="str">
        <v>Last-Mile</v>
      </c>
      <c r="J53" s="60" t="str">
        <v>Ridehailing</v>
      </c>
      <c r="K53" s="60" t="str">
        <v>Derq</v>
      </c>
      <c r="L53" s="60" t="str">
        <v>Derq</v>
      </c>
      <c r="M53" s="60">
        <v>0</v>
      </c>
      <c r="N53" s="60">
        <v>0</v>
      </c>
      <c r="O53"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53" s="60" t="str">
        <v>We've partnered with Derq, an AI company developing innovative road solutions, to find those answers. Together, Derq and Motional are testing how driverless technology reacts when given an even broader perspective than it already has: a bird's-eye view.</v>
      </c>
      <c r="Q53" s="60" t="str">
        <v>Strategic Alliance</v>
      </c>
      <c r="R53" s="60" t="str">
        <v>n.a.</v>
      </c>
      <c r="S53" s="60" t="str">
        <v xml:space="preserve">One time - Pilot </v>
      </c>
      <c r="T53" s="60" t="str">
        <v>-</v>
      </c>
      <c r="U53" s="60" t="str">
        <v>-</v>
      </c>
      <c r="V53" s="60" t="str">
        <v>-</v>
      </c>
      <c r="W53" s="60" t="str">
        <v>2.1. Short term Alliance (no exclusivity / previous experience)</v>
      </c>
      <c r="X53" s="60">
        <v>0</v>
      </c>
      <c r="Y53"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53" s="60" t="str">
        <v>Joint D&amp;D</v>
      </c>
      <c r="AA53"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53" s="60" t="str">
        <v>Research &amp; Collaboration</v>
      </c>
      <c r="AC53" s="60" t="str">
        <v>We've partnered with Derq, an AI company developing innovative road solutions, to find those answers. Together, Derq and Motional are testing how driverless technology reacts when given an even broader perspective than it already has: a bird's-eye view.</v>
      </c>
      <c r="AD53" s="60">
        <v>0</v>
      </c>
      <c r="AE53" s="60">
        <v>0</v>
      </c>
      <c r="AF53" s="60" t="str">
        <v xml:space="preserve">Motional + Derq Partner to Give </v>
      </c>
      <c r="AG53" s="60" t="str">
        <v>Driverless Vehicles a Bird's-Eye View</v>
      </c>
    </row>
    <row r="54" spans="1:33" x14ac:dyDescent="0.35">
      <c r="A54" s="60" t="str">
        <v>https://motional.com/news/motional-boston-university-partner-navigational-assistance-research-blind</v>
      </c>
      <c r="B54" s="60" t="str">
        <v>2022, 7, 21</v>
      </c>
      <c r="C54" s="105">
        <v>44763</v>
      </c>
      <c r="D54" s="60" t="str">
        <v>Motional, Boston University Partner on Navigational Assistance Research for the Blind</v>
      </c>
      <c r="E54" s="60" t="str">
        <v>Motional</v>
      </c>
      <c r="F54" s="60" t="str">
        <v>L1</v>
      </c>
      <c r="G54" s="60" t="str">
        <v>Motional-SAV</v>
      </c>
      <c r="H54" s="60" t="str">
        <v>SAV</v>
      </c>
      <c r="I54" s="60" t="str">
        <v>Last-Mile</v>
      </c>
      <c r="J54" s="60" t="str">
        <v>Ridehailing</v>
      </c>
      <c r="K54" s="60" t="str">
        <v>Boston University</v>
      </c>
      <c r="L54" s="60" t="str">
        <v>Boston University</v>
      </c>
      <c r="M54" s="60">
        <v>0</v>
      </c>
      <c r="N54" s="60">
        <v>0</v>
      </c>
      <c r="O54"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54"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54" s="60" t="str">
        <v>Strategic Alliance</v>
      </c>
      <c r="R54" s="60" t="str">
        <v>n.a.</v>
      </c>
      <c r="S54" s="60" t="str">
        <v>One time - Pilot</v>
      </c>
      <c r="T54" s="60" t="str">
        <v>-</v>
      </c>
      <c r="U54" s="60" t="str">
        <v>-</v>
      </c>
      <c r="V54" s="60" t="str">
        <v>-</v>
      </c>
      <c r="W54" s="60" t="str">
        <v>2.1. Short term Alliance (no exclusivity / previous experience)</v>
      </c>
      <c r="X54" s="60">
        <v>0</v>
      </c>
      <c r="Y54"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54" s="60" t="str">
        <v>Research &amp; Collaboration</v>
      </c>
      <c r="AA54" s="60" t="str">
        <v>Once across the street, Howell swiped his finger across his smartphone's screen. The vehicle's rear passenger door unlocked. Using a couple more verbal cues, Howell was able to find the vehicle, open the door, fold up his cane, and sit himself down in the backseat.</v>
      </c>
      <c r="AB54" s="60" t="str">
        <v>Joint D&amp;D</v>
      </c>
      <c r="AC54" s="60" t="str">
        <v>Motional worked with people who are blind or have low-vision to develop features that help improve driverless rideshare accessibility. These features include a button on an app that triggers the vehicle's horn, making it easier to find.</v>
      </c>
      <c r="AD54" s="60">
        <v>0</v>
      </c>
      <c r="AE54" s="60">
        <v>0</v>
      </c>
      <c r="AF54" s="60" t="str">
        <v xml:space="preserve">Motional, Boston University Partner on </v>
      </c>
      <c r="AG54" s="60" t="str">
        <v>Navigational Assistance Research for the Blind</v>
      </c>
    </row>
    <row r="55" spans="1:33" x14ac:dyDescent="0.35">
      <c r="A55" s="60" t="str">
        <v>https://motional.com/news/tfnsw-and-motional-partner-lay-foundations-nsws-driverless-future</v>
      </c>
      <c r="B55" s="60" t="str">
        <v>2021, 10, 19</v>
      </c>
      <c r="C55" s="105">
        <v>44215</v>
      </c>
      <c r="D55" s="60" t="str">
        <v>TfNSW and Motional Partner to Lay Foundations for NSW's Driverless Future</v>
      </c>
      <c r="E55" s="60" t="str">
        <v>Motional</v>
      </c>
      <c r="F55" s="60" t="str">
        <v>L1</v>
      </c>
      <c r="G55" s="60" t="str">
        <v>Motional-SAV</v>
      </c>
      <c r="H55" s="60" t="str">
        <v>SAV</v>
      </c>
      <c r="I55" s="60" t="str">
        <v>Last-Mile</v>
      </c>
      <c r="J55" s="60" t="str">
        <v>Ridehailing</v>
      </c>
      <c r="K55" s="60" t="str">
        <v>tfnsw</v>
      </c>
      <c r="L55" s="60" t="str">
        <v>tfnsw</v>
      </c>
      <c r="M55" s="60">
        <v>0</v>
      </c>
      <c r="N55" s="60">
        <v>0</v>
      </c>
      <c r="O55"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55"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55" s="60" t="str">
        <v>Strategic Alliance</v>
      </c>
      <c r="R55" s="60" t="str">
        <v>n.a.</v>
      </c>
      <c r="S55" s="60" t="str">
        <v>One time - Pilot</v>
      </c>
      <c r="T55" s="60" t="str">
        <v>-</v>
      </c>
      <c r="U55" s="60" t="str">
        <v>-</v>
      </c>
      <c r="V55" s="60" t="str">
        <v>-</v>
      </c>
      <c r="W55" s="60" t="str">
        <v>2.1. Short term Alliance (no exclusivity / previous experience)</v>
      </c>
      <c r="X55" s="60">
        <v>0</v>
      </c>
      <c r="Y55"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55" s="60" t="str">
        <v>Research &amp; Collaboration</v>
      </c>
      <c r="AA55"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55" s="60">
        <v>0</v>
      </c>
      <c r="AC55" s="60">
        <v>0</v>
      </c>
      <c r="AD55" s="60">
        <v>0</v>
      </c>
      <c r="AE55" s="60">
        <v>0</v>
      </c>
      <c r="AF55" s="60" t="str">
        <v xml:space="preserve">TfNSW and Motional Partner to Lay Foundations </v>
      </c>
      <c r="AG55" s="60" t="str">
        <v>for NSW's Driverless Future</v>
      </c>
    </row>
    <row r="56" spans="1:33" x14ac:dyDescent="0.35">
      <c r="A56" s="60" t="str">
        <v>https://www.navya.tech/en/valeo-navya-technological-collaboration/</v>
      </c>
      <c r="B56" s="60" t="str">
        <v>2021, 6, 17</v>
      </c>
      <c r="C56" s="105">
        <v>44364</v>
      </c>
      <c r="D56" s="60" t="str">
        <v>Valeo and Navya strengthen their technological and industrial collaboration</v>
      </c>
      <c r="E56" s="60" t="str">
        <v>Navya</v>
      </c>
      <c r="F56" s="60" t="str">
        <v>L2</v>
      </c>
      <c r="G56" s="60" t="str">
        <v>Navya-SAV</v>
      </c>
      <c r="H56" s="60" t="str">
        <v>SAV</v>
      </c>
      <c r="I56" s="60" t="str">
        <v>Ridepooling</v>
      </c>
      <c r="J56" s="60" t="str">
        <v>Ridepooling</v>
      </c>
      <c r="K56" s="60" t="str">
        <v>Valeo</v>
      </c>
      <c r="L56" s="60" t="str">
        <v>Valeo</v>
      </c>
      <c r="M56" s="60">
        <v>0</v>
      </c>
      <c r="N56" s="60">
        <v>0</v>
      </c>
      <c r="O56"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6"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6" s="60" t="str">
        <v>Strategic Alliance</v>
      </c>
      <c r="R56" s="60" t="str">
        <v>n.a.</v>
      </c>
      <c r="S56" s="60" t="str">
        <v>Research cooperation</v>
      </c>
      <c r="T56" s="60" t="str">
        <v>Long term - 3 years</v>
      </c>
      <c r="U56" s="60" t="str">
        <v>Yes</v>
      </c>
      <c r="V56" s="60" t="str">
        <v>-</v>
      </c>
      <c r="W56" s="60" t="str">
        <v>2.3. Long term Alliance</v>
      </c>
      <c r="X56" s="60">
        <v>0</v>
      </c>
      <c r="Y56"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6" s="60" t="str">
        <v>Joint Production</v>
      </c>
      <c r="AA56" s="60" t="str">
        <v>At the end of this phase, Valeo will manufacture and supply the selected components, so that they can be integrated in the autonomous driving solutions marketed by Navya.</v>
      </c>
      <c r="AB56" s="60" t="str">
        <v>Research &amp; Collaboration</v>
      </c>
      <c r="AC56" s="60" t="str">
        <v>The aim is to ramp up the Research and Development program to build level 4 autonomous driving systems that can be brought to market within the next three years.</v>
      </c>
      <c r="AD56" s="60" t="str">
        <v>Supply Partnership (traditional)</v>
      </c>
      <c r="AE56" s="60" t="str">
        <v>Valeo will provide Navya with the sensors and associated algorithms that will enable the vehicle to closely perceive its surroundings</v>
      </c>
      <c r="AF56" s="60" t="str">
        <v xml:space="preserve">Valeo and Navya strengthen </v>
      </c>
      <c r="AG56" s="60" t="str">
        <v>their technological and industrial collaboration</v>
      </c>
    </row>
    <row r="57" spans="1:33" x14ac:dyDescent="0.35">
      <c r="A57" s="60" t="str">
        <v>https://www.navya.tech/en/ion-and-navya-form-partnership-to-deliver-sustainable-and-autonomous-transportation-offerings-in-gcc-region/</v>
      </c>
      <c r="B57" s="60" t="str">
        <v>2020, 6, 24</v>
      </c>
      <c r="C57" s="105">
        <v>44006</v>
      </c>
      <c r="D57" s="60" t="str">
        <v>ION And NAVYA Form Partnership To Deliver Sustainable And Autonomous Transportation Offerings In GCC Region</v>
      </c>
      <c r="E57" s="60" t="str">
        <v>Navya</v>
      </c>
      <c r="F57" s="60" t="str">
        <v>L2</v>
      </c>
      <c r="G57" s="60" t="str">
        <v>Navya-SAV</v>
      </c>
      <c r="H57" s="60" t="str">
        <v>SAV</v>
      </c>
      <c r="I57" s="60" t="str">
        <v>Ridepooling</v>
      </c>
      <c r="J57" s="60" t="str">
        <v>Ridepooling</v>
      </c>
      <c r="K57" s="60" t="str">
        <v>Ion</v>
      </c>
      <c r="L57" s="60" t="str">
        <v>Ion</v>
      </c>
      <c r="M57" s="60">
        <v>0</v>
      </c>
      <c r="N57" s="60">
        <v>0</v>
      </c>
      <c r="O57"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7" s="60" t="str">
        <v>ION will be the official distributor of NAVYA vehicles in the GCC operating and maintaining NAVYA vehicles in the region
Already operating in Masdar City since October 2018, the shuttles are also wheelchair-accessible and have a capacity of 15 passengers.</v>
      </c>
      <c r="Q57" s="60" t="str">
        <v>Strategic Alliance</v>
      </c>
      <c r="R57" s="60" t="str">
        <v>n.a.</v>
      </c>
      <c r="S57" s="60" t="str">
        <v>Service Integration</v>
      </c>
      <c r="T57" s="60" t="str">
        <v>-</v>
      </c>
      <c r="U57" s="60" t="str">
        <v>Yes</v>
      </c>
      <c r="V57" s="60" t="str">
        <v>-</v>
      </c>
      <c r="W57" s="60" t="str">
        <v xml:space="preserve">2.2. Renewed Alliance </v>
      </c>
      <c r="X57" s="60">
        <v>0</v>
      </c>
      <c r="Y57"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7" s="60" t="str">
        <v>Joint Service Agreement</v>
      </c>
      <c r="AA57"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7" s="60" t="str">
        <v>Marketing Agreement</v>
      </c>
      <c r="AC57" s="60" t="str">
        <v>As an official distributor, ION will engage with NAVYA's existing and new customers on sales and after-sales support.</v>
      </c>
      <c r="AD57" s="60">
        <v>0</v>
      </c>
      <c r="AE57" s="60">
        <v>0</v>
      </c>
      <c r="AF57" s="60" t="str">
        <v xml:space="preserve">ION And NAVYA Form Partnership To Deliver </v>
      </c>
      <c r="AG57" s="60" t="str">
        <v>Sustainable And Autonomous Transportation Offerings In GCC Region</v>
      </c>
    </row>
    <row r="58" spans="1:33" x14ac:dyDescent="0.35">
      <c r="A58" s="60" t="str">
        <v>https://www.navya.tech/en/navya-and-valeo-partner-to-develop-a-unique-safety-system-for-the-commercialization-of-level-4-autonomous-vehicles/</v>
      </c>
      <c r="B58" s="60" t="str">
        <v>2022, 1, 27</v>
      </c>
      <c r="C58" s="105">
        <v>44588</v>
      </c>
      <c r="D58" s="60" t="str">
        <v>NAVYA and VALEO partner to develop a unique safety system for the commercialization of level 4 autonomous vehicles</v>
      </c>
      <c r="E58" s="60" t="str">
        <v>Navya</v>
      </c>
      <c r="F58" s="60" t="str">
        <v>L2</v>
      </c>
      <c r="G58" s="60" t="str">
        <v>Navya-SAV</v>
      </c>
      <c r="H58" s="60" t="str">
        <v>SAV</v>
      </c>
      <c r="I58" s="60" t="str">
        <v>Ridepooling</v>
      </c>
      <c r="J58" s="60" t="str">
        <v>Ridepooling</v>
      </c>
      <c r="K58" s="60" t="str">
        <v>Valeo</v>
      </c>
      <c r="L58" s="60" t="str">
        <v>Valeo</v>
      </c>
      <c r="M58" s="60">
        <v>0</v>
      </c>
      <c r="N58" s="60">
        <v>0</v>
      </c>
      <c r="O58"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58"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58" s="60" t="str">
        <v>Strategic Alliance</v>
      </c>
      <c r="R58" s="60" t="str">
        <v>n.a.</v>
      </c>
      <c r="S58" s="60" t="str">
        <v>Product cooperation</v>
      </c>
      <c r="T58" s="60" t="str">
        <v>-</v>
      </c>
      <c r="U58" s="60" t="str">
        <v>Yes</v>
      </c>
      <c r="V58" s="60" t="str">
        <v>-</v>
      </c>
      <c r="W58" s="60" t="str">
        <v xml:space="preserve">2.2. Renewed Alliance </v>
      </c>
      <c r="X58" s="60">
        <v>0</v>
      </c>
      <c r="Y58" s="60" t="str">
        <v>have announced a new strategic partnership leveraging their respective industry advantages in software, hardware and technology products. The two sides will work together to create new products based on Mobileye SuperVision and Mobileye Chauffeur platform</v>
      </c>
      <c r="Z58" s="60" t="str">
        <v>Joint D&amp;D</v>
      </c>
      <c r="AA58" s="60" t="str">
        <v>project ensure the design of such a system, its realization, and a final evaluation of the concept.</v>
      </c>
      <c r="AB58" s="60" t="str">
        <v>Research &amp; Collaboration</v>
      </c>
      <c r="AC58" s="60" t="str">
        <v>The various stages of this R&amp;D project ensure the design of such a system, its realization, and a final evaluation of the concept.</v>
      </c>
      <c r="AD58" s="60">
        <v>0</v>
      </c>
      <c r="AE58" s="60">
        <v>0</v>
      </c>
      <c r="AF58" s="60" t="str">
        <v xml:space="preserve">NAVYA and VALEO partner to develop </v>
      </c>
      <c r="AG58" s="60" t="str">
        <v>a unique safety system for the commercialization of level 4 autonomous vehicles</v>
      </c>
    </row>
    <row r="59" spans="1:33" x14ac:dyDescent="0.35">
      <c r="A59" s="60" t="str">
        <v>https://www.navya.tech/en/navya-and-lohr-form-a-strategic-alliance-to-speed-up-their-technological-industrial-and-commercial-development-in-the-field-of-autonomous-mobility/</v>
      </c>
      <c r="B59" s="60" t="str">
        <v>2022, 9, 22</v>
      </c>
      <c r="C59" s="105">
        <v>44826</v>
      </c>
      <c r="D59" s="60" t="str">
        <v>Navya and Lohr form a strategic alliance to speed up their technological, industrial and commercial development in the field of autonomous mobility</v>
      </c>
      <c r="E59" s="60" t="str">
        <v>Navya</v>
      </c>
      <c r="F59" s="60" t="str">
        <v>L2</v>
      </c>
      <c r="G59" s="60" t="str">
        <v>Navya-SAV</v>
      </c>
      <c r="H59" s="60" t="str">
        <v>SAV</v>
      </c>
      <c r="I59" s="60" t="str">
        <v>Ridepooling</v>
      </c>
      <c r="J59" s="60" t="str">
        <v>Ridepooling</v>
      </c>
      <c r="K59" s="60" t="str">
        <v>Lohr</v>
      </c>
      <c r="L59" s="60" t="str">
        <v>Lohr</v>
      </c>
      <c r="M59" s="60">
        <v>0</v>
      </c>
      <c r="N59" s="60">
        <v>0</v>
      </c>
      <c r="O59"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59" s="60" t="str">
        <v>NAVYA (FR0013018041- Navya), an autonomous mobility systems leader, signs a strategic alliance with Lohr, an industrial group known worldwide for its expertise in the engineering, production and marketing of systems for the transportation of people and goods.</v>
      </c>
      <c r="Q59" s="60" t="str">
        <v>Strategic Alliance</v>
      </c>
      <c r="R59" s="60" t="str">
        <v>Yes</v>
      </c>
      <c r="S59" s="60" t="str">
        <v>Product cooperation</v>
      </c>
      <c r="T59" s="60" t="str">
        <v>-</v>
      </c>
      <c r="U59" s="60" t="str">
        <v>-</v>
      </c>
      <c r="V59" s="60" t="str">
        <v>-</v>
      </c>
      <c r="W59" s="60" t="str">
        <v>2.1. Short term Alliance (no exclusivity / previous experience)</v>
      </c>
      <c r="X59" s="60">
        <v>0</v>
      </c>
      <c r="Y59"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59" s="60" t="str">
        <v>Joint Production</v>
      </c>
      <c r="AA59"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59" s="60">
        <v>0</v>
      </c>
      <c r="AC59" s="60">
        <v>0</v>
      </c>
      <c r="AD59" s="60">
        <v>0</v>
      </c>
      <c r="AE59" s="60">
        <v>0</v>
      </c>
      <c r="AF59" s="60" t="str">
        <v>Navya and Lohr form a strategic alliance to speed up their technological, industrial and commercial development in the field of autonomous mobility</v>
      </c>
      <c r="AG59" s="60">
        <v>0</v>
      </c>
    </row>
    <row r="60" spans="1:33" x14ac:dyDescent="0.35">
      <c r="A60" s="60" t="str">
        <v>https://www.navya.tech/en/michelin-navya-and-beti-enter-into-a-technological-partnership-and-launch-their-first-autonomous-mobility-experimentation-within-the-framework-of-the-movinon-think-do-tank/</v>
      </c>
      <c r="B60" s="60" t="str">
        <v>2022, 6, 17</v>
      </c>
      <c r="C60" s="105">
        <v>44729</v>
      </c>
      <c r="D60" s="60" t="str">
        <v>Michelin, Navya and beti enter into a technological partnership and launch their first autonomous mobility experimentation within the framework of the Movin On Think &amp; Do Tank</v>
      </c>
      <c r="E60" s="60" t="str">
        <v>Navya</v>
      </c>
      <c r="F60" s="60" t="str">
        <v>L2</v>
      </c>
      <c r="G60" s="60" t="str">
        <v>Navya-SAV</v>
      </c>
      <c r="H60" s="60" t="str">
        <v>SAV</v>
      </c>
      <c r="I60" s="60" t="str">
        <v>Ridepooling</v>
      </c>
      <c r="J60" s="60" t="str">
        <v>Ridepooling</v>
      </c>
      <c r="K60" s="60" t="str">
        <v>Michelin;Beti</v>
      </c>
      <c r="L60" s="60" t="str">
        <v>Michelin</v>
      </c>
      <c r="M60" s="60" t="str">
        <v>Beti</v>
      </c>
      <c r="N60" s="60">
        <v>0</v>
      </c>
      <c r="O60"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60" s="60" t="str">
        <v>j</v>
      </c>
      <c r="Q60" s="60" t="str">
        <v>Strategic Alliance</v>
      </c>
      <c r="R60" s="60" t="str">
        <v>Yes</v>
      </c>
      <c r="S60" s="60" t="str">
        <v>One time</v>
      </c>
      <c r="T60" s="60" t="str">
        <v>-</v>
      </c>
      <c r="U60" s="60" t="str">
        <v>Yes</v>
      </c>
      <c r="V60" s="60" t="str">
        <v>-</v>
      </c>
      <c r="W60" s="60" t="str">
        <v xml:space="preserve">2.2. Renewed Alliance </v>
      </c>
      <c r="X60" s="60">
        <v>0</v>
      </c>
      <c r="Y60"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60" s="60" t="str">
        <v>Research &amp; Collaboration</v>
      </c>
      <c r="AA60"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60" s="60">
        <v>0</v>
      </c>
      <c r="AC60" s="60">
        <v>0</v>
      </c>
      <c r="AD60" s="60">
        <v>0</v>
      </c>
      <c r="AE60" s="60">
        <v>0</v>
      </c>
      <c r="AF60" s="60" t="str">
        <v>Michelin, Navya and beti enter into a technological partnership and launch their first autonomous mobility experimentation within the framework of the Movin On Think &amp; Do Tank</v>
      </c>
      <c r="AG60" s="60">
        <v>0</v>
      </c>
    </row>
    <row r="61" spans="1:33" x14ac:dyDescent="0.35">
      <c r="A61" s="60" t="str">
        <v>https://oxa.tech/news-and-insights/oxa-and-eversum-announce-partnership-to-develop-and-deploy-autonomous-passenger-shuttles/</v>
      </c>
      <c r="B61" s="60" t="str">
        <v>2023, 10, 8</v>
      </c>
      <c r="C61" s="105">
        <v>44934</v>
      </c>
      <c r="D61" s="60" t="str">
        <v>Oxa and eVersum Announce Partnership To Develop and Deploy Autonomous Passenger Shuttles</v>
      </c>
      <c r="E61" s="60" t="str">
        <v>Oxa</v>
      </c>
      <c r="F61" s="60" t="str">
        <v>L1</v>
      </c>
      <c r="G61" s="60" t="str">
        <v>Oxa-SAV</v>
      </c>
      <c r="H61" s="60" t="str">
        <v>SAV</v>
      </c>
      <c r="I61" s="60" t="str">
        <v>Ridepooling</v>
      </c>
      <c r="J61" s="60" t="str">
        <v>Ridepooling</v>
      </c>
      <c r="K61" s="60" t="str">
        <v>eVersum</v>
      </c>
      <c r="L61" s="60" t="str">
        <v>eVersum</v>
      </c>
      <c r="M61" s="60">
        <v>0</v>
      </c>
      <c r="N61" s="60">
        <v>0</v>
      </c>
      <c r="O61"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61"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61" s="60" t="str">
        <v>Strategic Alliance</v>
      </c>
      <c r="R61" s="60" t="str">
        <v>n.a.</v>
      </c>
      <c r="S61" s="60" t="str">
        <v>Product cooperation</v>
      </c>
      <c r="T61" s="60" t="str">
        <v>Long term - Min 1 year</v>
      </c>
      <c r="U61" s="60" t="str">
        <v>-</v>
      </c>
      <c r="V61" s="60" t="str">
        <v>-</v>
      </c>
      <c r="W61" s="60" t="str">
        <v>2.3. Long term Alliance</v>
      </c>
      <c r="X61" s="60">
        <v>0</v>
      </c>
      <c r="Y61"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61" s="60" t="str">
        <v>Joint D&amp;D</v>
      </c>
      <c r="AA61"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61" s="60" t="str">
        <v>Joint Production</v>
      </c>
      <c r="AC61" s="60" t="str">
        <v xml:space="preserve">this partnership will see eVersum produce autonomous-ready electric base vehicles, featuring Oxa Driver, Oxa's autonomy software, along with sensors and computing technology integrated directly on the production line. </v>
      </c>
      <c r="AD61" s="60">
        <v>0</v>
      </c>
      <c r="AE61" s="60">
        <v>0</v>
      </c>
      <c r="AF61" s="60" t="str">
        <v xml:space="preserve">Partnership To Develop and Deploy </v>
      </c>
      <c r="AG61" s="60" t="str">
        <v>Autonomous Passenger Shuttles</v>
      </c>
    </row>
    <row r="62" spans="1:33" x14ac:dyDescent="0.35">
      <c r="A62" s="60" t="str">
        <v>https://oxa.tech/news-and-insights/oxbotica-partners-with-nevs-to-reshape-the-future-of-urban-mobility-with-fleet-of-shared-self-driving-all-electric-vehicles/</v>
      </c>
      <c r="B62" s="60" t="str">
        <v>2022, 5, 11</v>
      </c>
      <c r="C62" s="105">
        <v>44692</v>
      </c>
      <c r="D62" s="60" t="str">
        <v>Oxbotica partners with NEVS to reshape the future of urban mobility with fleet of shared, self-driving, all-electric vehicles</v>
      </c>
      <c r="E62" s="60" t="str">
        <v>Oxa</v>
      </c>
      <c r="F62" s="60" t="str">
        <v>L1</v>
      </c>
      <c r="G62" s="60" t="str">
        <v>Oxa-SAV</v>
      </c>
      <c r="H62" s="60" t="str">
        <v>SAV</v>
      </c>
      <c r="I62" s="60" t="str">
        <v>Ridepooling</v>
      </c>
      <c r="J62" s="60" t="str">
        <v>Ridepooling</v>
      </c>
      <c r="K62" s="60" t="str">
        <v>NEVS</v>
      </c>
      <c r="L62" s="60" t="str">
        <v>NEVS</v>
      </c>
      <c r="M62" s="60">
        <v>0</v>
      </c>
      <c r="N62" s="60">
        <v>0</v>
      </c>
      <c r="O62"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62"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62" s="60" t="str">
        <v>Strategic Alliance</v>
      </c>
      <c r="R62" s="60" t="str">
        <v>Yes</v>
      </c>
      <c r="S62" s="60" t="str">
        <v>Product cooperation</v>
      </c>
      <c r="T62" s="60" t="str">
        <v>Long term - Min 2025 (&gt;2 years)</v>
      </c>
      <c r="U62" s="60" t="str">
        <v>-</v>
      </c>
      <c r="V62" s="60" t="str">
        <v>-</v>
      </c>
      <c r="W62" s="60" t="str">
        <v>2.3. Long term Alliance</v>
      </c>
      <c r="X62" s="60">
        <v>0</v>
      </c>
      <c r="Y62"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62" s="60" t="str">
        <v>Joint D&amp;D</v>
      </c>
      <c r="AA62"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62" s="60">
        <v>0</v>
      </c>
      <c r="AC62" s="60">
        <v>0</v>
      </c>
      <c r="AD62" s="60">
        <v>0</v>
      </c>
      <c r="AE62" s="60">
        <v>0</v>
      </c>
      <c r="AF62" s="60" t="str">
        <v>Oxbotica partners with NEVS to reshape the future of urban mobility with fleet of shared, self-driving, all-electric vehicles</v>
      </c>
      <c r="AG62" s="60">
        <v>0</v>
      </c>
    </row>
    <row r="63" spans="1:33" x14ac:dyDescent="0.35">
      <c r="A63" s="60" t="str">
        <v>https://www.perronerobotics.com/news/perrone-robotics-and-global-finance-group-partner-to-bring-turnkey-autonomous-vehicle-program-to-university-and-college-campuses</v>
      </c>
      <c r="B63" s="60" t="str">
        <v>2023, 5, 10</v>
      </c>
      <c r="C63" s="105">
        <v>45056</v>
      </c>
      <c r="D63" s="60" t="str">
        <v>Perrone Robotics and Global Finance Group Partner to Bring Turnkey Autonomous Vehicle Program to University and College Campuses</v>
      </c>
      <c r="E63" s="60" t="str">
        <v>Perrone Robotics</v>
      </c>
      <c r="F63" s="60" t="str">
        <v>L1</v>
      </c>
      <c r="G63" s="60" t="str">
        <v>Perrone Robotics-SAV</v>
      </c>
      <c r="H63" s="60" t="str">
        <v>SAV</v>
      </c>
      <c r="I63" s="60" t="str">
        <v>Ridepooling</v>
      </c>
      <c r="J63" s="60" t="str">
        <v>Ridepooling</v>
      </c>
      <c r="K63" s="60" t="str">
        <v>Global Finance Group</v>
      </c>
      <c r="L63" s="60" t="str">
        <v>Global Finance Group</v>
      </c>
      <c r="M63" s="60">
        <v>0</v>
      </c>
      <c r="N63" s="60">
        <v>0</v>
      </c>
      <c r="O63"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63"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63" s="60" t="str">
        <v>Strategic Alliance</v>
      </c>
      <c r="R63" s="60" t="str">
        <v>n.a.</v>
      </c>
      <c r="S63" s="60" t="str">
        <v>Financing</v>
      </c>
      <c r="T63" s="60" t="str">
        <v>-</v>
      </c>
      <c r="U63" s="60" t="str">
        <v>-</v>
      </c>
      <c r="V63" s="60" t="str">
        <v>-</v>
      </c>
      <c r="W63" s="60" t="str">
        <v>2.1. Short term Alliance (no exclusivity / previous experience)</v>
      </c>
      <c r="X63" s="60">
        <v>0</v>
      </c>
      <c r="Y63"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63" s="60" t="str">
        <v>Other</v>
      </c>
      <c r="AA63" s="60" t="str">
        <v>By lowering the financial barriers to this technology, Perrone and GFG open the doors for universities and colleges to bring fully functional autonomy to their communities for safe, reliable, and affordable transportation.</v>
      </c>
      <c r="AB63" s="60">
        <v>0</v>
      </c>
      <c r="AC63" s="60">
        <v>0</v>
      </c>
      <c r="AD63" s="60">
        <v>0</v>
      </c>
      <c r="AE63" s="60">
        <v>0</v>
      </c>
      <c r="AF63" s="60" t="str">
        <v xml:space="preserve">Perrone Robotics and Global Finance Group Partner to Bring </v>
      </c>
      <c r="AG63" s="60" t="str">
        <v>Turnkey Autonomous Vehicle Program to University and College Campuses</v>
      </c>
    </row>
    <row r="64" spans="1:33" x14ac:dyDescent="0.35">
      <c r="A64" s="60" t="str">
        <v>https://www.perronerobotics.com/news/western-reserve-transit-authority-selects-first-transit-in-partnership-with-perrone-robotics-and-greenpower-motor-company-for-autonomous-vehicle-pilot</v>
      </c>
      <c r="B64" s="60" t="str">
        <v>2022, 10, 5</v>
      </c>
      <c r="C64" s="105">
        <v>44566</v>
      </c>
      <c r="D64" s="60" t="str">
        <v>Western Reserve Transit Authority Selects First Transit, in Partnership with Perrone Robotics and GreenPower for Autonomous Vehicle Pilot</v>
      </c>
      <c r="E64" s="60" t="str">
        <v>Perrone Robotics</v>
      </c>
      <c r="F64" s="60" t="str">
        <v>L1</v>
      </c>
      <c r="G64" s="60" t="str">
        <v>Perrone Robotics-SAV</v>
      </c>
      <c r="H64" s="60" t="str">
        <v>SAV</v>
      </c>
      <c r="I64" s="60" t="str">
        <v>Ridepooling</v>
      </c>
      <c r="J64" s="60" t="str">
        <v>Ridepooling</v>
      </c>
      <c r="K64" s="60" t="str">
        <v>Western Reserve Transit Authority;GreenPower</v>
      </c>
      <c r="L64" s="60" t="str">
        <v>Western Reserve Transit Authority</v>
      </c>
      <c r="M64" s="60" t="str">
        <v>GreenPower</v>
      </c>
      <c r="N64" s="60">
        <v>0</v>
      </c>
      <c r="O64"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64"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64" s="60" t="str">
        <v>Strategic Alliance</v>
      </c>
      <c r="R64" s="60" t="str">
        <v>n.a.</v>
      </c>
      <c r="S64" s="60" t="str">
        <v>One time - pilot</v>
      </c>
      <c r="T64" s="60" t="str">
        <v>-</v>
      </c>
      <c r="U64" s="60" t="str">
        <v>-</v>
      </c>
      <c r="V64" s="60" t="str">
        <v>-</v>
      </c>
      <c r="W64" s="60" t="str">
        <v>2.1. Short term Alliance (no exclusivity / previous experience)</v>
      </c>
      <c r="X64" s="60">
        <v>0</v>
      </c>
      <c r="Y64" s="60" t="str">
        <v>First Transit, the leader in mobility solutions, announces that it will operate the Western Reserve Transit Authority (WRTA) autonomous vehicle (AV) pilot, in partnership with Perrone Robotics and GreenPower.</v>
      </c>
      <c r="Z64" s="60" t="str">
        <v>Joint Service Agreement</v>
      </c>
      <c r="AA64" s="60" t="str">
        <v>First Transit, the leader in mobility solutions, announces that it will operate the Western Reserve Transit Authority (WRTA) autonomous vehicle (AV) pilot, in partnership with Perrone Robotics and GreenPower.</v>
      </c>
      <c r="AB64" s="60">
        <v>0</v>
      </c>
      <c r="AC64" s="60">
        <v>0</v>
      </c>
      <c r="AD64" s="60">
        <v>0</v>
      </c>
      <c r="AE64" s="60">
        <v>0</v>
      </c>
      <c r="AF64" s="60" t="str">
        <v xml:space="preserve">Western Reserve Transit Authority Selects First Transit, in Partnership with Perrone Robotics and GreenPower </v>
      </c>
      <c r="AG64" s="60" t="str">
        <v>for Autonomous Vehicle Pilot</v>
      </c>
    </row>
    <row r="65" spans="1:33" x14ac:dyDescent="0.35">
      <c r="A65" s="60" t="str">
        <v>https://www.perronerobotics.com/news/pri-partners-sae-tampa</v>
      </c>
      <c r="B65" s="60" t="str">
        <v>2018, 5, 1</v>
      </c>
      <c r="C65" s="105">
        <v>43221</v>
      </c>
      <c r="D65" s="60" t="str">
        <v>PRI Partners with SAE in Tampa</v>
      </c>
      <c r="E65" s="60" t="str">
        <v>Perrone Robotics</v>
      </c>
      <c r="F65" s="60" t="str">
        <v>L1</v>
      </c>
      <c r="G65" s="60" t="str">
        <v>Perrone Robotics-SAV</v>
      </c>
      <c r="H65" s="60" t="str">
        <v>SAV</v>
      </c>
      <c r="I65" s="60" t="str">
        <v>Ridepooling</v>
      </c>
      <c r="J65" s="60" t="str">
        <v>Ridepooling</v>
      </c>
      <c r="K65" s="60" t="str">
        <v>SAE</v>
      </c>
      <c r="L65" s="60" t="str">
        <v>SAE</v>
      </c>
      <c r="M65" s="60">
        <v>0</v>
      </c>
      <c r="N65" s="60">
        <v>0</v>
      </c>
      <c r="O65"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65"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65" s="60" t="str">
        <v>Strategic Alliance</v>
      </c>
      <c r="R65" s="60" t="str">
        <v>n.a.</v>
      </c>
      <c r="S65" s="60" t="str">
        <v>One time - Pilot</v>
      </c>
      <c r="T65" s="60" t="str">
        <v>Short term - 3 days</v>
      </c>
      <c r="U65" s="60" t="str">
        <v>-</v>
      </c>
      <c r="V65" s="60" t="str">
        <v>-</v>
      </c>
      <c r="W65" s="60" t="str">
        <v>2.1. Short term Alliance (no exclusivity / previous experience)</v>
      </c>
      <c r="X65" s="60">
        <v>0</v>
      </c>
      <c r="Y65"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65" s="60" t="str">
        <v>Research &amp; Collaboration</v>
      </c>
      <c r="AA65"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65" s="60">
        <v>0</v>
      </c>
      <c r="AC65" s="60">
        <v>0</v>
      </c>
      <c r="AD65" s="60">
        <v>0</v>
      </c>
      <c r="AE65" s="60">
        <v>0</v>
      </c>
      <c r="AF65" s="60" t="str">
        <v xml:space="preserve">PRI Partners with SAE </v>
      </c>
      <c r="AG65" s="60" t="str">
        <v>in Tampa</v>
      </c>
    </row>
    <row r="66" spans="1:33" x14ac:dyDescent="0.35">
      <c r="A66" s="60" t="str">
        <v>https://www.perronerobotics.com/news/perrone-robotics-and-tropos-team-up-to-develop-autonomous-electric-compact-utility-vehicles</v>
      </c>
      <c r="B66" s="60" t="str">
        <v>2021, 8, 18</v>
      </c>
      <c r="C66" s="105">
        <v>44426</v>
      </c>
      <c r="D66" s="60" t="str">
        <v>Perrone Robotics and Tropos Team up to Develop Autonomous Electric Compact Utility Vehicles</v>
      </c>
      <c r="E66" s="60" t="str">
        <v>Perrone Robotics</v>
      </c>
      <c r="F66" s="60" t="str">
        <v>L1</v>
      </c>
      <c r="G66" s="60" t="str">
        <v>Perrone Robotics-SAV</v>
      </c>
      <c r="H66" s="60" t="str">
        <v>SAV</v>
      </c>
      <c r="I66" s="60" t="str">
        <v>Ridepooling</v>
      </c>
      <c r="J66" s="60" t="str">
        <v>Ridepooling</v>
      </c>
      <c r="K66" s="60" t="str">
        <v>Tropos Technologies</v>
      </c>
      <c r="L66" s="60" t="str">
        <v>Tropos Technologies</v>
      </c>
      <c r="M66" s="60">
        <v>0</v>
      </c>
      <c r="N66" s="60">
        <v>0</v>
      </c>
      <c r="O66"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6" s="60" t="str">
        <v>Autonomous vehicle technology provider Perrone Robotics  and cleantech vehicle manufacturer Tropos Motors yesterday announced a partnership to produce a series of fully autonomous, electric low-speed vehicles (e-LSVs) and trucks.</v>
      </c>
      <c r="Q66" s="60" t="str">
        <v>Strategic Alliance</v>
      </c>
      <c r="R66" s="60" t="str">
        <v>n.a.</v>
      </c>
      <c r="S66" s="60" t="str">
        <v>Product cooperation</v>
      </c>
      <c r="T66" s="60" t="str">
        <v>-</v>
      </c>
      <c r="U66" s="60" t="str">
        <v>-</v>
      </c>
      <c r="V66" s="60" t="str">
        <v>-</v>
      </c>
      <c r="W66" s="60" t="str">
        <v>2.1. Short term Alliance (no exclusivity / previous experience)</v>
      </c>
      <c r="X66" s="60">
        <v>0</v>
      </c>
      <c r="Y66"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6" s="60" t="str">
        <v>Joint D&amp;D</v>
      </c>
      <c r="AA66"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6" s="60">
        <v>0</v>
      </c>
      <c r="AC66" s="60">
        <v>0</v>
      </c>
      <c r="AD66" s="60">
        <v>0</v>
      </c>
      <c r="AE66" s="60">
        <v>0</v>
      </c>
      <c r="AF66" s="60" t="str">
        <v xml:space="preserve">Perrone Robotics and Tropos Team up to Develop </v>
      </c>
      <c r="AG66" s="60" t="str">
        <v>Autonomous Electric Compact Utility Vehicles</v>
      </c>
    </row>
    <row r="67" spans="1:33" x14ac:dyDescent="0.35">
      <c r="A67" s="60" t="str">
        <v>https://www.perronerobotics.com/news/perrone-robotics-partners-with-tropos-on-self-driving-trucks</v>
      </c>
      <c r="B67" s="60" t="str">
        <v>2021, 8, 18</v>
      </c>
      <c r="C67" s="105">
        <v>44426</v>
      </c>
      <c r="D67" s="60" t="str">
        <v>Perrone Robotics Partners With Tropos on Self-Driving Trucks</v>
      </c>
      <c r="E67" s="60" t="str">
        <v>Perrone Robotics</v>
      </c>
      <c r="F67" s="60" t="str">
        <v>L1</v>
      </c>
      <c r="G67" s="60" t="str">
        <v>Perrone Robotics-SAV</v>
      </c>
      <c r="H67" s="60" t="str">
        <v>SAV</v>
      </c>
      <c r="I67" s="60" t="str">
        <v>Ridepooling</v>
      </c>
      <c r="J67" s="60" t="str">
        <v>Ridepooling</v>
      </c>
      <c r="K67" s="60" t="str">
        <v>Tropos Technologies</v>
      </c>
      <c r="L67" s="60" t="str">
        <v>Tropos Technologies</v>
      </c>
      <c r="M67" s="60">
        <v>0</v>
      </c>
      <c r="N67" s="60">
        <v>0</v>
      </c>
      <c r="O67"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7" s="60" t="str">
        <v>Future platforms in development will include a series of emergency and first-responder solutions that will be available later this year.</v>
      </c>
      <c r="Q67" s="60" t="str">
        <v>Strategic Alliance</v>
      </c>
      <c r="R67" s="60" t="str">
        <v>n.a.</v>
      </c>
      <c r="S67" s="60" t="str">
        <v>Service cooperation</v>
      </c>
      <c r="T67" s="60" t="str">
        <v>-</v>
      </c>
      <c r="U67" s="60" t="str">
        <v>-</v>
      </c>
      <c r="V67" s="60" t="str">
        <v>-</v>
      </c>
      <c r="W67" s="60" t="str">
        <v>2.1. Short term Alliance (no exclusivity / previous experience)</v>
      </c>
      <c r="X67" s="60">
        <v>0</v>
      </c>
      <c r="Y67"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7" s="60" t="str">
        <v>Joint D&amp;D</v>
      </c>
      <c r="AA67"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7" s="60">
        <v>0</v>
      </c>
      <c r="AC67" s="60">
        <v>0</v>
      </c>
      <c r="AD67" s="60">
        <v>0</v>
      </c>
      <c r="AE67" s="60">
        <v>0</v>
      </c>
      <c r="AF67" s="60" t="str">
        <v>Perrone Robotics Partners With Tropos on Self-Driving Trucks</v>
      </c>
      <c r="AG67" s="60">
        <v>0</v>
      </c>
    </row>
    <row r="68" spans="1:33" x14ac:dyDescent="0.35">
      <c r="A68" s="60" t="str">
        <v>https://www.perronerobotics.com/news/autonomous-ev-bus-collaboration-announced</v>
      </c>
      <c r="B68" s="60" t="str">
        <v>2020, 3, 2</v>
      </c>
      <c r="C68" s="105">
        <v>43892</v>
      </c>
      <c r="D68" s="60" t="str">
        <v>Autonomous EV Bus Collaboration Announced</v>
      </c>
      <c r="E68" s="60" t="str">
        <v>Perrone Robotics</v>
      </c>
      <c r="F68" s="60" t="str">
        <v>L1</v>
      </c>
      <c r="G68" s="60" t="str">
        <v>Perrone Robotics-SAV</v>
      </c>
      <c r="H68" s="60" t="str">
        <v>SAV</v>
      </c>
      <c r="I68" s="60" t="str">
        <v>Ridepooling</v>
      </c>
      <c r="J68" s="60" t="str">
        <v>Ridepooling</v>
      </c>
      <c r="K68" s="60" t="str">
        <v>Greenpower</v>
      </c>
      <c r="L68" s="60" t="str">
        <v>Greenpower</v>
      </c>
      <c r="M68" s="60">
        <v>0</v>
      </c>
      <c r="N68" s="60">
        <v>0</v>
      </c>
      <c r="O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68" s="60" t="str">
        <v>Strategic Alliance</v>
      </c>
      <c r="R68" s="60" t="str">
        <v>n.a.</v>
      </c>
      <c r="S68" s="60" t="str">
        <v>Product cooperation</v>
      </c>
      <c r="T68" s="60" t="str">
        <v>-</v>
      </c>
      <c r="U68" s="60" t="str">
        <v>-</v>
      </c>
      <c r="V68" s="60" t="str">
        <v>-</v>
      </c>
      <c r="W68" s="60" t="str">
        <v>2.1. Short term Alliance (no exclusivity / previous experience)</v>
      </c>
      <c r="X68" s="60">
        <v>0</v>
      </c>
      <c r="Y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68" s="60" t="str">
        <v>Joint D&amp;D</v>
      </c>
      <c r="AA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68" s="60">
        <v>0</v>
      </c>
      <c r="AC68" s="60">
        <v>0</v>
      </c>
      <c r="AD68" s="60">
        <v>0</v>
      </c>
      <c r="AE68" s="60">
        <v>0</v>
      </c>
      <c r="AF68" s="60" t="str">
        <v>Autonomous EV Bus Collaboration Announced</v>
      </c>
      <c r="AG68" s="60">
        <v>0</v>
      </c>
    </row>
    <row r="69" spans="1:33" x14ac:dyDescent="0.35">
      <c r="A69" s="60" t="str">
        <v>https://www.perronerobotics.com/news/perrone-robotics-inc-and-guident-corp-sign-strategic-alliance</v>
      </c>
      <c r="B69" s="60" t="str">
        <v>2022, 4, 19</v>
      </c>
      <c r="C69" s="105">
        <v>44670</v>
      </c>
      <c r="D69" s="60" t="str">
        <v>Perrone Robotics,  and Guident Corp. Sign Strategic Alliance</v>
      </c>
      <c r="E69" s="60" t="str">
        <v>Perrone Robotics</v>
      </c>
      <c r="F69" s="60" t="str">
        <v>L1</v>
      </c>
      <c r="G69" s="60" t="str">
        <v>Perrone Robotics-SAV</v>
      </c>
      <c r="H69" s="60" t="str">
        <v>SAV</v>
      </c>
      <c r="I69" s="60" t="str">
        <v>Ridepooling</v>
      </c>
      <c r="J69" s="60" t="str">
        <v>Ridepooling</v>
      </c>
      <c r="K69" s="60" t="str">
        <v>Guident</v>
      </c>
      <c r="L69" s="60" t="str">
        <v>Guident</v>
      </c>
      <c r="M69" s="60">
        <v>0</v>
      </c>
      <c r="N69" s="60">
        <v>0</v>
      </c>
      <c r="O69"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69"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69" s="60" t="str">
        <v>Strategic Alliance</v>
      </c>
      <c r="R69" s="60" t="str">
        <v>Yes</v>
      </c>
      <c r="S69" s="60" t="str">
        <v>Product cooperation</v>
      </c>
      <c r="T69" s="60" t="str">
        <v>-</v>
      </c>
      <c r="U69" s="60" t="str">
        <v>-</v>
      </c>
      <c r="V69" s="60" t="str">
        <v>-</v>
      </c>
      <c r="W69" s="60" t="str">
        <v>2.1. Short term Alliance (no exclusivity / previous experience)</v>
      </c>
      <c r="X69" s="60">
        <v>0</v>
      </c>
      <c r="Y69"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69" s="60" t="str">
        <v>Joint D&amp;D</v>
      </c>
      <c r="AA69"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69" s="60">
        <v>0</v>
      </c>
      <c r="AC69" s="60">
        <v>0</v>
      </c>
      <c r="AD69" s="60">
        <v>0</v>
      </c>
      <c r="AE69" s="60">
        <v>0</v>
      </c>
      <c r="AF69" s="60" t="str">
        <v>Perrone Robotics,  and Guident Corp. Sign Strategic Alliance</v>
      </c>
      <c r="AG69" s="60">
        <v>0</v>
      </c>
    </row>
    <row r="70" spans="1:33" x14ac:dyDescent="0.35">
      <c r="A70" s="60" t="str">
        <v>https://www.perronerobotics.com/news/lightning-emotors-partners-with-perrone-robotics-to-offer-fully-autonomous-vehicle-option-to-zero-emission-fleet-customers</v>
      </c>
      <c r="B70" s="60" t="str">
        <v>2022, 5, 9</v>
      </c>
      <c r="C70" s="105">
        <v>44690</v>
      </c>
      <c r="D70" s="60" t="str">
        <v>Lightning eMotors Partners with Perrone Robotics to Offer Fully Autonomous Vehicle Option to Zero-Emission Fleet Customers</v>
      </c>
      <c r="E70" s="60" t="str">
        <v>Perrone Robotics</v>
      </c>
      <c r="F70" s="60" t="str">
        <v>L1</v>
      </c>
      <c r="G70" s="60" t="str">
        <v>Perrone Robotics-SAV</v>
      </c>
      <c r="H70" s="60" t="str">
        <v>SAV</v>
      </c>
      <c r="I70" s="60" t="str">
        <v>Ridepooling</v>
      </c>
      <c r="J70" s="60" t="str">
        <v>Ridepooling</v>
      </c>
      <c r="K70" s="60" t="str">
        <v>Lightning eMotors</v>
      </c>
      <c r="L70" s="60" t="str">
        <v>Lightning eMotors</v>
      </c>
      <c r="M70" s="60">
        <v>0</v>
      </c>
      <c r="N70" s="60">
        <v>0</v>
      </c>
      <c r="O70"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70"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70" s="60" t="str">
        <v>Strategic Alliance</v>
      </c>
      <c r="R70" s="60" t="str">
        <v>n.a.</v>
      </c>
      <c r="S70" s="60" t="str">
        <v>Product cooperation</v>
      </c>
      <c r="T70" s="60" t="str">
        <v>-</v>
      </c>
      <c r="U70" s="60" t="str">
        <v>-</v>
      </c>
      <c r="V70" s="60" t="str">
        <v>-</v>
      </c>
      <c r="W70" s="60" t="str">
        <v>2.1. Short term Alliance (no exclusivity / previous experience)</v>
      </c>
      <c r="X70" s="60">
        <v>0</v>
      </c>
      <c r="Y70"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70" s="60" t="str">
        <v>Joint D&amp;D</v>
      </c>
      <c r="AA70"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70" s="60">
        <v>0</v>
      </c>
      <c r="AC70" s="60">
        <v>0</v>
      </c>
      <c r="AD70" s="60">
        <v>0</v>
      </c>
      <c r="AE70" s="60">
        <v>0</v>
      </c>
      <c r="AF70" s="60" t="str">
        <v>Lightning eMotors Partners with Perrone Robotics to Offer Fully Autonomous Vehicle Option to Zero-Emission Fleet Customers</v>
      </c>
      <c r="AG70" s="60">
        <v>0</v>
      </c>
    </row>
    <row r="71" spans="1:33" x14ac:dyDescent="0.35">
      <c r="A71" s="60" t="str">
        <v>https://www.perronerobotics.com/news/perrone-robotics-collaborates-machine-learning-pioneer</v>
      </c>
      <c r="B71" s="60" t="str">
        <v>2021, 2, 8</v>
      </c>
      <c r="C71" s="105">
        <v>44235</v>
      </c>
      <c r="D71" s="60" t="str">
        <v>Perrone Robotics Collaborates with Machine Learning Pioneer</v>
      </c>
      <c r="E71" s="60" t="str">
        <v>Perrone Robotics</v>
      </c>
      <c r="F71" s="60" t="str">
        <v>L1</v>
      </c>
      <c r="G71" s="60" t="str">
        <v>Perrone Robotics-SAV</v>
      </c>
      <c r="H71" s="60" t="str">
        <v>SAV</v>
      </c>
      <c r="I71" s="60" t="str">
        <v>Ridepooling</v>
      </c>
      <c r="J71" s="60" t="str">
        <v>Ridepooling</v>
      </c>
      <c r="K71" s="60" t="str">
        <v>University of California</v>
      </c>
      <c r="L71" s="60" t="str">
        <v>University of California</v>
      </c>
      <c r="M71" s="60">
        <v>0</v>
      </c>
      <c r="N71" s="60">
        <v>0</v>
      </c>
      <c r="O71"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71" s="60" t="str">
        <v>Perrone Robotics has signed a memorandum of understanding for a collaboration with Professor Robert Hecht-Nielsen of the University of California (San Diego), San Diego's Vertebrate Movement Laboratory and its research team on advanced machine learning methods</v>
      </c>
      <c r="Q71" s="60" t="str">
        <v>Strategic Alliance</v>
      </c>
      <c r="R71" s="60" t="str">
        <v>Yes</v>
      </c>
      <c r="S71" s="60" t="str">
        <v>Research cooperation</v>
      </c>
      <c r="T71" s="60" t="str">
        <v>-</v>
      </c>
      <c r="U71" s="60" t="str">
        <v>-</v>
      </c>
      <c r="V71" s="60" t="str">
        <v>-</v>
      </c>
      <c r="W71" s="60" t="str">
        <v>2.1. Short term Alliance (no exclusivity / previous experience)</v>
      </c>
      <c r="X71" s="60">
        <v>0</v>
      </c>
      <c r="Y71" s="60" t="str">
        <v>Perrone Robotics has signed a memorandum of understanding for a collaboration with Professor Robert Hecht-Nielsen of the University of California (San Diego), San Diego's Vertebrate Movement Laboratory and its research team on advanced machine learning methods</v>
      </c>
      <c r="Z71" s="60" t="str">
        <v>Research &amp; Collaboration</v>
      </c>
      <c r="AA71" s="60" t="str">
        <v>Perrone Robotics has signed a memorandum of understanding for a collaboration with Professor Robert Hecht-Nielsen of the University of California (San Diego), San Diego's Vertebrate Movement Laboratory and its research team on advanced machine learning methods</v>
      </c>
      <c r="AB71" s="60">
        <v>0</v>
      </c>
      <c r="AC71" s="60">
        <v>0</v>
      </c>
      <c r="AD71" s="60">
        <v>0</v>
      </c>
      <c r="AE71" s="60">
        <v>0</v>
      </c>
      <c r="AF71" s="60" t="str">
        <v>Perrone Robotics Collaborates with Machine Learning Pioneer</v>
      </c>
      <c r="AG71" s="60">
        <v>0</v>
      </c>
    </row>
    <row r="72" spans="1:33" x14ac:dyDescent="0.35">
      <c r="A72" s="60" t="str">
        <v>https://www.perronerobotics.com/news/perrone-robotics-enters-into-agreement-with-sustainability-partners-bringing-autonomous-vehicles-to-the-state-of-hawaii</v>
      </c>
      <c r="B72" s="60" t="str">
        <v>2023, 2, 17</v>
      </c>
      <c r="C72" s="105">
        <v>44974</v>
      </c>
      <c r="D72" s="60" t="str">
        <v>Perrone Robotics Enters into Agreement with Sustainability Partners Bringing Autonomous Vehicles to the State of Hawaii</v>
      </c>
      <c r="E72" s="60" t="str">
        <v>Perrone Robotics</v>
      </c>
      <c r="F72" s="60" t="str">
        <v>L1</v>
      </c>
      <c r="G72" s="60" t="str">
        <v>Perrone Robotics-SAV</v>
      </c>
      <c r="H72" s="60" t="str">
        <v>SAV</v>
      </c>
      <c r="I72" s="60" t="str">
        <v>Ridepooling</v>
      </c>
      <c r="J72" s="60" t="str">
        <v>Ridepooling</v>
      </c>
      <c r="K72" s="60" t="str">
        <v>Sustainability Partners</v>
      </c>
      <c r="L72" s="60" t="str">
        <v>Sustainability Partners</v>
      </c>
      <c r="M72" s="60">
        <v>0</v>
      </c>
      <c r="N72" s="60">
        <v>0</v>
      </c>
      <c r="O72"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72"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72" s="60" t="str">
        <v>Strategic Alliance</v>
      </c>
      <c r="R72" s="60" t="str">
        <v>n.a.</v>
      </c>
      <c r="S72" s="60" t="str">
        <v>Financing</v>
      </c>
      <c r="T72" s="60" t="str">
        <v>-</v>
      </c>
      <c r="U72" s="60" t="str">
        <v>-</v>
      </c>
      <c r="V72" s="60" t="str">
        <v>-</v>
      </c>
      <c r="W72" s="60" t="str">
        <v>2.1. Short term Alliance (no exclusivity / previous experience)</v>
      </c>
      <c r="X72" s="60">
        <v>0</v>
      </c>
      <c r="Y72"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72" s="60" t="str">
        <v>Other</v>
      </c>
      <c r="AA72"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72" s="60">
        <v>0</v>
      </c>
      <c r="AC72" s="60">
        <v>0</v>
      </c>
      <c r="AD72" s="60">
        <v>0</v>
      </c>
      <c r="AE72" s="60">
        <v>0</v>
      </c>
      <c r="AF72" s="60" t="str">
        <v>Perrone Robotics Enters into Agreement with Sustainability Partners Bringing Autonomous Vehicles to the State of Hawaii</v>
      </c>
      <c r="AG72" s="60">
        <v>0</v>
      </c>
    </row>
    <row r="73" spans="1:33" x14ac:dyDescent="0.35">
      <c r="A73" s="60" t="str">
        <v>https://www.perronerobotics.com/news/perrone-robotics-and-rampini-announce-partnership-to-provide-automated-6-meter-electric-buses</v>
      </c>
      <c r="B73" s="60" t="str">
        <v>2022, 12, 10</v>
      </c>
      <c r="C73" s="105">
        <v>44571</v>
      </c>
      <c r="D73" s="60" t="str">
        <v>Perrone Robotics and Rampini announce Partnership to Provide Automated 6-meter Electric Buses</v>
      </c>
      <c r="E73" s="60" t="str">
        <v>Perrone Robotics</v>
      </c>
      <c r="F73" s="60" t="str">
        <v>L1</v>
      </c>
      <c r="G73" s="60" t="str">
        <v>Perrone Robotics-SAV</v>
      </c>
      <c r="H73" s="60" t="str">
        <v>SAV</v>
      </c>
      <c r="I73" s="60" t="str">
        <v>Ridepooling</v>
      </c>
      <c r="J73" s="60" t="str">
        <v>Ridepooling</v>
      </c>
      <c r="K73" s="60" t="str">
        <v>Rampini</v>
      </c>
      <c r="L73" s="60" t="str">
        <v>Rampini</v>
      </c>
      <c r="M73" s="60">
        <v>0</v>
      </c>
      <c r="N73" s="60">
        <v>0</v>
      </c>
      <c r="O73"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73"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73" s="60" t="str">
        <v>Strategic Alliance</v>
      </c>
      <c r="R73" s="60" t="str">
        <v>n.a.</v>
      </c>
      <c r="S73" s="60" t="str">
        <v>Product cooperation</v>
      </c>
      <c r="T73" s="60" t="str">
        <v>-</v>
      </c>
      <c r="U73" s="60" t="str">
        <v>-</v>
      </c>
      <c r="V73" s="60" t="str">
        <v>-</v>
      </c>
      <c r="W73" s="60" t="str">
        <v>2.1. Short term Alliance (no exclusivity / previous experience)</v>
      </c>
      <c r="X73" s="60">
        <v>0</v>
      </c>
      <c r="Y73"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73" s="60" t="str">
        <v>Joint D&amp;D</v>
      </c>
      <c r="AA73"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73" s="60">
        <v>0</v>
      </c>
      <c r="AC73" s="60">
        <v>0</v>
      </c>
      <c r="AD73" s="60">
        <v>0</v>
      </c>
      <c r="AE73" s="60">
        <v>0</v>
      </c>
      <c r="AF73" s="60" t="str">
        <v>Perrone Robotics and Rampini announce Partnership to Provide Automated 6-meter Electric Buses</v>
      </c>
      <c r="AG73" s="60">
        <v>0</v>
      </c>
    </row>
    <row r="74" spans="1:33" x14ac:dyDescent="0.35">
      <c r="A74" s="60" t="str">
        <v>https://www.perronerobotics.com/news/perrone-robotics-and-tropos-technologies-announce-partnership-to-develop-fully-autonomous-electric-compact-utility-vehicles</v>
      </c>
      <c r="B74" s="60" t="str">
        <v>2021, 8, 17</v>
      </c>
      <c r="C74" s="105">
        <v>44425</v>
      </c>
      <c r="D74" s="60" t="str">
        <v>Perrone Robotics and Tropos Technologies Announce Partnership to Develop Fully Autonomous Electric Compact Utility Vehicles</v>
      </c>
      <c r="E74" s="60" t="str">
        <v>Perrone Robotics</v>
      </c>
      <c r="F74" s="60" t="str">
        <v>L1</v>
      </c>
      <c r="G74" s="60" t="str">
        <v>Perrone Robotics-SAV</v>
      </c>
      <c r="H74" s="60" t="str">
        <v>SAV</v>
      </c>
      <c r="I74" s="60" t="str">
        <v>Ridepooling</v>
      </c>
      <c r="J74" s="60" t="str">
        <v>Ridepooling</v>
      </c>
      <c r="K74" s="60" t="str">
        <v>Tropos Technologies</v>
      </c>
      <c r="L74" s="60" t="str">
        <v>Tropos Technologies</v>
      </c>
      <c r="M74" s="60">
        <v>0</v>
      </c>
      <c r="N74" s="60">
        <v>0</v>
      </c>
      <c r="O74"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74" s="60" t="str">
        <v>today announced a partnership to produce a series of fully autonomous, electric low speed vehicles (e-LSVs) and trucks.
Future platforms in development will include a series of emergency and first-responder solutions that will be available later this year.</v>
      </c>
      <c r="Q74" s="60" t="str">
        <v>Strategic Alliance</v>
      </c>
      <c r="R74" s="60" t="str">
        <v>n.a.</v>
      </c>
      <c r="S74" s="60" t="str">
        <v>Product cooperation</v>
      </c>
      <c r="T74" s="60" t="str">
        <v>-</v>
      </c>
      <c r="U74" s="60" t="str">
        <v>-</v>
      </c>
      <c r="V74" s="60" t="str">
        <v>-</v>
      </c>
      <c r="W74" s="60" t="str">
        <v>2.1. Short term Alliance (no exclusivity / previous experience)</v>
      </c>
      <c r="X74" s="60">
        <v>0</v>
      </c>
      <c r="Y74"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74" s="60" t="str">
        <v>Joint D&amp;D</v>
      </c>
      <c r="AA74"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74" s="60" t="str">
        <v>Licensing</v>
      </c>
      <c r="AC74" s="60" t="str">
        <v>The partnership will include the delivery of Perrone's reliable core TONY autonomous vehicle driverless system, the licensing of software, and the provision of related services.</v>
      </c>
      <c r="AD74" s="60">
        <v>0</v>
      </c>
      <c r="AE74" s="60">
        <v>0</v>
      </c>
      <c r="AF74" s="60" t="str">
        <v>Perrone Robotics and Tropos Technologies Announce Partnership to Develop Fully Autonomous Electric Compact Utility Vehicles</v>
      </c>
      <c r="AG74" s="60">
        <v>0</v>
      </c>
    </row>
    <row r="75" spans="1:33" x14ac:dyDescent="0.35">
      <c r="A75" s="60" t="str">
        <v>https://www.perronerobotics.com/news/greenpower-partners-with-perrone-robotics-jta-to-win-innovative-solutions-award-for-autonomous-vehicles</v>
      </c>
      <c r="B75" s="60" t="str">
        <v>2021, 11, 9</v>
      </c>
      <c r="C75" s="105">
        <v>44205</v>
      </c>
      <c r="D75" s="60" t="str">
        <v>GreenPower Partners with Perrone Robotics, JTA to Win Innovative Solutions Award for Autonomous Vehicles</v>
      </c>
      <c r="E75" s="60" t="str">
        <v>Perrone Robotics</v>
      </c>
      <c r="F75" s="60" t="str">
        <v>L1</v>
      </c>
      <c r="G75" s="60" t="str">
        <v>Perrone Robotics-SAV</v>
      </c>
      <c r="H75" s="60" t="str">
        <v>SAV</v>
      </c>
      <c r="I75" s="60" t="str">
        <v>Ridepooling</v>
      </c>
      <c r="J75" s="60" t="str">
        <v>Ridepooling</v>
      </c>
      <c r="K75" s="60" t="str">
        <v>GreenPower;JTA</v>
      </c>
      <c r="L75" s="60" t="str">
        <v>GreenPower</v>
      </c>
      <c r="M75" s="60" t="str">
        <v>JTA</v>
      </c>
      <c r="N75" s="60">
        <v>0</v>
      </c>
      <c r="O75"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75"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75" s="60" t="str">
        <v>Strategic Alliance</v>
      </c>
      <c r="R75" s="60" t="str">
        <v>n.a.</v>
      </c>
      <c r="S75" s="60" t="str">
        <v>Financing</v>
      </c>
      <c r="T75" s="60" t="str">
        <v>Short term - 6 months</v>
      </c>
      <c r="U75" s="60" t="str">
        <v>-</v>
      </c>
      <c r="V75" s="60" t="str">
        <v>-</v>
      </c>
      <c r="W75" s="60" t="str">
        <v>2.1. Short term Alliance (no exclusivity / previous experience)</v>
      </c>
      <c r="X75" s="60">
        <v>0</v>
      </c>
      <c r="Y75"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75" s="60" t="str">
        <v>Joint D&amp;D</v>
      </c>
      <c r="AA75"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75" s="60">
        <v>0</v>
      </c>
      <c r="AC75" s="60">
        <v>0</v>
      </c>
      <c r="AD75" s="60">
        <v>0</v>
      </c>
      <c r="AE75" s="60">
        <v>0</v>
      </c>
      <c r="AF75" s="60" t="str">
        <v>GreenPower Partners with Perrone Robotics, JTA to Win Innovative Solutions Award for Autonomous Vehicles</v>
      </c>
      <c r="AG75" s="60">
        <v>0</v>
      </c>
    </row>
    <row r="76" spans="1:33" x14ac:dyDescent="0.35">
      <c r="A76" s="60" t="str">
        <v>https://www.perronerobotics.com/news/perrone-robotics-collaborates-with-uva-foundation-to-bring-autonomous-shuttle-service-to-north-fork</v>
      </c>
      <c r="B76" s="60" t="str">
        <v>2022, 12, 8</v>
      </c>
      <c r="C76" s="105">
        <v>44569</v>
      </c>
      <c r="D76" s="60" t="str">
        <v>Perrone Robotics Collaborates with UVA Foundation to Bring Autonomous Shuttle Service to North Fork</v>
      </c>
      <c r="E76" s="60" t="str">
        <v>Perrone Robotics</v>
      </c>
      <c r="F76" s="60" t="str">
        <v>L1</v>
      </c>
      <c r="G76" s="60" t="str">
        <v>Perrone Robotics-SAV</v>
      </c>
      <c r="H76" s="60" t="str">
        <v>SAV</v>
      </c>
      <c r="I76" s="60" t="str">
        <v>Ridepooling</v>
      </c>
      <c r="J76" s="60" t="str">
        <v>Ridepooling</v>
      </c>
      <c r="K76" s="60" t="str">
        <v>UVA Foundation</v>
      </c>
      <c r="L76" s="60" t="str">
        <v>UVA Foundation</v>
      </c>
      <c r="M76" s="60">
        <v>0</v>
      </c>
      <c r="N76" s="60">
        <v>0</v>
      </c>
      <c r="O76"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6"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6" s="60" t="str">
        <v>Strategic Alliance</v>
      </c>
      <c r="R76" s="60" t="str">
        <v>n.a.</v>
      </c>
      <c r="S76" s="60" t="str">
        <v>Research cooperation</v>
      </c>
      <c r="T76" s="60" t="str">
        <v>Long term - min 12 months</v>
      </c>
      <c r="U76" s="60" t="str">
        <v>-</v>
      </c>
      <c r="V76" s="60" t="str">
        <v>-</v>
      </c>
      <c r="W76" s="60" t="str">
        <v>2.3. Long term Alliance</v>
      </c>
      <c r="X76" s="60">
        <v>0</v>
      </c>
      <c r="Y76"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6" s="60" t="str">
        <v>Other</v>
      </c>
      <c r="AA76"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6" s="60">
        <v>0</v>
      </c>
      <c r="AC76" s="60">
        <v>0</v>
      </c>
      <c r="AD76" s="60">
        <v>0</v>
      </c>
      <c r="AE76" s="60">
        <v>0</v>
      </c>
      <c r="AF76" s="60" t="str">
        <v>Perrone Robotics Collaborates with UVA Foundation to Bring Autonomous Shuttle Service to North Fork</v>
      </c>
      <c r="AG76" s="60">
        <v>0</v>
      </c>
    </row>
    <row r="77" spans="1:33" x14ac:dyDescent="0.35">
      <c r="A77" s="60" t="str">
        <v>https://www.perronerobotics.com/news/revolutionizing-transportation-perrone-robotics-unveils-historic-collaboration-with-e-charger-systems-revealed-at-sema-2023</v>
      </c>
      <c r="B77" s="60" t="str">
        <v>2023, 11, 1</v>
      </c>
      <c r="C77" s="105">
        <v>44927</v>
      </c>
      <c r="D77" s="60" t="str">
        <v>Revolutionizing Transportation: Perrone Robotics Unveils Historic Collaboration with E Charger Systems - Revealed at SEMA 2023</v>
      </c>
      <c r="E77" s="60" t="str">
        <v>Perrone Robotics</v>
      </c>
      <c r="F77" s="60" t="str">
        <v>L1</v>
      </c>
      <c r="G77" s="60" t="str">
        <v>Perrone Robotics-SAV</v>
      </c>
      <c r="H77" s="60" t="str">
        <v>SAV</v>
      </c>
      <c r="I77" s="60" t="str">
        <v>Ridepooling</v>
      </c>
      <c r="J77" s="60" t="str">
        <v>Ridepooling</v>
      </c>
      <c r="K77" s="60" t="str">
        <v>E Charger Systems</v>
      </c>
      <c r="L77" s="60" t="str">
        <v>E Charger Systems</v>
      </c>
      <c r="M77" s="60">
        <v>0</v>
      </c>
      <c r="N77" s="60">
        <v>0</v>
      </c>
      <c r="O77"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7"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7" s="60" t="str">
        <v>Strategic Alliance</v>
      </c>
      <c r="R77" s="60" t="str">
        <v>n.a.</v>
      </c>
      <c r="S77" s="60" t="str">
        <v>Product cooperation</v>
      </c>
      <c r="T77" s="60" t="str">
        <v>-</v>
      </c>
      <c r="U77" s="60" t="str">
        <v>Yes</v>
      </c>
      <c r="V77" s="60" t="str">
        <v>-</v>
      </c>
      <c r="W77" s="60" t="str">
        <v xml:space="preserve">2.2. Renewed Alliance </v>
      </c>
      <c r="X77" s="60">
        <v>0</v>
      </c>
      <c r="Y77"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7" s="60" t="str">
        <v>Joint D&amp;D</v>
      </c>
      <c r="AA77"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7" s="60">
        <v>0</v>
      </c>
      <c r="AC77" s="60">
        <v>0</v>
      </c>
      <c r="AD77" s="60">
        <v>0</v>
      </c>
      <c r="AE77" s="60">
        <v>0</v>
      </c>
      <c r="AF77" s="60" t="str">
        <v>Revolutionizing Transportation: Perrone Robotics Unveils Historic Collaboration with E Charger Systems - Revealed at SEMA 2023</v>
      </c>
      <c r="AG77" s="60">
        <v>0</v>
      </c>
    </row>
    <row r="78" spans="1:33" x14ac:dyDescent="0.35">
      <c r="A78" s="60" t="str">
        <v>https://www.businesswire.com/news/home/20230804774136/en/Pony.ai-and-Toyota-to-Form-Joint-Venture-to-Advance-Mass-Production-of-L4-Autonomous-Vehicles</v>
      </c>
      <c r="B78" s="60" t="str">
        <v>2023, 8, 4</v>
      </c>
      <c r="C78" s="105">
        <v>45142</v>
      </c>
      <c r="D78" s="60" t="str">
        <v>Pony.ai and Toyota to Form Joint Venture to Advance Mass Production of L4 Autonomous Vehicles</v>
      </c>
      <c r="E78" s="60" t="str">
        <v>Pony.ai</v>
      </c>
      <c r="F78" s="60" t="str">
        <v>L1</v>
      </c>
      <c r="G78" s="60" t="str">
        <v>Pony.ai-SAV</v>
      </c>
      <c r="H78" s="60" t="str">
        <v>SAV</v>
      </c>
      <c r="I78" s="60" t="str">
        <v>Ridehailing</v>
      </c>
      <c r="J78" s="60" t="str">
        <v>Ridehailing</v>
      </c>
      <c r="K78" s="60" t="str">
        <v>Toyota</v>
      </c>
      <c r="L78" s="60" t="str">
        <v>Toyota</v>
      </c>
      <c r="M78" s="60">
        <v>0</v>
      </c>
      <c r="N78" s="60">
        <v>0</v>
      </c>
      <c r="O78"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78"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78" s="60" t="str">
        <v>Joint Venture</v>
      </c>
      <c r="R78" s="60" t="str">
        <v>Yes</v>
      </c>
      <c r="S78" s="60" t="str">
        <v>Product cooperation</v>
      </c>
      <c r="T78" s="60" t="str">
        <v>-</v>
      </c>
      <c r="U78" s="60" t="str">
        <v>Yes</v>
      </c>
      <c r="V78" s="60" t="str">
        <v>-</v>
      </c>
      <c r="W78" s="60" t="str">
        <v>4. Joint Venture</v>
      </c>
      <c r="X78" s="60">
        <v>0</v>
      </c>
      <c r="Y78" s="60" t="str">
        <v>It will provide the capacity for scaled-up robotaxi services, encourage the full commercialization of advanced autonomous mobility, and drive the development of the entire industry into a new stage.</v>
      </c>
      <c r="Z78" s="60" t="str">
        <v>Joint D&amp;D</v>
      </c>
      <c r="AA78" s="60" t="str">
        <v>It will provide the capacity for scaled-up robotaxi services, encourage the full commercialization of advanced autonomous mobility, and drive the development of the entire industry into a new stage.</v>
      </c>
      <c r="AB78" s="60" t="str">
        <v>Supply Partnership (traditional)</v>
      </c>
      <c r="AC78"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78" s="60">
        <v>0</v>
      </c>
      <c r="AE78" s="60">
        <v>0</v>
      </c>
      <c r="AF78" s="60" t="str">
        <v xml:space="preserve">Pony.ai and Toyota to Form Joint Venture </v>
      </c>
      <c r="AG78" s="60" t="str">
        <v>to Advance Mass Production of L4 Autonomous Vehicles</v>
      </c>
    </row>
    <row r="79" spans="1:33" x14ac:dyDescent="0.35">
      <c r="A79" s="60" t="str">
        <v>https://www.globenewswire.com/news-release/2020/01/06/1966657/0/en/ON-Semiconductor-and-Pony-ai-Collaboration-on-Next-Gen-Image-Sensing-and-Processing-Technologies-for-Autonomous-Vehicles.html</v>
      </c>
      <c r="B79" s="60" t="str">
        <v>2020, 6, 1</v>
      </c>
      <c r="C79" s="105">
        <v>43983</v>
      </c>
      <c r="D79" s="60" t="str">
        <v>Onsemi and Pony.ai Collaboration on Next-Gen Image Sensing and Processing Technologies for Autonomous Vehicles</v>
      </c>
      <c r="E79" s="60" t="str">
        <v>Pony.ai</v>
      </c>
      <c r="F79" s="60" t="str">
        <v>L1</v>
      </c>
      <c r="G79" s="60" t="str">
        <v>Pony.ai-SAV</v>
      </c>
      <c r="H79" s="60" t="str">
        <v>SAV</v>
      </c>
      <c r="I79" s="60" t="str">
        <v>Ridehailing</v>
      </c>
      <c r="J79" s="60" t="str">
        <v>Ridehailing</v>
      </c>
      <c r="K79" s="60" t="str">
        <v>Onsemi</v>
      </c>
      <c r="L79" s="60" t="str">
        <v>Onsemi</v>
      </c>
      <c r="M79" s="60">
        <v>0</v>
      </c>
      <c r="N79" s="60">
        <v>0</v>
      </c>
      <c r="O79"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79"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79" s="60" t="str">
        <v>Strategic Alliance</v>
      </c>
      <c r="R79" s="60" t="str">
        <v>n.a.</v>
      </c>
      <c r="S79" s="60" t="str">
        <v>Product cooperation</v>
      </c>
      <c r="T79" s="60" t="str">
        <v>-</v>
      </c>
      <c r="U79" s="60" t="str">
        <v>-</v>
      </c>
      <c r="V79" s="60" t="str">
        <v>-</v>
      </c>
      <c r="W79" s="60" t="str">
        <v>2.1. Short term Alliance (no exclusivity / previous experience)</v>
      </c>
      <c r="X79" s="60">
        <v>0</v>
      </c>
      <c r="Y79"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79" s="60" t="str">
        <v>Supply Partnership (traditional)</v>
      </c>
      <c r="AA79"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79" s="60" t="str">
        <v>Joint D&amp;D</v>
      </c>
      <c r="AC79" s="60" t="str">
        <v>announced today that they will collaborate on developing next-generation image sensing and processing technologies for machine vision to enhance the reliability and scalability of mass-produced autonomous vehicles.</v>
      </c>
      <c r="AD79" s="60">
        <v>0</v>
      </c>
      <c r="AE79" s="60">
        <v>0</v>
      </c>
      <c r="AF79" s="60" t="str">
        <v xml:space="preserve">Onsemi and Pony.ai Collaboration on </v>
      </c>
      <c r="AG79" s="60" t="str">
        <v>Next-Gen Image Sensing and Processing Technologies for Autonomous Vehicles</v>
      </c>
    </row>
    <row r="80" spans="1:33" x14ac:dyDescent="0.35">
      <c r="A80" s="60" t="str">
        <v>https://www.businesswire.com/news/home/20230109005725/en/Pony.ai-and-Horizon-Robotics-Partner-to-Create-a-Comprehensive-Smart-Driving-Solution-for-OEMs</v>
      </c>
      <c r="B80" s="60" t="str">
        <v>2023, 1, 9</v>
      </c>
      <c r="C80" s="105">
        <v>44935</v>
      </c>
      <c r="D80" s="60" t="str">
        <v>Pony.ai and Horizon Robotics Partner to Create a Comprehensive Smart Driving Solution for OEMs</v>
      </c>
      <c r="E80" s="60" t="str">
        <v>Pony.ai</v>
      </c>
      <c r="F80" s="60" t="str">
        <v>L1</v>
      </c>
      <c r="G80" s="60" t="str">
        <v>Pony.ai-SAV</v>
      </c>
      <c r="H80" s="60" t="str">
        <v>SAV</v>
      </c>
      <c r="I80" s="60" t="str">
        <v>Ridehailing</v>
      </c>
      <c r="J80" s="60" t="str">
        <v>Ridehailing</v>
      </c>
      <c r="K80" s="60" t="str">
        <v>Horizon Robotics</v>
      </c>
      <c r="L80" s="60" t="str">
        <v>Horizon Robotics</v>
      </c>
      <c r="M80" s="60">
        <v>0</v>
      </c>
      <c r="N80" s="60">
        <v>0</v>
      </c>
      <c r="O80"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80" s="60" t="str">
        <v xml:space="preserve">The partnership combines Pony.ai's industry-leading L2++ smart driving solution with Horizon Robotics' Journey series auto-grade processors to provide smart driving solutions for series production vehicles. </v>
      </c>
      <c r="Q80" s="60" t="str">
        <v>Strategic Alliance</v>
      </c>
      <c r="R80" s="60" t="str">
        <v>n.a.</v>
      </c>
      <c r="S80" s="60" t="str">
        <v>Product cooperation</v>
      </c>
      <c r="T80" s="60" t="str">
        <v>-</v>
      </c>
      <c r="U80" s="60" t="str">
        <v>-</v>
      </c>
      <c r="V80" s="60" t="str">
        <v>-</v>
      </c>
      <c r="W80" s="60" t="str">
        <v>2.1. Short term Alliance (no exclusivity / previous experience)</v>
      </c>
      <c r="X80" s="60">
        <v>0</v>
      </c>
      <c r="Y80"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80" s="60" t="str">
        <v>Joint D&amp;D</v>
      </c>
      <c r="AA80" s="60" t="str">
        <v xml:space="preserve">The partnership combines Pony.ai's industry-leading L2++ smart driving solution with Horizon Robotics' Journey series auto-grade processors to provide smart driving solutions for series production vehicles. </v>
      </c>
      <c r="AB80" s="60" t="str">
        <v>Supply Partnership (traditional)</v>
      </c>
      <c r="AC80"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80" s="60">
        <v>0</v>
      </c>
      <c r="AE80" s="60">
        <v>0</v>
      </c>
      <c r="AF80" s="60" t="str">
        <v xml:space="preserve">Pony.ai and Horizon Robotics Partner to </v>
      </c>
      <c r="AG80" s="60" t="str">
        <v>Create a Comprehensive Smart Driving Solution for OEMs</v>
      </c>
    </row>
    <row r="81" spans="1:47" x14ac:dyDescent="0.35">
      <c r="A81" s="60" t="str">
        <v>https://www.globenewswire.com/news-release/2019/08/26/1906248/0/en/Pony-ai-collaborates-with-Toyota-for-future-of-autonomous-mobility.html</v>
      </c>
      <c r="B81" s="60" t="str">
        <v>2019, 8, 26</v>
      </c>
      <c r="C81" s="105">
        <v>43703</v>
      </c>
      <c r="D81" s="60" t="str">
        <v>Pony.ai collaborates with Toyota for future of autonomous mobility</v>
      </c>
      <c r="E81" s="60" t="str">
        <v>Pony.ai</v>
      </c>
      <c r="F81" s="60" t="str">
        <v>L1</v>
      </c>
      <c r="G81" s="60" t="str">
        <v>Pony.ai-SAV</v>
      </c>
      <c r="H81" s="60" t="str">
        <v>SAV</v>
      </c>
      <c r="I81" s="60" t="str">
        <v>Ridehailing</v>
      </c>
      <c r="J81" s="60" t="str">
        <v>Ridehailing</v>
      </c>
      <c r="K81" s="60" t="str">
        <v>Toyota</v>
      </c>
      <c r="L81" s="60" t="str">
        <v>Toyota</v>
      </c>
      <c r="M81" s="60">
        <v>0</v>
      </c>
      <c r="N81" s="60">
        <v>0</v>
      </c>
      <c r="O81"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81" s="60" t="str">
        <v>Pony.ai and Toyota are teaming up on an autonomous driving pilot to accelerate the development and deployment of autonomous vehicles. Together, the companies will explore a variety of possibilities to provide safe mobility services for all.</v>
      </c>
      <c r="Q81" s="60" t="str">
        <v>Strategic Alliance</v>
      </c>
      <c r="R81" s="60" t="str">
        <v>n.a.</v>
      </c>
      <c r="S81" s="60" t="str">
        <v>Product cooperation</v>
      </c>
      <c r="T81" s="60" t="str">
        <v>-</v>
      </c>
      <c r="U81" s="60" t="str">
        <v>-</v>
      </c>
      <c r="V81" s="60" t="str">
        <v>-</v>
      </c>
      <c r="W81" s="60" t="str">
        <v>2.1. Short term Alliance (no exclusivity / previous experience)</v>
      </c>
      <c r="X81" s="60">
        <v>0</v>
      </c>
      <c r="Y81" s="60" t="str">
        <v>Pony.ai and Toyota are teaming up on an autonomous driving pilot to accelerate the development and deployment of autonomous vehicles. Together, the companies will explore a variety of possibilities to provide safe mobility services for all.</v>
      </c>
      <c r="Z81" s="60" t="str">
        <v>Research &amp; Collaboration</v>
      </c>
      <c r="AA81" s="60" t="str">
        <v>Pony.ai and Toyota are teaming up on an autonomous driving pilot to accelerate the development and deployment of autonomous vehicles. Together, the companies will explore a variety of possibilities to provide safe mobility services for all</v>
      </c>
      <c r="AB81" s="60">
        <v>0</v>
      </c>
      <c r="AC81" s="60">
        <v>0</v>
      </c>
      <c r="AD81" s="60">
        <v>0</v>
      </c>
      <c r="AE81" s="60">
        <v>0</v>
      </c>
      <c r="AF81" s="60" t="str">
        <v>Pony.ai collaborates with Toyota for future of autonomous mobility</v>
      </c>
      <c r="AG81" s="60">
        <v>0</v>
      </c>
    </row>
    <row r="82" spans="1:47" x14ac:dyDescent="0.35">
      <c r="A82" s="60" t="str">
        <v>https://www.reuters.com/article/us-autonomous-luminar-pony-ai/toyota-backed-self-driving-car-pony-ai-partners-with-luminar-idUSKBN2CR0ZY/</v>
      </c>
      <c r="B82" s="60" t="str">
        <v>2021, 5, 10</v>
      </c>
      <c r="C82" s="105">
        <v>44326</v>
      </c>
      <c r="D82" s="60" t="str">
        <v>Toyota-backed self-driving car Pony.ai partners with Luminar</v>
      </c>
      <c r="E82" s="60" t="str">
        <v>Pony.ai</v>
      </c>
      <c r="F82" s="60" t="str">
        <v>L1</v>
      </c>
      <c r="G82" s="60" t="str">
        <v>Pony.ai-SAV</v>
      </c>
      <c r="H82" s="60" t="str">
        <v>SAV</v>
      </c>
      <c r="I82" s="60" t="str">
        <v>Ridehailing</v>
      </c>
      <c r="J82" s="60" t="str">
        <v>Ridehailing</v>
      </c>
      <c r="K82" s="60" t="str">
        <v>Luminar</v>
      </c>
      <c r="L82" s="60" t="str">
        <v>Luminar</v>
      </c>
      <c r="M82" s="60">
        <v>0</v>
      </c>
      <c r="N82" s="60">
        <v>0</v>
      </c>
      <c r="O82"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82"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82" s="60" t="str">
        <v>Strategic Alliance</v>
      </c>
      <c r="R82" s="60" t="str">
        <v>n.a.</v>
      </c>
      <c r="S82" s="60" t="str">
        <v>Product integration</v>
      </c>
      <c r="T82" s="60" t="str">
        <v>Long term - min 2023</v>
      </c>
      <c r="U82" s="60" t="str">
        <v>-</v>
      </c>
      <c r="V82" s="60" t="str">
        <v>-</v>
      </c>
      <c r="W82" s="60" t="str">
        <v>2.3. Long term Alliance</v>
      </c>
      <c r="X82" s="60">
        <v>0</v>
      </c>
      <c r="Y82" s="60" t="str">
        <v>James Peng, Pony.ai CEO said the startup chose Luminar's Iris lidar for its performance but also as it can be integrated into the car better than traditional lidars.</v>
      </c>
      <c r="Z82" s="60" t="str">
        <v>Supply Partnership (traditional)</v>
      </c>
      <c r="AA82" s="60" t="str">
        <v>James Peng, Pony.ai CEO said the startup chose Luminar's Iris lidar for its performance but also as it can be integrated into the car better than traditional lidars.</v>
      </c>
      <c r="AB82" s="60">
        <v>0</v>
      </c>
      <c r="AC82" s="60">
        <v>0</v>
      </c>
      <c r="AD82" s="60">
        <v>0</v>
      </c>
      <c r="AE82" s="60">
        <v>0</v>
      </c>
      <c r="AF82" s="60" t="str">
        <v>Toyota-backed self-driving car Pony.ai partners with Luminar</v>
      </c>
      <c r="AG82" s="60">
        <v>0</v>
      </c>
    </row>
    <row r="83" spans="1:47" x14ac:dyDescent="0.35">
      <c r="A83" s="60" t="str">
        <v>https://www.businesswire.com/news/home/20220104005793/en/Autonomous-Trucking-Milestone-Pony.ai-Forms-Joint-Venture-with-Sinotrans-One-of-China%E2%80%99s-Leading-Logistics-Firms-to-Further-Deployment-of-Autonomous-Driving-Technologies</v>
      </c>
      <c r="B83" s="60" t="str">
        <v>2022, 1, 4</v>
      </c>
      <c r="C83" s="105">
        <v>44565</v>
      </c>
      <c r="D83" s="60" t="str">
        <v>Autonomous Trucking Milestone: Pony.ai Forms Joint Venture with Sinotrans, One of China's Leading Logistics Firms, to Further Deployment of Autonomous Driving Technologies</v>
      </c>
      <c r="E83" s="60" t="str">
        <v>Pony.ai</v>
      </c>
      <c r="F83" s="60" t="str">
        <v>L1</v>
      </c>
      <c r="G83" s="60" t="str">
        <v>Pony.ai-SAV</v>
      </c>
      <c r="H83" s="60" t="str">
        <v>SAV</v>
      </c>
      <c r="I83" s="60" t="str">
        <v>Ridehailing</v>
      </c>
      <c r="J83" s="60" t="str">
        <v>Ridehailing</v>
      </c>
      <c r="K83" s="60" t="str">
        <v>Sinotrans</v>
      </c>
      <c r="L83" s="60" t="str">
        <v>Sinotrans</v>
      </c>
      <c r="M83" s="60">
        <v>0</v>
      </c>
      <c r="N83" s="60">
        <v>0</v>
      </c>
      <c r="O83"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83"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83" s="60" t="str">
        <v>Joint Venture</v>
      </c>
      <c r="R83" s="60" t="str">
        <v>n.a.</v>
      </c>
      <c r="S83" s="60" t="str">
        <v>Product cooperation</v>
      </c>
      <c r="T83" s="60" t="str">
        <v>-</v>
      </c>
      <c r="U83" s="60" t="str">
        <v>Yes</v>
      </c>
      <c r="V83" s="60" t="str">
        <v>-</v>
      </c>
      <c r="W83" s="60" t="str">
        <v>4. Joint Venture</v>
      </c>
      <c r="X83" s="60">
        <v>0</v>
      </c>
      <c r="Y83" s="60" t="str">
        <v>The two companies will work together to build a smart logistics network featuring autonomous driving trucking technologies.</v>
      </c>
      <c r="Z83" s="60" t="str">
        <v>Joint D&amp;D</v>
      </c>
      <c r="AA83" s="60" t="str">
        <v>The two companies will work together to build a smart logistics network featuring autonomous driving trucking technologies.</v>
      </c>
      <c r="AB83" s="60">
        <v>0</v>
      </c>
      <c r="AC83" s="60">
        <v>0</v>
      </c>
      <c r="AD83" s="60">
        <v>0</v>
      </c>
      <c r="AE83" s="60">
        <v>0</v>
      </c>
      <c r="AF83" s="60" t="str">
        <v>Autonomous Trucking Milestone: Pony.ai Forms Joint Venture with Sinotrans, One of China's Leading Logistics Firms, to Further Deployment of Autonomous Driving Technologies</v>
      </c>
      <c r="AG83" s="60">
        <v>0</v>
      </c>
    </row>
    <row r="84" spans="1:47" x14ac:dyDescent="0.35">
      <c r="A84" s="60" t="str">
        <v>https://www.transdev.com/en/press-release/partnership-torc-autonomous-shuttle/</v>
      </c>
      <c r="B84" s="60" t="str">
        <v>2019, 1, 7</v>
      </c>
      <c r="C84" s="105">
        <v>43472</v>
      </c>
      <c r="D84" s="60" t="str">
        <v>Torc and Transdev partner to develop technology for i-Cristal, a shared and fully autonomous shuttle</v>
      </c>
      <c r="E84" s="60" t="str">
        <v>Transdev</v>
      </c>
      <c r="F84" s="60" t="str">
        <v>L3</v>
      </c>
      <c r="G84" s="60" t="str">
        <v>Transdev-SAV</v>
      </c>
      <c r="H84" s="60" t="str">
        <v>SAV</v>
      </c>
      <c r="I84" s="60" t="str">
        <v>Ridepooling</v>
      </c>
      <c r="J84" s="60" t="str">
        <v>Ridepooling</v>
      </c>
      <c r="K84" s="60" t="str">
        <v>Torc</v>
      </c>
      <c r="L84" s="60" t="str">
        <v>Torc</v>
      </c>
      <c r="M84" s="60">
        <v>0</v>
      </c>
      <c r="N84" s="60">
        <v>0</v>
      </c>
      <c r="O84"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4"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4" s="60" t="str">
        <v>Strategic Alliance</v>
      </c>
      <c r="R84" s="60" t="str">
        <v>n.a.</v>
      </c>
      <c r="S84" s="60" t="str">
        <v>Service integration</v>
      </c>
      <c r="T84" s="60" t="str">
        <v>-</v>
      </c>
      <c r="U84" s="60" t="str">
        <v>Yes</v>
      </c>
      <c r="V84" s="60" t="str">
        <v>-</v>
      </c>
      <c r="W84" s="60" t="str">
        <v xml:space="preserve">2.2. Renewed Alliance </v>
      </c>
      <c r="X84" s="60">
        <v>0</v>
      </c>
      <c r="Y84"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4" s="60" t="str">
        <v>Joint Service Agreement</v>
      </c>
      <c r="AA84"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4" s="60" t="str">
        <v>Research &amp; Collaboration</v>
      </c>
      <c r="AC84" s="60" t="str">
        <v>The partners have already begun testing on closed courses, while testing on public roads will proceed after obtaining successive safety authorizations and before providing public service trials in two locations in France: Paris-Saclay and Rouen.</v>
      </c>
      <c r="AD84" s="60">
        <v>0</v>
      </c>
      <c r="AE84" s="60">
        <v>0</v>
      </c>
      <c r="AF84" s="60" t="str">
        <v xml:space="preserve">Torc and Transdev partner to develop </v>
      </c>
      <c r="AG84" s="60" t="str">
        <v>technology for i-Cristal, a shared and fully autonomous shuttle</v>
      </c>
    </row>
    <row r="85" spans="1:47" x14ac:dyDescent="0.35">
      <c r="A85" s="60" t="str">
        <v>https://www.transdev.com/en/sustainable-mobility/transdev-usa-partners-lavta-begin-testing-shared-autonomous-vehicle/</v>
      </c>
      <c r="B85" s="60" t="str">
        <v>2020, 7, 31</v>
      </c>
      <c r="C85" s="105">
        <v>44043</v>
      </c>
      <c r="D85" s="60" t="str">
        <v>Transdev USA partners with LAVTA to begin testing of its shared autonomous vehicle</v>
      </c>
      <c r="E85" s="60" t="str">
        <v>Transdev</v>
      </c>
      <c r="F85" s="60" t="str">
        <v>L3</v>
      </c>
      <c r="G85" s="60" t="str">
        <v>Transdev-SAV</v>
      </c>
      <c r="H85" s="60" t="str">
        <v>SAV</v>
      </c>
      <c r="I85" s="60" t="str">
        <v>Ridepooling</v>
      </c>
      <c r="J85" s="60" t="str">
        <v>Ridepooling</v>
      </c>
      <c r="K85" s="60" t="str">
        <v>LAVTA</v>
      </c>
      <c r="L85" s="60" t="str">
        <v>LAVTA</v>
      </c>
      <c r="M85" s="60">
        <v>0</v>
      </c>
      <c r="N85" s="60">
        <v>0</v>
      </c>
      <c r="O85"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85"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85" s="60" t="str">
        <v>Strategic Alliance</v>
      </c>
      <c r="R85" s="60" t="str">
        <v>n.a.</v>
      </c>
      <c r="S85" s="60" t="str">
        <v>One time - pilot</v>
      </c>
      <c r="T85" s="60" t="str">
        <v>-</v>
      </c>
      <c r="U85" s="60" t="str">
        <v>-</v>
      </c>
      <c r="V85" s="60" t="str">
        <v>-</v>
      </c>
      <c r="W85" s="60" t="str">
        <v>2.1. Short term Alliance (no exclusivity / previous experience)</v>
      </c>
      <c r="X85" s="60">
        <v>0</v>
      </c>
      <c r="Y85"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85" s="60" t="str">
        <v>Research &amp; Collaboration</v>
      </c>
      <c r="AA85" s="60" t="str">
        <v>When testing is complete, the SAV will improve mobility for riders by providing first- and last-mile solutions for passengers by connecting them between the Dublin/Pleasanton Bay Area Rapid Transit (BART) station and nearby locations.</v>
      </c>
      <c r="AB85" s="60">
        <v>0</v>
      </c>
      <c r="AC85" s="60">
        <v>0</v>
      </c>
      <c r="AD85" s="60">
        <v>0</v>
      </c>
      <c r="AE85" s="60">
        <v>0</v>
      </c>
      <c r="AF85" s="60" t="str">
        <v xml:space="preserve">Transdev USA partners with LAVTA to begin </v>
      </c>
      <c r="AG85" s="60" t="str">
        <v>testing of its shared autonomous vehicle</v>
      </c>
    </row>
    <row r="86" spans="1:47" x14ac:dyDescent="0.35">
      <c r="A86" s="60" t="str">
        <v>https://www.transdev.com/en/press-release/transdev-and-delphi-announce-commercial-partnership-for-autonomous-transportation/</v>
      </c>
      <c r="B86" s="60" t="str">
        <v>2017, 6, 7</v>
      </c>
      <c r="C86" s="105">
        <v>42893</v>
      </c>
      <c r="D86" s="60" t="str">
        <v>Transdev and Delphi Announce Commercial Partnership for Autonomous Transportation</v>
      </c>
      <c r="E86" s="60" t="str">
        <v>Transdev</v>
      </c>
      <c r="F86" s="60" t="str">
        <v>L3</v>
      </c>
      <c r="G86" s="60" t="str">
        <v>Transdev-SAV</v>
      </c>
      <c r="H86" s="60" t="str">
        <v>SAV</v>
      </c>
      <c r="I86" s="60" t="str">
        <v>Ridepooling</v>
      </c>
      <c r="J86" s="60" t="str">
        <v>Ridepooling</v>
      </c>
      <c r="K86" s="60" t="str">
        <v>Delphi</v>
      </c>
      <c r="L86" s="60" t="str">
        <v>Delphi</v>
      </c>
      <c r="M86" s="60">
        <v>0</v>
      </c>
      <c r="N86" s="60">
        <v>0</v>
      </c>
      <c r="O86"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86"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86" s="60" t="str">
        <v>Strategic Alliance</v>
      </c>
      <c r="R86" s="60" t="str">
        <v>n.a.</v>
      </c>
      <c r="S86" s="60" t="str">
        <v>Product cooperation</v>
      </c>
      <c r="T86" s="60" t="str">
        <v>-</v>
      </c>
      <c r="U86" s="60" t="str">
        <v>-</v>
      </c>
      <c r="V86" s="60" t="str">
        <v>-</v>
      </c>
      <c r="W86" s="60" t="str">
        <v>2.1. Short term Alliance (no exclusivity / previous experience)</v>
      </c>
      <c r="X86" s="60">
        <v>0</v>
      </c>
      <c r="Y86" s="60" t="str">
        <v>"With Transdev's deep understanding of mobility operations, this collaboration will further strengthen our AMoD and data management capabilities, while expanding our automated driving platform to include a variety of different vehicle types.</v>
      </c>
      <c r="Z86" s="60" t="str">
        <v>Joint Service Agreement</v>
      </c>
      <c r="AA86" s="60" t="str">
        <v>"With Transdev's deep understanding of mobility operations, this collaboration will further strengthen our AMoD and data management capabilities, while expanding our automated driving platform to include a variety of different vehicle types.</v>
      </c>
      <c r="AB86" s="60">
        <v>0</v>
      </c>
      <c r="AC86" s="60">
        <v>0</v>
      </c>
      <c r="AD86" s="60">
        <v>0</v>
      </c>
      <c r="AE86" s="60">
        <v>0</v>
      </c>
      <c r="AF86" s="60" t="str">
        <v xml:space="preserve">Transdev and Delphi Announce Commercial Partnership </v>
      </c>
      <c r="AG86" s="60" t="str">
        <v>for Autonomous Transportation</v>
      </c>
    </row>
    <row r="87" spans="1:47" x14ac:dyDescent="0.35">
      <c r="A87" s="60" t="str">
        <v>https://www.transdev.com/en/press-release/zf-partnership/</v>
      </c>
      <c r="B87" s="60" t="str">
        <v>2019, 1, 8</v>
      </c>
      <c r="C87" s="105">
        <v>43473</v>
      </c>
      <c r="D87" s="60" t="str">
        <v>Transdev, ZF and e.GO announce partnership to develop shared autonomous mobility</v>
      </c>
      <c r="E87" s="60" t="str">
        <v>Transdev</v>
      </c>
      <c r="F87" s="60" t="str">
        <v>L3</v>
      </c>
      <c r="G87" s="60" t="str">
        <v>Transdev-SAV</v>
      </c>
      <c r="H87" s="60" t="str">
        <v>SAV</v>
      </c>
      <c r="I87" s="60" t="str">
        <v>Ridepooling</v>
      </c>
      <c r="J87" s="60" t="str">
        <v>Ridepooling</v>
      </c>
      <c r="K87" s="60" t="str">
        <v>ZF;e.GO</v>
      </c>
      <c r="L87" s="60" t="str">
        <v>ZF</v>
      </c>
      <c r="M87" s="60" t="str">
        <v>e.GO</v>
      </c>
      <c r="N87" s="60">
        <v>0</v>
      </c>
      <c r="O87"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7" s="60" t="str">
        <v>The partners will start working together immediately to provide a fully functional solution by 2020, with priority markets in France and Germany.</v>
      </c>
      <c r="Q87" s="60" t="str">
        <v>Strategic Alliance</v>
      </c>
      <c r="R87" s="60" t="str">
        <v>n.a.</v>
      </c>
      <c r="S87" s="60" t="str">
        <v>Product cooperation</v>
      </c>
      <c r="T87" s="60" t="str">
        <v>Long term - &gt;1 year</v>
      </c>
      <c r="U87" s="60" t="str">
        <v>-</v>
      </c>
      <c r="V87" s="60" t="str">
        <v>-</v>
      </c>
      <c r="W87" s="60" t="str">
        <v>2.3. Long term Alliance</v>
      </c>
      <c r="X87" s="60">
        <v>0</v>
      </c>
      <c r="Y87"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7" s="60" t="str">
        <v>Joint D&amp;D</v>
      </c>
      <c r="AA87"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7" s="60">
        <v>0</v>
      </c>
      <c r="AC87" s="60">
        <v>0</v>
      </c>
      <c r="AD87" s="60">
        <v>0</v>
      </c>
      <c r="AE87" s="60">
        <v>0</v>
      </c>
      <c r="AF87" s="60" t="str">
        <v>Transdev, ZF and e.GO announce partnership to develop shared autonomous mobility</v>
      </c>
      <c r="AG87" s="60">
        <v>0</v>
      </c>
    </row>
    <row r="88" spans="1:47" x14ac:dyDescent="0.35">
      <c r="A88" s="60" t="str">
        <v>https://www.uber.com/newsroom/uber-toyota-team-self-driving-cars/</v>
      </c>
      <c r="B88" s="60" t="str">
        <v>2018, 8, 27</v>
      </c>
      <c r="C88" s="105">
        <v>43339</v>
      </c>
      <c r="D88" s="60" t="str">
        <v>Uber and Toyota Team Up on Self-Driving Cars</v>
      </c>
      <c r="E88" s="60" t="str">
        <v>Uber</v>
      </c>
      <c r="F88" s="60" t="str">
        <v>L4</v>
      </c>
      <c r="G88" s="60" t="str">
        <v>Uber-SAV</v>
      </c>
      <c r="H88" s="60" t="str">
        <v>SAV</v>
      </c>
      <c r="I88" s="60" t="str">
        <v>Ridehailing</v>
      </c>
      <c r="J88" s="60" t="str">
        <v>Ridehailing</v>
      </c>
      <c r="K88" s="60" t="str">
        <v>Toyota</v>
      </c>
      <c r="L88" s="60" t="str">
        <v>Toyota</v>
      </c>
      <c r="M88" s="60">
        <v>0</v>
      </c>
      <c r="N88" s="60">
        <v>0</v>
      </c>
      <c r="O88"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88" s="60" t="str">
        <v>Our expanded partnership with Toyota signals our commitment to deploying self-driving technology at scale for our riders around the globe. We look forward to making progress in the years ahead with another strong partner by our side.</v>
      </c>
      <c r="Q88" s="60" t="str">
        <v>Strategic Alliance</v>
      </c>
      <c r="R88" s="60" t="str">
        <v>n.a.</v>
      </c>
      <c r="S88" s="60" t="str">
        <v>Product cooperation</v>
      </c>
      <c r="T88" s="60" t="str">
        <v>-</v>
      </c>
      <c r="U88" s="60" t="str">
        <v>Yes</v>
      </c>
      <c r="V88" s="60" t="str">
        <v>-</v>
      </c>
      <c r="W88" s="60" t="str">
        <v xml:space="preserve">2.2. Renewed Alliance </v>
      </c>
      <c r="X88" s="60">
        <v>0</v>
      </c>
      <c r="Y88"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88" s="60" t="str">
        <v>Supply Partnership (traditional)</v>
      </c>
      <c r="AA88"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88" s="60">
        <v>0</v>
      </c>
      <c r="AC88" s="60">
        <v>0</v>
      </c>
      <c r="AD88" s="60">
        <v>0</v>
      </c>
      <c r="AE88" s="60">
        <v>0</v>
      </c>
      <c r="AF88" s="60" t="str">
        <v>Uber and Toyota Team Up on Self-Driving Cars</v>
      </c>
      <c r="AG88" s="60">
        <v>0</v>
      </c>
    </row>
    <row r="89" spans="1:47" x14ac:dyDescent="0.35">
      <c r="A89" s="60" t="str">
        <v>https://waymo.com/blog/2020/07/waymo-and-fiat-chrysler-automobiles-fca-expand-partnership/</v>
      </c>
      <c r="B89" s="60" t="str">
        <v>2020, 7, 22</v>
      </c>
      <c r="C89" s="105">
        <v>44034</v>
      </c>
      <c r="D89" s="60" t="str">
        <v>Waymo and Fiat Chrysler Automobiles (FCA) expand autonomous driving technology partnership</v>
      </c>
      <c r="E89" s="60" t="str">
        <v>Waymo</v>
      </c>
      <c r="F89" s="60" t="str">
        <v>L1</v>
      </c>
      <c r="G89" s="60" t="str">
        <v>Waymo-SAV</v>
      </c>
      <c r="H89" s="60" t="str">
        <v>SAV</v>
      </c>
      <c r="I89" s="60" t="str">
        <v>Ridehailing</v>
      </c>
      <c r="J89" s="60" t="str">
        <v>Ridehailing</v>
      </c>
      <c r="K89" s="60" t="str">
        <v>Fiat Chrysler Automobiles</v>
      </c>
      <c r="L89" s="60" t="str">
        <v>Fiat Chrysler Automobiles</v>
      </c>
      <c r="M89" s="60">
        <v>0</v>
      </c>
      <c r="N89" s="60">
        <v>0</v>
      </c>
      <c r="O89"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89" s="60" t="str">
        <v xml:space="preserve">Now, we're pleased to share that we've strengthened our partnership with FCA in several important ways.
FCA has selected Waymo as its exclusive, strategic technology partner for L4 fully self-driving technology across FCA's full product portfolio. </v>
      </c>
      <c r="Q89" s="60" t="str">
        <v>Strategic Alliance</v>
      </c>
      <c r="R89" s="60" t="str">
        <v>n.a.</v>
      </c>
      <c r="S89" s="60" t="str">
        <v>Product cooperation</v>
      </c>
      <c r="T89" s="60" t="str">
        <v>-</v>
      </c>
      <c r="U89" s="60" t="str">
        <v>Yes</v>
      </c>
      <c r="V89" s="60" t="str">
        <v>Yes</v>
      </c>
      <c r="W89" s="60" t="str">
        <v>2.4. Exclusive Alliance</v>
      </c>
      <c r="X89" s="60">
        <v>0</v>
      </c>
      <c r="Y89"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89" s="60" t="str">
        <v>Joint D&amp;D</v>
      </c>
      <c r="AA89"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89" s="60" t="str">
        <v>Research &amp; Collaboration</v>
      </c>
      <c r="AC89"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89" s="60">
        <v>0</v>
      </c>
      <c r="AE89" s="60">
        <v>0</v>
      </c>
      <c r="AF89" s="60" t="str">
        <v xml:space="preserve">Waymo and Fiat Chrysler Automobiles (FCA) expand </v>
      </c>
      <c r="AG89" s="60" t="str">
        <v>autonomous driving technology partnership</v>
      </c>
    </row>
    <row r="90" spans="1:47" s="55" customFormat="1" x14ac:dyDescent="0.35">
      <c r="A90" s="60" t="str">
        <v>https://waymo.com/blog/2017/06/well-oiled-and-squeaky-clean-partnering/</v>
      </c>
      <c r="B90" s="60" t="str">
        <v>2017, 6, 27</v>
      </c>
      <c r="C90" s="105">
        <v>42913</v>
      </c>
      <c r="D90" s="60" t="str">
        <v>Well-oiled and squeaky-clean: Partnering with Avis to maintain our self-driving fleet</v>
      </c>
      <c r="E90" s="60" t="str">
        <v>Waymo</v>
      </c>
      <c r="F90" s="60" t="str">
        <v>L1</v>
      </c>
      <c r="G90" s="60" t="str">
        <v>Waymo-SAV</v>
      </c>
      <c r="H90" s="60" t="str">
        <v>SAV</v>
      </c>
      <c r="I90" s="60" t="str">
        <v>Ridehailing</v>
      </c>
      <c r="J90" s="60" t="str">
        <v>Ridehailing</v>
      </c>
      <c r="K90" s="60" t="str">
        <v>Avis</v>
      </c>
      <c r="L90" s="60" t="str">
        <v>Avis</v>
      </c>
      <c r="M90" s="60">
        <v>0</v>
      </c>
      <c r="N90" s="60">
        <v>0</v>
      </c>
      <c r="O90"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90"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90" s="60" t="str">
        <v>Strategic Alliance</v>
      </c>
      <c r="R90" s="60" t="str">
        <v>n.a.</v>
      </c>
      <c r="S90" s="60" t="str">
        <v>Service cooperation</v>
      </c>
      <c r="T90" s="60" t="str">
        <v>-</v>
      </c>
      <c r="U90" s="60" t="str">
        <v>-</v>
      </c>
      <c r="V90" s="60" t="str">
        <v>-</v>
      </c>
      <c r="W90" s="60" t="str">
        <v>2.1. Short term Alliance (no exclusivity / previous experience)</v>
      </c>
      <c r="X90" s="60">
        <v>0</v>
      </c>
      <c r="Y90"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90" s="60" t="str">
        <v>Joint Service Agreement</v>
      </c>
      <c r="AA90"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90" s="60">
        <v>0</v>
      </c>
      <c r="AC90" s="60">
        <v>0</v>
      </c>
      <c r="AD90" s="60">
        <v>0</v>
      </c>
      <c r="AE90" s="60">
        <v>0</v>
      </c>
      <c r="AF90" s="60" t="str">
        <v>Well-oiled and squeaky-clean: Partnering with Avis to maintain our self-driving fleet</v>
      </c>
      <c r="AG90" s="60">
        <v>0</v>
      </c>
      <c r="AH90"/>
      <c r="AI90"/>
      <c r="AJ90"/>
      <c r="AK90"/>
      <c r="AL90"/>
      <c r="AM90"/>
      <c r="AN90"/>
      <c r="AO90"/>
      <c r="AP90"/>
      <c r="AQ90"/>
      <c r="AR90"/>
      <c r="AS90"/>
      <c r="AT90"/>
      <c r="AU90"/>
    </row>
    <row r="91" spans="1:47" s="55" customFormat="1" x14ac:dyDescent="0.35">
      <c r="A91" s="60" t="str">
        <v>https://waymo.com/blog/2018/07/partnering-with-valley-metro-to-explore-public-transport-solutions/</v>
      </c>
      <c r="B91" s="60" t="str">
        <v>2018, 7, 31</v>
      </c>
      <c r="C91" s="105">
        <v>43312</v>
      </c>
      <c r="D91" s="60" t="str">
        <v>Partnering with Valley Metro to explore public transportation solutions</v>
      </c>
      <c r="E91" s="60" t="str">
        <v>Waymo</v>
      </c>
      <c r="F91" s="60" t="str">
        <v>L1</v>
      </c>
      <c r="G91" s="60" t="str">
        <v>Waymo-SAV</v>
      </c>
      <c r="H91" s="60" t="str">
        <v>SAV</v>
      </c>
      <c r="I91" s="60" t="str">
        <v>Ridehailing</v>
      </c>
      <c r="J91" s="60" t="str">
        <v>Ridehailing</v>
      </c>
      <c r="K91" s="60" t="str">
        <v>Valley Metro</v>
      </c>
      <c r="L91" s="60" t="str">
        <v>Valley Metro</v>
      </c>
      <c r="M91" s="60">
        <v>0</v>
      </c>
      <c r="N91" s="60">
        <v>0</v>
      </c>
      <c r="O91"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91"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91" s="60" t="str">
        <v>Strategic Alliance</v>
      </c>
      <c r="R91" s="60" t="str">
        <v>n.a.</v>
      </c>
      <c r="S91" s="60" t="str">
        <v>Research cooperation</v>
      </c>
      <c r="T91" s="60" t="str">
        <v>-</v>
      </c>
      <c r="U91" s="60" t="str">
        <v>-</v>
      </c>
      <c r="V91" s="60" t="str">
        <v>-</v>
      </c>
      <c r="W91" s="60" t="str">
        <v>2.1. Short term Alliance (no exclusivity / previous experience)</v>
      </c>
      <c r="X91" s="60">
        <v>0</v>
      </c>
      <c r="Y91"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91" s="60" t="str">
        <v>Research &amp; Collaboration</v>
      </c>
      <c r="AA91" s="60" t="str">
        <v>Waymo is partnering with Valley Metro, the Phoenix area's regional public transportation authority, to explore mobility solutions that use self-driving technology to better connect travelers with the city's existing buses and light rail.</v>
      </c>
      <c r="AB91" s="60">
        <v>0</v>
      </c>
      <c r="AC91" s="60">
        <v>0</v>
      </c>
      <c r="AD91" s="60">
        <v>0</v>
      </c>
      <c r="AE91" s="60">
        <v>0</v>
      </c>
      <c r="AF91" s="60" t="str">
        <v>Partnering with Valley Metro to explore public transportation solutions</v>
      </c>
      <c r="AG91" s="60">
        <v>0</v>
      </c>
      <c r="AH91"/>
      <c r="AI91"/>
      <c r="AJ91"/>
      <c r="AK91"/>
      <c r="AL91"/>
      <c r="AM91"/>
      <c r="AN91"/>
      <c r="AO91"/>
      <c r="AP91"/>
      <c r="AQ91"/>
      <c r="AR91"/>
      <c r="AS91"/>
      <c r="AT91"/>
      <c r="AU91"/>
    </row>
    <row r="92" spans="1:47" s="107" customFormat="1" x14ac:dyDescent="0.35">
      <c r="A92" s="60" t="str">
        <v>https://waymo.com/blog/2019/05/partnering-with-lyft-to-serve-more-riders/</v>
      </c>
      <c r="B92" s="60" t="str">
        <v>2019, 5, 7</v>
      </c>
      <c r="C92" s="105">
        <v>43592</v>
      </c>
      <c r="D92" s="60" t="str">
        <v>Partnering with Lyft to serve more riders in Metro Phoenix</v>
      </c>
      <c r="E92" s="60" t="str">
        <v>Waymo</v>
      </c>
      <c r="F92" s="60" t="str">
        <v>L1</v>
      </c>
      <c r="G92" s="60" t="str">
        <v>Waymo-SAV</v>
      </c>
      <c r="H92" s="60" t="str">
        <v>SAV</v>
      </c>
      <c r="I92" s="60" t="str">
        <v>Ridehailing</v>
      </c>
      <c r="J92" s="60" t="str">
        <v>Ridehailing</v>
      </c>
      <c r="K92" s="60" t="str">
        <v>Lyft</v>
      </c>
      <c r="L92" s="60" t="str">
        <v>Lyft</v>
      </c>
      <c r="M92" s="60">
        <v>0</v>
      </c>
      <c r="N92" s="60">
        <v>0</v>
      </c>
      <c r="O92"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92"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92" s="60" t="str">
        <v>Strategic Alliance</v>
      </c>
      <c r="R92" s="60" t="str">
        <v>n.a.</v>
      </c>
      <c r="S92" s="60" t="str">
        <v>Service integration</v>
      </c>
      <c r="T92" s="60" t="str">
        <v>Short term - months</v>
      </c>
      <c r="U92" s="60" t="str">
        <v>-</v>
      </c>
      <c r="V92" s="60" t="str">
        <v>-</v>
      </c>
      <c r="W92" s="60" t="str">
        <v>2.1. Short term Alliance (no exclusivity / previous experience)</v>
      </c>
      <c r="X92" s="60">
        <v>0</v>
      </c>
      <c r="Y92" s="60" t="str">
        <v>As a first step, we'll deploy 10 Waymo vehicles on Lyft over the next few months. Once Waymo vehicles are on the platform, Lyft users in the area will have the option to select a Waymo directly from the Lyft app for eligible rides.</v>
      </c>
      <c r="Z92" s="60" t="str">
        <v>Supply Partnership (extended)</v>
      </c>
      <c r="AA92" s="60" t="str">
        <v>As a first step, we'll deploy 10 Waymo vehicles on Lyft over the next few months. Once Waymo vehicles are on the platform, Lyft users in the area will have the option to select a Waymo directly from the Lyft app for eligible rides.</v>
      </c>
      <c r="AB92" s="60">
        <v>0</v>
      </c>
      <c r="AC92" s="60">
        <v>0</v>
      </c>
      <c r="AD92" s="60">
        <v>0</v>
      </c>
      <c r="AE92" s="60">
        <v>0</v>
      </c>
      <c r="AF92" s="60" t="str">
        <v>Partnering with Lyft to serve more riders in Metro Phoenix</v>
      </c>
      <c r="AG92" s="60">
        <v>0</v>
      </c>
      <c r="AH92"/>
      <c r="AI92"/>
      <c r="AJ92"/>
      <c r="AK92"/>
      <c r="AL92"/>
      <c r="AM92"/>
      <c r="AN92"/>
      <c r="AO92"/>
      <c r="AP92"/>
      <c r="AQ92"/>
      <c r="AR92"/>
      <c r="AS92"/>
      <c r="AT92"/>
      <c r="AU92"/>
    </row>
    <row r="93" spans="1:47" x14ac:dyDescent="0.35">
      <c r="A93" s="60" t="str">
        <v>https://waymo.com/blog/2019/06/partnering-with-alliance-in-france-japan-and-beyond/</v>
      </c>
      <c r="B93" s="60" t="str">
        <v>2019, 6, 19</v>
      </c>
      <c r="C93" s="105">
        <v>43635</v>
      </c>
      <c r="D93" s="60" t="str">
        <v>Partnering with The Alliance in France, Japan, and beyond</v>
      </c>
      <c r="E93" s="60" t="str">
        <v>Waymo</v>
      </c>
      <c r="F93" s="60" t="str">
        <v>L1</v>
      </c>
      <c r="G93" s="60" t="str">
        <v>Waymo-SAV</v>
      </c>
      <c r="H93" s="60" t="str">
        <v>SAV</v>
      </c>
      <c r="I93" s="60" t="str">
        <v>Ridehailing; Last-Mile</v>
      </c>
      <c r="J93" s="60" t="str">
        <v>Ridehailing</v>
      </c>
      <c r="K93" s="60" t="str">
        <v>Alliance Ventures (Renault, Nissan, Mitsubishi)</v>
      </c>
      <c r="L93" s="60" t="str">
        <v>Alliance Ventures (Renault, Nissan, Mitsubishi)</v>
      </c>
      <c r="M93" s="60">
        <v>0</v>
      </c>
      <c r="N93" s="60">
        <v>0</v>
      </c>
      <c r="O93"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93" s="60" t="str">
        <v>Today we're announcing that Waymo has entered into an exclusive partnership with Renault and Nissan on behalf of The Alliance to explore driverless mobility services for passengers and deliveries in France and Japan.</v>
      </c>
      <c r="Q93" s="60" t="str">
        <v>Strategic Alliance</v>
      </c>
      <c r="R93" s="60" t="str">
        <v>n.a.</v>
      </c>
      <c r="S93" s="60" t="str">
        <v>Research cooperation</v>
      </c>
      <c r="T93" s="60" t="str">
        <v>-</v>
      </c>
      <c r="U93" s="60" t="str">
        <v>-</v>
      </c>
      <c r="V93" s="60" t="str">
        <v>Yes</v>
      </c>
      <c r="W93" s="60" t="str">
        <v>2.4. Exclusive Alliance</v>
      </c>
      <c r="X93" s="60">
        <v>0</v>
      </c>
      <c r="Y93"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93" s="60" t="str">
        <v>Research &amp; Collaboration</v>
      </c>
      <c r="AA93" s="60" t="str">
        <v>By teaming up with Renault and Nissan initially to research commercial, legal, and regulatory issues related to transportation-as-a-service in France and Japan, we're on the path to creating long-term driverless solutions hand-in-hand with the world's largest automaker.</v>
      </c>
      <c r="AB93" s="60">
        <v>0</v>
      </c>
      <c r="AC93" s="60">
        <v>0</v>
      </c>
      <c r="AD93" s="60">
        <v>0</v>
      </c>
      <c r="AE93" s="60">
        <v>0</v>
      </c>
      <c r="AF93" s="60" t="str">
        <v>Partnering with The Alliance in France, Japan, and beyond</v>
      </c>
      <c r="AG93" s="60">
        <v>0</v>
      </c>
    </row>
    <row r="94" spans="1:47" x14ac:dyDescent="0.35">
      <c r="A94" s="60" t="str">
        <v>https://waymo.com/blog/2020/06/partnering-with-volvo-car-group-to-scale-the-waymo-driver/</v>
      </c>
      <c r="B94" s="60" t="str">
        <v>2020, 6, 25</v>
      </c>
      <c r="C94" s="105">
        <v>44007</v>
      </c>
      <c r="D94" s="60" t="str">
        <v>Partnering with Volvo Car Group to scale the Waymo Driver</v>
      </c>
      <c r="E94" s="60" t="str">
        <v>Waymo</v>
      </c>
      <c r="F94" s="60" t="str">
        <v>L1</v>
      </c>
      <c r="G94" s="60" t="str">
        <v>Waymo-SAV</v>
      </c>
      <c r="H94" s="60" t="str">
        <v>SAV</v>
      </c>
      <c r="I94" s="60" t="str">
        <v>Ridehailing</v>
      </c>
      <c r="J94" s="60" t="str">
        <v>Ridehailing</v>
      </c>
      <c r="K94" s="60" t="str">
        <v>Volvo Car Group</v>
      </c>
      <c r="L94" s="60" t="str">
        <v>Volvo Car Group</v>
      </c>
      <c r="M94" s="60">
        <v>0</v>
      </c>
      <c r="N94" s="60">
        <v>0</v>
      </c>
      <c r="O94"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94"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94" s="60" t="str">
        <v>Strategic Alliance</v>
      </c>
      <c r="R94" s="60" t="str">
        <v>n.a.</v>
      </c>
      <c r="S94" s="60" t="str">
        <v>Product cooperation</v>
      </c>
      <c r="T94" s="60" t="str">
        <v>-</v>
      </c>
      <c r="U94" s="60" t="str">
        <v>-</v>
      </c>
      <c r="V94" s="60" t="str">
        <v>Yes</v>
      </c>
      <c r="W94" s="60" t="str">
        <v>2.4. Exclusive Alliance</v>
      </c>
      <c r="X94" s="60">
        <v>0</v>
      </c>
      <c r="Y94"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94" s="60" t="str">
        <v>Joint D&amp;D</v>
      </c>
      <c r="AA94"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94" s="60">
        <v>0</v>
      </c>
      <c r="AC94" s="60">
        <v>0</v>
      </c>
      <c r="AD94" s="60">
        <v>0</v>
      </c>
      <c r="AE94" s="60">
        <v>0</v>
      </c>
      <c r="AF94" s="60" t="str">
        <v>Partnering with Volvo Car Group to scale the Waymo Driver</v>
      </c>
      <c r="AG94" s="60">
        <v>0</v>
      </c>
    </row>
    <row r="95" spans="1:47" x14ac:dyDescent="0.35">
      <c r="A95" s="60" t="str">
        <v>https://press.zf.com/press/en/releases/release_14913.html</v>
      </c>
      <c r="B95" s="60" t="str">
        <v>2020, 2, 19</v>
      </c>
      <c r="C95" s="105">
        <v>43880</v>
      </c>
      <c r="D95" s="60" t="str">
        <v>Open Manufacturing Platform expands: Anheuser-Busch InBev, BMW Group, Bosch, Microsoft and ZF team up to accelerate manufacturing innovation at scale</v>
      </c>
      <c r="E95" s="60" t="str">
        <v>ZF</v>
      </c>
      <c r="F95" s="60" t="str">
        <v>L2</v>
      </c>
      <c r="G95" s="60" t="str">
        <v>ZF-SAV</v>
      </c>
      <c r="H95" s="60" t="str">
        <v>SAV</v>
      </c>
      <c r="I95" s="60" t="str">
        <v>Ridepooling</v>
      </c>
      <c r="J95" s="60" t="str">
        <v>Ridepooling</v>
      </c>
      <c r="K95" s="60" t="str">
        <v>Anheuser - Busch InBev;Bosch;Microsoft</v>
      </c>
      <c r="L95" s="60" t="str">
        <v>Anheuser - Busch InBev</v>
      </c>
      <c r="M95" s="60" t="str">
        <v>Bosch</v>
      </c>
      <c r="N95" s="60" t="str">
        <v>Microsoft</v>
      </c>
      <c r="O95"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95"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95" s="60" t="str">
        <v>Strategic Alliance</v>
      </c>
      <c r="R95" s="60" t="str">
        <v>n.a.</v>
      </c>
      <c r="S95" s="60" t="str">
        <v>Membership</v>
      </c>
      <c r="T95" s="60" t="str">
        <v>-</v>
      </c>
      <c r="U95" s="60" t="str">
        <v>-</v>
      </c>
      <c r="V95" s="60" t="str">
        <v>-</v>
      </c>
      <c r="W95" s="60" t="str">
        <v>2.1. Short term Alliance (no exclusivity / previous experience)</v>
      </c>
      <c r="X95" s="60">
        <v>0</v>
      </c>
      <c r="Y95"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95" s="60" t="str">
        <v>Research &amp; Collaboration</v>
      </c>
      <c r="AA95"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95" s="60">
        <v>0</v>
      </c>
      <c r="AC95" s="60">
        <v>0</v>
      </c>
      <c r="AD95" s="60">
        <v>0</v>
      </c>
      <c r="AE95" s="60">
        <v>0</v>
      </c>
      <c r="AF95" s="60" t="str">
        <v xml:space="preserve">Open Manufacturing Platform expands: Anheuser-Busch InBev, BMW Group, Bosch, Microsoft and ZF team up to accelerate </v>
      </c>
      <c r="AG95" s="60" t="str">
        <v>manufacturing innovation at scale</v>
      </c>
    </row>
    <row r="96" spans="1:47" x14ac:dyDescent="0.35">
      <c r="A96" s="60" t="str">
        <v>https://press.zf.com/press/en/releases/release_31362.html</v>
      </c>
      <c r="B96" s="60" t="str">
        <v>2021, 10, 7</v>
      </c>
      <c r="C96" s="105">
        <v>44203</v>
      </c>
      <c r="D96" s="60" t="str">
        <v>ZF and DB Regio agree on strategic partnership for autonomous transport systems</v>
      </c>
      <c r="E96" s="60" t="str">
        <v>ZF</v>
      </c>
      <c r="F96" s="60" t="str">
        <v>L2</v>
      </c>
      <c r="G96" s="60" t="str">
        <v>ZF-SAV</v>
      </c>
      <c r="H96" s="60" t="str">
        <v>SAV</v>
      </c>
      <c r="I96" s="60" t="str">
        <v>Ridepooling</v>
      </c>
      <c r="J96" s="60" t="str">
        <v>Ridepooling</v>
      </c>
      <c r="K96" s="60" t="str">
        <v>DB Regio</v>
      </c>
      <c r="L96" s="60" t="str">
        <v>DB Regio</v>
      </c>
      <c r="M96" s="60">
        <v>0</v>
      </c>
      <c r="N96" s="60">
        <v>0</v>
      </c>
      <c r="O96"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96"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96" s="60" t="str">
        <v>Strategic Alliance</v>
      </c>
      <c r="R96" s="60" t="str">
        <v>Yes</v>
      </c>
      <c r="S96" s="60" t="str">
        <v>Service cooperation</v>
      </c>
      <c r="T96" s="60" t="str">
        <v>-</v>
      </c>
      <c r="U96" s="60" t="str">
        <v>-</v>
      </c>
      <c r="V96" s="60" t="str">
        <v>-</v>
      </c>
      <c r="W96" s="60" t="str">
        <v>2.1. Short term Alliance (no exclusivity / previous experience)</v>
      </c>
      <c r="X96" s="60">
        <v>0</v>
      </c>
      <c r="Y96"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96" s="60" t="str">
        <v>Joint Service Agreement</v>
      </c>
      <c r="AA96"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96" s="60">
        <v>0</v>
      </c>
      <c r="AC96" s="60">
        <v>0</v>
      </c>
      <c r="AD96" s="60">
        <v>0</v>
      </c>
      <c r="AE96" s="60">
        <v>0</v>
      </c>
      <c r="AF96" s="60" t="str">
        <v>ZF and DB Regio agree on strategic partnership for autonomous transport systems</v>
      </c>
      <c r="AG96" s="60">
        <v>0</v>
      </c>
    </row>
    <row r="97" spans="1:60" x14ac:dyDescent="0.35">
      <c r="A97" s="60" t="str">
        <v>https://ridebeep.com/press-releases/zf-announces-partnership-with-beep-unveils-next-generation-autonomous-shuttle</v>
      </c>
      <c r="B97" s="60" t="str">
        <v>2023, 1, 4</v>
      </c>
      <c r="C97" s="105">
        <v>44930</v>
      </c>
      <c r="D97" s="60" t="str">
        <v>ZF announces partnership with Beep, unveils next-generation autonomous shuttle</v>
      </c>
      <c r="E97" s="60" t="str">
        <v>ZF</v>
      </c>
      <c r="F97" s="60" t="str">
        <v>L2</v>
      </c>
      <c r="G97" s="60" t="str">
        <v>ZF-SAV</v>
      </c>
      <c r="H97" s="60" t="str">
        <v>SAV</v>
      </c>
      <c r="I97" s="60" t="str">
        <v>Ridepooling</v>
      </c>
      <c r="J97" s="60" t="str">
        <v>Ridepooling</v>
      </c>
      <c r="K97" s="60" t="str">
        <v>Beep</v>
      </c>
      <c r="L97" s="60" t="str">
        <v>Beep</v>
      </c>
      <c r="M97" s="60">
        <v>0</v>
      </c>
      <c r="N97" s="60">
        <v>0</v>
      </c>
      <c r="O97"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97"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97" s="60" t="str">
        <v>Strategic Alliance</v>
      </c>
      <c r="R97" s="60" t="str">
        <v>Yes</v>
      </c>
      <c r="S97" s="60" t="str">
        <v>Service Integration</v>
      </c>
      <c r="T97" s="60" t="str">
        <v>Long term - coming years</v>
      </c>
      <c r="U97" s="60" t="str">
        <v>-</v>
      </c>
      <c r="V97" s="60" t="str">
        <v>-</v>
      </c>
      <c r="W97" s="60" t="str">
        <v>2.3. Long term Alliance</v>
      </c>
      <c r="X97" s="60">
        <v>0</v>
      </c>
      <c r="Y97" s="60" t="str">
        <v>"Our offer of clean, efficient and affordable mobility is convincing, and has found a partner and major customer in Beep"</v>
      </c>
      <c r="Z97" s="60" t="str">
        <v>Joint Service Agreement</v>
      </c>
      <c r="AA97" s="60" t="str">
        <v>"Our offer of clean, efficient and affordable mobility is convincing, and has found a partner and major customer in Beep"</v>
      </c>
      <c r="AB97" s="60">
        <v>0</v>
      </c>
      <c r="AC97" s="60">
        <v>0</v>
      </c>
      <c r="AD97" s="60">
        <v>0</v>
      </c>
      <c r="AE97" s="60">
        <v>0</v>
      </c>
      <c r="AF97" s="60" t="str">
        <v>ZF announces partnership with Beep, unveils next-generation autonomous shuttle</v>
      </c>
      <c r="AG97" s="60">
        <v>0</v>
      </c>
    </row>
    <row r="98" spans="1:60" x14ac:dyDescent="0.35">
      <c r="A98" s="60" t="str">
        <v>https://www.ridebeep.com/press-releases/beep-and-oxa-announce-partnership-to-deploy-autonomous-vehicles-driven-by-oxa-in-united-states</v>
      </c>
      <c r="B98" s="60" t="str">
        <v>2023, 8, 24</v>
      </c>
      <c r="C98" s="105">
        <v>45162</v>
      </c>
      <c r="D98" s="60" t="str">
        <v>Beep and Oxa Announce Partnership to Deploy Autonomous Vehicles Driven by Oxa in United States</v>
      </c>
      <c r="E98" s="60" t="str">
        <v>Oxa</v>
      </c>
      <c r="F98" s="60" t="str">
        <v>L1</v>
      </c>
      <c r="G98" s="60" t="str">
        <v>Oxa-SAV</v>
      </c>
      <c r="H98" s="60" t="str">
        <v>SAV</v>
      </c>
      <c r="I98" s="60" t="str">
        <v>Ridepooling</v>
      </c>
      <c r="J98" s="60" t="str">
        <v>Ridepooling</v>
      </c>
      <c r="K98" s="60" t="str">
        <v>Beep</v>
      </c>
      <c r="L98" s="60" t="str">
        <v>Beep</v>
      </c>
      <c r="M98" s="60">
        <v>0</v>
      </c>
      <c r="N98" s="60">
        <v>0</v>
      </c>
      <c r="O98"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98"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98" s="60" t="str">
        <v>Strategic Alliance</v>
      </c>
      <c r="R98" s="60" t="str">
        <v>n.a.</v>
      </c>
      <c r="S98" s="60" t="str">
        <v>Service Integration</v>
      </c>
      <c r="T98" s="60" t="str">
        <v>Long term - Future years mentioned</v>
      </c>
      <c r="U98" s="60" t="str">
        <v>Yes</v>
      </c>
      <c r="V98" s="60" t="str">
        <v>-</v>
      </c>
      <c r="W98" s="60" t="str">
        <v>2.3. Long term Alliance</v>
      </c>
      <c r="X98" s="60">
        <v>0</v>
      </c>
      <c r="Y98" s="60" t="str">
        <v>the strategic partnership will see Oxa's autonomy software installed in a variety of vehicle types operated by Beep, from current passenger shuttles to future vehicle platforms</v>
      </c>
      <c r="Z98" s="60" t="str">
        <v>Joint Service Agreement</v>
      </c>
      <c r="AA98" s="60" t="str">
        <v>the strategic partnership will see Oxa's autonomy software installed in a variety of vehicle types operated by Beep, from current passenger shuttles to future vehicle platforms</v>
      </c>
      <c r="AB98" s="60">
        <v>0</v>
      </c>
      <c r="AC98" s="60">
        <v>0</v>
      </c>
      <c r="AD98" s="60">
        <v>0</v>
      </c>
      <c r="AE98" s="60">
        <v>0</v>
      </c>
      <c r="AF98" s="60" t="str">
        <v>Beep and Oxa Announce Partnership to Deploy Autonomous Vehicles Driven by Oxa in United States</v>
      </c>
      <c r="AG98" s="60">
        <v>0</v>
      </c>
    </row>
    <row r="99" spans="1:60" x14ac:dyDescent="0.35">
      <c r="A99" s="60" t="str">
        <v>Ridepooling</v>
      </c>
      <c r="B99" s="60" t="str">
        <v>2020, 11, 18</v>
      </c>
      <c r="C99" s="105">
        <v>43848</v>
      </c>
      <c r="D99" s="60" t="str">
        <v>May Mobility and Via announce partnership that will integrate on-demand AVs into public transit</v>
      </c>
      <c r="E99" s="60" t="str">
        <v>Via</v>
      </c>
      <c r="F99" s="60" t="str">
        <v>L3</v>
      </c>
      <c r="G99" s="60" t="str">
        <v>Via-SAV</v>
      </c>
      <c r="H99" s="60" t="str">
        <v>SAV</v>
      </c>
      <c r="I99" s="60" t="str">
        <v>Ridepooling</v>
      </c>
      <c r="J99" s="60" t="str">
        <v>Ridepooling</v>
      </c>
      <c r="K99" s="60" t="str">
        <v>May Mobility</v>
      </c>
      <c r="L99" s="60" t="str">
        <v>May Mobility</v>
      </c>
      <c r="M99" s="60">
        <v>0</v>
      </c>
      <c r="N99" s="60">
        <v>0</v>
      </c>
      <c r="O99"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99"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99" s="60" t="str">
        <v>Strategic Alliance</v>
      </c>
      <c r="R99" s="60" t="str">
        <v>n.a.</v>
      </c>
      <c r="S99" s="60" t="str">
        <v>Service Integration</v>
      </c>
      <c r="T99" s="60" t="str">
        <v>Long term - -</v>
      </c>
      <c r="U99" s="60" t="str">
        <v>-</v>
      </c>
      <c r="V99" s="60" t="str">
        <v>-</v>
      </c>
      <c r="W99" s="60" t="str">
        <v>2.3. Long term Alliance</v>
      </c>
      <c r="X99" s="60">
        <v>0</v>
      </c>
      <c r="Y99"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99" s="60" t="str">
        <v>Joint Service Agreement</v>
      </c>
      <c r="AA99" s="60" t="str">
        <v>May Mobility will adopt Via's autonomous fleet platform to power booking, routing, passenger and vehicle assignment and identification, customer experience, and fleet management as part of their new transit solution for future autonomous vehicle deployments.</v>
      </c>
      <c r="AB99" s="60">
        <v>0</v>
      </c>
      <c r="AC99" s="60">
        <v>0</v>
      </c>
      <c r="AD99" s="60">
        <v>0</v>
      </c>
      <c r="AE99" s="60">
        <v>0</v>
      </c>
      <c r="AF99" s="60" t="str">
        <v>May Mobility and Via announce partnership that will integrate on-demand AVs into public transit</v>
      </c>
      <c r="AG99" s="60">
        <v>0</v>
      </c>
      <c r="AO99" s="55"/>
      <c r="AP99" s="55"/>
      <c r="AQ99" s="55"/>
      <c r="AR99" s="55"/>
      <c r="AS99" s="55"/>
      <c r="AT99" s="55"/>
      <c r="AU99" s="55"/>
      <c r="AV99" s="55"/>
      <c r="AW99" s="55"/>
      <c r="AX99" s="55"/>
      <c r="AY99" s="55"/>
      <c r="AZ99" s="55"/>
      <c r="BA99" s="55"/>
      <c r="BB99" s="55"/>
      <c r="BC99" s="55"/>
      <c r="BD99" s="55"/>
      <c r="BE99" s="55"/>
      <c r="BF99" s="55"/>
      <c r="BG99" s="55"/>
      <c r="BH99" s="55"/>
    </row>
    <row r="100" spans="1:60" x14ac:dyDescent="0.35">
      <c r="A100" s="60" t="str">
        <v>https://www.navya.tech/en/navya-and-lohr-form-a-strategic-alliance-to-speed-up-their-technological-industrial-and-commercial-development-in-the-field-of-autonomous-mobility/</v>
      </c>
      <c r="B100" s="60" t="str">
        <v>2022, 9, 22</v>
      </c>
      <c r="C100" s="60">
        <v>44826</v>
      </c>
      <c r="D100" s="60" t="str">
        <v>Navya and Lohr form a strategic alliance to speed up their technological, industrial and commercial development in the field of autonomous mobility</v>
      </c>
      <c r="E100" s="60" t="str">
        <v>Lohr</v>
      </c>
      <c r="F100" s="60" t="str">
        <v>L2</v>
      </c>
      <c r="G100" s="60" t="str">
        <v>Lohr-SAV</v>
      </c>
      <c r="H100" s="60" t="str">
        <v>SAV</v>
      </c>
      <c r="I100" s="60" t="str">
        <v>Ridepooling</v>
      </c>
      <c r="J100" s="60" t="str">
        <v>Ridepooling</v>
      </c>
      <c r="K100" s="60" t="str">
        <v>Navya</v>
      </c>
      <c r="L100" s="60" t="str">
        <v>Navya</v>
      </c>
      <c r="M100" s="60">
        <v>0</v>
      </c>
      <c r="N100" s="60">
        <v>0</v>
      </c>
      <c r="O100"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00" s="60" t="str">
        <v>NAVYA (FR0013018041- Navya), an autonomous mobility systems leader, signs a strategic alliance with Lohr, an industrial group known worldwide for its expertise in the engineering, production and marketing of systems for the transportation of people and goods.</v>
      </c>
      <c r="Q100" s="60" t="str">
        <v>Strategic Alliance</v>
      </c>
      <c r="R100" s="60" t="str">
        <v>Yes</v>
      </c>
      <c r="S100" s="60" t="str">
        <v>Product cooperation</v>
      </c>
      <c r="T100" s="60" t="str">
        <v>-</v>
      </c>
      <c r="U100" s="60" t="str">
        <v>-</v>
      </c>
      <c r="V100" s="60" t="str">
        <v>-</v>
      </c>
      <c r="W100" s="60" t="str">
        <v>2.1. Short term Alliance (no exclusivity / previous experience)</v>
      </c>
      <c r="X100" s="60">
        <v>0</v>
      </c>
      <c r="Y10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00" s="60" t="str">
        <v>Joint Production</v>
      </c>
      <c r="AA10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00" s="60">
        <v>0</v>
      </c>
      <c r="AC100" s="60">
        <v>0</v>
      </c>
      <c r="AD100" s="60">
        <v>0</v>
      </c>
      <c r="AE100" s="60">
        <v>0</v>
      </c>
      <c r="AF100" s="60" t="str">
        <v>Navya and Lohr form a strategic alliance to speed up their technological, industrial and commercial development in the field of autonomous mobility</v>
      </c>
      <c r="AG100" s="60">
        <v>0</v>
      </c>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row>
    <row r="101" spans="1:60" x14ac:dyDescent="0.35">
      <c r="A101" s="60" t="str">
        <v>https://www.transdev.com/en/press-release/partnership-torc-autonomous-shuttle/</v>
      </c>
      <c r="B101" s="60" t="str">
        <v>2019, 1, 7</v>
      </c>
      <c r="C101" s="60">
        <v>43472</v>
      </c>
      <c r="D101" s="60" t="str">
        <v>Torc and Transdev partner to develop technology for i-Cristal, a shared and fully autonomous shuttle</v>
      </c>
      <c r="E101" s="60" t="str">
        <v>Torc</v>
      </c>
      <c r="F101" s="60" t="str">
        <v>L1</v>
      </c>
      <c r="G101" s="60" t="str">
        <v>Torc-SAV</v>
      </c>
      <c r="H101" s="60" t="str">
        <v>SAV</v>
      </c>
      <c r="I101" s="60" t="str">
        <v>Ridepooling</v>
      </c>
      <c r="J101" s="60" t="str">
        <v>Ridepooling</v>
      </c>
      <c r="K101" s="60" t="str">
        <v>Transdev</v>
      </c>
      <c r="L101" s="60" t="str">
        <v>Transdev</v>
      </c>
      <c r="M101" s="60">
        <v>0</v>
      </c>
      <c r="N101" s="60">
        <v>0</v>
      </c>
      <c r="O101"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01"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01" s="60" t="str">
        <v>Strategic Alliance</v>
      </c>
      <c r="R101" s="60" t="str">
        <v>n.a.</v>
      </c>
      <c r="S101" s="60" t="str">
        <v>Service integration</v>
      </c>
      <c r="T101" s="60" t="str">
        <v>-</v>
      </c>
      <c r="U101" s="60" t="str">
        <v>Yes</v>
      </c>
      <c r="V101" s="60" t="str">
        <v>-</v>
      </c>
      <c r="W101" s="60" t="str">
        <v xml:space="preserve">2.2. Renewed Alliance </v>
      </c>
      <c r="X101" s="60">
        <v>0</v>
      </c>
      <c r="Y101"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01" s="60" t="str">
        <v>Joint Service Agreement</v>
      </c>
      <c r="AA101"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01" s="60" t="str">
        <v>Research &amp; Collaboration</v>
      </c>
      <c r="AC101" s="60" t="str">
        <v>The partners have already begun testing on closed courses, while testing on public roads will proceed after obtaining successive safety authorizations and before providing public service trials in two locations in France: Paris-Saclay and Rouen.</v>
      </c>
      <c r="AD101" s="60">
        <v>0</v>
      </c>
      <c r="AE101" s="60">
        <v>0</v>
      </c>
      <c r="AF101" s="60" t="str">
        <v xml:space="preserve">Torc and Transdev partner to develop </v>
      </c>
      <c r="AG101" s="60" t="str">
        <v>technology for i-Cristal, a shared and fully autonomous shuttle</v>
      </c>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107"/>
    </row>
    <row r="102" spans="1:60" x14ac:dyDescent="0.35">
      <c r="A102" s="60" t="str">
        <v>https://www.transdev.com/en/press-release/zf-partnership/</v>
      </c>
      <c r="B102" s="60" t="str">
        <v>2019, 1, 8</v>
      </c>
      <c r="C102" s="60">
        <v>43473</v>
      </c>
      <c r="D102" s="60" t="str">
        <v>Transdev, ZF and e.GO announce partnership to develop shared autonomous mobility</v>
      </c>
      <c r="E102" s="60" t="str">
        <v>ZF</v>
      </c>
      <c r="F102" s="60" t="str">
        <v>L2</v>
      </c>
      <c r="G102" s="60" t="str">
        <v>ZF-SAV</v>
      </c>
      <c r="H102" s="60" t="str">
        <v>SAV</v>
      </c>
      <c r="I102" s="60" t="str">
        <v>Ridepooling</v>
      </c>
      <c r="J102" s="60" t="str">
        <v>Ridepooling</v>
      </c>
      <c r="K102" s="60" t="str">
        <v>Transdev;e.GO</v>
      </c>
      <c r="L102" s="60" t="str">
        <v>Transdev</v>
      </c>
      <c r="M102" s="60" t="str">
        <v>e.GO</v>
      </c>
      <c r="N102" s="60">
        <v>0</v>
      </c>
      <c r="O102"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02" s="60" t="str">
        <v>The partners will start working together immediately to provide a fully functional solution by 2020, with priority markets in France and Germany.</v>
      </c>
      <c r="Q102" s="60" t="str">
        <v>Strategic Alliance</v>
      </c>
      <c r="R102" s="60" t="str">
        <v>n.a.</v>
      </c>
      <c r="S102" s="60" t="str">
        <v>Product cooperation</v>
      </c>
      <c r="T102" s="60" t="str">
        <v>Long term - &gt;1 year</v>
      </c>
      <c r="U102" s="60" t="str">
        <v>-</v>
      </c>
      <c r="V102" s="60" t="str">
        <v>-</v>
      </c>
      <c r="W102" s="60" t="str">
        <v>2.3. Long term Alliance</v>
      </c>
      <c r="X102" s="60">
        <v>0</v>
      </c>
      <c r="Y102"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02" s="60" t="str">
        <v>Joint D&amp;D</v>
      </c>
      <c r="AA102"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02" s="60">
        <v>0</v>
      </c>
      <c r="AC102" s="60">
        <v>0</v>
      </c>
      <c r="AD102" s="60">
        <v>0</v>
      </c>
      <c r="AE102" s="60">
        <v>0</v>
      </c>
      <c r="AF102" s="60" t="str">
        <v>Transdev, ZF and e.GO announce partnership to develop shared autonomous mobility</v>
      </c>
      <c r="AG102" s="60">
        <v>0</v>
      </c>
    </row>
    <row r="103" spans="1:60" x14ac:dyDescent="0.35">
      <c r="A103" t="str">
        <v>https://waymo.com/blog/2019/05/partnering-with-lyft-to-serve-more-riders/</v>
      </c>
      <c r="B103" t="str">
        <v>2019, 5, 7</v>
      </c>
      <c r="C103">
        <v>43592</v>
      </c>
      <c r="D103" t="str">
        <v>Partnering with Lyft to serve more riders in Metro Phoenix</v>
      </c>
      <c r="E103" t="str">
        <v>Lyft</v>
      </c>
      <c r="F103" t="str">
        <v>L4</v>
      </c>
      <c r="G103" t="str">
        <v>Lyft-SAV</v>
      </c>
      <c r="H103" t="str">
        <v>SAV</v>
      </c>
      <c r="I103" t="str">
        <v>Ridehailing</v>
      </c>
      <c r="J103" t="str">
        <v>Ridehailing</v>
      </c>
      <c r="K103" t="str">
        <v>Waymo</v>
      </c>
      <c r="L103" t="str">
        <v>Waymo</v>
      </c>
      <c r="M103">
        <v>0</v>
      </c>
      <c r="N103">
        <v>0</v>
      </c>
      <c r="O103"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03"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03" t="str">
        <v>Strategic Alliance</v>
      </c>
      <c r="R103" t="str">
        <v>n.a.</v>
      </c>
      <c r="S103" t="str">
        <v>Service integration</v>
      </c>
      <c r="T103" t="str">
        <v>Short term - months</v>
      </c>
      <c r="U103" t="str">
        <v>-</v>
      </c>
      <c r="V103" t="str">
        <v>-</v>
      </c>
      <c r="W103" t="str">
        <v>2.1. Short term Alliance (no exclusivity / previous experience)</v>
      </c>
      <c r="X103">
        <v>0</v>
      </c>
      <c r="Y103" t="str">
        <v>As a first step, we'll deploy 10 Waymo vehicles on Lyft over the next few months. Once Waymo vehicles are on the platform, Lyft users in the area will have the option to select a Waymo directly from the Lyft app for eligible rides.</v>
      </c>
      <c r="Z103" t="str">
        <v>Supply Partnership (extended)</v>
      </c>
      <c r="AA103" t="str">
        <v>As a first step, we'll deploy 10 Waymo vehicles on Lyft over the next few months. Once Waymo vehicles are on the platform, Lyft users in the area will have the option to select a Waymo directly from the Lyft app for eligible rides.</v>
      </c>
      <c r="AB103">
        <v>0</v>
      </c>
      <c r="AC103">
        <v>0</v>
      </c>
      <c r="AD103">
        <v>0</v>
      </c>
      <c r="AE103">
        <v>0</v>
      </c>
      <c r="AF103" t="str">
        <v>Partnering with Lyft to serve more riders in Metro Phoenix</v>
      </c>
      <c r="AG103">
        <v>0</v>
      </c>
    </row>
    <row r="104" spans="1:60" x14ac:dyDescent="0.35">
      <c r="A104" t="str">
        <v>https://www.mobileye.com/news/mobileye-willer-self-driving-mobility-solutions/</v>
      </c>
      <c r="B104" t="str">
        <v>2020, 7, 7</v>
      </c>
      <c r="C104">
        <v>44019</v>
      </c>
      <c r="D104" t="str">
        <v>Mobileye and WILLER Partner on Self-Driving Mobility Solutions for Japan, Southeast Asia</v>
      </c>
      <c r="E104" t="str">
        <v>Mobileye</v>
      </c>
      <c r="F104" t="str">
        <v>L1</v>
      </c>
      <c r="G104" t="str">
        <v>Mobileye-SAV</v>
      </c>
      <c r="H104" t="str">
        <v>SAV</v>
      </c>
      <c r="I104" t="str">
        <v>Ridepooling</v>
      </c>
      <c r="J104" t="str">
        <v>Ridepooling</v>
      </c>
      <c r="K104" t="str">
        <v>WILLER</v>
      </c>
      <c r="L104" t="str">
        <v>WILLER</v>
      </c>
      <c r="M104">
        <v>0</v>
      </c>
      <c r="N104">
        <v>0</v>
      </c>
      <c r="O104"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4"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4" t="str">
        <v>Strategic Alliance</v>
      </c>
      <c r="R104" t="str">
        <v>n.a.</v>
      </c>
      <c r="S104" t="str">
        <v>Service integration</v>
      </c>
      <c r="T104" t="str">
        <v>Long term - 2023 (&gt;2 years)</v>
      </c>
      <c r="U104" t="str">
        <v>-</v>
      </c>
      <c r="V104" t="str">
        <v>-</v>
      </c>
      <c r="W104" t="str">
        <v>2.3. Long term Alliance</v>
      </c>
      <c r="X104">
        <v>0</v>
      </c>
      <c r="Y104"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4" t="str">
        <v>Supply Partnership (extended)</v>
      </c>
      <c r="AA104"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4">
        <v>0</v>
      </c>
      <c r="AC104">
        <v>0</v>
      </c>
      <c r="AD104">
        <v>0</v>
      </c>
      <c r="AE104">
        <v>0</v>
      </c>
      <c r="AF104">
        <v>0</v>
      </c>
      <c r="AG104">
        <v>0</v>
      </c>
    </row>
    <row r="105" spans="1:60" x14ac:dyDescent="0.35">
      <c r="L105" s="152"/>
      <c r="M105" s="152"/>
      <c r="N105" s="152"/>
      <c r="O105" s="152"/>
      <c r="P105" s="152"/>
      <c r="Q105" s="152"/>
      <c r="R105" s="152"/>
      <c r="S105" s="152"/>
      <c r="T105" s="152"/>
      <c r="U105" s="152"/>
      <c r="V105" s="152"/>
      <c r="BF105" s="152"/>
      <c r="BG105" s="152"/>
      <c r="BH105" s="152"/>
    </row>
    <row r="106" spans="1:60" x14ac:dyDescent="0.35">
      <c r="O106" s="58"/>
      <c r="P106" s="58"/>
      <c r="Q106" s="58"/>
      <c r="R106" s="58"/>
      <c r="S106" s="58"/>
      <c r="W106" s="89"/>
      <c r="AV106" s="154"/>
      <c r="AW106" s="154"/>
      <c r="AX106" s="154"/>
      <c r="AY106" s="154"/>
      <c r="AZ106" s="154"/>
      <c r="BA106" s="154"/>
      <c r="BB106" s="154"/>
      <c r="BC106" s="118"/>
      <c r="BD106" s="118"/>
      <c r="BE106" s="118"/>
      <c r="BF106" s="118"/>
      <c r="BG106" s="118"/>
      <c r="BH106" s="118"/>
    </row>
    <row r="107" spans="1:60" x14ac:dyDescent="0.35">
      <c r="O107" s="58"/>
      <c r="P107" s="58"/>
      <c r="Q107" s="58"/>
      <c r="R107" s="58"/>
      <c r="S107" s="58"/>
      <c r="W107" s="89"/>
      <c r="AV107" s="154"/>
      <c r="AW107" s="154"/>
      <c r="AX107" s="154"/>
      <c r="AY107" s="154"/>
      <c r="AZ107" s="154"/>
      <c r="BA107" s="154"/>
      <c r="BB107" s="154"/>
      <c r="BC107" s="118"/>
      <c r="BD107" s="118"/>
      <c r="BE107" s="118"/>
      <c r="BF107" s="118"/>
      <c r="BG107" s="118"/>
      <c r="BH107" s="118"/>
    </row>
  </sheetData>
  <conditionalFormatting sqref="B106:B107 B2:B14">
    <cfRule type="duplicateValues" dxfId="44" priority="387"/>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878-F2B5-4EC1-901D-497D03E0D09A}">
  <sheetPr>
    <tabColor rgb="FFC00000"/>
  </sheetPr>
  <dimension ref="A1:BA64"/>
  <sheetViews>
    <sheetView workbookViewId="0"/>
  </sheetViews>
  <sheetFormatPr defaultRowHeight="14.5" x14ac:dyDescent="0.35"/>
  <cols>
    <col min="1" max="1" width="63.1796875" style="55" bestFit="1" customWidth="1"/>
    <col min="2" max="25" width="8.6328125" customWidth="1"/>
    <col min="26" max="26" width="8.90625" customWidth="1"/>
    <col min="27" max="27" width="8.6328125" customWidth="1"/>
  </cols>
  <sheetData>
    <row r="1" spans="1:53" s="117" customFormat="1" ht="94.5" customHeight="1" x14ac:dyDescent="0.35">
      <c r="A1" s="180" t="s">
        <v>2220</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v>0.203030475657723</v>
      </c>
      <c r="C3" s="116">
        <v>1</v>
      </c>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-0.23682412423249899</v>
      </c>
      <c r="C4" s="116">
        <v>0</v>
      </c>
      <c r="D4" s="116">
        <v>1</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v>0.38472219391129298</v>
      </c>
      <c r="C5" s="116">
        <v>-0.19917183909278699</v>
      </c>
      <c r="D5" s="116">
        <v>0.22727272727272699</v>
      </c>
      <c r="E5" s="116">
        <v>1</v>
      </c>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0.21270395274579301</v>
      </c>
      <c r="C6" s="116">
        <v>0.55874423661566197</v>
      </c>
      <c r="D6" s="116">
        <v>0.106262785510556</v>
      </c>
      <c r="E6" s="116">
        <v>0.46369215495515498</v>
      </c>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0.283765369809174</v>
      </c>
      <c r="C7" s="116">
        <v>0.29848100289785401</v>
      </c>
      <c r="D7" s="116">
        <v>0.12974982402692001</v>
      </c>
      <c r="E7" s="116">
        <v>-0.25478147263467998</v>
      </c>
      <c r="F7" s="116">
        <v>-8.4379975650103106E-2</v>
      </c>
      <c r="G7" s="116">
        <v>1</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c r="C8" s="116"/>
      <c r="D8" s="116"/>
      <c r="E8" s="116"/>
      <c r="F8" s="116"/>
      <c r="G8" s="116"/>
      <c r="H8" s="116"/>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v>0.136883118764283</v>
      </c>
      <c r="C9" s="116">
        <v>-0.13483997249264801</v>
      </c>
      <c r="D9" s="116">
        <v>-0.246182981958665</v>
      </c>
      <c r="E9" s="116">
        <v>0.60426731935308797</v>
      </c>
      <c r="F9" s="116">
        <v>0.51796977028281199</v>
      </c>
      <c r="G9" s="116">
        <v>-0.17248787237282001</v>
      </c>
      <c r="H9" s="116"/>
      <c r="I9" s="116">
        <v>1</v>
      </c>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v>0.71047237269749697</v>
      </c>
      <c r="C10" s="182">
        <v>0.14605934866804399</v>
      </c>
      <c r="D10" s="182">
        <v>0.11111111111111099</v>
      </c>
      <c r="E10" s="182">
        <v>0.48787878787878702</v>
      </c>
      <c r="F10" s="182">
        <v>0.24440440667427901</v>
      </c>
      <c r="G10" s="182">
        <v>0.47747935241906703</v>
      </c>
      <c r="H10" s="182"/>
      <c r="I10" s="182">
        <v>0.196946385566932</v>
      </c>
      <c r="J10" s="183">
        <v>1</v>
      </c>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v>0.55334590255199001</v>
      </c>
      <c r="C11" s="116">
        <v>0.25819888974716099</v>
      </c>
      <c r="D11" s="116">
        <v>0.31426968052735399</v>
      </c>
      <c r="E11" s="116">
        <v>0.77138921583986897</v>
      </c>
      <c r="F11" s="116">
        <v>0.66122439875611605</v>
      </c>
      <c r="G11" s="116">
        <v>0.146795168683514</v>
      </c>
      <c r="H11" s="116"/>
      <c r="I11" s="116">
        <v>0.52223296786709295</v>
      </c>
      <c r="J11" s="184">
        <v>0.69139329716017905</v>
      </c>
      <c r="K11" s="116">
        <v>1</v>
      </c>
      <c r="L11" s="181"/>
      <c r="M11" s="181"/>
      <c r="N11" s="181"/>
      <c r="O11" s="181"/>
      <c r="P11" s="181"/>
      <c r="Q11" s="186"/>
      <c r="R11" s="181"/>
      <c r="S11" s="181"/>
      <c r="T11" s="181"/>
      <c r="U11" s="181"/>
      <c r="V11" s="192"/>
      <c r="W11" s="116"/>
      <c r="X11" s="116"/>
      <c r="Y11" s="116"/>
      <c r="Z11" s="190"/>
      <c r="AA11" s="190"/>
      <c r="AB11" s="190"/>
      <c r="AC11" s="190"/>
      <c r="AD11" s="16"/>
    </row>
    <row r="12" spans="1:53" x14ac:dyDescent="0.35">
      <c r="A12" s="124" t="s">
        <v>2233</v>
      </c>
      <c r="B12" s="204">
        <v>0.628170174907699</v>
      </c>
      <c r="C12" s="116">
        <v>0.43094580368566698</v>
      </c>
      <c r="D12" s="116">
        <v>-0.18156825980064001</v>
      </c>
      <c r="E12" s="116">
        <v>0.313617903292015</v>
      </c>
      <c r="F12" s="116">
        <v>0.61354757968571005</v>
      </c>
      <c r="G12" s="116">
        <v>0.48765990999075098</v>
      </c>
      <c r="H12" s="116"/>
      <c r="I12" s="116">
        <v>0.35759212501413901</v>
      </c>
      <c r="J12" s="184">
        <v>0.66575028593568197</v>
      </c>
      <c r="K12" s="116">
        <v>0.51355259101309503</v>
      </c>
      <c r="L12" s="116">
        <v>1</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0.372222538705826</v>
      </c>
      <c r="C13" s="116">
        <v>0.39999999999999902</v>
      </c>
      <c r="D13" s="116">
        <v>0</v>
      </c>
      <c r="E13" s="116">
        <v>0.348550718412378</v>
      </c>
      <c r="F13" s="116">
        <v>0.663508780981099</v>
      </c>
      <c r="G13" s="116">
        <v>0.29848100289785401</v>
      </c>
      <c r="H13" s="116"/>
      <c r="I13" s="116">
        <v>0.67419986246324204</v>
      </c>
      <c r="J13" s="184">
        <v>0.474692883171144</v>
      </c>
      <c r="K13" s="116">
        <v>0.77459666924148296</v>
      </c>
      <c r="L13" s="116">
        <v>0.53039483530543596</v>
      </c>
      <c r="M13" s="116">
        <v>1</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-0.133474517378422</v>
      </c>
      <c r="C14" s="116">
        <v>-0.17149858514250799</v>
      </c>
      <c r="D14" s="116">
        <v>0.43835700375960401</v>
      </c>
      <c r="E14" s="116">
        <v>0.64045666133708401</v>
      </c>
      <c r="F14" s="116">
        <v>0.39527336489898302</v>
      </c>
      <c r="G14" s="116">
        <v>-0.39488710902864999</v>
      </c>
      <c r="H14" s="116"/>
      <c r="I14" s="116">
        <v>0.50874701906916797</v>
      </c>
      <c r="J14" s="184">
        <v>-0.10019588657362299</v>
      </c>
      <c r="K14" s="116">
        <v>0.35424595421603799</v>
      </c>
      <c r="L14" s="116">
        <v>-5.68512273886102E-3</v>
      </c>
      <c r="M14" s="116">
        <v>0.137198868114007</v>
      </c>
      <c r="N14" s="116">
        <v>0.999999999999999</v>
      </c>
      <c r="O14" s="181"/>
      <c r="P14" s="181"/>
      <c r="Q14" s="186"/>
      <c r="R14" s="181"/>
      <c r="S14" s="181"/>
      <c r="T14" s="181"/>
      <c r="U14" s="181"/>
      <c r="V14" s="192"/>
      <c r="W14" s="116"/>
      <c r="X14" s="116"/>
      <c r="Y14" s="116"/>
      <c r="Z14" s="190"/>
      <c r="AA14" s="190"/>
      <c r="AB14" s="190"/>
      <c r="AC14" s="190"/>
      <c r="AD14" s="16"/>
    </row>
    <row r="15" spans="1:53" x14ac:dyDescent="0.35">
      <c r="A15" s="124" t="s">
        <v>2236</v>
      </c>
      <c r="B15" s="204">
        <v>0.36502165003809001</v>
      </c>
      <c r="C15" s="116">
        <v>-0.13483997249264801</v>
      </c>
      <c r="D15" s="116">
        <v>-0.246182981958665</v>
      </c>
      <c r="E15" s="116">
        <v>-0.13428162652290801</v>
      </c>
      <c r="F15" s="116">
        <v>-0.28252896560880603</v>
      </c>
      <c r="G15" s="116">
        <v>0.57495957457606905</v>
      </c>
      <c r="H15" s="116"/>
      <c r="I15" s="116">
        <v>-9.0909090909090898E-2</v>
      </c>
      <c r="J15" s="184">
        <v>0.44312936752559701</v>
      </c>
      <c r="K15" s="116">
        <v>-0.17407765595569699</v>
      </c>
      <c r="L15" s="116">
        <v>0.491689171894441</v>
      </c>
      <c r="M15" s="116">
        <v>-0.13483997249264801</v>
      </c>
      <c r="N15" s="116">
        <v>-0.32374810304401602</v>
      </c>
      <c r="O15" s="116">
        <v>1</v>
      </c>
      <c r="P15" s="181"/>
      <c r="Q15" s="186"/>
      <c r="R15" s="181"/>
      <c r="S15" s="181"/>
      <c r="T15" s="181"/>
      <c r="U15" s="181"/>
      <c r="V15" s="192"/>
      <c r="W15" s="116"/>
      <c r="X15" s="116"/>
      <c r="Y15" s="116"/>
      <c r="Z15" s="190"/>
      <c r="AA15" s="190"/>
      <c r="AB15" s="190"/>
      <c r="AC15" s="190"/>
      <c r="AD15" s="16"/>
    </row>
    <row r="16" spans="1:53" x14ac:dyDescent="0.35">
      <c r="A16" s="124" t="s">
        <v>1204</v>
      </c>
      <c r="B16" s="204">
        <v>0.69257988563595196</v>
      </c>
      <c r="C16" s="116">
        <v>0.29848100289785401</v>
      </c>
      <c r="D16" s="116">
        <v>0.37627448967806898</v>
      </c>
      <c r="E16" s="116">
        <v>0.34324726174394399</v>
      </c>
      <c r="F16" s="116">
        <v>0.20598641114583999</v>
      </c>
      <c r="G16" s="116">
        <v>0.18484848484848401</v>
      </c>
      <c r="H16" s="116"/>
      <c r="I16" s="116">
        <v>-0.17248787237282001</v>
      </c>
      <c r="J16" s="184">
        <v>0.47747935241906703</v>
      </c>
      <c r="K16" s="116">
        <v>0.62387946690493701</v>
      </c>
      <c r="L16" s="116">
        <v>0.21202604782206499</v>
      </c>
      <c r="M16" s="116">
        <v>0.29848100289785401</v>
      </c>
      <c r="N16" s="116">
        <v>8.0439966653984299E-2</v>
      </c>
      <c r="O16" s="116">
        <v>-0.17248787237282001</v>
      </c>
      <c r="P16" s="116">
        <v>1</v>
      </c>
      <c r="Q16" s="194"/>
      <c r="R16" s="181"/>
      <c r="S16" s="181"/>
      <c r="T16" s="181"/>
      <c r="U16" s="181"/>
      <c r="V16" s="192"/>
      <c r="W16" s="116"/>
      <c r="X16" s="116"/>
      <c r="Y16" s="116"/>
      <c r="Z16" s="190"/>
      <c r="AA16" s="190"/>
      <c r="AB16" s="190"/>
      <c r="AC16" s="190"/>
      <c r="AD16" s="16"/>
    </row>
    <row r="17" spans="1:30" x14ac:dyDescent="0.35">
      <c r="A17" s="124" t="s">
        <v>1205</v>
      </c>
      <c r="B17" s="205">
        <v>-9.1255412509522599E-2</v>
      </c>
      <c r="C17" s="182">
        <v>-0.13483997249264801</v>
      </c>
      <c r="D17" s="182">
        <v>-0.246182981958665</v>
      </c>
      <c r="E17" s="182">
        <v>-0.13428162652290801</v>
      </c>
      <c r="F17" s="182">
        <v>-0.28252896560880603</v>
      </c>
      <c r="G17" s="182">
        <v>-0.17248787237282001</v>
      </c>
      <c r="H17" s="182"/>
      <c r="I17" s="182">
        <v>-9.0909090909090898E-2</v>
      </c>
      <c r="J17" s="183">
        <v>-0.246182981958665</v>
      </c>
      <c r="K17" s="182">
        <v>-0.17407765595569699</v>
      </c>
      <c r="L17" s="182">
        <v>-0.44699015626767402</v>
      </c>
      <c r="M17" s="182">
        <v>-0.13483997249264801</v>
      </c>
      <c r="N17" s="182">
        <v>-0.32374810304401602</v>
      </c>
      <c r="O17" s="182">
        <v>-9.0909090909090898E-2</v>
      </c>
      <c r="P17" s="182">
        <v>-0.17248787237282001</v>
      </c>
      <c r="Q17" s="195">
        <v>1</v>
      </c>
      <c r="R17" s="182"/>
      <c r="S17" s="182"/>
      <c r="T17" s="182"/>
      <c r="U17" s="182"/>
      <c r="V17" s="182"/>
      <c r="W17" s="182"/>
      <c r="X17" s="182"/>
      <c r="Y17" s="182"/>
      <c r="Z17" s="182"/>
      <c r="AA17" s="182"/>
      <c r="AB17" s="182"/>
      <c r="AC17" s="182"/>
      <c r="AD17" s="115"/>
    </row>
    <row r="18" spans="1:30" x14ac:dyDescent="0.35">
      <c r="A18" s="125" t="s">
        <v>2096</v>
      </c>
      <c r="B18" s="204">
        <v>0.23298774844294301</v>
      </c>
      <c r="C18" s="116">
        <v>0.25819888974716099</v>
      </c>
      <c r="D18" s="116">
        <v>0</v>
      </c>
      <c r="E18" s="116">
        <v>-0.21427478217774101</v>
      </c>
      <c r="F18" s="116">
        <v>-0.240445235911315</v>
      </c>
      <c r="G18" s="116">
        <v>0.33028912953790801</v>
      </c>
      <c r="H18" s="116"/>
      <c r="I18" s="116">
        <v>-0.52223296786709295</v>
      </c>
      <c r="J18" s="184">
        <v>-9.4280904158206294E-2</v>
      </c>
      <c r="K18" s="116">
        <v>-0.11111111111111099</v>
      </c>
      <c r="L18" s="116">
        <v>0</v>
      </c>
      <c r="M18" s="116">
        <v>-0.25819888974716099</v>
      </c>
      <c r="N18" s="116">
        <v>-0.35424595421603799</v>
      </c>
      <c r="O18" s="116">
        <v>0.17407765595569699</v>
      </c>
      <c r="P18" s="116">
        <v>0.33028912953790801</v>
      </c>
      <c r="Q18" s="194">
        <v>0.17407765595569699</v>
      </c>
      <c r="R18" s="116">
        <v>1</v>
      </c>
      <c r="S18" s="181"/>
      <c r="T18" s="181"/>
      <c r="U18" s="181"/>
      <c r="V18" s="192"/>
      <c r="W18" s="116"/>
      <c r="X18" s="116"/>
      <c r="Y18" s="116"/>
      <c r="Z18" s="190"/>
      <c r="AA18" s="190"/>
      <c r="AB18" s="190"/>
      <c r="AC18" s="190"/>
      <c r="AD18" s="16"/>
    </row>
    <row r="19" spans="1:30" x14ac:dyDescent="0.35">
      <c r="A19" s="125" t="s">
        <v>2097</v>
      </c>
      <c r="B19" s="204">
        <v>3.3838412609620602E-2</v>
      </c>
      <c r="C19" s="116">
        <v>-0.19999999999999901</v>
      </c>
      <c r="D19" s="116">
        <v>-0.36514837167010999</v>
      </c>
      <c r="E19" s="116">
        <v>0.348550718412378</v>
      </c>
      <c r="F19" s="116">
        <v>0.17460757394239401</v>
      </c>
      <c r="G19" s="116">
        <v>-0.25584085962673198</v>
      </c>
      <c r="H19" s="116"/>
      <c r="I19" s="116">
        <v>0.67419986246324204</v>
      </c>
      <c r="J19" s="184">
        <v>0.29211869733608797</v>
      </c>
      <c r="K19" s="116">
        <v>0.25819888974716099</v>
      </c>
      <c r="L19" s="116">
        <v>0.13259870882635899</v>
      </c>
      <c r="M19" s="116">
        <v>0.39999999999999902</v>
      </c>
      <c r="N19" s="116">
        <v>0.137198868114007</v>
      </c>
      <c r="O19" s="116">
        <v>-0.13483997249264801</v>
      </c>
      <c r="P19" s="116">
        <v>-0.25584085962673198</v>
      </c>
      <c r="Q19" s="194">
        <v>-0.13483997249264801</v>
      </c>
      <c r="R19" s="116">
        <v>-0.77459666924148296</v>
      </c>
      <c r="S19" s="116">
        <v>1</v>
      </c>
      <c r="T19" s="181"/>
      <c r="U19" s="181"/>
      <c r="V19" s="192"/>
      <c r="W19" s="116"/>
      <c r="X19" s="116"/>
      <c r="Y19" s="116"/>
      <c r="Z19" s="190"/>
      <c r="AA19" s="190"/>
      <c r="AB19" s="190"/>
      <c r="AC19" s="190"/>
      <c r="AD19" s="16"/>
    </row>
    <row r="20" spans="1:30" x14ac:dyDescent="0.35">
      <c r="A20" s="125" t="s">
        <v>2098</v>
      </c>
      <c r="B20" s="206"/>
      <c r="C20" s="122"/>
      <c r="D20" s="122"/>
      <c r="E20" s="122"/>
      <c r="F20" s="122"/>
      <c r="G20" s="122"/>
      <c r="H20" s="122"/>
      <c r="I20" s="122"/>
      <c r="J20" s="184"/>
      <c r="K20" s="122"/>
      <c r="L20" s="122"/>
      <c r="M20" s="122"/>
      <c r="N20" s="122"/>
      <c r="O20" s="122"/>
      <c r="P20" s="122"/>
      <c r="Q20" s="194"/>
      <c r="R20" s="122"/>
      <c r="S20" s="122"/>
      <c r="T20" s="122"/>
      <c r="U20" s="193"/>
      <c r="V20" s="193"/>
      <c r="W20" s="122"/>
      <c r="X20" s="122"/>
      <c r="Y20" s="122"/>
      <c r="Z20" s="190"/>
      <c r="AA20" s="190"/>
      <c r="AB20" s="190"/>
      <c r="AC20" s="190"/>
      <c r="AD20" s="16"/>
    </row>
    <row r="21" spans="1:30" x14ac:dyDescent="0.35">
      <c r="A21" s="125" t="s">
        <v>2099</v>
      </c>
      <c r="B21" s="206">
        <v>-0.41064935629285099</v>
      </c>
      <c r="C21" s="122">
        <v>-0.13483997249264801</v>
      </c>
      <c r="D21" s="122">
        <v>0.49236596391733001</v>
      </c>
      <c r="E21" s="122">
        <v>-0.13428162652290801</v>
      </c>
      <c r="F21" s="122">
        <v>0.14126448280440301</v>
      </c>
      <c r="G21" s="122">
        <v>-0.17248787237282001</v>
      </c>
      <c r="H21" s="122"/>
      <c r="I21" s="122">
        <v>-9.0909090909090898E-2</v>
      </c>
      <c r="J21" s="184">
        <v>-0.246182981958665</v>
      </c>
      <c r="K21" s="122">
        <v>-0.17407765595569699</v>
      </c>
      <c r="L21" s="122">
        <v>-0.178796062507069</v>
      </c>
      <c r="M21" s="122">
        <v>-0.13483997249264801</v>
      </c>
      <c r="N21" s="122">
        <v>0.36999783205030401</v>
      </c>
      <c r="O21" s="122">
        <v>-9.0909090909090898E-2</v>
      </c>
      <c r="P21" s="122">
        <v>-0.17248787237282001</v>
      </c>
      <c r="Q21" s="194">
        <v>-9.0909090909090898E-2</v>
      </c>
      <c r="R21" s="122">
        <v>-0.52223296786709295</v>
      </c>
      <c r="S21" s="122">
        <v>-0.13483997249264801</v>
      </c>
      <c r="T21" s="122"/>
      <c r="U21" s="122">
        <v>1</v>
      </c>
      <c r="V21" s="193"/>
      <c r="W21" s="122"/>
      <c r="X21" s="122"/>
      <c r="Y21" s="122"/>
      <c r="Z21" s="190"/>
      <c r="AA21" s="190"/>
      <c r="AB21" s="190"/>
      <c r="AC21" s="190"/>
      <c r="AD21" s="16"/>
    </row>
    <row r="22" spans="1:30" x14ac:dyDescent="0.35">
      <c r="A22" s="125" t="s">
        <v>2247</v>
      </c>
      <c r="B22" s="207">
        <v>2.6416787174813602E-2</v>
      </c>
      <c r="C22" s="208">
        <v>0.46840472358274399</v>
      </c>
      <c r="D22" s="208">
        <v>0.44795462930645202</v>
      </c>
      <c r="E22" s="208">
        <v>0.51644356023347204</v>
      </c>
      <c r="F22" s="208">
        <v>0.90355175612582195</v>
      </c>
      <c r="G22" s="208">
        <v>7.13315875801376E-3</v>
      </c>
      <c r="H22" s="208"/>
      <c r="I22" s="208">
        <v>0.49625462891182898</v>
      </c>
      <c r="J22" s="209">
        <v>0.226013472059164</v>
      </c>
      <c r="K22" s="208">
        <v>0.71989035465113305</v>
      </c>
      <c r="L22" s="208">
        <v>0.44918739160485699</v>
      </c>
      <c r="M22" s="208">
        <v>0.66914960511820598</v>
      </c>
      <c r="N22" s="208">
        <v>0.57952896315852598</v>
      </c>
      <c r="O22" s="208">
        <v>-0.36091245739042099</v>
      </c>
      <c r="P22" s="208">
        <v>0.24252739777246801</v>
      </c>
      <c r="Q22" s="209">
        <v>-0.36091245739042099</v>
      </c>
      <c r="R22" s="208">
        <v>-0.23036491348836199</v>
      </c>
      <c r="S22" s="208">
        <v>0.10037244076773</v>
      </c>
      <c r="T22" s="208"/>
      <c r="U22" s="208">
        <v>0.22557028586901301</v>
      </c>
      <c r="V22" s="215">
        <v>1</v>
      </c>
      <c r="W22" s="216"/>
      <c r="X22" s="216"/>
      <c r="Y22" s="216"/>
      <c r="Z22" s="217"/>
      <c r="AA22" s="217"/>
      <c r="AB22" s="217"/>
      <c r="AC22" s="217"/>
      <c r="AD22" s="99"/>
    </row>
    <row r="23" spans="1:30" x14ac:dyDescent="0.35">
      <c r="A23" s="227" t="s">
        <v>2248</v>
      </c>
      <c r="B23" s="207">
        <v>0.96153327600759497</v>
      </c>
      <c r="C23" s="208">
        <v>0.361352375899682</v>
      </c>
      <c r="D23" s="208">
        <v>-0.16993204077281901</v>
      </c>
      <c r="E23" s="208">
        <v>0.40347500589909902</v>
      </c>
      <c r="F23" s="208">
        <v>0.33841789454142301</v>
      </c>
      <c r="G23" s="208">
        <v>0.36652642144189101</v>
      </c>
      <c r="H23" s="208"/>
      <c r="I23" s="208">
        <v>0.17718088882351299</v>
      </c>
      <c r="J23" s="209">
        <v>0.827668998587612</v>
      </c>
      <c r="K23" s="208">
        <v>0.65027817942131005</v>
      </c>
      <c r="L23" s="208">
        <v>0.72961261769717001</v>
      </c>
      <c r="M23" s="208">
        <v>0.49275323986320302</v>
      </c>
      <c r="N23" s="208">
        <v>-0.12957660797341999</v>
      </c>
      <c r="O23" s="208">
        <v>0.35436177764702698</v>
      </c>
      <c r="P23" s="208">
        <v>0.67001963664855202</v>
      </c>
      <c r="Q23" s="209">
        <v>-0.17718088882351299</v>
      </c>
      <c r="R23" s="208">
        <v>0.141364821613328</v>
      </c>
      <c r="S23" s="208">
        <v>0.13140086396351999</v>
      </c>
      <c r="T23" s="208"/>
      <c r="U23" s="208">
        <v>-0.39865699985290598</v>
      </c>
      <c r="V23" s="207">
        <v>0.17585367246676201</v>
      </c>
      <c r="W23" s="208">
        <v>1</v>
      </c>
      <c r="X23" s="208"/>
      <c r="Y23" s="208"/>
      <c r="Z23" s="210"/>
      <c r="AA23" s="210"/>
      <c r="AB23" s="210"/>
      <c r="AC23" s="210"/>
      <c r="AD23" s="16"/>
    </row>
    <row r="24" spans="1:30" x14ac:dyDescent="0.35">
      <c r="A24" s="227" t="s">
        <v>2249</v>
      </c>
      <c r="B24" s="207">
        <v>0.64686571582757102</v>
      </c>
      <c r="C24" s="208">
        <v>0.464095480892257</v>
      </c>
      <c r="D24" s="208">
        <v>-8.0697004355840304E-2</v>
      </c>
      <c r="E24" s="208">
        <v>0.44566754678338999</v>
      </c>
      <c r="F24" s="208">
        <v>0.72352308925201703</v>
      </c>
      <c r="G24" s="208">
        <v>0.42640794061993198</v>
      </c>
      <c r="H24" s="208"/>
      <c r="I24" s="208">
        <v>0.44699015626767402</v>
      </c>
      <c r="J24" s="209">
        <v>0.70206393789581001</v>
      </c>
      <c r="K24" s="208">
        <v>0.68473678801745996</v>
      </c>
      <c r="L24" s="208">
        <v>0.97252747252747196</v>
      </c>
      <c r="M24" s="208">
        <v>0.66299354413179601</v>
      </c>
      <c r="N24" s="208">
        <v>0.102332209299498</v>
      </c>
      <c r="O24" s="208">
        <v>0.31289310938737103</v>
      </c>
      <c r="P24" s="208">
        <v>0.33452998656370297</v>
      </c>
      <c r="Q24" s="209">
        <v>-0.44699015626767402</v>
      </c>
      <c r="R24" s="208">
        <v>-5.7061399001455002E-2</v>
      </c>
      <c r="S24" s="208">
        <v>0.19889806323953799</v>
      </c>
      <c r="T24" s="208"/>
      <c r="U24" s="208">
        <v>-0.178796062507069</v>
      </c>
      <c r="V24" s="207">
        <v>0.593370998786663</v>
      </c>
      <c r="W24" s="208">
        <v>0.76228183938510297</v>
      </c>
      <c r="X24" s="208">
        <v>1</v>
      </c>
      <c r="Y24" s="208"/>
      <c r="Z24" s="210"/>
      <c r="AA24" s="210"/>
      <c r="AB24" s="210"/>
      <c r="AC24" s="210"/>
      <c r="AD24" s="16"/>
    </row>
    <row r="25" spans="1:30" x14ac:dyDescent="0.35">
      <c r="A25" s="125" t="s">
        <v>2228</v>
      </c>
      <c r="B25" s="211">
        <v>0.62032988022933599</v>
      </c>
      <c r="C25" s="210">
        <v>0.232379000772445</v>
      </c>
      <c r="D25" s="210">
        <v>0.25927248643506701</v>
      </c>
      <c r="E25" s="210">
        <v>0.27641446900928601</v>
      </c>
      <c r="F25" s="210">
        <v>7.6641918946731696E-2</v>
      </c>
      <c r="G25" s="210">
        <v>0.104591557687004</v>
      </c>
      <c r="H25" s="210"/>
      <c r="I25" s="210">
        <v>-0.20889318714683699</v>
      </c>
      <c r="J25" s="209">
        <v>0.35826743580118398</v>
      </c>
      <c r="K25" s="210">
        <v>0.53333333333333299</v>
      </c>
      <c r="L25" s="210">
        <v>0</v>
      </c>
      <c r="M25" s="210">
        <v>0.232379000772445</v>
      </c>
      <c r="N25" s="210">
        <v>-7.9705339698608504E-2</v>
      </c>
      <c r="O25" s="210">
        <v>-0.20889318714683699</v>
      </c>
      <c r="P25" s="210">
        <v>0.88077101210108799</v>
      </c>
      <c r="Q25" s="209">
        <v>0.31333978072025598</v>
      </c>
      <c r="R25" s="210">
        <v>0.39999999999999902</v>
      </c>
      <c r="S25" s="210">
        <v>-0.30983866769659302</v>
      </c>
      <c r="T25" s="210"/>
      <c r="U25" s="210">
        <v>-0.20889318714683699</v>
      </c>
      <c r="V25" s="211">
        <v>7.7748158302322401E-2</v>
      </c>
      <c r="W25" s="210">
        <v>0.56404563823718001</v>
      </c>
      <c r="X25" s="210">
        <v>0.119828937903055</v>
      </c>
      <c r="Y25" s="210">
        <v>0.999999999999999</v>
      </c>
      <c r="Z25" s="210"/>
      <c r="AA25" s="210"/>
      <c r="AB25" s="210"/>
      <c r="AC25" s="210"/>
      <c r="AD25" s="16"/>
    </row>
    <row r="26" spans="1:30" x14ac:dyDescent="0.35">
      <c r="A26" s="125" t="s">
        <v>2169</v>
      </c>
      <c r="B26" s="211">
        <v>0.65836578852876504</v>
      </c>
      <c r="C26" s="210">
        <v>0.39349550147037099</v>
      </c>
      <c r="D26" s="210">
        <v>9.97807233482082E-2</v>
      </c>
      <c r="E26" s="210">
        <v>0.54153719853527504</v>
      </c>
      <c r="F26" s="210">
        <v>0.71188391628145398</v>
      </c>
      <c r="G26" s="210">
        <v>0.36120822315027701</v>
      </c>
      <c r="H26" s="210"/>
      <c r="I26" s="210">
        <v>0.48637345711391999</v>
      </c>
      <c r="J26" s="209">
        <v>0.622631713692819</v>
      </c>
      <c r="K26" s="210">
        <v>0.73377851155665597</v>
      </c>
      <c r="L26" s="210">
        <v>0.86418148670920503</v>
      </c>
      <c r="M26" s="210">
        <v>0.65582583578395304</v>
      </c>
      <c r="N26" s="210">
        <v>0.37116156969160902</v>
      </c>
      <c r="O26" s="210">
        <v>0.26529461297122903</v>
      </c>
      <c r="P26" s="210">
        <v>0.45442324847938098</v>
      </c>
      <c r="Q26" s="209">
        <v>-0.39794191945684299</v>
      </c>
      <c r="R26" s="210">
        <v>-5.6444500888973501E-2</v>
      </c>
      <c r="S26" s="210">
        <v>6.5582583578395207E-2</v>
      </c>
      <c r="T26" s="210"/>
      <c r="U26" s="210">
        <v>0</v>
      </c>
      <c r="V26" s="211">
        <v>0.65826839856172403</v>
      </c>
      <c r="W26" s="210">
        <v>0.73249669216868096</v>
      </c>
      <c r="X26" s="210">
        <v>0.91672082237915697</v>
      </c>
      <c r="Y26" s="210">
        <v>0.25400025400038101</v>
      </c>
      <c r="Z26" s="210">
        <v>1</v>
      </c>
      <c r="AA26" s="210"/>
      <c r="AB26" s="210"/>
      <c r="AC26" s="210"/>
      <c r="AD26" s="16"/>
    </row>
    <row r="27" spans="1:30" x14ac:dyDescent="0.35">
      <c r="A27" s="125" t="s">
        <v>2081</v>
      </c>
      <c r="B27" s="211">
        <v>0.64361896598046597</v>
      </c>
      <c r="C27" s="210">
        <v>0.365989534663759</v>
      </c>
      <c r="D27" s="210">
        <v>-0.15186418480769601</v>
      </c>
      <c r="E27" s="210">
        <v>0.65715774516785097</v>
      </c>
      <c r="F27" s="210">
        <v>0.66034696227142997</v>
      </c>
      <c r="G27" s="210">
        <v>0.148964895486215</v>
      </c>
      <c r="H27" s="210"/>
      <c r="I27" s="210">
        <v>0.49350018786658401</v>
      </c>
      <c r="J27" s="209">
        <v>0.74919664505130401</v>
      </c>
      <c r="K27" s="210">
        <v>0.77316620325760399</v>
      </c>
      <c r="L27" s="210">
        <v>0.76103455501950801</v>
      </c>
      <c r="M27" s="210">
        <v>0.59889196581342297</v>
      </c>
      <c r="N27" s="210">
        <v>6.2766687371799801E-2</v>
      </c>
      <c r="O27" s="210">
        <v>0.17945461376966701</v>
      </c>
      <c r="P27" s="210">
        <v>0.30265883527358001</v>
      </c>
      <c r="Q27" s="209">
        <v>-4.4863653442416697E-2</v>
      </c>
      <c r="R27" s="210">
        <v>-5.7271570611674302E-2</v>
      </c>
      <c r="S27" s="210">
        <v>0.33271775878523502</v>
      </c>
      <c r="T27" s="210"/>
      <c r="U27" s="210">
        <v>-0.35890922753933402</v>
      </c>
      <c r="V27" s="211">
        <v>0.50835666827088</v>
      </c>
      <c r="W27" s="210">
        <v>0.75962459168671104</v>
      </c>
      <c r="X27" s="210">
        <v>0.82537322512985301</v>
      </c>
      <c r="Y27" s="210">
        <v>0.287789642323663</v>
      </c>
      <c r="Z27" s="210">
        <v>0.72734967411830198</v>
      </c>
      <c r="AA27" s="210">
        <v>1</v>
      </c>
      <c r="AB27" s="210"/>
      <c r="AC27" s="210"/>
      <c r="AD27" s="16"/>
    </row>
    <row r="28" spans="1:30" x14ac:dyDescent="0.35">
      <c r="A28" s="125" t="s">
        <v>2061</v>
      </c>
      <c r="B28" s="211">
        <v>0.203030475657723</v>
      </c>
      <c r="C28" s="210">
        <v>1</v>
      </c>
      <c r="D28" s="210">
        <v>0</v>
      </c>
      <c r="E28" s="210">
        <v>-0.19917183909278699</v>
      </c>
      <c r="F28" s="210">
        <v>0.55874423661566197</v>
      </c>
      <c r="G28" s="210">
        <v>0.29848100289785401</v>
      </c>
      <c r="H28" s="210"/>
      <c r="I28" s="210">
        <v>-0.13483997249264801</v>
      </c>
      <c r="J28" s="209">
        <v>0.14605934866804399</v>
      </c>
      <c r="K28" s="210">
        <v>0.25819888974716099</v>
      </c>
      <c r="L28" s="210">
        <v>0.43094580368566698</v>
      </c>
      <c r="M28" s="210">
        <v>0.39999999999999902</v>
      </c>
      <c r="N28" s="210">
        <v>-0.17149858514250799</v>
      </c>
      <c r="O28" s="210">
        <v>-0.13483997249264801</v>
      </c>
      <c r="P28" s="210">
        <v>0.29848100289785401</v>
      </c>
      <c r="Q28" s="209">
        <v>-0.13483997249264801</v>
      </c>
      <c r="R28" s="210">
        <v>0.25819888974716099</v>
      </c>
      <c r="S28" s="210">
        <v>-0.19999999999999901</v>
      </c>
      <c r="T28" s="210"/>
      <c r="U28" s="210">
        <v>-0.13483997249264801</v>
      </c>
      <c r="V28" s="211">
        <v>0.46840472358274399</v>
      </c>
      <c r="W28" s="210">
        <v>0.361352375899682</v>
      </c>
      <c r="X28" s="210">
        <v>0.464095480892257</v>
      </c>
      <c r="Y28" s="210">
        <v>0.232379000772445</v>
      </c>
      <c r="Z28" s="210">
        <v>0.39349550147037099</v>
      </c>
      <c r="AA28" s="210">
        <v>0.365989534663759</v>
      </c>
      <c r="AB28" s="210">
        <v>1</v>
      </c>
      <c r="AC28" s="210"/>
      <c r="AD28" s="16"/>
    </row>
    <row r="29" spans="1:30" x14ac:dyDescent="0.35">
      <c r="A29" s="125" t="s">
        <v>2024</v>
      </c>
      <c r="B29" s="211">
        <v>-0.44963077104233601</v>
      </c>
      <c r="C29" s="210">
        <v>0.19604633049630801</v>
      </c>
      <c r="D29" s="210">
        <v>-1.9884999542396399E-2</v>
      </c>
      <c r="E29" s="210">
        <v>-0.34708362837637402</v>
      </c>
      <c r="F29" s="210">
        <v>5.8953688810908102E-2</v>
      </c>
      <c r="G29" s="210">
        <v>-0.34598808316691798</v>
      </c>
      <c r="H29" s="210"/>
      <c r="I29" s="210">
        <v>-4.40581363523447E-2</v>
      </c>
      <c r="J29" s="209">
        <v>-0.19089599560700499</v>
      </c>
      <c r="K29" s="210">
        <v>-0.25309472436575797</v>
      </c>
      <c r="L29" s="210">
        <v>-0.29786499295157998</v>
      </c>
      <c r="M29" s="210">
        <v>0</v>
      </c>
      <c r="N29" s="210">
        <v>-0.10086500490749201</v>
      </c>
      <c r="O29" s="210">
        <v>-0.17623254540937799</v>
      </c>
      <c r="P29" s="210">
        <v>-0.40403977497344901</v>
      </c>
      <c r="Q29" s="209">
        <v>0.13217440905703401</v>
      </c>
      <c r="R29" s="210">
        <v>-0.478067812690877</v>
      </c>
      <c r="S29" s="210">
        <v>0.26139510732840998</v>
      </c>
      <c r="T29" s="210"/>
      <c r="U29" s="210">
        <v>0.396523227171102</v>
      </c>
      <c r="V29" s="211">
        <v>3.8262094685639299E-2</v>
      </c>
      <c r="W29" s="210">
        <v>-0.32916395316340802</v>
      </c>
      <c r="X29" s="210">
        <v>-0.30328072009615398</v>
      </c>
      <c r="Y29" s="210">
        <v>-0.32058665086329402</v>
      </c>
      <c r="Z29" s="210">
        <v>-0.34643078081559597</v>
      </c>
      <c r="AA29" s="210">
        <v>-0.161258347704758</v>
      </c>
      <c r="AB29" s="210">
        <v>0.19604633049630801</v>
      </c>
      <c r="AC29" s="210">
        <v>1</v>
      </c>
      <c r="AD29" s="16"/>
    </row>
    <row r="30" spans="1:30" ht="15" thickBot="1" x14ac:dyDescent="0.4">
      <c r="A30" s="224" t="s">
        <v>2250</v>
      </c>
      <c r="B30" s="212">
        <v>0.13906265635265799</v>
      </c>
      <c r="C30" s="213">
        <v>0</v>
      </c>
      <c r="D30" s="213">
        <v>-0.375154289247425</v>
      </c>
      <c r="E30" s="213">
        <v>-0.16693468373210699</v>
      </c>
      <c r="F30" s="213">
        <v>-0.26436749532787901</v>
      </c>
      <c r="G30" s="213">
        <v>0.22134862843714301</v>
      </c>
      <c r="H30" s="213"/>
      <c r="I30" s="213">
        <v>0.21873931962990301</v>
      </c>
      <c r="J30" s="214">
        <v>7.3056361590287999E-2</v>
      </c>
      <c r="K30" s="213">
        <v>-2.7923593886112999E-2</v>
      </c>
      <c r="L30" s="213">
        <v>1.0755175492958E-2</v>
      </c>
      <c r="M30" s="213">
        <v>0.25955427380922003</v>
      </c>
      <c r="N30" s="213">
        <v>-0.139103721018664</v>
      </c>
      <c r="O30" s="213">
        <v>-4.37478639259807E-2</v>
      </c>
      <c r="P30" s="213">
        <v>5.0725727350178801E-2</v>
      </c>
      <c r="Q30" s="214">
        <v>-0.30623504748186497</v>
      </c>
      <c r="R30" s="213">
        <v>-0.111694375544452</v>
      </c>
      <c r="S30" s="213">
        <v>0.48666426339228702</v>
      </c>
      <c r="T30" s="213"/>
      <c r="U30" s="214">
        <v>-0.48122650318578702</v>
      </c>
      <c r="V30" s="213">
        <v>-0.23881087976099999</v>
      </c>
      <c r="W30" s="213">
        <v>0.15631758919312999</v>
      </c>
      <c r="X30" s="213">
        <v>2.8680467981221501E-2</v>
      </c>
      <c r="Y30" s="213">
        <v>-0.113090555238757</v>
      </c>
      <c r="Z30" s="213">
        <v>-5.4967649532490503E-2</v>
      </c>
      <c r="AA30" s="213">
        <v>-0.134934869163957</v>
      </c>
      <c r="AB30" s="213">
        <v>0</v>
      </c>
      <c r="AC30" s="213">
        <v>-0.141346285958143</v>
      </c>
      <c r="AD30" s="214">
        <v>1</v>
      </c>
    </row>
    <row r="31" spans="1:30" x14ac:dyDescent="0.35">
      <c r="A31" s="8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30" x14ac:dyDescent="0.35">
      <c r="A32" s="80"/>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S33" s="158"/>
      <c r="AT33" s="158"/>
      <c r="AU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t="s">
        <v>2165</v>
      </c>
      <c r="AG34" s="202">
        <v>0.1</v>
      </c>
    </row>
    <row r="35" spans="1:53" x14ac:dyDescent="0.35">
      <c r="A35" s="123" t="s">
        <v>12</v>
      </c>
      <c r="B35" s="204">
        <v>0.52681715063381396</v>
      </c>
      <c r="C35" s="116">
        <v>0</v>
      </c>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t="s">
        <v>2166</v>
      </c>
      <c r="AG35" s="203">
        <v>0.05</v>
      </c>
    </row>
    <row r="36" spans="1:53" x14ac:dyDescent="0.35">
      <c r="A36" s="123" t="s">
        <v>8</v>
      </c>
      <c r="B36" s="204">
        <v>0.458631804355842</v>
      </c>
      <c r="C36" s="116">
        <v>1</v>
      </c>
      <c r="D36" s="116">
        <v>0</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v>0.216881700483775</v>
      </c>
      <c r="C37" s="116">
        <v>0.53486756604580199</v>
      </c>
      <c r="D37" s="116">
        <v>0.47746850082080899</v>
      </c>
      <c r="E37" s="116">
        <v>0</v>
      </c>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0.50686721047494498</v>
      </c>
      <c r="C38" s="116">
        <v>5.8972114320058798E-2</v>
      </c>
      <c r="D38" s="116">
        <v>0.74239128777330299</v>
      </c>
      <c r="E38" s="116">
        <v>0.12892529893267801</v>
      </c>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0.371417929240628</v>
      </c>
      <c r="C39" s="116">
        <v>0.34600714192869197</v>
      </c>
      <c r="D39" s="116">
        <v>0.68775343086739205</v>
      </c>
      <c r="E39" s="116">
        <v>0.42419291364702</v>
      </c>
      <c r="F39" s="116">
        <v>0.79430488597285498</v>
      </c>
      <c r="G39" s="116">
        <v>0</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c r="C40" s="116"/>
      <c r="D40" s="116"/>
      <c r="E40" s="116"/>
      <c r="F40" s="116"/>
      <c r="G40" s="116"/>
      <c r="H40" s="116"/>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v>0.67141422133710504</v>
      </c>
      <c r="C41" s="116">
        <v>0.67608118491830804</v>
      </c>
      <c r="D41" s="116">
        <v>0.44052169643617201</v>
      </c>
      <c r="E41" s="116">
        <v>3.7429038143498503E-2</v>
      </c>
      <c r="F41" s="116">
        <v>8.4524576953226696E-2</v>
      </c>
      <c r="G41" s="116">
        <v>0.59191253388077003</v>
      </c>
      <c r="H41" s="116"/>
      <c r="I41" s="116">
        <v>0</v>
      </c>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v>9.6116802635921195E-3</v>
      </c>
      <c r="C42" s="182">
        <v>0.650586908204137</v>
      </c>
      <c r="D42" s="182">
        <v>0.73101381068155102</v>
      </c>
      <c r="E42" s="182">
        <v>0.107600358630529</v>
      </c>
      <c r="F42" s="182">
        <v>0.44393654624517798</v>
      </c>
      <c r="G42" s="182">
        <v>0.116458772380283</v>
      </c>
      <c r="H42" s="182"/>
      <c r="I42" s="182">
        <v>0.53953417021380501</v>
      </c>
      <c r="J42" s="183">
        <v>0</v>
      </c>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v>6.1997737607278197E-2</v>
      </c>
      <c r="C43" s="116">
        <v>0.41778700474506503</v>
      </c>
      <c r="D43" s="116">
        <v>0.31981317576534801</v>
      </c>
      <c r="E43" s="116">
        <v>3.3012322626035599E-3</v>
      </c>
      <c r="F43" s="116">
        <v>1.92096193292179E-2</v>
      </c>
      <c r="G43" s="116">
        <v>0.64892647933028902</v>
      </c>
      <c r="H43" s="116"/>
      <c r="I43" s="116">
        <v>8.1553398701605606E-2</v>
      </c>
      <c r="J43" s="184">
        <v>1.2759268139509001E-2</v>
      </c>
      <c r="K43" s="116">
        <v>0</v>
      </c>
      <c r="L43" s="181"/>
      <c r="M43" s="181"/>
      <c r="N43" s="181"/>
      <c r="O43" s="181"/>
      <c r="P43" s="181"/>
      <c r="Q43" s="186"/>
      <c r="R43" s="181"/>
      <c r="S43" s="181"/>
      <c r="T43" s="181"/>
      <c r="U43" s="181"/>
      <c r="V43" s="192"/>
      <c r="W43" s="116"/>
      <c r="X43" s="116"/>
      <c r="Y43" s="116"/>
      <c r="Z43" s="190"/>
      <c r="AA43" s="190"/>
      <c r="AB43" s="190"/>
      <c r="AC43" s="190"/>
      <c r="AD43" s="16"/>
    </row>
    <row r="44" spans="1:53" x14ac:dyDescent="0.35">
      <c r="A44" s="124" t="s">
        <v>2233</v>
      </c>
      <c r="B44" s="204">
        <v>2.87145440217857E-2</v>
      </c>
      <c r="C44" s="116">
        <v>0.161925446209709</v>
      </c>
      <c r="D44" s="116">
        <v>0.57223899874087902</v>
      </c>
      <c r="E44" s="116">
        <v>0.32087229704053399</v>
      </c>
      <c r="F44" s="116">
        <v>3.3848457985114003E-2</v>
      </c>
      <c r="G44" s="116">
        <v>0.107782038646624</v>
      </c>
      <c r="H44" s="116"/>
      <c r="I44" s="116">
        <v>0.253784879971651</v>
      </c>
      <c r="J44" s="184">
        <v>1.8115895623867999E-2</v>
      </c>
      <c r="K44" s="116">
        <v>8.76796662750466E-2</v>
      </c>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0.23345590631461799</v>
      </c>
      <c r="C45" s="116">
        <v>0.19761732000000001</v>
      </c>
      <c r="D45" s="116">
        <v>1</v>
      </c>
      <c r="E45" s="116">
        <v>0.26684787763860801</v>
      </c>
      <c r="F45" s="116">
        <v>1.8651710555488199E-2</v>
      </c>
      <c r="G45" s="116">
        <v>0.34600714192869197</v>
      </c>
      <c r="H45" s="116"/>
      <c r="I45" s="116">
        <v>1.61970707866178E-2</v>
      </c>
      <c r="J45" s="184">
        <v>0.11891146062162</v>
      </c>
      <c r="K45" s="116">
        <v>3.09408668621089E-3</v>
      </c>
      <c r="L45" s="116">
        <v>7.6065002675066301E-2</v>
      </c>
      <c r="M45" s="116">
        <v>0</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0.67920601900072797</v>
      </c>
      <c r="C46" s="116">
        <v>0.59407156464987498</v>
      </c>
      <c r="D46" s="116">
        <v>0.15403241459546199</v>
      </c>
      <c r="E46" s="116">
        <v>2.4856058352372801E-2</v>
      </c>
      <c r="F46" s="116">
        <v>0.203460703312766</v>
      </c>
      <c r="G46" s="116">
        <v>0.203942832605882</v>
      </c>
      <c r="H46" s="116"/>
      <c r="I46" s="116">
        <v>9.1201622828686504E-2</v>
      </c>
      <c r="J46" s="184">
        <v>0.75669507642865097</v>
      </c>
      <c r="K46" s="116">
        <v>0.25857498823722902</v>
      </c>
      <c r="L46" s="116">
        <v>0.98600987116113803</v>
      </c>
      <c r="M46" s="116">
        <v>0.67069393000445898</v>
      </c>
      <c r="N46" s="116">
        <v>1.3283169408470799E-79</v>
      </c>
      <c r="O46" s="181"/>
      <c r="P46" s="181"/>
      <c r="Q46" s="186"/>
      <c r="R46" s="181"/>
      <c r="S46" s="181"/>
      <c r="T46" s="181"/>
      <c r="U46" s="181"/>
      <c r="V46" s="192"/>
      <c r="W46" s="116"/>
      <c r="X46" s="116"/>
      <c r="Y46" s="116"/>
      <c r="Z46" s="190"/>
      <c r="AA46" s="190"/>
      <c r="AB46" s="190"/>
      <c r="AC46" s="190"/>
      <c r="AD46" s="16"/>
    </row>
    <row r="47" spans="1:53" x14ac:dyDescent="0.35">
      <c r="A47" s="124" t="s">
        <v>2236</v>
      </c>
      <c r="B47" s="204">
        <v>0.243336382992418</v>
      </c>
      <c r="C47" s="116">
        <v>0.67608118491830804</v>
      </c>
      <c r="D47" s="116">
        <v>0.44052169643617201</v>
      </c>
      <c r="E47" s="116">
        <v>0.67735839187903901</v>
      </c>
      <c r="F47" s="116">
        <v>0.373596074512624</v>
      </c>
      <c r="G47" s="116">
        <v>5.0503989797692002E-2</v>
      </c>
      <c r="H47" s="116"/>
      <c r="I47" s="116">
        <v>0.77872539624544101</v>
      </c>
      <c r="J47" s="184">
        <v>0.149082161708816</v>
      </c>
      <c r="K47" s="116">
        <v>0.58844933831594703</v>
      </c>
      <c r="L47" s="116">
        <v>0.104470091764821</v>
      </c>
      <c r="M47" s="116">
        <v>0.67608118491830804</v>
      </c>
      <c r="N47" s="116">
        <v>0.30462908923420601</v>
      </c>
      <c r="O47" s="116">
        <v>0</v>
      </c>
      <c r="P47" s="181"/>
      <c r="Q47" s="186"/>
      <c r="R47" s="181"/>
      <c r="S47" s="181"/>
      <c r="T47" s="181"/>
      <c r="U47" s="181"/>
      <c r="V47" s="192"/>
      <c r="W47" s="116"/>
      <c r="X47" s="116"/>
      <c r="Y47" s="116"/>
      <c r="Z47" s="190"/>
      <c r="AA47" s="190"/>
      <c r="AB47" s="190"/>
      <c r="AC47" s="190"/>
      <c r="AD47" s="16"/>
    </row>
    <row r="48" spans="1:53" x14ac:dyDescent="0.35">
      <c r="A48" s="124" t="s">
        <v>1204</v>
      </c>
      <c r="B48" s="204">
        <v>1.2543856763554901E-2</v>
      </c>
      <c r="C48" s="116">
        <v>0.34600714192869197</v>
      </c>
      <c r="D48" s="116">
        <v>0.22800293308755701</v>
      </c>
      <c r="E48" s="116">
        <v>0.27468736930968601</v>
      </c>
      <c r="F48" s="116">
        <v>0.52068551621291903</v>
      </c>
      <c r="G48" s="116">
        <v>0.56519704780407998</v>
      </c>
      <c r="H48" s="116"/>
      <c r="I48" s="116">
        <v>0.59191253388077003</v>
      </c>
      <c r="J48" s="184">
        <v>0.116458772380283</v>
      </c>
      <c r="K48" s="116">
        <v>3.0158393457521599E-2</v>
      </c>
      <c r="L48" s="116">
        <v>0.50825429494419005</v>
      </c>
      <c r="M48" s="116">
        <v>0.34600714192869197</v>
      </c>
      <c r="N48" s="116">
        <v>0.80374022495011099</v>
      </c>
      <c r="O48" s="116">
        <v>0.59191253388077003</v>
      </c>
      <c r="P48" s="116">
        <v>0</v>
      </c>
      <c r="Q48" s="194"/>
      <c r="R48" s="181"/>
      <c r="S48" s="181"/>
      <c r="T48" s="181"/>
      <c r="U48" s="181"/>
      <c r="V48" s="192"/>
      <c r="W48" s="116"/>
      <c r="X48" s="116"/>
      <c r="Y48" s="116"/>
      <c r="Z48" s="190"/>
      <c r="AA48" s="190"/>
      <c r="AB48" s="190"/>
      <c r="AC48" s="190"/>
      <c r="AD48" s="16"/>
    </row>
    <row r="49" spans="1:30" x14ac:dyDescent="0.35">
      <c r="A49" s="124" t="s">
        <v>1205</v>
      </c>
      <c r="B49" s="205">
        <v>0.77790105230836604</v>
      </c>
      <c r="C49" s="182">
        <v>0.67608118491830804</v>
      </c>
      <c r="D49" s="182">
        <v>0.44052169643617201</v>
      </c>
      <c r="E49" s="182">
        <v>0.67735839187903901</v>
      </c>
      <c r="F49" s="182">
        <v>0.373596074512624</v>
      </c>
      <c r="G49" s="182">
        <v>0.59191253388077003</v>
      </c>
      <c r="H49" s="182"/>
      <c r="I49" s="182">
        <v>0.77872539624544101</v>
      </c>
      <c r="J49" s="183">
        <v>0.44052169643617201</v>
      </c>
      <c r="K49" s="182">
        <v>0.58844933831594703</v>
      </c>
      <c r="L49" s="182">
        <v>0.14515294468856901</v>
      </c>
      <c r="M49" s="182">
        <v>0.67608118491830804</v>
      </c>
      <c r="N49" s="182">
        <v>0.30462908923420601</v>
      </c>
      <c r="O49" s="182">
        <v>0.77872539624544101</v>
      </c>
      <c r="P49" s="182">
        <v>0.59191253388077003</v>
      </c>
      <c r="Q49" s="195">
        <v>0</v>
      </c>
      <c r="R49" s="182"/>
      <c r="S49" s="182"/>
      <c r="T49" s="182"/>
      <c r="U49" s="182"/>
      <c r="V49" s="182"/>
      <c r="W49" s="182"/>
      <c r="X49" s="182"/>
      <c r="Y49" s="182"/>
      <c r="Z49" s="182"/>
      <c r="AA49" s="182"/>
      <c r="AB49" s="182"/>
      <c r="AC49" s="182"/>
      <c r="AD49" s="115"/>
    </row>
    <row r="50" spans="1:30" x14ac:dyDescent="0.35">
      <c r="A50" s="125" t="s">
        <v>2096</v>
      </c>
      <c r="B50" s="204">
        <v>0.46615522082505101</v>
      </c>
      <c r="C50" s="116">
        <v>0.41778700474506503</v>
      </c>
      <c r="D50" s="116">
        <v>1</v>
      </c>
      <c r="E50" s="116">
        <v>0.50365952600956199</v>
      </c>
      <c r="F50" s="116">
        <v>0.45158346955490097</v>
      </c>
      <c r="G50" s="116">
        <v>0.29438991802665498</v>
      </c>
      <c r="H50" s="116"/>
      <c r="I50" s="116">
        <v>8.1553398701605606E-2</v>
      </c>
      <c r="J50" s="184">
        <v>0.77070854120614096</v>
      </c>
      <c r="K50" s="116">
        <v>0.73101381068155102</v>
      </c>
      <c r="L50" s="116">
        <v>1</v>
      </c>
      <c r="M50" s="116">
        <v>0.41778700474506503</v>
      </c>
      <c r="N50" s="116">
        <v>0.25857498823723002</v>
      </c>
      <c r="O50" s="116">
        <v>0.58844933831594703</v>
      </c>
      <c r="P50" s="116">
        <v>0.29438991802665498</v>
      </c>
      <c r="Q50" s="194">
        <v>0.58844933831594703</v>
      </c>
      <c r="R50" s="116">
        <v>0</v>
      </c>
      <c r="S50" s="181"/>
      <c r="T50" s="181"/>
      <c r="U50" s="181"/>
      <c r="V50" s="192"/>
      <c r="W50" s="116"/>
      <c r="X50" s="116"/>
      <c r="Y50" s="116"/>
      <c r="Z50" s="190"/>
      <c r="AA50" s="190"/>
      <c r="AB50" s="190"/>
      <c r="AC50" s="190"/>
      <c r="AD50" s="16"/>
    </row>
    <row r="51" spans="1:30" x14ac:dyDescent="0.35">
      <c r="A51" s="125" t="s">
        <v>2097</v>
      </c>
      <c r="B51" s="204">
        <v>0.91685278673319903</v>
      </c>
      <c r="C51" s="116">
        <v>0.53313535999999995</v>
      </c>
      <c r="D51" s="116">
        <v>0.24316040739285999</v>
      </c>
      <c r="E51" s="116">
        <v>0.26684787763860801</v>
      </c>
      <c r="F51" s="116">
        <v>0.58729671347801904</v>
      </c>
      <c r="G51" s="116">
        <v>0.42220196501725898</v>
      </c>
      <c r="H51" s="116"/>
      <c r="I51" s="116">
        <v>1.61970707866178E-2</v>
      </c>
      <c r="J51" s="184">
        <v>0.35687667989477101</v>
      </c>
      <c r="K51" s="116">
        <v>0.41778700474506503</v>
      </c>
      <c r="L51" s="116">
        <v>0.68121274680779598</v>
      </c>
      <c r="M51" s="116">
        <v>0.19761732000000001</v>
      </c>
      <c r="N51" s="116">
        <v>0.67069393000445898</v>
      </c>
      <c r="O51" s="116">
        <v>0.67608118491830804</v>
      </c>
      <c r="P51" s="116">
        <v>0.42220196501725898</v>
      </c>
      <c r="Q51" s="194">
        <v>0.67608118491830804</v>
      </c>
      <c r="R51" s="116">
        <v>3.09408668621089E-3</v>
      </c>
      <c r="S51" s="116">
        <v>0</v>
      </c>
      <c r="T51" s="181"/>
      <c r="U51" s="181"/>
      <c r="V51" s="192"/>
      <c r="W51" s="116"/>
      <c r="X51" s="116"/>
      <c r="Y51" s="116"/>
      <c r="Z51" s="190"/>
      <c r="AA51" s="190"/>
      <c r="AB51" s="190"/>
      <c r="AC51" s="190"/>
      <c r="AD51" s="16"/>
    </row>
    <row r="52" spans="1:30" x14ac:dyDescent="0.35">
      <c r="A52" s="125" t="s">
        <v>2098</v>
      </c>
      <c r="B52" s="206"/>
      <c r="C52" s="122"/>
      <c r="D52" s="122"/>
      <c r="E52" s="122"/>
      <c r="F52" s="122"/>
      <c r="G52" s="122"/>
      <c r="H52" s="122"/>
      <c r="I52" s="122"/>
      <c r="J52" s="184"/>
      <c r="K52" s="122"/>
      <c r="L52" s="122"/>
      <c r="M52" s="122"/>
      <c r="N52" s="122"/>
      <c r="O52" s="122"/>
      <c r="P52" s="122"/>
      <c r="Q52" s="194"/>
      <c r="R52" s="122"/>
      <c r="S52" s="122"/>
      <c r="T52" s="122"/>
      <c r="U52" s="193"/>
      <c r="V52" s="193"/>
      <c r="W52" s="122"/>
      <c r="X52" s="122"/>
      <c r="Y52" s="122"/>
      <c r="Z52" s="190"/>
      <c r="AA52" s="190"/>
      <c r="AB52" s="190"/>
      <c r="AC52" s="190"/>
      <c r="AD52" s="16"/>
    </row>
    <row r="53" spans="1:30" x14ac:dyDescent="0.35">
      <c r="A53" s="125" t="s">
        <v>2099</v>
      </c>
      <c r="B53" s="206">
        <v>0.18483370084635201</v>
      </c>
      <c r="C53" s="122">
        <v>0.67608118491830804</v>
      </c>
      <c r="D53" s="122">
        <v>0.10392052069843701</v>
      </c>
      <c r="E53" s="122">
        <v>0.67735839187903901</v>
      </c>
      <c r="F53" s="122">
        <v>0.66144230619603595</v>
      </c>
      <c r="G53" s="122">
        <v>0.59191253388077003</v>
      </c>
      <c r="H53" s="122"/>
      <c r="I53" s="122">
        <v>0.77872539624544101</v>
      </c>
      <c r="J53" s="184">
        <v>0.44052169643617201</v>
      </c>
      <c r="K53" s="122">
        <v>0.58844933831594703</v>
      </c>
      <c r="L53" s="122">
        <v>0.57821746029648802</v>
      </c>
      <c r="M53" s="122">
        <v>0.67608118491830804</v>
      </c>
      <c r="N53" s="122">
        <v>0.23648254776736299</v>
      </c>
      <c r="O53" s="122">
        <v>0.77872539624544101</v>
      </c>
      <c r="P53" s="122">
        <v>0.59191253388077003</v>
      </c>
      <c r="Q53" s="194">
        <v>0.77872539624544101</v>
      </c>
      <c r="R53" s="122">
        <v>8.1553398701605606E-2</v>
      </c>
      <c r="S53" s="122">
        <v>0.67608118491830804</v>
      </c>
      <c r="T53" s="122"/>
      <c r="U53" s="122">
        <v>0</v>
      </c>
      <c r="V53" s="193"/>
      <c r="W53" s="122"/>
      <c r="X53" s="122"/>
      <c r="Y53" s="122"/>
      <c r="Z53" s="190"/>
      <c r="AA53" s="190"/>
      <c r="AB53" s="190"/>
      <c r="AC53" s="190"/>
      <c r="AD53" s="16"/>
    </row>
    <row r="54" spans="1:30" x14ac:dyDescent="0.35">
      <c r="A54" s="125" t="s">
        <v>2247</v>
      </c>
      <c r="B54" s="207">
        <v>0.93505038923853001</v>
      </c>
      <c r="C54" s="208">
        <v>0.12457056402075101</v>
      </c>
      <c r="D54" s="208">
        <v>0.144181880702097</v>
      </c>
      <c r="E54" s="208">
        <v>8.5605860194998495E-2</v>
      </c>
      <c r="F54" s="208">
        <v>5.57956503093941E-5</v>
      </c>
      <c r="G54" s="208">
        <v>0.98244693299100105</v>
      </c>
      <c r="H54" s="208"/>
      <c r="I54" s="208">
        <v>0.100800169781241</v>
      </c>
      <c r="J54" s="209">
        <v>0.47997811476305902</v>
      </c>
      <c r="K54" s="208">
        <v>8.2912634170285403E-3</v>
      </c>
      <c r="L54" s="208">
        <v>0.142946793552306</v>
      </c>
      <c r="M54" s="208">
        <v>1.7324955931368E-2</v>
      </c>
      <c r="N54" s="208">
        <v>4.8281081319248298E-2</v>
      </c>
      <c r="O54" s="208">
        <v>0.24908344445657701</v>
      </c>
      <c r="P54" s="208">
        <v>0.447554109467456</v>
      </c>
      <c r="Q54" s="209">
        <v>0.24908344445657701</v>
      </c>
      <c r="R54" s="208">
        <v>0.47133169539461001</v>
      </c>
      <c r="S54" s="208">
        <v>0.75627780415649304</v>
      </c>
      <c r="T54" s="208"/>
      <c r="U54" s="208">
        <v>0.480862791550425</v>
      </c>
      <c r="V54" s="215">
        <v>0</v>
      </c>
      <c r="W54" s="216"/>
      <c r="X54" s="216"/>
      <c r="Y54" s="216"/>
      <c r="Z54" s="217"/>
      <c r="AA54" s="217"/>
      <c r="AB54" s="217"/>
      <c r="AC54" s="217"/>
      <c r="AD54" s="99"/>
    </row>
    <row r="55" spans="1:30" x14ac:dyDescent="0.35">
      <c r="A55" s="125" t="s">
        <v>2248</v>
      </c>
      <c r="B55" s="207">
        <v>6.2176701189366105E-7</v>
      </c>
      <c r="C55" s="208">
        <v>0.24846440585135601</v>
      </c>
      <c r="D55" s="208">
        <v>0.59749658190977994</v>
      </c>
      <c r="E55" s="208">
        <v>0.19338780721943799</v>
      </c>
      <c r="F55" s="208">
        <v>0.28193959245978301</v>
      </c>
      <c r="G55" s="208">
        <v>0.24125159179588701</v>
      </c>
      <c r="H55" s="208"/>
      <c r="I55" s="208">
        <v>0.58171204275490696</v>
      </c>
      <c r="J55" s="209">
        <v>8.89355224068064E-4</v>
      </c>
      <c r="K55" s="208">
        <v>2.2053698793780701E-2</v>
      </c>
      <c r="L55" s="208">
        <v>7.0755352415571501E-3</v>
      </c>
      <c r="M55" s="208">
        <v>0.103606912057001</v>
      </c>
      <c r="N55" s="208">
        <v>0.68815175262143702</v>
      </c>
      <c r="O55" s="208">
        <v>0.25840831179294899</v>
      </c>
      <c r="P55" s="208">
        <v>1.7126661233597799E-2</v>
      </c>
      <c r="Q55" s="209">
        <v>0.58171204275490696</v>
      </c>
      <c r="R55" s="208">
        <v>0.66121452005100601</v>
      </c>
      <c r="S55" s="208">
        <v>0.68396042380348199</v>
      </c>
      <c r="T55" s="208"/>
      <c r="U55" s="208">
        <v>0.19926701444244899</v>
      </c>
      <c r="V55" s="207">
        <v>0.58458979432096903</v>
      </c>
      <c r="W55" s="208">
        <v>0</v>
      </c>
      <c r="X55" s="208"/>
      <c r="Y55" s="208"/>
      <c r="Z55" s="210"/>
      <c r="AA55" s="210"/>
      <c r="AB55" s="210"/>
      <c r="AC55" s="210"/>
      <c r="AD55" s="16"/>
    </row>
    <row r="56" spans="1:30" x14ac:dyDescent="0.35">
      <c r="A56" s="125" t="s">
        <v>2249</v>
      </c>
      <c r="B56" s="207">
        <v>2.2999839443137701E-2</v>
      </c>
      <c r="C56" s="208">
        <v>0.12854877002602899</v>
      </c>
      <c r="D56" s="208">
        <v>0.80312393634770696</v>
      </c>
      <c r="E56" s="208">
        <v>0.14649141315552999</v>
      </c>
      <c r="F56" s="208">
        <v>7.8200649823789194E-3</v>
      </c>
      <c r="G56" s="208">
        <v>0.166882418940413</v>
      </c>
      <c r="H56" s="208"/>
      <c r="I56" s="208">
        <v>0.14515294468856901</v>
      </c>
      <c r="J56" s="209">
        <v>1.0917582101461799E-2</v>
      </c>
      <c r="K56" s="208">
        <v>1.4018812709674E-2</v>
      </c>
      <c r="L56" s="208">
        <v>1.17693824416436E-7</v>
      </c>
      <c r="M56" s="208">
        <v>1.8776495881430402E-2</v>
      </c>
      <c r="N56" s="208">
        <v>0.75165007696363095</v>
      </c>
      <c r="O56" s="208">
        <v>0.32205232623646901</v>
      </c>
      <c r="P56" s="208">
        <v>0.28785643347966</v>
      </c>
      <c r="Q56" s="209">
        <v>0.14515294468856901</v>
      </c>
      <c r="R56" s="208">
        <v>0.86018331003167603</v>
      </c>
      <c r="S56" s="208">
        <v>0.53544072799320797</v>
      </c>
      <c r="T56" s="208"/>
      <c r="U56" s="208">
        <v>0.57821746029648802</v>
      </c>
      <c r="V56" s="207">
        <v>4.1968471548375401E-2</v>
      </c>
      <c r="W56" s="208">
        <v>3.9471069890864904E-3</v>
      </c>
      <c r="X56" s="208">
        <v>0</v>
      </c>
      <c r="Y56" s="208"/>
      <c r="Z56" s="210"/>
      <c r="AA56" s="210"/>
      <c r="AB56" s="210"/>
      <c r="AC56" s="210"/>
      <c r="AD56" s="16"/>
    </row>
    <row r="57" spans="1:30" x14ac:dyDescent="0.35">
      <c r="A57" s="125" t="s">
        <v>2228</v>
      </c>
      <c r="B57" s="211">
        <v>3.1391748891513499E-2</v>
      </c>
      <c r="C57" s="210">
        <v>0.46735428505158899</v>
      </c>
      <c r="D57" s="210">
        <v>0.415784506269746</v>
      </c>
      <c r="E57" s="210">
        <v>0.38446496711307898</v>
      </c>
      <c r="F57" s="210">
        <v>0.81285843712930705</v>
      </c>
      <c r="G57" s="210">
        <v>0.74632424491035598</v>
      </c>
      <c r="H57" s="210"/>
      <c r="I57" s="210">
        <v>0.51468619377441605</v>
      </c>
      <c r="J57" s="209">
        <v>0.25282449883462799</v>
      </c>
      <c r="K57" s="210">
        <v>7.4152521570898799E-2</v>
      </c>
      <c r="L57" s="210">
        <v>1</v>
      </c>
      <c r="M57" s="210">
        <v>0.46735428505158899</v>
      </c>
      <c r="N57" s="210">
        <v>0.80550217408323799</v>
      </c>
      <c r="O57" s="210">
        <v>0.51468619377441605</v>
      </c>
      <c r="P57" s="210">
        <v>1.5482691361641001E-4</v>
      </c>
      <c r="Q57" s="209">
        <v>0.321324824406307</v>
      </c>
      <c r="R57" s="210">
        <v>0.19761732000000001</v>
      </c>
      <c r="S57" s="210">
        <v>0.32705130794424497</v>
      </c>
      <c r="T57" s="210"/>
      <c r="U57" s="210">
        <v>0.51468619377441605</v>
      </c>
      <c r="V57" s="211">
        <v>0.81020036612322499</v>
      </c>
      <c r="W57" s="210">
        <v>5.6102342397195401E-2</v>
      </c>
      <c r="X57" s="210">
        <v>0.71068179617865401</v>
      </c>
      <c r="Y57" s="210">
        <v>1.3283169408470799E-79</v>
      </c>
      <c r="Z57" s="210"/>
      <c r="AA57" s="210"/>
      <c r="AB57" s="210"/>
      <c r="AC57" s="210"/>
      <c r="AD57" s="16"/>
    </row>
    <row r="58" spans="1:30" x14ac:dyDescent="0.35">
      <c r="A58" s="125" t="s">
        <v>2169</v>
      </c>
      <c r="B58" s="211">
        <v>1.99248453714688E-2</v>
      </c>
      <c r="C58" s="210">
        <v>0.20568563796227199</v>
      </c>
      <c r="D58" s="210">
        <v>0.75767651770764399</v>
      </c>
      <c r="E58" s="210">
        <v>6.8988165049740993E-2</v>
      </c>
      <c r="F58" s="210">
        <v>9.4044281395540292E-3</v>
      </c>
      <c r="G58" s="210">
        <v>0.248667153113388</v>
      </c>
      <c r="H58" s="210"/>
      <c r="I58" s="210">
        <v>0.108853980101894</v>
      </c>
      <c r="J58" s="209">
        <v>3.05878954794408E-2</v>
      </c>
      <c r="K58" s="210">
        <v>6.5977438205847699E-3</v>
      </c>
      <c r="L58" s="210">
        <v>2.8847977384820499E-4</v>
      </c>
      <c r="M58" s="210">
        <v>2.05764943311233E-2</v>
      </c>
      <c r="N58" s="210">
        <v>0.23489642858537799</v>
      </c>
      <c r="O58" s="210">
        <v>0.40464071719954298</v>
      </c>
      <c r="P58" s="210">
        <v>0.13777711145112601</v>
      </c>
      <c r="Q58" s="209">
        <v>0.20014883015506901</v>
      </c>
      <c r="R58" s="210">
        <v>0.86168199264634204</v>
      </c>
      <c r="S58" s="210">
        <v>0.83952734589688105</v>
      </c>
      <c r="T58" s="210"/>
      <c r="U58" s="210">
        <v>1</v>
      </c>
      <c r="V58" s="211">
        <v>1.9949549988839101E-2</v>
      </c>
      <c r="W58" s="210">
        <v>6.7420922984670799E-3</v>
      </c>
      <c r="X58" s="210">
        <v>2.7395498034635099E-5</v>
      </c>
      <c r="Y58" s="210">
        <v>0.42566403851161799</v>
      </c>
      <c r="Z58" s="210">
        <v>0</v>
      </c>
      <c r="AA58" s="210"/>
      <c r="AB58" s="210"/>
      <c r="AC58" s="210"/>
      <c r="AD58" s="16"/>
    </row>
    <row r="59" spans="1:30" x14ac:dyDescent="0.35">
      <c r="A59" s="125" t="s">
        <v>2081</v>
      </c>
      <c r="B59" s="211">
        <v>2.3927106052315999E-2</v>
      </c>
      <c r="C59" s="210">
        <v>0.241994207542477</v>
      </c>
      <c r="D59" s="210">
        <v>0.63752806119594296</v>
      </c>
      <c r="E59" s="210">
        <v>2.0232871115961899E-2</v>
      </c>
      <c r="F59" s="210">
        <v>1.9427123740928198E-2</v>
      </c>
      <c r="G59" s="210">
        <v>0.64403889786867596</v>
      </c>
      <c r="H59" s="210"/>
      <c r="I59" s="210">
        <v>0.10300383149808499</v>
      </c>
      <c r="J59" s="209">
        <v>5.0373905261590904E-3</v>
      </c>
      <c r="K59" s="210">
        <v>3.1852095215993801E-3</v>
      </c>
      <c r="L59" s="210">
        <v>4.04250898237882E-3</v>
      </c>
      <c r="M59" s="210">
        <v>3.96222652816949E-2</v>
      </c>
      <c r="N59" s="210">
        <v>0.84634361871564601</v>
      </c>
      <c r="O59" s="210">
        <v>0.57679500899012004</v>
      </c>
      <c r="P59" s="210">
        <v>0.33896730631237898</v>
      </c>
      <c r="Q59" s="209">
        <v>0.88988911089783895</v>
      </c>
      <c r="R59" s="210">
        <v>0.85967281887498703</v>
      </c>
      <c r="S59" s="210">
        <v>0.29063822384985799</v>
      </c>
      <c r="T59" s="210"/>
      <c r="U59" s="210">
        <v>0.25191376044305502</v>
      </c>
      <c r="V59" s="211">
        <v>9.1491829564883095E-2</v>
      </c>
      <c r="W59" s="210">
        <v>4.1524467882758801E-3</v>
      </c>
      <c r="X59" s="210">
        <v>9.4631177205924404E-4</v>
      </c>
      <c r="Y59" s="210">
        <v>0.36437449983039999</v>
      </c>
      <c r="Z59" s="210">
        <v>7.3457082771123004E-3</v>
      </c>
      <c r="AA59" s="210">
        <v>0</v>
      </c>
      <c r="AB59" s="210"/>
      <c r="AC59" s="210"/>
      <c r="AD59" s="16"/>
    </row>
    <row r="60" spans="1:30" x14ac:dyDescent="0.35">
      <c r="A60" s="125" t="s">
        <v>2061</v>
      </c>
      <c r="B60" s="211">
        <v>0.52681715063381396</v>
      </c>
      <c r="C60" s="210">
        <v>0</v>
      </c>
      <c r="D60" s="210">
        <v>1</v>
      </c>
      <c r="E60" s="210">
        <v>0.53486756604580199</v>
      </c>
      <c r="F60" s="210">
        <v>5.8972114320058798E-2</v>
      </c>
      <c r="G60" s="210">
        <v>0.34600714192869197</v>
      </c>
      <c r="H60" s="210"/>
      <c r="I60" s="210">
        <v>0.67608118491830804</v>
      </c>
      <c r="J60" s="209">
        <v>0.650586908204137</v>
      </c>
      <c r="K60" s="210">
        <v>0.41778700474506503</v>
      </c>
      <c r="L60" s="210">
        <v>0.161925446209709</v>
      </c>
      <c r="M60" s="210">
        <v>0.19761732000000001</v>
      </c>
      <c r="N60" s="210">
        <v>0.59407156464987498</v>
      </c>
      <c r="O60" s="210">
        <v>0.67608118491830804</v>
      </c>
      <c r="P60" s="210">
        <v>0.34600714192869197</v>
      </c>
      <c r="Q60" s="209">
        <v>0.67608118491830804</v>
      </c>
      <c r="R60" s="210">
        <v>0.41778700474506503</v>
      </c>
      <c r="S60" s="210">
        <v>0.53313535999999995</v>
      </c>
      <c r="T60" s="210"/>
      <c r="U60" s="210">
        <v>0.67608118491830804</v>
      </c>
      <c r="V60" s="211">
        <v>0.12457056402075101</v>
      </c>
      <c r="W60" s="210">
        <v>0.24846440585135601</v>
      </c>
      <c r="X60" s="210">
        <v>0.12854877002602899</v>
      </c>
      <c r="Y60" s="210">
        <v>0.46735428505158899</v>
      </c>
      <c r="Z60" s="210">
        <v>0.20568563796227199</v>
      </c>
      <c r="AA60" s="210">
        <v>0.241994207542477</v>
      </c>
      <c r="AB60" s="210">
        <v>0</v>
      </c>
      <c r="AC60" s="210"/>
      <c r="AD60" s="16"/>
    </row>
    <row r="61" spans="1:30" x14ac:dyDescent="0.35">
      <c r="A61" s="125" t="s">
        <v>2024</v>
      </c>
      <c r="B61" s="211">
        <v>0.14250424977457901</v>
      </c>
      <c r="C61" s="210">
        <v>0.54142636785570397</v>
      </c>
      <c r="D61" s="210">
        <v>0.95109004954334397</v>
      </c>
      <c r="E61" s="210">
        <v>0.26900343044933001</v>
      </c>
      <c r="F61" s="210">
        <v>0.85558887111772797</v>
      </c>
      <c r="G61" s="210">
        <v>0.270619609945629</v>
      </c>
      <c r="H61" s="210"/>
      <c r="I61" s="210">
        <v>0.89185580967727796</v>
      </c>
      <c r="J61" s="209">
        <v>0.55230715499052296</v>
      </c>
      <c r="K61" s="210">
        <v>0.42737238152343798</v>
      </c>
      <c r="L61" s="210">
        <v>0.347051715089021</v>
      </c>
      <c r="M61" s="210">
        <v>1</v>
      </c>
      <c r="N61" s="210">
        <v>0.75511398286864995</v>
      </c>
      <c r="O61" s="210">
        <v>0.58376773135264004</v>
      </c>
      <c r="P61" s="210">
        <v>0.19270573280331699</v>
      </c>
      <c r="Q61" s="209">
        <v>0.68218562230450996</v>
      </c>
      <c r="R61" s="210">
        <v>0.115945101760383</v>
      </c>
      <c r="S61" s="210">
        <v>0.411839405914041</v>
      </c>
      <c r="T61" s="210"/>
      <c r="U61" s="210">
        <v>0.20190538915544301</v>
      </c>
      <c r="V61" s="211">
        <v>0.90602293437237202</v>
      </c>
      <c r="W61" s="210">
        <v>0.29613726267271201</v>
      </c>
      <c r="X61" s="210">
        <v>0.33792605797013198</v>
      </c>
      <c r="Y61" s="210">
        <v>0.30964814851567102</v>
      </c>
      <c r="Z61" s="210">
        <v>0.26996585812211599</v>
      </c>
      <c r="AA61" s="210">
        <v>0.61659482909260399</v>
      </c>
      <c r="AB61" s="210">
        <v>0.54142636785570397</v>
      </c>
      <c r="AC61" s="210">
        <v>0</v>
      </c>
      <c r="AD61" s="16"/>
    </row>
    <row r="62" spans="1:30" ht="15" thickBot="1" x14ac:dyDescent="0.4">
      <c r="A62" s="224" t="s">
        <v>2250</v>
      </c>
      <c r="B62" s="212">
        <v>0.66644743257378103</v>
      </c>
      <c r="C62" s="213">
        <v>1</v>
      </c>
      <c r="D62" s="213">
        <v>0.22950276550106299</v>
      </c>
      <c r="E62" s="213">
        <v>0.60407076784664704</v>
      </c>
      <c r="F62" s="213">
        <v>0.40634646198171098</v>
      </c>
      <c r="G62" s="213">
        <v>0.48932719944398401</v>
      </c>
      <c r="H62" s="213"/>
      <c r="I62" s="213">
        <v>0.49459231312735802</v>
      </c>
      <c r="J62" s="214">
        <v>0.82148615093662303</v>
      </c>
      <c r="K62" s="213">
        <v>0.93135317249823002</v>
      </c>
      <c r="L62" s="213">
        <v>0.97353626706227403</v>
      </c>
      <c r="M62" s="213">
        <v>0.41525970030211401</v>
      </c>
      <c r="N62" s="213">
        <v>0.66635397050240797</v>
      </c>
      <c r="O62" s="213">
        <v>0.89261350072656298</v>
      </c>
      <c r="P62" s="213">
        <v>0.87559444119185004</v>
      </c>
      <c r="Q62" s="214">
        <v>0.33300313911565099</v>
      </c>
      <c r="R62" s="213">
        <v>0.72964837338011201</v>
      </c>
      <c r="S62" s="213">
        <v>0.10861104847573801</v>
      </c>
      <c r="T62" s="213"/>
      <c r="U62" s="213">
        <v>0.113213398469339</v>
      </c>
      <c r="V62" s="218">
        <v>0.454758273764652</v>
      </c>
      <c r="W62" s="219">
        <v>0.62757297404450896</v>
      </c>
      <c r="X62" s="219">
        <v>0.929496513712193</v>
      </c>
      <c r="Y62" s="219">
        <v>0.72638281304202301</v>
      </c>
      <c r="Z62" s="219">
        <v>0.86527152543798103</v>
      </c>
      <c r="AA62" s="219">
        <v>0.67586418818361405</v>
      </c>
      <c r="AB62" s="219">
        <v>1</v>
      </c>
      <c r="AC62" s="219">
        <v>0.66125659715219498</v>
      </c>
      <c r="AD62" s="220">
        <v>0</v>
      </c>
    </row>
    <row r="63" spans="1:30" x14ac:dyDescent="0.35">
      <c r="A63" s="80"/>
    </row>
    <row r="64" spans="1:30" ht="15" thickBot="1" x14ac:dyDescent="0.4">
      <c r="A64" s="81"/>
    </row>
  </sheetData>
  <conditionalFormatting sqref="B31:AC31">
    <cfRule type="expression" dxfId="43" priority="355">
      <formula>B62&gt;$AG$33</formula>
    </cfRule>
  </conditionalFormatting>
  <conditionalFormatting sqref="B31:AC31">
    <cfRule type="expression" dxfId="42" priority="359">
      <formula>AND(B62&lt;$AG$35,NOT(ISBLANK(B31)))</formula>
    </cfRule>
    <cfRule type="expression" dxfId="41" priority="360">
      <formula>AND(B62&lt;$AG$34,NOT(ISBLANK(B31)))</formula>
    </cfRule>
    <cfRule type="expression" dxfId="40" priority="361">
      <formula>AND(B62&lt;$AG$33,NOT(ISBLANK(B31)))</formula>
    </cfRule>
  </conditionalFormatting>
  <conditionalFormatting sqref="B54:AC57 B60:AC62">
    <cfRule type="expression" dxfId="39" priority="17">
      <formula>AND(B86&lt;$AG$35,NOT(ISBLANK(B54)))</formula>
    </cfRule>
    <cfRule type="expression" dxfId="38" priority="18">
      <formula>AND(B86&lt;$AG$34,NOT(ISBLANK(B54)))</formula>
    </cfRule>
    <cfRule type="expression" dxfId="37" priority="19">
      <formula>AND(B86&lt;$AG$33,NOT(ISBLANK(B54)))</formula>
    </cfRule>
  </conditionalFormatting>
  <conditionalFormatting sqref="B34:AC62">
    <cfRule type="expression" dxfId="36" priority="20">
      <formula>B66&gt;$AG$33</formula>
    </cfRule>
  </conditionalFormatting>
  <conditionalFormatting sqref="AD62">
    <cfRule type="expression" dxfId="35" priority="13">
      <formula>AND(AD94&lt;$AG$35,NOT(ISBLANK(AD62)))</formula>
    </cfRule>
    <cfRule type="expression" dxfId="34" priority="14">
      <formula>AND(AD94&lt;$AG$34,NOT(ISBLANK(AD62)))</formula>
    </cfRule>
    <cfRule type="expression" dxfId="33" priority="15">
      <formula>AND(AD94&lt;$AG$33,NOT(ISBLANK(AD62)))</formula>
    </cfRule>
  </conditionalFormatting>
  <conditionalFormatting sqref="AD62">
    <cfRule type="expression" dxfId="32" priority="16">
      <formula>AD94&gt;$AG$33</formula>
    </cfRule>
  </conditionalFormatting>
  <conditionalFormatting sqref="B2:AC29 B30:U30">
    <cfRule type="expression" dxfId="31" priority="4">
      <formula>B34&gt;$AG$33</formula>
    </cfRule>
  </conditionalFormatting>
  <conditionalFormatting sqref="B28:AD30 AB2:AD27">
    <cfRule type="expression" dxfId="30" priority="1">
      <formula>AND(B34&lt;$AG$35,NOT(ISBLANK(B2)))</formula>
    </cfRule>
    <cfRule type="expression" dxfId="29" priority="2">
      <formula>AND(B34&lt;$AG$34,NOT(ISBLANK(B2)))</formula>
    </cfRule>
    <cfRule type="expression" dxfId="28" priority="3">
      <formula>AND(B34&lt;$AG$33,NOT(ISBLANK(B2)))</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D009C-2F4F-493E-BF95-F02E1BC66E79}">
  <sheetPr>
    <tabColor rgb="FFC00000"/>
  </sheetPr>
  <dimension ref="A1:BH115"/>
  <sheetViews>
    <sheetView zoomScale="25" zoomScaleNormal="25" workbookViewId="0"/>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1" spans="1:60" s="45" customFormat="1" ht="69" customHeight="1"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s="83" t="s">
        <v>2061</v>
      </c>
      <c r="AP1" s="83" t="s">
        <v>2024</v>
      </c>
      <c r="AQ1" s="83" t="s">
        <v>2054</v>
      </c>
      <c r="AR1" s="83"/>
      <c r="AS1" s="83"/>
      <c r="AT1" s="83"/>
      <c r="AU1" s="83"/>
      <c r="AV1" s="90"/>
      <c r="AW1" s="90"/>
      <c r="AX1" s="90"/>
      <c r="AY1" s="90"/>
      <c r="AZ1"/>
      <c r="BA1"/>
      <c r="BB1"/>
      <c r="BC1"/>
      <c r="BD1"/>
      <c r="BE1"/>
      <c r="BF1"/>
      <c r="BG1"/>
      <c r="BH1"/>
    </row>
    <row r="2" spans="1:60" x14ac:dyDescent="0.35">
      <c r="A2" t="str" cm="1">
        <f t="array" ref="A2:AQ15">_xlfn._xlws.FILTER('Summary per Company and Use Cas'!A159:AQ215,'Summary per Company and Use Cas'!C159:C215=A17)</f>
        <v>Bolt-Last-Mile</v>
      </c>
      <c r="B2" t="str">
        <v>Bolt</v>
      </c>
      <c r="C2" t="str">
        <v>Last-Mile</v>
      </c>
      <c r="D2">
        <v>1</v>
      </c>
      <c r="E2" t="str">
        <v>Starship Technologies</v>
      </c>
      <c r="F2">
        <v>0</v>
      </c>
      <c r="G2" t="str">
        <v>Autonomous Vehicles</v>
      </c>
      <c r="H2">
        <v>1</v>
      </c>
      <c r="I2" t="str">
        <v/>
      </c>
      <c r="J2" t="str">
        <v/>
      </c>
      <c r="K2" t="str">
        <v/>
      </c>
      <c r="L2" t="str">
        <v/>
      </c>
      <c r="M2" t="str">
        <v>L4</v>
      </c>
      <c r="N2">
        <v>3</v>
      </c>
      <c r="O2">
        <v>0</v>
      </c>
      <c r="P2">
        <v>0</v>
      </c>
      <c r="Q2">
        <v>1</v>
      </c>
      <c r="R2">
        <v>0</v>
      </c>
      <c r="S2">
        <v>0</v>
      </c>
      <c r="T2">
        <v>0</v>
      </c>
      <c r="U2">
        <v>0</v>
      </c>
      <c r="V2">
        <v>0</v>
      </c>
      <c r="W2" s="89">
        <v>0</v>
      </c>
      <c r="X2">
        <v>0</v>
      </c>
      <c r="Y2">
        <v>1</v>
      </c>
      <c r="Z2">
        <v>0</v>
      </c>
      <c r="AA2">
        <v>0</v>
      </c>
      <c r="AB2">
        <v>0</v>
      </c>
      <c r="AC2">
        <v>0</v>
      </c>
      <c r="AD2">
        <v>0</v>
      </c>
      <c r="AE2">
        <v>0</v>
      </c>
      <c r="AF2">
        <v>0</v>
      </c>
      <c r="AG2">
        <v>0</v>
      </c>
      <c r="AH2">
        <v>1</v>
      </c>
      <c r="AI2">
        <v>1</v>
      </c>
      <c r="AJ2">
        <v>0</v>
      </c>
      <c r="AK2">
        <v>1</v>
      </c>
      <c r="AL2">
        <v>0</v>
      </c>
      <c r="AM2">
        <v>1</v>
      </c>
      <c r="AN2">
        <v>0</v>
      </c>
      <c r="AO2">
        <v>0</v>
      </c>
      <c r="AP2">
        <v>4126</v>
      </c>
      <c r="AQ2">
        <v>2043.839702</v>
      </c>
      <c r="AV2" s="154"/>
      <c r="AW2" s="154"/>
      <c r="AX2" s="154"/>
      <c r="AY2" s="154"/>
      <c r="AZ2" s="154"/>
      <c r="BA2" s="154"/>
      <c r="BB2" s="154"/>
      <c r="BC2" s="118"/>
      <c r="BD2" s="118"/>
      <c r="BE2" s="118"/>
      <c r="BF2" s="118"/>
      <c r="BG2" s="118"/>
      <c r="BH2" s="118"/>
    </row>
    <row r="3" spans="1:60" x14ac:dyDescent="0.35">
      <c r="A3" t="str">
        <v>Cartken-Last-Mile</v>
      </c>
      <c r="B3" t="str">
        <v>Cartken</v>
      </c>
      <c r="C3" t="str">
        <v>Last-Mile</v>
      </c>
      <c r="D3">
        <v>2</v>
      </c>
      <c r="E3" t="str">
        <v>Mitsubishi; Grubhub</v>
      </c>
      <c r="F3">
        <v>1</v>
      </c>
      <c r="G3" t="str">
        <v>Delivery Service</v>
      </c>
      <c r="H3">
        <v>0.5</v>
      </c>
      <c r="I3" t="str">
        <v>Delivery Service</v>
      </c>
      <c r="J3">
        <v>0.5</v>
      </c>
      <c r="K3" t="str">
        <v/>
      </c>
      <c r="L3" t="str">
        <v/>
      </c>
      <c r="M3" t="str">
        <v>L2</v>
      </c>
      <c r="N3">
        <v>1</v>
      </c>
      <c r="O3">
        <v>0</v>
      </c>
      <c r="P3">
        <v>0</v>
      </c>
      <c r="Q3">
        <v>1</v>
      </c>
      <c r="R3">
        <v>0</v>
      </c>
      <c r="S3">
        <v>0</v>
      </c>
      <c r="T3">
        <v>1</v>
      </c>
      <c r="U3">
        <v>0</v>
      </c>
      <c r="V3">
        <v>0</v>
      </c>
      <c r="W3" s="89">
        <v>0</v>
      </c>
      <c r="X3">
        <v>0</v>
      </c>
      <c r="Y3">
        <v>1</v>
      </c>
      <c r="Z3">
        <v>1</v>
      </c>
      <c r="AA3">
        <v>0</v>
      </c>
      <c r="AB3">
        <v>0</v>
      </c>
      <c r="AC3">
        <v>0</v>
      </c>
      <c r="AD3">
        <v>0</v>
      </c>
      <c r="AE3">
        <v>0</v>
      </c>
      <c r="AF3">
        <v>1</v>
      </c>
      <c r="AG3">
        <v>0</v>
      </c>
      <c r="AH3">
        <v>0</v>
      </c>
      <c r="AI3">
        <v>1</v>
      </c>
      <c r="AJ3">
        <v>0</v>
      </c>
      <c r="AK3">
        <v>2</v>
      </c>
      <c r="AL3">
        <v>0</v>
      </c>
      <c r="AM3">
        <v>2</v>
      </c>
      <c r="AN3">
        <v>1</v>
      </c>
      <c r="AO3">
        <v>0</v>
      </c>
      <c r="AP3">
        <v>30</v>
      </c>
      <c r="AQ3" t="str">
        <v>n.a.</v>
      </c>
      <c r="AV3" s="154"/>
      <c r="AW3" s="154"/>
      <c r="AX3" s="154"/>
      <c r="AY3" s="154"/>
      <c r="AZ3" s="154"/>
      <c r="BA3" s="154"/>
      <c r="BB3" s="154"/>
      <c r="BC3" s="118"/>
      <c r="BD3" s="118"/>
      <c r="BE3" s="118"/>
      <c r="BF3" s="118"/>
      <c r="BG3" s="118"/>
      <c r="BH3" s="118"/>
    </row>
    <row r="4" spans="1:60" x14ac:dyDescent="0.35">
      <c r="A4" t="str">
        <v>Cruise-Last-Mile</v>
      </c>
      <c r="B4" t="str">
        <v>Cruise</v>
      </c>
      <c r="C4" t="str">
        <v>Last-Mile</v>
      </c>
      <c r="D4">
        <v>2</v>
      </c>
      <c r="E4" t="str">
        <v>Walmart; Replate</v>
      </c>
      <c r="F4">
        <v>1</v>
      </c>
      <c r="G4" t="str">
        <v>Retail</v>
      </c>
      <c r="H4">
        <v>0.5</v>
      </c>
      <c r="I4" t="str">
        <v>Retail</v>
      </c>
      <c r="J4">
        <v>0.5</v>
      </c>
      <c r="K4" t="str">
        <v/>
      </c>
      <c r="L4" t="str">
        <v/>
      </c>
      <c r="M4" t="str">
        <v>L1</v>
      </c>
      <c r="N4">
        <v>390</v>
      </c>
      <c r="O4">
        <v>0</v>
      </c>
      <c r="P4">
        <v>0</v>
      </c>
      <c r="Q4">
        <v>2</v>
      </c>
      <c r="R4">
        <v>0</v>
      </c>
      <c r="S4">
        <v>0</v>
      </c>
      <c r="T4">
        <v>0</v>
      </c>
      <c r="U4">
        <v>0</v>
      </c>
      <c r="V4">
        <v>0</v>
      </c>
      <c r="W4" s="89">
        <v>0</v>
      </c>
      <c r="X4">
        <v>0</v>
      </c>
      <c r="Y4">
        <v>2</v>
      </c>
      <c r="Z4">
        <v>0</v>
      </c>
      <c r="AA4">
        <v>0</v>
      </c>
      <c r="AB4">
        <v>0</v>
      </c>
      <c r="AC4">
        <v>0</v>
      </c>
      <c r="AD4">
        <v>0</v>
      </c>
      <c r="AE4">
        <v>1</v>
      </c>
      <c r="AF4">
        <v>0</v>
      </c>
      <c r="AG4">
        <v>0</v>
      </c>
      <c r="AH4">
        <v>0</v>
      </c>
      <c r="AI4">
        <v>2</v>
      </c>
      <c r="AJ4">
        <v>0</v>
      </c>
      <c r="AK4">
        <v>2</v>
      </c>
      <c r="AL4">
        <v>0</v>
      </c>
      <c r="AM4">
        <v>2</v>
      </c>
      <c r="AN4">
        <v>1</v>
      </c>
      <c r="AO4">
        <v>0</v>
      </c>
      <c r="AP4">
        <v>3750</v>
      </c>
      <c r="AQ4">
        <v>15118.8</v>
      </c>
      <c r="AV4" s="154"/>
      <c r="AW4" s="154"/>
      <c r="AX4" s="154"/>
      <c r="AY4" s="154"/>
      <c r="AZ4" s="154"/>
      <c r="BA4" s="154"/>
      <c r="BB4" s="154"/>
      <c r="BC4" s="118"/>
      <c r="BD4" s="118"/>
      <c r="BE4" s="118"/>
      <c r="BF4" s="118"/>
      <c r="BG4" s="118"/>
      <c r="BH4" s="118"/>
    </row>
    <row r="5" spans="1:60" x14ac:dyDescent="0.35">
      <c r="A5" t="str">
        <v>Kiwibot-Last-Mile</v>
      </c>
      <c r="B5" t="str">
        <v>Kiwibot</v>
      </c>
      <c r="C5" t="str">
        <v>Last-Mile</v>
      </c>
      <c r="D5">
        <v>3</v>
      </c>
      <c r="E5" t="str">
        <v>Aramex; Grubhub; kineo</v>
      </c>
      <c r="F5">
        <v>1</v>
      </c>
      <c r="G5" t="str">
        <v>Delivery Service</v>
      </c>
      <c r="H5">
        <v>0.33333333333333331</v>
      </c>
      <c r="I5" t="str">
        <v>Delivery Service</v>
      </c>
      <c r="J5">
        <v>0.33333333333333331</v>
      </c>
      <c r="K5" t="str">
        <v>Delivery Service</v>
      </c>
      <c r="L5">
        <v>0.33333333333333331</v>
      </c>
      <c r="M5" t="str">
        <v>L2</v>
      </c>
      <c r="N5" t="str">
        <v>n.a.</v>
      </c>
      <c r="O5">
        <v>0</v>
      </c>
      <c r="P5">
        <v>0</v>
      </c>
      <c r="Q5">
        <v>2</v>
      </c>
      <c r="R5">
        <v>1</v>
      </c>
      <c r="S5">
        <v>0</v>
      </c>
      <c r="T5">
        <v>0</v>
      </c>
      <c r="U5">
        <v>0</v>
      </c>
      <c r="V5">
        <v>0</v>
      </c>
      <c r="W5" s="89">
        <v>0</v>
      </c>
      <c r="X5">
        <v>0</v>
      </c>
      <c r="Y5">
        <v>2</v>
      </c>
      <c r="Z5">
        <v>0</v>
      </c>
      <c r="AA5">
        <v>0</v>
      </c>
      <c r="AB5">
        <v>0</v>
      </c>
      <c r="AC5">
        <v>1</v>
      </c>
      <c r="AD5">
        <v>0</v>
      </c>
      <c r="AE5">
        <v>0</v>
      </c>
      <c r="AF5">
        <v>1</v>
      </c>
      <c r="AG5">
        <v>0</v>
      </c>
      <c r="AH5">
        <v>0</v>
      </c>
      <c r="AI5">
        <v>2</v>
      </c>
      <c r="AJ5">
        <v>0</v>
      </c>
      <c r="AK5">
        <v>2</v>
      </c>
      <c r="AL5">
        <v>1</v>
      </c>
      <c r="AM5">
        <v>3</v>
      </c>
      <c r="AN5">
        <v>1</v>
      </c>
      <c r="AO5">
        <v>0</v>
      </c>
      <c r="AP5">
        <v>175</v>
      </c>
      <c r="AQ5">
        <v>30.083497999999999</v>
      </c>
      <c r="AV5" s="154"/>
      <c r="AW5" s="154"/>
      <c r="AX5" s="154"/>
      <c r="AY5" s="154"/>
      <c r="AZ5" s="154"/>
      <c r="BA5" s="154"/>
      <c r="BB5" s="154"/>
      <c r="BC5" s="118"/>
      <c r="BD5" s="118"/>
      <c r="BE5" s="118"/>
      <c r="BF5" s="118"/>
      <c r="BG5" s="118"/>
      <c r="BH5" s="118"/>
    </row>
    <row r="6" spans="1:60" x14ac:dyDescent="0.35">
      <c r="A6" t="str">
        <v>Mobileye-Last-Mile</v>
      </c>
      <c r="B6" t="str">
        <v>Mobileye</v>
      </c>
      <c r="C6" t="str">
        <v>Last-Mile</v>
      </c>
      <c r="D6">
        <v>1</v>
      </c>
      <c r="E6" t="str">
        <v>Goggo Network</v>
      </c>
      <c r="F6">
        <v>0</v>
      </c>
      <c r="G6" t="str">
        <v>Autonomous mobility network</v>
      </c>
      <c r="H6">
        <v>1</v>
      </c>
      <c r="I6" t="str">
        <v/>
      </c>
      <c r="J6" t="str">
        <v/>
      </c>
      <c r="K6" t="str">
        <v/>
      </c>
      <c r="L6" t="str">
        <v/>
      </c>
      <c r="M6" t="str">
        <v>L1</v>
      </c>
      <c r="N6">
        <v>464</v>
      </c>
      <c r="O6">
        <v>0</v>
      </c>
      <c r="P6">
        <v>0</v>
      </c>
      <c r="Q6">
        <v>0</v>
      </c>
      <c r="R6">
        <v>0</v>
      </c>
      <c r="S6">
        <v>1</v>
      </c>
      <c r="T6">
        <v>0</v>
      </c>
      <c r="U6">
        <v>0</v>
      </c>
      <c r="V6">
        <v>0</v>
      </c>
      <c r="W6" s="89">
        <v>0</v>
      </c>
      <c r="X6">
        <v>0</v>
      </c>
      <c r="Y6">
        <v>1</v>
      </c>
      <c r="Z6">
        <v>0</v>
      </c>
      <c r="AA6">
        <v>0</v>
      </c>
      <c r="AB6">
        <v>0</v>
      </c>
      <c r="AC6">
        <v>0</v>
      </c>
      <c r="AD6">
        <v>0</v>
      </c>
      <c r="AE6">
        <v>1</v>
      </c>
      <c r="AF6">
        <v>0</v>
      </c>
      <c r="AG6">
        <v>0</v>
      </c>
      <c r="AH6">
        <v>0</v>
      </c>
      <c r="AI6">
        <v>1</v>
      </c>
      <c r="AJ6">
        <v>0</v>
      </c>
      <c r="AK6">
        <v>1</v>
      </c>
      <c r="AL6">
        <v>0</v>
      </c>
      <c r="AM6">
        <v>1</v>
      </c>
      <c r="AN6">
        <v>0</v>
      </c>
      <c r="AO6">
        <v>1</v>
      </c>
      <c r="AP6">
        <v>3000</v>
      </c>
      <c r="AQ6">
        <v>2132</v>
      </c>
      <c r="AV6" s="154"/>
      <c r="AW6" s="154"/>
      <c r="AX6" s="154"/>
      <c r="AY6" s="154"/>
      <c r="AZ6" s="154"/>
      <c r="BA6" s="154"/>
      <c r="BB6" s="154"/>
      <c r="BC6" s="118"/>
      <c r="BD6" s="118"/>
      <c r="BE6" s="118"/>
      <c r="BF6" s="118"/>
      <c r="BG6" s="118"/>
      <c r="BH6" s="118"/>
    </row>
    <row r="7" spans="1:60" x14ac:dyDescent="0.35">
      <c r="A7" t="str">
        <v>Motional-Last-Mile</v>
      </c>
      <c r="B7" t="str">
        <v>Motional</v>
      </c>
      <c r="C7" t="str">
        <v>Last-Mile</v>
      </c>
      <c r="D7">
        <v>1</v>
      </c>
      <c r="E7" t="str">
        <v>Uber</v>
      </c>
      <c r="F7">
        <v>1</v>
      </c>
      <c r="G7" t="str">
        <v>Mobility Services Booking</v>
      </c>
      <c r="H7">
        <v>1</v>
      </c>
      <c r="I7" t="str">
        <v/>
      </c>
      <c r="J7" t="str">
        <v/>
      </c>
      <c r="K7" t="str">
        <v/>
      </c>
      <c r="L7" t="str">
        <v/>
      </c>
      <c r="M7" t="str">
        <v>L1</v>
      </c>
      <c r="N7">
        <v>262</v>
      </c>
      <c r="O7">
        <v>0</v>
      </c>
      <c r="P7">
        <v>0</v>
      </c>
      <c r="Q7">
        <v>1</v>
      </c>
      <c r="R7">
        <v>0</v>
      </c>
      <c r="S7">
        <v>0</v>
      </c>
      <c r="T7">
        <v>0</v>
      </c>
      <c r="U7">
        <v>0</v>
      </c>
      <c r="V7">
        <v>0</v>
      </c>
      <c r="W7" s="89">
        <v>0</v>
      </c>
      <c r="X7">
        <v>0</v>
      </c>
      <c r="Y7">
        <v>1</v>
      </c>
      <c r="Z7">
        <v>0</v>
      </c>
      <c r="AA7">
        <v>0</v>
      </c>
      <c r="AB7">
        <v>0</v>
      </c>
      <c r="AC7">
        <v>0</v>
      </c>
      <c r="AD7">
        <v>0</v>
      </c>
      <c r="AE7">
        <v>1</v>
      </c>
      <c r="AF7">
        <v>0</v>
      </c>
      <c r="AG7">
        <v>0</v>
      </c>
      <c r="AH7">
        <v>0</v>
      </c>
      <c r="AI7">
        <v>1</v>
      </c>
      <c r="AJ7">
        <v>0</v>
      </c>
      <c r="AK7">
        <v>1</v>
      </c>
      <c r="AL7">
        <v>0</v>
      </c>
      <c r="AM7">
        <v>1</v>
      </c>
      <c r="AN7">
        <v>1</v>
      </c>
      <c r="AO7">
        <v>0</v>
      </c>
      <c r="AP7">
        <v>750</v>
      </c>
      <c r="AQ7" t="str">
        <v>n.a.</v>
      </c>
      <c r="AV7" s="154"/>
      <c r="AW7" s="154"/>
      <c r="AX7" s="154"/>
      <c r="AY7" s="154"/>
      <c r="AZ7" s="154"/>
      <c r="BA7" s="154"/>
      <c r="BB7" s="154"/>
      <c r="BC7" s="118"/>
      <c r="BD7" s="118"/>
      <c r="BE7" s="118"/>
      <c r="BF7" s="118"/>
      <c r="BG7" s="118"/>
      <c r="BH7" s="118"/>
    </row>
    <row r="8" spans="1:60" x14ac:dyDescent="0.35">
      <c r="A8" t="str">
        <v>Nuro-Last-Mile</v>
      </c>
      <c r="B8" t="str">
        <v>Nuro</v>
      </c>
      <c r="C8" t="str">
        <v>Last-Mile</v>
      </c>
      <c r="D8">
        <v>1</v>
      </c>
      <c r="E8" t="str">
        <v>Uber Eats</v>
      </c>
      <c r="F8">
        <v>0</v>
      </c>
      <c r="G8" t="str">
        <v>Delivery Service</v>
      </c>
      <c r="H8">
        <v>1</v>
      </c>
      <c r="I8" t="str">
        <v/>
      </c>
      <c r="J8" t="str">
        <v/>
      </c>
      <c r="K8" t="str">
        <v/>
      </c>
      <c r="L8" t="str">
        <v/>
      </c>
      <c r="M8" t="str">
        <v>L2</v>
      </c>
      <c r="N8">
        <v>98</v>
      </c>
      <c r="O8">
        <v>0</v>
      </c>
      <c r="P8">
        <v>0</v>
      </c>
      <c r="Q8">
        <v>1</v>
      </c>
      <c r="R8">
        <v>0</v>
      </c>
      <c r="S8">
        <v>0</v>
      </c>
      <c r="T8">
        <v>0</v>
      </c>
      <c r="U8">
        <v>0</v>
      </c>
      <c r="V8">
        <v>0</v>
      </c>
      <c r="W8" s="89">
        <v>0</v>
      </c>
      <c r="X8">
        <v>0</v>
      </c>
      <c r="Y8">
        <v>0</v>
      </c>
      <c r="Z8">
        <v>0</v>
      </c>
      <c r="AA8">
        <v>1</v>
      </c>
      <c r="AB8">
        <v>0</v>
      </c>
      <c r="AC8">
        <v>0</v>
      </c>
      <c r="AD8">
        <v>0</v>
      </c>
      <c r="AE8">
        <v>0</v>
      </c>
      <c r="AF8">
        <v>1</v>
      </c>
      <c r="AG8">
        <v>0</v>
      </c>
      <c r="AH8">
        <v>0</v>
      </c>
      <c r="AI8">
        <v>1</v>
      </c>
      <c r="AJ8">
        <v>0</v>
      </c>
      <c r="AK8">
        <v>0</v>
      </c>
      <c r="AL8">
        <v>0</v>
      </c>
      <c r="AM8">
        <v>1</v>
      </c>
      <c r="AN8">
        <v>0</v>
      </c>
      <c r="AO8">
        <v>0</v>
      </c>
      <c r="AP8">
        <v>1133</v>
      </c>
      <c r="AQ8">
        <v>2132.1488549999999</v>
      </c>
      <c r="AV8" s="154"/>
      <c r="AW8" s="154"/>
      <c r="AX8" s="154"/>
      <c r="AY8" s="154"/>
      <c r="AZ8" s="154"/>
      <c r="BA8" s="154"/>
      <c r="BB8" s="154"/>
      <c r="BC8" s="118"/>
      <c r="BD8" s="118"/>
      <c r="BE8" s="118"/>
      <c r="BF8" s="118"/>
      <c r="BG8" s="118"/>
      <c r="BH8" s="118"/>
    </row>
    <row r="9" spans="1:60" x14ac:dyDescent="0.35">
      <c r="A9" t="str">
        <v>Oxa-Last-Mile</v>
      </c>
      <c r="B9" t="str">
        <v>Oxa</v>
      </c>
      <c r="C9" t="str">
        <v>Last-Mile</v>
      </c>
      <c r="D9">
        <v>2</v>
      </c>
      <c r="E9" t="str">
        <v>Goggo Network; Ocado Group</v>
      </c>
      <c r="F9">
        <v>1</v>
      </c>
      <c r="G9" t="str">
        <v>Retail</v>
      </c>
      <c r="H9">
        <v>0.5</v>
      </c>
      <c r="I9" t="str">
        <v>Retail</v>
      </c>
      <c r="J9">
        <v>0.5</v>
      </c>
      <c r="K9" t="str">
        <v/>
      </c>
      <c r="L9" t="str">
        <v/>
      </c>
      <c r="M9" t="str">
        <v>L1</v>
      </c>
      <c r="N9">
        <v>10</v>
      </c>
      <c r="O9">
        <v>1</v>
      </c>
      <c r="P9">
        <v>0</v>
      </c>
      <c r="Q9">
        <v>1</v>
      </c>
      <c r="R9">
        <v>0</v>
      </c>
      <c r="S9">
        <v>0</v>
      </c>
      <c r="T9">
        <v>0</v>
      </c>
      <c r="U9">
        <v>0</v>
      </c>
      <c r="V9">
        <v>0</v>
      </c>
      <c r="W9" s="89">
        <v>0</v>
      </c>
      <c r="X9">
        <v>0</v>
      </c>
      <c r="Y9">
        <v>1</v>
      </c>
      <c r="Z9">
        <v>0</v>
      </c>
      <c r="AA9">
        <v>0</v>
      </c>
      <c r="AB9">
        <v>0</v>
      </c>
      <c r="AC9">
        <v>1</v>
      </c>
      <c r="AD9">
        <v>0</v>
      </c>
      <c r="AE9">
        <v>1</v>
      </c>
      <c r="AF9">
        <v>0</v>
      </c>
      <c r="AG9">
        <v>0</v>
      </c>
      <c r="AH9">
        <v>0</v>
      </c>
      <c r="AI9">
        <v>1</v>
      </c>
      <c r="AJ9">
        <v>1</v>
      </c>
      <c r="AK9">
        <v>1</v>
      </c>
      <c r="AL9">
        <v>1</v>
      </c>
      <c r="AM9">
        <v>2</v>
      </c>
      <c r="AN9">
        <v>1</v>
      </c>
      <c r="AO9">
        <v>0</v>
      </c>
      <c r="AP9">
        <v>300</v>
      </c>
      <c r="AQ9">
        <v>228.816</v>
      </c>
      <c r="AV9" s="154"/>
      <c r="AW9" s="154"/>
      <c r="AX9" s="154"/>
      <c r="AY9" s="154"/>
      <c r="AZ9" s="154"/>
      <c r="BA9" s="154"/>
      <c r="BB9" s="154"/>
      <c r="BC9" s="118"/>
      <c r="BD9" s="118"/>
      <c r="BE9" s="118"/>
      <c r="BF9" s="118"/>
      <c r="BG9" s="118"/>
      <c r="BH9" s="118"/>
    </row>
    <row r="10" spans="1:60" x14ac:dyDescent="0.35">
      <c r="A10" t="str">
        <v>ServeRobotics-Last-Mile</v>
      </c>
      <c r="B10" t="str">
        <v>ServeRobotics</v>
      </c>
      <c r="C10" t="str">
        <v>Last-Mile</v>
      </c>
      <c r="D10">
        <v>4</v>
      </c>
      <c r="E10" t="str">
        <v>Nickelytics;The Ad Council; Pizza Hut; Uber Eats; Piestro</v>
      </c>
      <c r="F10">
        <v>0</v>
      </c>
      <c r="G10" t="str">
        <v>Food &amp; Beverage</v>
      </c>
      <c r="H10">
        <v>0.4</v>
      </c>
      <c r="I10" t="str">
        <v>Food &amp; Beverage</v>
      </c>
      <c r="J10">
        <v>0.4</v>
      </c>
      <c r="K10" t="str">
        <v>Delivery Service</v>
      </c>
      <c r="L10">
        <v>0.2</v>
      </c>
      <c r="M10" t="str">
        <v>L2</v>
      </c>
      <c r="N10" t="str">
        <v>n.a.</v>
      </c>
      <c r="O10">
        <v>0</v>
      </c>
      <c r="P10">
        <v>0</v>
      </c>
      <c r="Q10">
        <v>3</v>
      </c>
      <c r="R10">
        <v>0</v>
      </c>
      <c r="S10">
        <v>0</v>
      </c>
      <c r="T10">
        <v>0</v>
      </c>
      <c r="U10">
        <v>0</v>
      </c>
      <c r="V10">
        <v>1</v>
      </c>
      <c r="W10" s="89">
        <v>0</v>
      </c>
      <c r="X10">
        <v>1</v>
      </c>
      <c r="Y10">
        <v>3</v>
      </c>
      <c r="Z10">
        <v>0</v>
      </c>
      <c r="AA10">
        <v>0</v>
      </c>
      <c r="AB10">
        <v>0</v>
      </c>
      <c r="AC10">
        <v>0</v>
      </c>
      <c r="AD10">
        <v>0</v>
      </c>
      <c r="AE10">
        <v>0</v>
      </c>
      <c r="AF10">
        <v>1</v>
      </c>
      <c r="AG10">
        <v>0</v>
      </c>
      <c r="AH10">
        <v>0</v>
      </c>
      <c r="AI10">
        <v>3</v>
      </c>
      <c r="AJ10">
        <v>0</v>
      </c>
      <c r="AK10">
        <v>4</v>
      </c>
      <c r="AL10">
        <v>0</v>
      </c>
      <c r="AM10">
        <v>4</v>
      </c>
      <c r="AN10">
        <v>0</v>
      </c>
      <c r="AO10">
        <v>0</v>
      </c>
      <c r="AP10">
        <v>75</v>
      </c>
      <c r="AQ10">
        <v>53</v>
      </c>
      <c r="AV10" s="154"/>
      <c r="AW10" s="154"/>
      <c r="AX10" s="154"/>
      <c r="AY10" s="154"/>
      <c r="AZ10" s="154"/>
      <c r="BA10" s="154"/>
      <c r="BB10" s="154"/>
      <c r="BC10" s="118"/>
      <c r="BD10" s="118"/>
      <c r="BE10" s="118"/>
      <c r="BF10" s="118"/>
      <c r="BG10" s="118"/>
      <c r="BH10" s="118"/>
    </row>
    <row r="11" spans="1:60" x14ac:dyDescent="0.35">
      <c r="A11" t="str">
        <v>Udelv-Last-Mile</v>
      </c>
      <c r="B11" t="str">
        <v>Udelv</v>
      </c>
      <c r="C11" t="str">
        <v>Last-Mile</v>
      </c>
      <c r="D11">
        <v>4</v>
      </c>
      <c r="E11" t="str">
        <v>Walmart; Farmstead; H-E-B; Mobileye</v>
      </c>
      <c r="F11">
        <v>2</v>
      </c>
      <c r="G11" t="str">
        <v>Retail</v>
      </c>
      <c r="H11">
        <v>0.5</v>
      </c>
      <c r="I11" t="str">
        <v>Autonomous Vehicles</v>
      </c>
      <c r="J11">
        <v>0.25</v>
      </c>
      <c r="K11" t="str">
        <v>Autonomous Vehicles</v>
      </c>
      <c r="L11">
        <v>0.25</v>
      </c>
      <c r="M11" t="str">
        <v>L2</v>
      </c>
      <c r="N11">
        <v>10</v>
      </c>
      <c r="O11">
        <v>1</v>
      </c>
      <c r="P11">
        <v>0</v>
      </c>
      <c r="Q11">
        <v>3</v>
      </c>
      <c r="R11">
        <v>0</v>
      </c>
      <c r="S11">
        <v>0</v>
      </c>
      <c r="T11">
        <v>0</v>
      </c>
      <c r="U11">
        <v>0</v>
      </c>
      <c r="V11">
        <v>0</v>
      </c>
      <c r="W11" s="89">
        <v>0</v>
      </c>
      <c r="X11">
        <v>0</v>
      </c>
      <c r="Y11">
        <v>3</v>
      </c>
      <c r="Z11">
        <v>0</v>
      </c>
      <c r="AA11">
        <v>1</v>
      </c>
      <c r="AB11">
        <v>0</v>
      </c>
      <c r="AC11">
        <v>0</v>
      </c>
      <c r="AD11">
        <v>0</v>
      </c>
      <c r="AE11">
        <v>0</v>
      </c>
      <c r="AF11">
        <v>1</v>
      </c>
      <c r="AG11">
        <v>0</v>
      </c>
      <c r="AH11">
        <v>0</v>
      </c>
      <c r="AI11">
        <v>3</v>
      </c>
      <c r="AJ11">
        <v>1</v>
      </c>
      <c r="AK11">
        <v>3</v>
      </c>
      <c r="AL11">
        <v>0</v>
      </c>
      <c r="AM11">
        <v>4</v>
      </c>
      <c r="AN11">
        <v>2</v>
      </c>
      <c r="AO11">
        <v>0</v>
      </c>
      <c r="AP11">
        <v>30</v>
      </c>
      <c r="AQ11" t="str">
        <v>n.a.</v>
      </c>
      <c r="AV11" s="154"/>
      <c r="AW11" s="154"/>
      <c r="AX11" s="154"/>
      <c r="AY11" s="154"/>
      <c r="AZ11" s="154"/>
      <c r="BA11" s="154"/>
      <c r="BB11" s="154"/>
      <c r="BC11" s="118"/>
      <c r="BD11" s="118"/>
      <c r="BE11" s="118"/>
      <c r="BF11" s="118"/>
      <c r="BG11" s="118"/>
      <c r="BH11" s="118"/>
    </row>
    <row r="12" spans="1:60" x14ac:dyDescent="0.35">
      <c r="A12" t="str">
        <v>Wayve-Last-Mile</v>
      </c>
      <c r="B12" t="str">
        <v>Wayve</v>
      </c>
      <c r="C12" t="str">
        <v>Last-Mile</v>
      </c>
      <c r="D12">
        <v>2</v>
      </c>
      <c r="E12" t="str">
        <v>Asda; Ocado Group</v>
      </c>
      <c r="F12">
        <v>1</v>
      </c>
      <c r="G12" t="str">
        <v>Retail</v>
      </c>
      <c r="H12">
        <v>1</v>
      </c>
      <c r="I12" t="str">
        <v/>
      </c>
      <c r="J12" t="str">
        <v/>
      </c>
      <c r="K12" t="str">
        <v/>
      </c>
      <c r="L12" t="str">
        <v/>
      </c>
      <c r="M12" t="str">
        <v>L1</v>
      </c>
      <c r="N12">
        <v>0</v>
      </c>
      <c r="O12">
        <v>0</v>
      </c>
      <c r="P12">
        <v>0</v>
      </c>
      <c r="Q12">
        <v>2</v>
      </c>
      <c r="R12">
        <v>0</v>
      </c>
      <c r="S12">
        <v>0</v>
      </c>
      <c r="T12">
        <v>2</v>
      </c>
      <c r="U12">
        <v>0</v>
      </c>
      <c r="V12">
        <v>0</v>
      </c>
      <c r="W12" s="89">
        <v>0</v>
      </c>
      <c r="X12">
        <v>0</v>
      </c>
      <c r="Y12">
        <v>1</v>
      </c>
      <c r="Z12">
        <v>0</v>
      </c>
      <c r="AA12">
        <v>1</v>
      </c>
      <c r="AB12">
        <v>0</v>
      </c>
      <c r="AC12">
        <v>0</v>
      </c>
      <c r="AD12">
        <v>0</v>
      </c>
      <c r="AE12">
        <v>1</v>
      </c>
      <c r="AF12">
        <v>0</v>
      </c>
      <c r="AG12">
        <v>0</v>
      </c>
      <c r="AH12">
        <v>0</v>
      </c>
      <c r="AI12">
        <v>2</v>
      </c>
      <c r="AJ12">
        <v>0</v>
      </c>
      <c r="AK12">
        <v>1</v>
      </c>
      <c r="AL12">
        <v>0</v>
      </c>
      <c r="AM12">
        <v>2</v>
      </c>
      <c r="AN12">
        <v>1</v>
      </c>
      <c r="AO12">
        <v>0</v>
      </c>
      <c r="AP12">
        <v>175</v>
      </c>
      <c r="AQ12">
        <v>257.21844499999997</v>
      </c>
      <c r="AV12" s="154"/>
      <c r="AW12" s="154"/>
      <c r="AX12" s="154"/>
      <c r="AY12" s="154"/>
      <c r="AZ12" s="154"/>
      <c r="BA12" s="154"/>
      <c r="BB12" s="154"/>
      <c r="BC12" s="118"/>
      <c r="BD12" s="118"/>
      <c r="BE12" s="118"/>
      <c r="BF12" s="118"/>
      <c r="BG12" s="118"/>
      <c r="BH12" s="118"/>
    </row>
    <row r="13" spans="1:60" x14ac:dyDescent="0.35">
      <c r="A13" t="str">
        <v>Starship Technologies-Last-Mile</v>
      </c>
      <c r="B13" t="str">
        <v>Starship Technologies</v>
      </c>
      <c r="C13" t="str">
        <v>Last-Mile</v>
      </c>
      <c r="D13">
        <v>1</v>
      </c>
      <c r="E13" t="str">
        <v>Bolt</v>
      </c>
      <c r="F13">
        <v>0</v>
      </c>
      <c r="G13" t="str">
        <v>Mobility Services Booking</v>
      </c>
      <c r="H13">
        <v>1</v>
      </c>
      <c r="I13" t="str">
        <v/>
      </c>
      <c r="J13" t="str">
        <v/>
      </c>
      <c r="K13" t="str">
        <v/>
      </c>
      <c r="L13" t="str">
        <v/>
      </c>
      <c r="M13" t="str">
        <v>L2</v>
      </c>
      <c r="N13" t="str">
        <v>n.a.</v>
      </c>
      <c r="O13">
        <v>0</v>
      </c>
      <c r="P13">
        <v>0</v>
      </c>
      <c r="Q13">
        <v>1</v>
      </c>
      <c r="R13">
        <v>0</v>
      </c>
      <c r="S13">
        <v>0</v>
      </c>
      <c r="T13">
        <v>0</v>
      </c>
      <c r="U13">
        <v>0</v>
      </c>
      <c r="V13">
        <v>0</v>
      </c>
      <c r="W13" s="89">
        <v>0</v>
      </c>
      <c r="X13">
        <v>0</v>
      </c>
      <c r="Y13">
        <v>0</v>
      </c>
      <c r="Z13">
        <v>0</v>
      </c>
      <c r="AA13">
        <v>1</v>
      </c>
      <c r="AB13">
        <v>0</v>
      </c>
      <c r="AC13">
        <v>0</v>
      </c>
      <c r="AD13">
        <v>0</v>
      </c>
      <c r="AE13">
        <v>0</v>
      </c>
      <c r="AF13">
        <v>1</v>
      </c>
      <c r="AG13">
        <v>0</v>
      </c>
      <c r="AH13">
        <v>0</v>
      </c>
      <c r="AI13">
        <v>1</v>
      </c>
      <c r="AJ13">
        <v>0</v>
      </c>
      <c r="AK13">
        <v>1</v>
      </c>
      <c r="AL13">
        <v>0</v>
      </c>
      <c r="AM13">
        <v>1</v>
      </c>
      <c r="AN13">
        <v>0</v>
      </c>
      <c r="AO13">
        <v>0</v>
      </c>
      <c r="AP13">
        <v>375</v>
      </c>
      <c r="AQ13">
        <v>197.715822</v>
      </c>
      <c r="AV13" s="154"/>
      <c r="AW13" s="154"/>
      <c r="AX13" s="154"/>
      <c r="AY13" s="154"/>
      <c r="AZ13" s="154"/>
      <c r="BA13" s="154"/>
      <c r="BB13" s="154"/>
      <c r="BC13" s="118"/>
      <c r="BD13" s="118"/>
      <c r="BE13" s="118"/>
      <c r="BF13" s="118"/>
      <c r="BG13" s="118"/>
      <c r="BH13" s="118"/>
    </row>
    <row r="14" spans="1:60" x14ac:dyDescent="0.35">
      <c r="A14" t="str">
        <v>Uber Eats-Last-Mile</v>
      </c>
      <c r="B14" t="str">
        <v>Uber Eats</v>
      </c>
      <c r="C14" t="str">
        <v>Last-Mile</v>
      </c>
      <c r="D14">
        <v>2</v>
      </c>
      <c r="E14" t="str">
        <v>Nuro; ServeRobotics</v>
      </c>
      <c r="F14">
        <v>0</v>
      </c>
      <c r="G14" t="str">
        <v>Autonomous Vehicles</v>
      </c>
      <c r="H14">
        <v>1</v>
      </c>
      <c r="I14" t="str">
        <v/>
      </c>
      <c r="J14" t="str">
        <v/>
      </c>
      <c r="K14" t="str">
        <v/>
      </c>
      <c r="L14" t="str">
        <v/>
      </c>
      <c r="M14" t="str">
        <v>L4</v>
      </c>
      <c r="N14" t="str">
        <v>n.a.</v>
      </c>
      <c r="O14">
        <v>0</v>
      </c>
      <c r="P14">
        <v>0</v>
      </c>
      <c r="Q14">
        <v>2</v>
      </c>
      <c r="R14">
        <v>0</v>
      </c>
      <c r="S14">
        <v>0</v>
      </c>
      <c r="T14">
        <v>0</v>
      </c>
      <c r="U14">
        <v>0</v>
      </c>
      <c r="V14">
        <v>0</v>
      </c>
      <c r="W14" s="89">
        <v>0</v>
      </c>
      <c r="X14">
        <v>0</v>
      </c>
      <c r="Y14">
        <v>1</v>
      </c>
      <c r="Z14">
        <v>0</v>
      </c>
      <c r="AA14">
        <v>1</v>
      </c>
      <c r="AB14">
        <v>0</v>
      </c>
      <c r="AC14">
        <v>0</v>
      </c>
      <c r="AD14">
        <v>0</v>
      </c>
      <c r="AE14">
        <v>0</v>
      </c>
      <c r="AF14">
        <v>0</v>
      </c>
      <c r="AG14">
        <v>0</v>
      </c>
      <c r="AH14">
        <v>1</v>
      </c>
      <c r="AI14">
        <v>2</v>
      </c>
      <c r="AJ14">
        <v>0</v>
      </c>
      <c r="AK14">
        <v>1</v>
      </c>
      <c r="AL14">
        <v>0</v>
      </c>
      <c r="AM14">
        <v>2</v>
      </c>
      <c r="AN14">
        <v>0</v>
      </c>
      <c r="AO14">
        <v>0</v>
      </c>
      <c r="AP14">
        <v>175</v>
      </c>
      <c r="AQ14" t="str">
        <v>n.a.</v>
      </c>
      <c r="AV14" s="154"/>
      <c r="AW14" s="154"/>
      <c r="AX14" s="154"/>
      <c r="AY14" s="154"/>
      <c r="AZ14" s="154"/>
      <c r="BA14" s="154"/>
      <c r="BB14" s="154"/>
      <c r="BC14" s="118"/>
      <c r="BD14" s="118"/>
      <c r="BE14" s="118"/>
      <c r="BF14" s="118"/>
      <c r="BG14" s="118"/>
      <c r="BH14" s="118"/>
    </row>
    <row r="15" spans="1:60" x14ac:dyDescent="0.35">
      <c r="A15" t="str">
        <v>Waymo-Last-Mile</v>
      </c>
      <c r="B15" t="str">
        <v>Waymo</v>
      </c>
      <c r="C15" t="str">
        <v>Last-Mile</v>
      </c>
      <c r="D15">
        <v>1</v>
      </c>
      <c r="E15" t="str">
        <v>Alliance Ventures (Renault, Nissan, Mitsubishi)</v>
      </c>
      <c r="F15">
        <v>0</v>
      </c>
      <c r="G15" t="str">
        <v>Mobility Project</v>
      </c>
      <c r="H15">
        <v>1</v>
      </c>
      <c r="I15" t="str">
        <v/>
      </c>
      <c r="J15" t="str">
        <v/>
      </c>
      <c r="K15" t="str">
        <v/>
      </c>
      <c r="L15" t="str">
        <v/>
      </c>
      <c r="M15" t="str">
        <v>L1</v>
      </c>
      <c r="N15">
        <v>2.1379999999999999</v>
      </c>
      <c r="O15">
        <v>0</v>
      </c>
      <c r="P15">
        <v>0</v>
      </c>
      <c r="Q15">
        <v>0</v>
      </c>
      <c r="R15">
        <v>0</v>
      </c>
      <c r="S15">
        <v>0</v>
      </c>
      <c r="T15">
        <v>1</v>
      </c>
      <c r="U15">
        <v>0</v>
      </c>
      <c r="V15">
        <v>0</v>
      </c>
      <c r="W15" s="89">
        <v>0</v>
      </c>
      <c r="X15">
        <v>0</v>
      </c>
      <c r="Y15">
        <v>0</v>
      </c>
      <c r="Z15">
        <v>0</v>
      </c>
      <c r="AA15">
        <v>0</v>
      </c>
      <c r="AB15">
        <v>1</v>
      </c>
      <c r="AC15">
        <v>0</v>
      </c>
      <c r="AD15">
        <v>0</v>
      </c>
      <c r="AE15">
        <v>1</v>
      </c>
      <c r="AF15">
        <v>0</v>
      </c>
      <c r="AG15">
        <v>0</v>
      </c>
      <c r="AH15">
        <v>0</v>
      </c>
      <c r="AI15">
        <v>0</v>
      </c>
      <c r="AJ15">
        <v>0</v>
      </c>
      <c r="AK15">
        <v>0</v>
      </c>
      <c r="AL15">
        <v>0</v>
      </c>
      <c r="AM15">
        <v>1</v>
      </c>
      <c r="AN15">
        <v>0</v>
      </c>
      <c r="AO15">
        <v>0</v>
      </c>
      <c r="AP15">
        <v>3000</v>
      </c>
      <c r="AQ15">
        <v>5500</v>
      </c>
      <c r="AV15" s="154"/>
      <c r="AW15" s="154"/>
      <c r="AX15" s="154"/>
      <c r="AY15" s="154"/>
      <c r="AZ15" s="154"/>
      <c r="BA15" s="154"/>
      <c r="BB15" s="154"/>
      <c r="BC15" s="118"/>
      <c r="BD15" s="118"/>
      <c r="BE15" s="118"/>
      <c r="BF15" s="118"/>
      <c r="BG15" s="118"/>
      <c r="BH15" s="118"/>
    </row>
    <row r="16" spans="1:60" x14ac:dyDescent="0.35">
      <c r="W16" s="414"/>
      <c r="AV16" s="154"/>
      <c r="AW16" s="154"/>
      <c r="AX16" s="154"/>
      <c r="AY16" s="154"/>
      <c r="AZ16" s="154"/>
      <c r="BA16" s="154"/>
      <c r="BB16" s="154"/>
      <c r="BC16" s="118"/>
      <c r="BD16" s="118"/>
      <c r="BE16" s="118"/>
      <c r="BF16" s="118"/>
      <c r="BG16" s="118"/>
      <c r="BH16" s="118"/>
    </row>
    <row r="17" spans="1:34" x14ac:dyDescent="0.35">
      <c r="A17" s="177" t="s">
        <v>273</v>
      </c>
      <c r="H17" s="92"/>
    </row>
    <row r="18" spans="1:34" x14ac:dyDescent="0.35">
      <c r="A18" s="92" t="s">
        <v>2055</v>
      </c>
      <c r="B18" s="92" t="s">
        <v>372</v>
      </c>
    </row>
    <row r="19" spans="1:34" x14ac:dyDescent="0.35">
      <c r="B19" s="92" t="s">
        <v>341</v>
      </c>
    </row>
    <row r="20" spans="1:34" x14ac:dyDescent="0.35">
      <c r="A20" s="92" t="s">
        <v>2058</v>
      </c>
      <c r="B20" s="92">
        <f>COUNTA(A24:A104)</f>
        <v>81</v>
      </c>
    </row>
    <row r="21" spans="1:34" x14ac:dyDescent="0.35">
      <c r="A21" s="114" t="s">
        <v>2059</v>
      </c>
      <c r="B21">
        <f>COUNTA(_xlfn.UNIQUE(E24:E104))</f>
        <v>21</v>
      </c>
    </row>
    <row r="22" spans="1:34" x14ac:dyDescent="0.35">
      <c r="A22" s="98"/>
    </row>
    <row r="23" spans="1:34" ht="29" x14ac:dyDescent="0.35">
      <c r="A23" s="23" t="s">
        <v>1422</v>
      </c>
      <c r="B23" s="23" t="s">
        <v>1026</v>
      </c>
      <c r="C23" s="23"/>
      <c r="D23" s="23" t="s">
        <v>0</v>
      </c>
      <c r="E23" s="23" t="s">
        <v>1943</v>
      </c>
      <c r="F23" s="23" t="s">
        <v>1946</v>
      </c>
      <c r="G23" s="23" t="s">
        <v>2052</v>
      </c>
      <c r="H23" s="23" t="s">
        <v>1949</v>
      </c>
      <c r="I23" s="23" t="s">
        <v>1947</v>
      </c>
      <c r="J23" s="23" t="s">
        <v>1948</v>
      </c>
      <c r="K23" s="23" t="s">
        <v>2001</v>
      </c>
      <c r="L23" s="23" t="s">
        <v>1993</v>
      </c>
      <c r="M23" s="23" t="s">
        <v>1994</v>
      </c>
      <c r="N23" s="23" t="s">
        <v>1995</v>
      </c>
      <c r="O23" s="23" t="s">
        <v>1</v>
      </c>
      <c r="P23" s="23" t="s">
        <v>2</v>
      </c>
      <c r="Q23" s="23" t="s">
        <v>3</v>
      </c>
      <c r="R23" s="24" t="s">
        <v>976</v>
      </c>
      <c r="S23" s="24" t="s">
        <v>1193</v>
      </c>
      <c r="T23" s="24" t="s">
        <v>982</v>
      </c>
      <c r="U23" s="24" t="s">
        <v>975</v>
      </c>
      <c r="V23" s="24" t="s">
        <v>956</v>
      </c>
      <c r="W23" s="24" t="s">
        <v>1194</v>
      </c>
      <c r="X23" s="23" t="s">
        <v>2050</v>
      </c>
      <c r="Y23" s="10" t="s">
        <v>4</v>
      </c>
      <c r="Z23" s="23" t="s">
        <v>5</v>
      </c>
      <c r="AA23" s="10" t="s">
        <v>1638</v>
      </c>
      <c r="AB23" s="23" t="s">
        <v>1939</v>
      </c>
      <c r="AC23" s="23" t="s">
        <v>1942</v>
      </c>
      <c r="AD23" s="23" t="s">
        <v>1940</v>
      </c>
      <c r="AE23" s="23" t="s">
        <v>1941</v>
      </c>
      <c r="AF23" s="104" t="s">
        <v>1761</v>
      </c>
      <c r="AG23" s="104" t="s">
        <v>1762</v>
      </c>
      <c r="AH23" s="103"/>
    </row>
    <row r="24" spans="1:34" x14ac:dyDescent="0.35">
      <c r="A24" s="60" t="str" cm="1">
        <f t="array" ref="A24:AG106">_xlfn._xlws.FILTER(ANNOUNCEMENTS!A2:AG180,(ANNOUNCEMENTS!J2:J180=B18)+(ANNOUNCEMENTS!J2:J180=B19))</f>
        <v>https://www.2getthere.eu/news/strategic-cooperation-agreement-with-sltn-extended/</v>
      </c>
      <c r="B24" s="60" t="str">
        <v>2015, 9, 2</v>
      </c>
      <c r="C24" s="105">
        <v>42249</v>
      </c>
      <c r="D24" s="60" t="str">
        <v>Strategic Cooperation Agreement with SLTN extended</v>
      </c>
      <c r="E24" s="60" t="str">
        <v>2getthere</v>
      </c>
      <c r="F24" s="60" t="str">
        <v>L2</v>
      </c>
      <c r="G24" s="60" t="str">
        <v>2getthere-SAV</v>
      </c>
      <c r="H24" s="60" t="str">
        <v>SAV</v>
      </c>
      <c r="I24" s="60" t="str">
        <v>Ridepooling</v>
      </c>
      <c r="J24" s="60" t="str">
        <v>Ridepooling</v>
      </c>
      <c r="K24" s="60" t="str">
        <v>SLTN</v>
      </c>
      <c r="L24" s="60" t="str">
        <v>SLTN</v>
      </c>
      <c r="M24" s="60">
        <v>0</v>
      </c>
      <c r="N24" s="60">
        <v>0</v>
      </c>
      <c r="O24"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24"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24" s="60" t="str">
        <v>Strategic Alliance</v>
      </c>
      <c r="R24" s="60" t="str">
        <v>Yes</v>
      </c>
      <c r="S24" s="60" t="str">
        <v>Service Integration</v>
      </c>
      <c r="T24" s="60" t="str">
        <v>-</v>
      </c>
      <c r="U24" s="60" t="str">
        <v>Yes</v>
      </c>
      <c r="V24" s="60" t="str">
        <v>-</v>
      </c>
      <c r="W24" s="60" t="str">
        <v xml:space="preserve">2.2. Renewed Alliance </v>
      </c>
      <c r="X24" s="60">
        <v>0</v>
      </c>
      <c r="Y24" s="60" t="str">
        <v>The cooperation concerns the realization of 2getthere's innovative automated people mover systems, with SLTN Inter Access designing and providing the Information and Communication Technology (ICT) network.</v>
      </c>
      <c r="Z24" s="60" t="str">
        <v>Joint D&amp;D</v>
      </c>
      <c r="AA24" s="60" t="str">
        <v>The cooperation concerns the realization of 2getthere's innovative automated people mover systems, with SLTN Inter Access designing and providing the Information and Communication Technology (ICT) network.</v>
      </c>
      <c r="AB24" s="60">
        <v>0</v>
      </c>
      <c r="AC24" s="60">
        <v>0</v>
      </c>
      <c r="AD24" s="60">
        <v>0</v>
      </c>
      <c r="AE24" s="60">
        <v>0</v>
      </c>
      <c r="AF24" s="60" t="str">
        <v>Strategic Cooperation Agreement with SLTN extended</v>
      </c>
      <c r="AG24" s="60">
        <v>0</v>
      </c>
    </row>
    <row r="25" spans="1:34" x14ac:dyDescent="0.35">
      <c r="A25" s="60" t="str">
        <v>https://www.2getthere.eu/news/partnering-with-benteler/</v>
      </c>
      <c r="B25" s="60" t="str">
        <v>2015, 7, 28</v>
      </c>
      <c r="C25" s="105">
        <v>42213</v>
      </c>
      <c r="D25" s="60" t="str">
        <v>2getthere partners with Benteler for the engineering of the 3rd generation GRT</v>
      </c>
      <c r="E25" s="60" t="str">
        <v>2getthere</v>
      </c>
      <c r="F25" s="60" t="str">
        <v>L2</v>
      </c>
      <c r="G25" s="60" t="str">
        <v>2getthere-SAV</v>
      </c>
      <c r="H25" s="60" t="str">
        <v>SAV</v>
      </c>
      <c r="I25" s="60" t="str">
        <v>Ridepooling</v>
      </c>
      <c r="J25" s="60" t="str">
        <v>Ridepooling</v>
      </c>
      <c r="K25" s="60" t="str">
        <v>Benteler</v>
      </c>
      <c r="L25" s="60" t="str">
        <v>Benteler</v>
      </c>
      <c r="M25" s="60">
        <v>0</v>
      </c>
      <c r="N25" s="60">
        <v>0</v>
      </c>
      <c r="O25"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25"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25" s="60" t="str">
        <v>Strategic Alliance</v>
      </c>
      <c r="R25" s="60" t="str">
        <v>n.a.</v>
      </c>
      <c r="S25" s="60" t="str">
        <v>Product cooperation</v>
      </c>
      <c r="T25" s="60" t="str">
        <v>-</v>
      </c>
      <c r="U25" s="60" t="str">
        <v>Yes</v>
      </c>
      <c r="V25" s="60" t="str">
        <v>-</v>
      </c>
      <c r="W25" s="60" t="str">
        <v xml:space="preserve">2.2. Renewed Alliance </v>
      </c>
      <c r="X25" s="60">
        <v>0</v>
      </c>
      <c r="Y25" s="60" t="str">
        <v>BENTELER Engineering Services will be responsible for the engineering of both the chassis and the body of the GRT vehicle, with the IP of the work being owned by 2getthere.</v>
      </c>
      <c r="Z25" s="60" t="str">
        <v>Joint Production</v>
      </c>
      <c r="AA25" s="60" t="str">
        <v>BENTELER Engineering Services will be responsible for the engineering of both the chassis and the body of the GRT vehicle, with the IP of the work being owned by 2getthere.</v>
      </c>
      <c r="AB25" s="60">
        <v>0</v>
      </c>
      <c r="AC25" s="60">
        <v>0</v>
      </c>
      <c r="AD25" s="60">
        <v>0</v>
      </c>
      <c r="AE25" s="60">
        <v>0</v>
      </c>
      <c r="AF25" s="60" t="str">
        <v>2getthere partners with Benteler for the engineering of the 3rd generation GRT</v>
      </c>
      <c r="AG25" s="60">
        <v>0</v>
      </c>
    </row>
    <row r="26" spans="1:34" x14ac:dyDescent="0.35">
      <c r="A26" s="60" t="str">
        <v>https://www.2getthere.eu/news/singapore-partnership/</v>
      </c>
      <c r="B26" s="60" t="str">
        <v>2014, 6, 3</v>
      </c>
      <c r="C26" s="105">
        <v>41793</v>
      </c>
      <c r="D26" s="60" t="str">
        <v>SMRT and 2getthere enter into a partnership for Singapore</v>
      </c>
      <c r="E26" s="60" t="str">
        <v>2getthere</v>
      </c>
      <c r="F26" s="60" t="str">
        <v>L2</v>
      </c>
      <c r="G26" s="60" t="str">
        <v>2getthere-SAV</v>
      </c>
      <c r="H26" s="60" t="str">
        <v>SAV</v>
      </c>
      <c r="I26" s="60" t="str">
        <v>Ridepooling</v>
      </c>
      <c r="J26" s="60" t="str">
        <v>Ridepooling</v>
      </c>
      <c r="K26" s="60" t="str">
        <v>SMRT</v>
      </c>
      <c r="L26" s="60" t="str">
        <v>SMRT</v>
      </c>
      <c r="M26" s="60">
        <v>0</v>
      </c>
      <c r="N26" s="60">
        <v>0</v>
      </c>
      <c r="O26"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6"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6" s="60" t="str">
        <v>Strategic Alliance</v>
      </c>
      <c r="R26" s="60" t="str">
        <v>Yes</v>
      </c>
      <c r="S26" s="60" t="str">
        <v>Product cooperation</v>
      </c>
      <c r="T26" s="60" t="str">
        <v>-</v>
      </c>
      <c r="U26" s="60" t="str">
        <v>Yes</v>
      </c>
      <c r="V26" s="60" t="str">
        <v>Yes</v>
      </c>
      <c r="W26" s="60" t="str">
        <v>2.4. Exclusive Alliance</v>
      </c>
      <c r="X26" s="60">
        <v>0</v>
      </c>
      <c r="Y26" s="60" t="str">
        <v>cooperation agreement for the introduction of 2getthere's innovative driverless transit systems to Singapore.</v>
      </c>
      <c r="Z26" s="60" t="str">
        <v>Joint Service Agreement</v>
      </c>
      <c r="AA26" s="60" t="str">
        <v>cooperation agreement for the introduction of 2getthere's innovative driverless transit systems to Singapore.</v>
      </c>
      <c r="AB26" s="60">
        <v>0</v>
      </c>
      <c r="AC26" s="60">
        <v>0</v>
      </c>
      <c r="AD26" s="60">
        <v>0</v>
      </c>
      <c r="AE26" s="60">
        <v>0</v>
      </c>
      <c r="AF26" s="60" t="str">
        <v>SMRT and 2getthere enter into a partnership for Singapore</v>
      </c>
      <c r="AG26" s="60">
        <v>0</v>
      </c>
    </row>
    <row r="27" spans="1:34" x14ac:dyDescent="0.35">
      <c r="A27" s="60" t="str">
        <v>https://www.2getthere.eu/news/uae-partner-united-technical-services-takes-a-stake-in-2getthere/</v>
      </c>
      <c r="B27" s="60" t="str">
        <v>2016, 1, 25</v>
      </c>
      <c r="C27" s="105">
        <v>42394</v>
      </c>
      <c r="D27" s="60" t="str">
        <v>UAE partner United Technical Services takes a stake in 2getthere</v>
      </c>
      <c r="E27" s="60" t="str">
        <v>2getthere</v>
      </c>
      <c r="F27" s="60" t="str">
        <v>L2</v>
      </c>
      <c r="G27" s="60" t="str">
        <v>2getthere-SAV</v>
      </c>
      <c r="H27" s="60" t="str">
        <v>SAV</v>
      </c>
      <c r="I27" s="60" t="str">
        <v>Ridepooling</v>
      </c>
      <c r="J27" s="60" t="str">
        <v>Ridepooling</v>
      </c>
      <c r="K27" s="60" t="str">
        <v>United Technical Services</v>
      </c>
      <c r="L27" s="60" t="str">
        <v>United Technical Services</v>
      </c>
      <c r="M27" s="60">
        <v>0</v>
      </c>
      <c r="N27" s="60">
        <v>0</v>
      </c>
      <c r="O27"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7"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7" s="60" t="str">
        <v>Strategic Partnership</v>
      </c>
      <c r="R27" s="60" t="str">
        <v>n.a.</v>
      </c>
      <c r="S27" s="60" t="str">
        <v>Product cooperation</v>
      </c>
      <c r="T27" s="60" t="str">
        <v>-</v>
      </c>
      <c r="U27" s="60" t="str">
        <v>Yes</v>
      </c>
      <c r="V27" s="60" t="str">
        <v>-</v>
      </c>
      <c r="W27" s="60" t="str">
        <v>3. Strategic Partnership</v>
      </c>
      <c r="X27" s="60">
        <v>0</v>
      </c>
      <c r="Y27" s="60" t="str">
        <v>In anticipation of the growing demand for 2getthere's systems in the Middle East, the investment is used to support the road map development, organizational growth and marketing ambitions.</v>
      </c>
      <c r="Z27" s="60" t="str">
        <v>Other</v>
      </c>
      <c r="AA27" s="60" t="str">
        <v>In anticipation of the growing demand for 2getthere's systems in the Middle East, the investment is used to support the road map development, organizational growth and marketing ambitions.</v>
      </c>
      <c r="AB27" s="60">
        <v>0</v>
      </c>
      <c r="AC27" s="60">
        <v>0</v>
      </c>
      <c r="AD27" s="60">
        <v>0</v>
      </c>
      <c r="AE27" s="60">
        <v>0</v>
      </c>
      <c r="AF27" s="60" t="str">
        <v>UAE partner United Technical Services takes a stake in 2getthere</v>
      </c>
      <c r="AG27" s="60">
        <v>0</v>
      </c>
    </row>
    <row r="28" spans="1:34" x14ac:dyDescent="0.35">
      <c r="A28" s="60" t="str">
        <v>https://www.2getthere.eu/news/2getthere-asia-joint-venture/</v>
      </c>
      <c r="B28" s="60" t="str">
        <v>2016, 4, 20</v>
      </c>
      <c r="C28" s="105">
        <v>42480</v>
      </c>
      <c r="D28" s="60" t="str">
        <v>2getthere Asia Joint Venture established in Singapore</v>
      </c>
      <c r="E28" s="60" t="str">
        <v>2getthere</v>
      </c>
      <c r="F28" s="60" t="str">
        <v>L2</v>
      </c>
      <c r="G28" s="60" t="str">
        <v>2getthere-SAV</v>
      </c>
      <c r="H28" s="60" t="str">
        <v>SAV</v>
      </c>
      <c r="I28" s="60" t="str">
        <v>Ridepooling</v>
      </c>
      <c r="J28" s="60" t="str">
        <v>Ridepooling</v>
      </c>
      <c r="K28" s="60" t="str">
        <v>SMRT</v>
      </c>
      <c r="L28" s="60" t="str">
        <v>SMRT</v>
      </c>
      <c r="M28" s="60">
        <v>0</v>
      </c>
      <c r="N28" s="60">
        <v>0</v>
      </c>
      <c r="O28"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28"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28" s="60" t="str">
        <v>Joint Venture</v>
      </c>
      <c r="R28" s="60" t="str">
        <v>Yes</v>
      </c>
      <c r="S28" s="60" t="str">
        <v>Service Integration</v>
      </c>
      <c r="T28" s="60" t="str">
        <v>-</v>
      </c>
      <c r="U28" s="60" t="str">
        <v>Yes</v>
      </c>
      <c r="V28" s="60" t="str">
        <v>-</v>
      </c>
      <c r="W28" s="60" t="str">
        <v>4. Joint Venture</v>
      </c>
      <c r="X28" s="60">
        <v>0</v>
      </c>
      <c r="Y28"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28" s="60" t="str">
        <v>Joint Service Agreement</v>
      </c>
      <c r="AA28"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28" s="60">
        <v>0</v>
      </c>
      <c r="AC28" s="60">
        <v>0</v>
      </c>
      <c r="AD28" s="60">
        <v>0</v>
      </c>
      <c r="AE28" s="60">
        <v>0</v>
      </c>
      <c r="AF28" s="60" t="str">
        <v>2getthere Asia Joint Venture established in Singapore</v>
      </c>
      <c r="AG28" s="60">
        <v>0</v>
      </c>
    </row>
    <row r="29" spans="1:34" x14ac:dyDescent="0.35">
      <c r="A29" s="60" t="str">
        <v>https://www.adastec.com/news-coverage/adastec-and-vicinity-motor-corp-collaborate-to-deploy-automated-bus-at-michigan-state-university</v>
      </c>
      <c r="B29" s="60" t="str">
        <v>2023, 10, 9</v>
      </c>
      <c r="C29" s="105">
        <v>44935</v>
      </c>
      <c r="D29" s="60" t="str">
        <v>ADASTEC and Vicinity Motor Corp. Collaborate to Deploy Automated Bus at Michigan State University</v>
      </c>
      <c r="E29" s="60" t="str">
        <v>ADASTEC</v>
      </c>
      <c r="F29" s="60" t="str">
        <v>L1</v>
      </c>
      <c r="G29" s="60" t="str">
        <v>ADASTEC-SAV</v>
      </c>
      <c r="H29" s="60" t="str">
        <v>SAV</v>
      </c>
      <c r="I29" s="60" t="str">
        <v>Ridepooling</v>
      </c>
      <c r="J29" s="60" t="str">
        <v>Ridepooling</v>
      </c>
      <c r="K29" s="60" t="str">
        <v>Vicinity Motor Corp.</v>
      </c>
      <c r="L29" s="60" t="str">
        <v>Vicinity Motor Corp.</v>
      </c>
      <c r="M29" s="60">
        <v>0</v>
      </c>
      <c r="N29" s="60">
        <v>0</v>
      </c>
      <c r="O29"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29"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29" s="60" t="str">
        <v>Strategic Alliance</v>
      </c>
      <c r="R29" s="60" t="str">
        <v>n.a.</v>
      </c>
      <c r="S29" s="60" t="str">
        <v>Product cooperation</v>
      </c>
      <c r="T29" s="60" t="str">
        <v>-</v>
      </c>
      <c r="U29" s="60" t="str">
        <v>-</v>
      </c>
      <c r="V29" s="60" t="str">
        <v>-</v>
      </c>
      <c r="W29" s="60" t="str">
        <v>2.1. Short term Alliance (no exclusivity / previous experience)</v>
      </c>
      <c r="X29" s="60">
        <v>0</v>
      </c>
      <c r="Y29"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29" s="60" t="str">
        <v>Joint D&amp;D</v>
      </c>
      <c r="AA29"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29" s="60">
        <v>0</v>
      </c>
      <c r="AC29" s="60">
        <v>0</v>
      </c>
      <c r="AD29" s="60">
        <v>0</v>
      </c>
      <c r="AE29" s="60">
        <v>0</v>
      </c>
      <c r="AF29" s="60" t="str">
        <v xml:space="preserve">ADASTEC and Vicinity Motor Corp. Collaborate to Deploy </v>
      </c>
      <c r="AG29" s="60" t="str">
        <v>Automated Bus at Michigan State University</v>
      </c>
    </row>
    <row r="30" spans="1:34" x14ac:dyDescent="0.35">
      <c r="A30" s="60" t="str">
        <v>https://www.adastec.com/news-coverage/adastec-and-vicinity-motor-corp-partner-to-deploy-automated-bus-at-the-university-at-buffalo</v>
      </c>
      <c r="B30" s="60" t="str">
        <v>2023, 10, 5</v>
      </c>
      <c r="C30" s="105">
        <v>44931</v>
      </c>
      <c r="D30" s="60" t="str">
        <v>ADASTEC and Vicinity Motor Corp. Partner to Deploy Automated Bus at the University at Buffalo</v>
      </c>
      <c r="E30" s="60" t="str">
        <v>ADASTEC</v>
      </c>
      <c r="F30" s="60" t="str">
        <v>L1</v>
      </c>
      <c r="G30" s="60" t="str">
        <v>ADASTEC-SAV</v>
      </c>
      <c r="H30" s="60" t="str">
        <v>SAV</v>
      </c>
      <c r="I30" s="60" t="str">
        <v>Ridepooling</v>
      </c>
      <c r="J30" s="60" t="str">
        <v>Ridepooling</v>
      </c>
      <c r="K30" s="60" t="str">
        <v>Vicinity Motor Corp.</v>
      </c>
      <c r="L30" s="60" t="str">
        <v>Vicinity Motor Corp.</v>
      </c>
      <c r="M30" s="60">
        <v>0</v>
      </c>
      <c r="N30" s="60">
        <v>0</v>
      </c>
      <c r="O30"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30"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30" s="60" t="str">
        <v>Strategic Alliance</v>
      </c>
      <c r="R30" s="60" t="str">
        <v>n.a.</v>
      </c>
      <c r="S30" s="60" t="str">
        <v>Product cooperation</v>
      </c>
      <c r="T30" s="60" t="str">
        <v>-</v>
      </c>
      <c r="U30" s="60" t="str">
        <v>-</v>
      </c>
      <c r="V30" s="60" t="str">
        <v>-</v>
      </c>
      <c r="W30" s="60" t="str">
        <v>2.1. Short term Alliance (no exclusivity / previous experience)</v>
      </c>
      <c r="X30" s="60">
        <v>0</v>
      </c>
      <c r="Y30"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30" s="60" t="str">
        <v>Joint D&amp;D</v>
      </c>
      <c r="AA30"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30" s="60">
        <v>0</v>
      </c>
      <c r="AC30" s="60">
        <v>0</v>
      </c>
      <c r="AD30" s="60">
        <v>0</v>
      </c>
      <c r="AE30" s="60">
        <v>0</v>
      </c>
      <c r="AF30" s="60" t="str">
        <v>ADASTEC and Vicinity Motor Corp. Partner to Deploy Automated Bus at the University at Buffalo</v>
      </c>
      <c r="AG30" s="60">
        <v>0</v>
      </c>
    </row>
    <row r="31" spans="1:34" x14ac:dyDescent="0.35">
      <c r="A31" s="60" t="str">
        <v>https://www.ridebeep.com/press-releases/north-carolina-department-of-transportation-and-beep-partner-for-autonomous-vehicle-testing-projects</v>
      </c>
      <c r="B31" s="60" t="str">
        <v>2023, 3, 14</v>
      </c>
      <c r="C31" s="105">
        <v>44999</v>
      </c>
      <c r="D31" s="60" t="str">
        <v>North Carolina Department of Transportation and Beep Partner for Autonomous Vehicle Testing Projects</v>
      </c>
      <c r="E31" s="60" t="str">
        <v>Beep</v>
      </c>
      <c r="F31" s="60" t="str">
        <v>L3</v>
      </c>
      <c r="G31" s="60" t="str">
        <v>Beep-SAV</v>
      </c>
      <c r="H31" s="60" t="str">
        <v>SAV</v>
      </c>
      <c r="I31" s="60" t="str">
        <v>Ridepooling</v>
      </c>
      <c r="J31" s="60" t="str">
        <v>Ridepooling</v>
      </c>
      <c r="K31" s="60" t="str">
        <v>North Carolina Department of Transportation</v>
      </c>
      <c r="L31" s="60" t="str">
        <v>North Carolina Department of Transportation</v>
      </c>
      <c r="M31" s="60">
        <v>0</v>
      </c>
      <c r="N31" s="60">
        <v>0</v>
      </c>
      <c r="O31"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31"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31" s="60" t="str">
        <v>Strategic Alliance</v>
      </c>
      <c r="R31" s="60" t="str">
        <v>n.a.</v>
      </c>
      <c r="S31" s="60" t="str">
        <v>Service Integration</v>
      </c>
      <c r="T31" s="60" t="str">
        <v>-</v>
      </c>
      <c r="U31" s="60" t="str">
        <v>-</v>
      </c>
      <c r="V31" s="60" t="str">
        <v>-</v>
      </c>
      <c r="W31" s="60" t="str">
        <v>2.1. Short term Alliance (no exclusivity / previous experience)</v>
      </c>
      <c r="X31" s="60">
        <v>0</v>
      </c>
      <c r="Y31"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31" s="60" t="str">
        <v>Joint Service Agreement</v>
      </c>
      <c r="AA31"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31" s="60">
        <v>0</v>
      </c>
      <c r="AC31" s="60">
        <v>0</v>
      </c>
      <c r="AD31" s="60">
        <v>0</v>
      </c>
      <c r="AE31" s="60">
        <v>0</v>
      </c>
      <c r="AF31" s="60" t="str">
        <v xml:space="preserve">North Carolina Department of Transportation and Beep Partner for </v>
      </c>
      <c r="AG31" s="60" t="str">
        <v>Autonomous Vehicle Testing Projects</v>
      </c>
    </row>
    <row r="32" spans="1:34" x14ac:dyDescent="0.35">
      <c r="A32" s="60" t="str">
        <v>https://www.ridebeep.com/press-releases/contra-costa-transportation-authority-and-beep-partner-to-deliver-autonomous-vehicle-projects-in-california</v>
      </c>
      <c r="B32" s="60" t="str">
        <v>2023, 4, 21</v>
      </c>
      <c r="C32" s="105">
        <v>45037</v>
      </c>
      <c r="D32" s="60" t="str">
        <v>Contra Costa Transportation Authority and Beep Partner to Deliver Autonomous Vehicle Projects in California</v>
      </c>
      <c r="E32" s="60" t="str">
        <v>Beep</v>
      </c>
      <c r="F32" s="60" t="str">
        <v>L3</v>
      </c>
      <c r="G32" s="60" t="str">
        <v>Beep-SAV</v>
      </c>
      <c r="H32" s="60" t="str">
        <v>SAV</v>
      </c>
      <c r="I32" s="60" t="str">
        <v>Ridepooling</v>
      </c>
      <c r="J32" s="60" t="str">
        <v>Ridepooling</v>
      </c>
      <c r="K32" s="60" t="str">
        <v>Contra Costa Transportation Authority</v>
      </c>
      <c r="L32" s="60" t="str">
        <v>Contra Costa Transportation Authority</v>
      </c>
      <c r="M32" s="60">
        <v>0</v>
      </c>
      <c r="N32" s="60">
        <v>0</v>
      </c>
      <c r="O32"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32"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32" s="60" t="str">
        <v>Strategic Alliance</v>
      </c>
      <c r="R32" s="60" t="str">
        <v>n.a.</v>
      </c>
      <c r="S32" s="60" t="str">
        <v>Service Integration</v>
      </c>
      <c r="T32" s="60" t="str">
        <v>-</v>
      </c>
      <c r="U32" s="60" t="str">
        <v>-</v>
      </c>
      <c r="V32" s="60" t="str">
        <v>-</v>
      </c>
      <c r="W32" s="60" t="str">
        <v>2.1. Short term Alliance (no exclusivity / previous experience)</v>
      </c>
      <c r="X32" s="60">
        <v>0</v>
      </c>
      <c r="Y32"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32" s="60" t="str">
        <v>Joint Service Agreement</v>
      </c>
      <c r="AA32"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32" s="60">
        <v>0</v>
      </c>
      <c r="AC32" s="60">
        <v>0</v>
      </c>
      <c r="AD32" s="60">
        <v>0</v>
      </c>
      <c r="AE32" s="60">
        <v>0</v>
      </c>
      <c r="AF32" s="60" t="str">
        <v xml:space="preserve">Contra Costa Transportation Authority and Beep Partner to Deliver </v>
      </c>
      <c r="AG32" s="60" t="str">
        <v>Autonomous Vehicle Projects in California</v>
      </c>
    </row>
    <row r="33" spans="1:33" x14ac:dyDescent="0.35">
      <c r="A33" s="60" t="str">
        <v>https://ridebeep.com/press-releases/zf-announces-partnership-with-beep-unveils-next-generation-autonomous-shuttle</v>
      </c>
      <c r="B33" s="60" t="str">
        <v>2023, 1, 4</v>
      </c>
      <c r="C33" s="105">
        <v>44930</v>
      </c>
      <c r="D33" s="60" t="str">
        <v>ZF announces partnership with Beep, unveils next-generation autonomous shuttle</v>
      </c>
      <c r="E33" s="60" t="str">
        <v>Beep</v>
      </c>
      <c r="F33" s="60" t="str">
        <v>L3</v>
      </c>
      <c r="G33" s="60" t="str">
        <v>Beep-SAV</v>
      </c>
      <c r="H33" s="60" t="str">
        <v>SAV</v>
      </c>
      <c r="I33" s="60" t="str">
        <v>Ridepooling</v>
      </c>
      <c r="J33" s="60" t="str">
        <v>Ridepooling</v>
      </c>
      <c r="K33" s="60" t="str">
        <v>ZF</v>
      </c>
      <c r="L33" s="60" t="str">
        <v>ZF</v>
      </c>
      <c r="M33" s="60">
        <v>0</v>
      </c>
      <c r="N33" s="60">
        <v>0</v>
      </c>
      <c r="O33"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33"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33" s="60" t="str">
        <v>Strategic Alliance</v>
      </c>
      <c r="R33" s="60" t="str">
        <v>Yes</v>
      </c>
      <c r="S33" s="60" t="str">
        <v>Service Integration</v>
      </c>
      <c r="T33" s="60" t="str">
        <v>Long term - coming years</v>
      </c>
      <c r="U33" s="60" t="str">
        <v>-</v>
      </c>
      <c r="V33" s="60" t="str">
        <v>-</v>
      </c>
      <c r="W33" s="60" t="str">
        <v>2.3. Long term Alliance</v>
      </c>
      <c r="X33" s="60">
        <v>0</v>
      </c>
      <c r="Y33"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33" s="60" t="str">
        <v>Joint Service Agreement</v>
      </c>
      <c r="AA33" s="60" t="str">
        <v>"Our offer of clean, efficient and affordable mobility is convincing, and has found a partner and major customer in Beep"</v>
      </c>
      <c r="AB33" s="60">
        <v>0</v>
      </c>
      <c r="AC33" s="60">
        <v>0</v>
      </c>
      <c r="AD33" s="60">
        <v>0</v>
      </c>
      <c r="AE33" s="60">
        <v>0</v>
      </c>
      <c r="AF33" s="60" t="str">
        <v>ZF announces partnership with Beep, unveils next-generation autonomous shuttle</v>
      </c>
      <c r="AG33" s="60">
        <v>0</v>
      </c>
    </row>
    <row r="34" spans="1:33" x14ac:dyDescent="0.35">
      <c r="A34" s="60" t="str">
        <v>https://www.ridebeep.com/press-releases/beep-and-oxa-announce-partnership-to-deploy-autonomous-vehicles-driven-by-oxa-in-united-states</v>
      </c>
      <c r="B34" s="60" t="str">
        <v>2023, 8, 24</v>
      </c>
      <c r="C34" s="105">
        <v>45162</v>
      </c>
      <c r="D34" s="60" t="str">
        <v>Beep and Oxa Announce Partnership to Deploy Autonomous Vehicles Driven by Oxa in United States</v>
      </c>
      <c r="E34" s="60" t="str">
        <v>Beep</v>
      </c>
      <c r="F34" s="60" t="str">
        <v>L3</v>
      </c>
      <c r="G34" s="60" t="str">
        <v>Beep-SAV</v>
      </c>
      <c r="H34" s="60" t="str">
        <v>SAV</v>
      </c>
      <c r="I34" s="60" t="str">
        <v>Ridepooling</v>
      </c>
      <c r="J34" s="60" t="str">
        <v>Ridepooling</v>
      </c>
      <c r="K34" s="60" t="str">
        <v>Oxa</v>
      </c>
      <c r="L34" s="60" t="str">
        <v>Oxa</v>
      </c>
      <c r="M34" s="60">
        <v>0</v>
      </c>
      <c r="N34" s="60">
        <v>0</v>
      </c>
      <c r="O34"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34"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34" s="60" t="str">
        <v>Strategic Alliance</v>
      </c>
      <c r="R34" s="60" t="str">
        <v>n.a.</v>
      </c>
      <c r="S34" s="60" t="str">
        <v>Service Integration</v>
      </c>
      <c r="T34" s="60" t="str">
        <v>Long term - Future years mentioned</v>
      </c>
      <c r="U34" s="60" t="str">
        <v>Yes</v>
      </c>
      <c r="V34" s="60" t="str">
        <v>-</v>
      </c>
      <c r="W34" s="60" t="str">
        <v>2.3. Long term Alliance</v>
      </c>
      <c r="X34" s="60">
        <v>0</v>
      </c>
      <c r="Y34" s="60" t="str">
        <v>the strategic partnership will see Oxa's autonomy software installed in a variety of vehicle types operated by Beep, from current passenger shuttles to future vehicle platforms</v>
      </c>
      <c r="Z34" s="60" t="str">
        <v>Joint Service Agreement</v>
      </c>
      <c r="AA34" s="60" t="str">
        <v>the strategic partnership will see Oxa's autonomy software installed in a variety of vehicle types operated by Beep, from current passenger shuttles to future vehicle platforms</v>
      </c>
      <c r="AB34" s="60">
        <v>0</v>
      </c>
      <c r="AC34" s="60">
        <v>0</v>
      </c>
      <c r="AD34" s="60">
        <v>0</v>
      </c>
      <c r="AE34" s="60">
        <v>0</v>
      </c>
      <c r="AF34" s="60" t="str">
        <v>Beep and Oxa Announce Partnership to Deploy Autonomous Vehicles Driven by Oxa in United States</v>
      </c>
      <c r="AG34" s="60">
        <v>0</v>
      </c>
    </row>
    <row r="35" spans="1:33" x14ac:dyDescent="0.35">
      <c r="A35" s="60" t="str">
        <v>https://getcruise.com/news/pressrelease/2021/cruise-and-gm-team-up-with-microsoft-to-commercialize-self-driving-vehicles/</v>
      </c>
      <c r="B35" s="60" t="str">
        <v>2021, 1, 19</v>
      </c>
      <c r="C35" s="105">
        <v>44215</v>
      </c>
      <c r="D35" s="60" t="str">
        <v>Cruise and GM team up with Microsoft to commercialize self-driving vehicles</v>
      </c>
      <c r="E35" s="60" t="str">
        <v>Cruise</v>
      </c>
      <c r="F35" s="60" t="str">
        <v>L1</v>
      </c>
      <c r="G35" s="60" t="str">
        <v>Cruise-SAV</v>
      </c>
      <c r="H35" s="60" t="str">
        <v>SAV</v>
      </c>
      <c r="I35" s="60" t="str">
        <v>Ridehailing</v>
      </c>
      <c r="J35" s="60" t="str">
        <v>Ridehailing</v>
      </c>
      <c r="K35" s="60" t="str">
        <v>GM;Microsoft</v>
      </c>
      <c r="L35" s="60" t="str">
        <v>GM</v>
      </c>
      <c r="M35" s="60" t="str">
        <v>Microsoft</v>
      </c>
      <c r="N35" s="60">
        <v>0</v>
      </c>
      <c r="O35"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35"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35" s="60" t="str">
        <v>Strategic Partnership</v>
      </c>
      <c r="R35" s="60" t="str">
        <v>n.a.</v>
      </c>
      <c r="S35" s="60" t="str">
        <v>Product cooperation</v>
      </c>
      <c r="T35" s="60" t="str">
        <v>Long term</v>
      </c>
      <c r="U35" s="60" t="str">
        <v>-</v>
      </c>
      <c r="V35" s="60" t="str">
        <v>-</v>
      </c>
      <c r="W35" s="60" t="str">
        <v>3. Strategic Partnership</v>
      </c>
      <c r="X35" s="60">
        <v>0</v>
      </c>
      <c r="Y35"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35" s="60" t="str">
        <v>Joint D&amp;D</v>
      </c>
      <c r="AA35"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35" s="60">
        <v>0</v>
      </c>
      <c r="AC35" s="60">
        <v>0</v>
      </c>
      <c r="AD35" s="60">
        <v>0</v>
      </c>
      <c r="AE35" s="60">
        <v>0</v>
      </c>
      <c r="AF35" s="60" t="str">
        <v>Cruise and GM team up with Microsoft to commercialize self-driving vehicles</v>
      </c>
      <c r="AG35" s="60">
        <v>0</v>
      </c>
    </row>
    <row r="36" spans="1:33" x14ac:dyDescent="0.35">
      <c r="A36" s="60" t="str">
        <v>https://easymile.com/news/ces2023-trust-soft-and-easymile-collaborate-complement-product-development-strategies</v>
      </c>
      <c r="B36" s="60" t="str">
        <v>2023, 1, 5</v>
      </c>
      <c r="C36" s="105">
        <v>44931</v>
      </c>
      <c r="D36" s="60" t="str">
        <v>#CES2023 - Trust in Soft and EasyMile collaborate to complement product development strategies</v>
      </c>
      <c r="E36" s="60" t="str">
        <v>EasyMile</v>
      </c>
      <c r="F36" s="60" t="str">
        <v>L2</v>
      </c>
      <c r="G36" s="60" t="str">
        <v>EasyMile-SAV</v>
      </c>
      <c r="H36" s="60" t="str">
        <v>SAV</v>
      </c>
      <c r="I36" s="60" t="str">
        <v>Ridepooling</v>
      </c>
      <c r="J36" s="60" t="str">
        <v>Ridepooling</v>
      </c>
      <c r="K36" s="60" t="str">
        <v>TrustInSoft</v>
      </c>
      <c r="L36" s="60" t="str">
        <v>TrustInSoft</v>
      </c>
      <c r="M36" s="60">
        <v>0</v>
      </c>
      <c r="N36" s="60">
        <v>0</v>
      </c>
      <c r="O36"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6" s="60" t="str">
        <v>EasyMile, a vendor of autonomous mobility solutions, has chosen TrustInSoft Analyzer to complement its product development strategies.</v>
      </c>
      <c r="Q36" s="60" t="str">
        <v>Informal Agreement</v>
      </c>
      <c r="R36" s="60" t="str">
        <v>n.a.</v>
      </c>
      <c r="S36" s="60" t="str">
        <v>Financing</v>
      </c>
      <c r="T36" s="60" t="str">
        <v>-</v>
      </c>
      <c r="U36" s="60" t="str">
        <v>-</v>
      </c>
      <c r="V36" s="60" t="str">
        <v>-</v>
      </c>
      <c r="W36" s="60" t="str">
        <v>1. Informal Agreement</v>
      </c>
      <c r="X36" s="60">
        <v>0</v>
      </c>
      <c r="Y36"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6" s="60" t="str">
        <v>Licensing</v>
      </c>
      <c r="AA36"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6" s="60">
        <v>0</v>
      </c>
      <c r="AC36" s="60">
        <v>0</v>
      </c>
      <c r="AD36" s="60">
        <v>0</v>
      </c>
      <c r="AE36" s="60">
        <v>0</v>
      </c>
      <c r="AF36" s="60" t="str">
        <v xml:space="preserve">#CES2023 - Trust in Soft and EasyMile collaborate to complement </v>
      </c>
      <c r="AG36" s="60" t="str">
        <v>product development strategies</v>
      </c>
    </row>
    <row r="37" spans="1:33" x14ac:dyDescent="0.35">
      <c r="A37" s="60" t="str">
        <v>https://easymile.com/news/iaa-frankfurt-continental-and-easymile-partner-demonstrate-ez10</v>
      </c>
      <c r="B37" s="60" t="str">
        <v>2019, 9, 12</v>
      </c>
      <c r="C37" s="105">
        <v>43720</v>
      </c>
      <c r="D37" s="60" t="str">
        <v>IAA Frankfurt: Continental and EasyMile Partner to Demonstrate an EZ10</v>
      </c>
      <c r="E37" s="60" t="str">
        <v>EasyMile</v>
      </c>
      <c r="F37" s="60" t="str">
        <v>L2</v>
      </c>
      <c r="G37" s="60" t="str">
        <v>EasyMile-SAV</v>
      </c>
      <c r="H37" s="60" t="str">
        <v>SAV</v>
      </c>
      <c r="I37" s="60" t="str">
        <v>Ridepooling</v>
      </c>
      <c r="J37" s="60" t="str">
        <v>Ridepooling</v>
      </c>
      <c r="K37" s="60" t="str">
        <v>Continental</v>
      </c>
      <c r="L37" s="60" t="str">
        <v>Continental</v>
      </c>
      <c r="M37" s="60">
        <v>0</v>
      </c>
      <c r="N37" s="60">
        <v>0</v>
      </c>
      <c r="O37"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7"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7" s="60" t="str">
        <v>Informal Agreement</v>
      </c>
      <c r="R37" s="60" t="str">
        <v>n.a.</v>
      </c>
      <c r="S37" s="60" t="str">
        <v>One time - Trade show</v>
      </c>
      <c r="T37" s="60" t="str">
        <v>-</v>
      </c>
      <c r="U37" s="60" t="str">
        <v>Yes</v>
      </c>
      <c r="V37" s="60" t="str">
        <v>-</v>
      </c>
      <c r="W37" s="60" t="str">
        <v>1. Informal Agreement</v>
      </c>
      <c r="X37" s="60">
        <v>0</v>
      </c>
      <c r="Y37"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7" s="60" t="str">
        <v>Marketing Agreement</v>
      </c>
      <c r="AA37"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7" s="60">
        <v>0</v>
      </c>
      <c r="AC37" s="60">
        <v>0</v>
      </c>
      <c r="AD37" s="60">
        <v>0</v>
      </c>
      <c r="AE37" s="60">
        <v>0</v>
      </c>
      <c r="AF37" s="60" t="str">
        <v xml:space="preserve">IAA Frankfurt: Continental and EasyMile Partner to Demonstrate </v>
      </c>
      <c r="AG37" s="60" t="str">
        <v>an EZ10</v>
      </c>
    </row>
    <row r="38" spans="1:33" x14ac:dyDescent="0.35">
      <c r="A38" s="60" t="str">
        <v>https://easymile.com/news/easymile-and-sono-motors-reveal-collaboration-autonomous-solar-powered-passenger-shuttle</v>
      </c>
      <c r="B38" s="60" t="str">
        <v>2021, 1, 22</v>
      </c>
      <c r="C38" s="105">
        <v>44218</v>
      </c>
      <c r="D38" s="60" t="str">
        <v>EasyMile and Sono Motors Reveal Collaboration on Autonomous Solar-Powered Passenger Shuttle</v>
      </c>
      <c r="E38" s="60" t="str">
        <v>EasyMile</v>
      </c>
      <c r="F38" s="60" t="str">
        <v>L2</v>
      </c>
      <c r="G38" s="60" t="str">
        <v>EasyMile-SAV</v>
      </c>
      <c r="H38" s="60" t="str">
        <v>SAV</v>
      </c>
      <c r="I38" s="60" t="str">
        <v>Ridepooling</v>
      </c>
      <c r="J38" s="60" t="str">
        <v>Ridepooling</v>
      </c>
      <c r="K38" s="60" t="str">
        <v>Sono Motors</v>
      </c>
      <c r="L38" s="60" t="str">
        <v>Sono Motors</v>
      </c>
      <c r="M38" s="60">
        <v>0</v>
      </c>
      <c r="N38" s="60">
        <v>0</v>
      </c>
      <c r="O38"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8" s="60" t="str">
        <v>EasyMile and Sono Motors are equipping an EZ10 autonomous shuttle prototype with Sono Motors' patented solar technology, testing a new energy concept for electric and driverless shuttles.</v>
      </c>
      <c r="Q38" s="60" t="str">
        <v>Strategic Alliance</v>
      </c>
      <c r="R38" s="60" t="str">
        <v>n.a.</v>
      </c>
      <c r="S38" s="60" t="str">
        <v>One time -  Pilot</v>
      </c>
      <c r="T38" s="60" t="str">
        <v>-</v>
      </c>
      <c r="U38" s="60" t="str">
        <v>-</v>
      </c>
      <c r="V38" s="60" t="str">
        <v>-</v>
      </c>
      <c r="W38" s="60" t="str">
        <v>2.1. Short term Alliance (no exclusivity / previous experience)</v>
      </c>
      <c r="X38" s="60">
        <v>0</v>
      </c>
      <c r="Y38" s="60" t="str">
        <v>EasyMile and Sono Motors are equipping an EZ10 autonomous shuttle prototype with Sono Motors' patented solar technology, testing a new energy concept for electric and driverless shuttles.</v>
      </c>
      <c r="Z38" s="60" t="str">
        <v>Research &amp; Collaboration</v>
      </c>
      <c r="AA38" s="60" t="str">
        <v>EasyMile and Sono Motors are equipping an EZ10 autonomous shuttle prototype with Sono Motors' patented solar technology, testing a new energy concept for electric and driverless shuttles.</v>
      </c>
      <c r="AB38" s="60">
        <v>0</v>
      </c>
      <c r="AC38" s="60">
        <v>0</v>
      </c>
      <c r="AD38" s="60">
        <v>0</v>
      </c>
      <c r="AE38" s="60">
        <v>0</v>
      </c>
      <c r="AF38" s="60" t="str">
        <v xml:space="preserve">EasyMile and Sono Motors Reveal Collaboration on </v>
      </c>
      <c r="AG38" s="60" t="str">
        <v>Autonomous Solar-Powered Passenger Shuttle</v>
      </c>
    </row>
    <row r="39" spans="1:33" x14ac:dyDescent="0.35">
      <c r="A39" s="60" t="str">
        <v>https://easymile.com/news/phoenix-motorcars-and-easymile-collaborate-deploy-delivery-trucks-well-autonomous-shuttle</v>
      </c>
      <c r="B39" s="60" t="str">
        <v>2020, 12, 21</v>
      </c>
      <c r="C39" s="105">
        <v>43851</v>
      </c>
      <c r="D39" s="60" t="str">
        <v>Phoenix Motorcars and EasyMile Collaborate to Deploy Delivery Trucks as well as Autonomous Shuttle Buses</v>
      </c>
      <c r="E39" s="60" t="str">
        <v>EasyMile</v>
      </c>
      <c r="F39" s="60" t="str">
        <v>L2</v>
      </c>
      <c r="G39" s="60" t="str">
        <v>EasyMile-SAV</v>
      </c>
      <c r="H39" s="60" t="str">
        <v>SAV</v>
      </c>
      <c r="I39" s="60" t="str">
        <v>Ridepooling</v>
      </c>
      <c r="J39" s="60" t="str">
        <v>Ridepooling</v>
      </c>
      <c r="K39" s="60" t="str">
        <v>Phoenix Motorcars</v>
      </c>
      <c r="L39" s="60" t="str">
        <v>Phoenix Motorcars</v>
      </c>
      <c r="M39" s="60">
        <v>0</v>
      </c>
      <c r="N39" s="60">
        <v>0</v>
      </c>
      <c r="O39"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39"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39" s="60" t="str">
        <v>Strategic Alliance</v>
      </c>
      <c r="R39" s="60" t="str">
        <v>n.a.</v>
      </c>
      <c r="S39" s="60" t="str">
        <v>Product cooperation</v>
      </c>
      <c r="T39" s="60" t="str">
        <v>-</v>
      </c>
      <c r="U39" s="60" t="str">
        <v>-</v>
      </c>
      <c r="V39" s="60" t="str">
        <v>-</v>
      </c>
      <c r="W39" s="60" t="str">
        <v>2.1. Short term Alliance (no exclusivity / previous experience)</v>
      </c>
      <c r="X39" s="60">
        <v>0</v>
      </c>
      <c r="Y39"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39" s="60" t="str">
        <v>Joint D&amp;D</v>
      </c>
      <c r="AA39"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39" s="60">
        <v>0</v>
      </c>
      <c r="AC39" s="60">
        <v>0</v>
      </c>
      <c r="AD39" s="60">
        <v>0</v>
      </c>
      <c r="AE39" s="60">
        <v>0</v>
      </c>
      <c r="AF39" s="60" t="str">
        <v>Phoenix Motorcars and EasyMile Collaborate to Deploy Delivery Trucks as well as Autonomous Shuttle Buses</v>
      </c>
      <c r="AG39" s="60">
        <v>0</v>
      </c>
    </row>
    <row r="40" spans="1:33" x14ac:dyDescent="0.35">
      <c r="A40" s="60" t="str">
        <v>https://easymile.com/news/easymile-and-continental-collaborate-shanghai-jiading-industrial-zone-develop-driverless</v>
      </c>
      <c r="B40" s="60" t="str">
        <v>2019, 12, 19</v>
      </c>
      <c r="C40" s="105">
        <v>43484</v>
      </c>
      <c r="D40" s="60" t="str">
        <v>EasyMile and Continental Collaborate with Shanghai Jiading Industrial Zone to Develop Driverless Technology in China</v>
      </c>
      <c r="E40" s="60" t="str">
        <v>EasyMile</v>
      </c>
      <c r="F40" s="60" t="str">
        <v>L2</v>
      </c>
      <c r="G40" s="60" t="str">
        <v>EasyMile-SAV</v>
      </c>
      <c r="H40" s="60" t="str">
        <v>SAV</v>
      </c>
      <c r="I40" s="60" t="str">
        <v>Ridepooling</v>
      </c>
      <c r="J40" s="60" t="str">
        <v>Ridepooling</v>
      </c>
      <c r="K40" s="60" t="str">
        <v>Continental;Shanghai Jiading Industrial Zone</v>
      </c>
      <c r="L40" s="60" t="str">
        <v>Continental</v>
      </c>
      <c r="M40" s="60" t="str">
        <v>Shanghai Jiading Industrial Zone</v>
      </c>
      <c r="N40" s="60">
        <v>0</v>
      </c>
      <c r="O40"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40"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40" s="60" t="str">
        <v>Strategic Alliance</v>
      </c>
      <c r="R40" s="60" t="str">
        <v>Yes</v>
      </c>
      <c r="S40" s="60" t="str">
        <v>Product cooperation</v>
      </c>
      <c r="T40" s="60" t="str">
        <v>-</v>
      </c>
      <c r="U40" s="60" t="str">
        <v>Yes</v>
      </c>
      <c r="V40" s="60" t="str">
        <v>-</v>
      </c>
      <c r="W40" s="60" t="str">
        <v xml:space="preserve">2.2. Renewed Alliance </v>
      </c>
      <c r="X40" s="60">
        <v>0</v>
      </c>
      <c r="Y40"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40" s="60" t="str">
        <v>Joint D&amp;D</v>
      </c>
      <c r="AA40"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40" s="60">
        <v>0</v>
      </c>
      <c r="AC40" s="60">
        <v>0</v>
      </c>
      <c r="AD40" s="60">
        <v>0</v>
      </c>
      <c r="AE40" s="60">
        <v>0</v>
      </c>
      <c r="AF40" s="60" t="str">
        <v>EasyMile and Continental Collaborate with Shanghai Jiading Industrial Zone to Develop Driverless Technology in China</v>
      </c>
      <c r="AG40" s="60">
        <v>0</v>
      </c>
    </row>
    <row r="41" spans="1:33" x14ac:dyDescent="0.35">
      <c r="A41" s="60" t="str">
        <v>https://easymile.com/news/easymile-and-kalray-strengthen-development-platform-collaboration</v>
      </c>
      <c r="B41" s="60" t="str">
        <v>2021, 1, 6</v>
      </c>
      <c r="C41" s="105">
        <v>44202</v>
      </c>
      <c r="D41" s="60" t="str">
        <v>EasyMile and Kalray Strengthen Development Platform Collaboration</v>
      </c>
      <c r="E41" s="60" t="str">
        <v>EasyMile</v>
      </c>
      <c r="F41" s="60" t="str">
        <v>L2</v>
      </c>
      <c r="G41" s="60" t="str">
        <v>EasyMile-SAV</v>
      </c>
      <c r="H41" s="60" t="str">
        <v>SAV</v>
      </c>
      <c r="I41" s="60" t="str">
        <v>Ridepooling</v>
      </c>
      <c r="J41" s="60" t="str">
        <v>Ridepooling</v>
      </c>
      <c r="K41" s="60" t="str">
        <v>Kalray</v>
      </c>
      <c r="L41" s="60" t="str">
        <v>Kalray</v>
      </c>
      <c r="M41" s="60">
        <v>0</v>
      </c>
      <c r="N41" s="60">
        <v>0</v>
      </c>
      <c r="O41"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41" s="60" t="str">
        <v>“Autonomous technology provider EasyMile and intelligent processors supplier Kalray have deepened their relationship with the signature of a Memorandum of Understanding (MoU) formalizing their relationship to develop intelligent systems.</v>
      </c>
      <c r="Q41" s="60" t="str">
        <v>Strategic Alliance</v>
      </c>
      <c r="R41" s="60" t="str">
        <v>Yes</v>
      </c>
      <c r="S41" s="60" t="str">
        <v>Product cooperation</v>
      </c>
      <c r="T41" s="60" t="str">
        <v>-</v>
      </c>
      <c r="U41" s="60" t="str">
        <v>Yes</v>
      </c>
      <c r="V41" s="60" t="str">
        <v>-</v>
      </c>
      <c r="W41" s="60" t="str">
        <v xml:space="preserve">2.2. Renewed Alliance </v>
      </c>
      <c r="X41" s="60">
        <v>0</v>
      </c>
      <c r="Y41"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41" s="60" t="str">
        <v>Supply Partnership (traditional)</v>
      </c>
      <c r="AA41"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41" s="60">
        <v>0</v>
      </c>
      <c r="AC41" s="60">
        <v>0</v>
      </c>
      <c r="AD41" s="60">
        <v>0</v>
      </c>
      <c r="AE41" s="60">
        <v>0</v>
      </c>
      <c r="AF41" s="60" t="str">
        <v>EasyMile and Kalray Strengthen Development Platform Collaboration</v>
      </c>
      <c r="AG41" s="60">
        <v>0</v>
      </c>
    </row>
    <row r="42" spans="1:33" x14ac:dyDescent="0.35">
      <c r="A42" s="60" t="str">
        <v>https://ioki.com/en/deutsche-bahn-and-berlins-municipal-public-transportation-operator-berliner-verkehrsbetriebe-are-cooperation-partners-in-the-area-of-autonomous-driving/</v>
      </c>
      <c r="B42" s="60" t="str">
        <v>2018, 4, 9</v>
      </c>
      <c r="C42" s="105">
        <v>43199</v>
      </c>
      <c r="D42" s="60" t="str">
        <v>Deutsche Bahn and Berlin's municipal public transportation operator Berliner Verkehrsbetriebe are cooperation partners in the area of autonomous driving</v>
      </c>
      <c r="E42" s="60" t="str">
        <v>Ioki</v>
      </c>
      <c r="F42" s="60" t="str">
        <v>L4</v>
      </c>
      <c r="G42" s="60" t="str">
        <v>Ioki-SAV</v>
      </c>
      <c r="H42" s="60" t="str">
        <v>SAV</v>
      </c>
      <c r="I42" s="60" t="str">
        <v>Ridepooling</v>
      </c>
      <c r="J42" s="60" t="str">
        <v>Ridepooling</v>
      </c>
      <c r="K42" s="60" t="str">
        <v>Deutsche Bahn;Berliner Verkehrsbetriebe</v>
      </c>
      <c r="L42" s="60" t="str">
        <v>Deutsche Bahn</v>
      </c>
      <c r="M42" s="60" t="str">
        <v>Berliner Verkehrsbetriebe</v>
      </c>
      <c r="N42" s="60">
        <v>0</v>
      </c>
      <c r="O42"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42"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42" s="60" t="str">
        <v>Strategic Alliance</v>
      </c>
      <c r="R42" s="60" t="str">
        <v>n.a.</v>
      </c>
      <c r="S42" s="60" t="str">
        <v xml:space="preserve">One time  - Pilot </v>
      </c>
      <c r="T42" s="60" t="str">
        <v>-</v>
      </c>
      <c r="U42" s="60" t="str">
        <v>-</v>
      </c>
      <c r="V42" s="60" t="str">
        <v>-</v>
      </c>
      <c r="W42" s="60" t="str">
        <v>2.1. Short term Alliance (no exclusivity / previous experience)</v>
      </c>
      <c r="X42" s="60">
        <v>0</v>
      </c>
      <c r="Y42"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42" s="60" t="str">
        <v>Joint D&amp;D</v>
      </c>
      <c r="AA42" s="60" t="str">
        <v xml:space="preserve">Current plans foresee the expansion of the test project to include operations on public streets. The project partners are working in close collaboration with local authorities in the search for a suitable route. </v>
      </c>
      <c r="AB42" s="60">
        <v>0</v>
      </c>
      <c r="AC42" s="60">
        <v>0</v>
      </c>
      <c r="AD42" s="60">
        <v>0</v>
      </c>
      <c r="AE42" s="60">
        <v>0</v>
      </c>
      <c r="AF42" s="60" t="str">
        <v xml:space="preserve">Deutsche Bahn and Berlin's municipal public transportation operator Berliner Verkehrsbetriebe are cooperation partners </v>
      </c>
      <c r="AG42" s="60" t="str">
        <v>in the area of autonomous driving</v>
      </c>
    </row>
    <row r="43" spans="1:33" x14ac:dyDescent="0.35">
      <c r="A43" s="60" t="str">
        <v>https://ioki.com/en/automated-public-transport-ioki-to-be-technology-partner-of-the-research-project-minga-in-munich/</v>
      </c>
      <c r="B43" s="60" t="str">
        <v>2023, 5, 24</v>
      </c>
      <c r="C43" s="105">
        <v>45070</v>
      </c>
      <c r="D43" s="60" t="str">
        <v>Automated public transport: ioki to be technology partner of the research project MINGA in Munich</v>
      </c>
      <c r="E43" s="60" t="str">
        <v>Ioki</v>
      </c>
      <c r="F43" s="60" t="str">
        <v>L4</v>
      </c>
      <c r="G43" s="60" t="str">
        <v>Ioki-SAV</v>
      </c>
      <c r="H43" s="60" t="str">
        <v>SAV</v>
      </c>
      <c r="I43" s="60" t="str">
        <v>Ridepooling</v>
      </c>
      <c r="J43" s="60" t="str">
        <v>Ridepooling</v>
      </c>
      <c r="K43" s="60" t="str">
        <v>MINGA</v>
      </c>
      <c r="L43" s="60" t="str">
        <v>MINGA</v>
      </c>
      <c r="M43" s="60">
        <v>0</v>
      </c>
      <c r="N43" s="60">
        <v>0</v>
      </c>
      <c r="O43"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43" s="60" t="str">
        <v>Today, the consecutive partners presented the project to the public. The pilot operation of automated shuttles accompanied by a safety driver is planned from 2025.</v>
      </c>
      <c r="Q43" s="60" t="str">
        <v>Strategic Alliance</v>
      </c>
      <c r="R43" s="60" t="str">
        <v>n.a.</v>
      </c>
      <c r="S43" s="60" t="str">
        <v xml:space="preserve">One time  - Pilot </v>
      </c>
      <c r="T43" s="60" t="str">
        <v>-</v>
      </c>
      <c r="U43" s="60" t="str">
        <v>-</v>
      </c>
      <c r="V43" s="60" t="str">
        <v>-</v>
      </c>
      <c r="W43" s="60" t="str">
        <v>2.1. Short term Alliance (no exclusivity / previous experience)</v>
      </c>
      <c r="X43" s="60">
        <v>0</v>
      </c>
      <c r="Y43"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43" s="60" t="str">
        <v>Joint Service Agreement</v>
      </c>
      <c r="AA43"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43" s="60">
        <v>0</v>
      </c>
      <c r="AC43" s="60">
        <v>0</v>
      </c>
      <c r="AD43" s="60">
        <v>0</v>
      </c>
      <c r="AE43" s="60">
        <v>0</v>
      </c>
      <c r="AF43" s="60" t="str">
        <v xml:space="preserve">Automated public transport: ioki to be technology partner of </v>
      </c>
      <c r="AG43" s="60" t="str">
        <v>the research project MINGA in Munich</v>
      </c>
    </row>
    <row r="44" spans="1:33" x14ac:dyDescent="0.35">
      <c r="A44" s="60" t="str">
        <v>https://maymobility.com/posts/bridgestone-invests-in-autonomous-driving-technology-provider-may-mobility-kicks-off-broader-partnership/</v>
      </c>
      <c r="B44" s="60" t="str">
        <v>2022, 3, 21</v>
      </c>
      <c r="C44" s="105">
        <v>44641</v>
      </c>
      <c r="D44" s="60" t="str">
        <v>Bridgestone invests in autonomous driving technology provider May Mobility, kicks off broader partnership</v>
      </c>
      <c r="E44" s="60" t="str">
        <v>May Mobility</v>
      </c>
      <c r="F44" s="60" t="str">
        <v>L1</v>
      </c>
      <c r="G44" s="60" t="str">
        <v>May Mobility-SAV</v>
      </c>
      <c r="H44" s="60" t="str">
        <v>SAV</v>
      </c>
      <c r="I44" s="60" t="str">
        <v>Ridehailing</v>
      </c>
      <c r="J44" s="60" t="str">
        <v>Ridehailing</v>
      </c>
      <c r="K44" s="60" t="str">
        <v>Bridgestone</v>
      </c>
      <c r="L44" s="60" t="str">
        <v>Bridgestone</v>
      </c>
      <c r="M44" s="60">
        <v>0</v>
      </c>
      <c r="N44" s="60">
        <v>0</v>
      </c>
      <c r="O44"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44"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44" s="60" t="str">
        <v>Strategic Partnership</v>
      </c>
      <c r="R44" s="60" t="str">
        <v>n.a.</v>
      </c>
      <c r="S44" s="60" t="str">
        <v>Product Integration</v>
      </c>
      <c r="T44" s="60" t="str">
        <v>-</v>
      </c>
      <c r="U44" s="60" t="str">
        <v>-</v>
      </c>
      <c r="V44" s="60" t="str">
        <v>-</v>
      </c>
      <c r="W44" s="60" t="str">
        <v>3. Strategic Partnership</v>
      </c>
      <c r="X44" s="60">
        <v>0</v>
      </c>
      <c r="Y44"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44" s="60" t="str">
        <v>Joint D&amp;D</v>
      </c>
      <c r="AA44" s="60" t="str">
        <v>the new partnership will include the future integration of Bridgestone's digital and predictive tire-centric technologies into May Mobility autonomous vehicles, granting deeper AV intelligence for even safer and more efficient operation.</v>
      </c>
      <c r="AB44" s="60" t="str">
        <v>Research &amp; Collaboration</v>
      </c>
      <c r="AC44" s="60" t="str">
        <v>Through the partnership, Bridgestone will also gain valuable insights into autonomous vehicle operations to improve its core tire products and mobility solutions.</v>
      </c>
      <c r="AD44" s="60">
        <v>0</v>
      </c>
      <c r="AE44" s="60">
        <v>0</v>
      </c>
      <c r="AF44" s="60" t="str">
        <v xml:space="preserve">Bridgestone invests </v>
      </c>
      <c r="AG44" s="60" t="str">
        <v>in autonomous driving technology provider May Mobility, kicks off broader partnership</v>
      </c>
    </row>
    <row r="45" spans="1:33" x14ac:dyDescent="0.35">
      <c r="A45" s="60" t="str">
        <v>https://maymobility.com/posts/may-mobility-and-stantec-partner-to-deliver-turnkey-av-microtransit-solutions/</v>
      </c>
      <c r="B45" s="60" t="str">
        <v>2023, 3, 28</v>
      </c>
      <c r="C45" s="105">
        <v>45013</v>
      </c>
      <c r="D45" s="60" t="str">
        <v>May Mobility and Stantec partner to deliver turnkey AV microtransit solutions</v>
      </c>
      <c r="E45" s="60" t="str">
        <v>May Mobility</v>
      </c>
      <c r="F45" s="60" t="str">
        <v>L1</v>
      </c>
      <c r="G45" s="60" t="str">
        <v>May Mobility-SAV</v>
      </c>
      <c r="H45" s="60" t="str">
        <v>SAV</v>
      </c>
      <c r="I45" s="60" t="str">
        <v>Ridehailing</v>
      </c>
      <c r="J45" s="60" t="str">
        <v>Ridehailing</v>
      </c>
      <c r="K45" s="60" t="str">
        <v>Stantec</v>
      </c>
      <c r="L45" s="60" t="str">
        <v>Stantec</v>
      </c>
      <c r="M45" s="60">
        <v>0</v>
      </c>
      <c r="N45" s="60">
        <v>0</v>
      </c>
      <c r="O45"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45" s="60" t="str">
        <v>"May Mobility is a global technology leader in autonomous mobility and we're proud to partner with them to establish and scale a complete AV deployment system</v>
      </c>
      <c r="Q45" s="60" t="str">
        <v>Strategic Alliance</v>
      </c>
      <c r="R45" s="60" t="str">
        <v>n.a.</v>
      </c>
      <c r="S45" s="60" t="str">
        <v>Service Integration</v>
      </c>
      <c r="T45" s="60" t="str">
        <v>-</v>
      </c>
      <c r="U45" s="60" t="str">
        <v>-</v>
      </c>
      <c r="V45" s="60" t="str">
        <v>-</v>
      </c>
      <c r="W45" s="60" t="str">
        <v>2.1. Short term Alliance (no exclusivity / previous experience)</v>
      </c>
      <c r="X45" s="60">
        <v>0</v>
      </c>
      <c r="Y45"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45" s="60" t="str">
        <v>Joint D&amp;D</v>
      </c>
      <c r="AA45"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45" s="60">
        <v>0</v>
      </c>
      <c r="AC45" s="60">
        <v>0</v>
      </c>
      <c r="AD45" s="60">
        <v>0</v>
      </c>
      <c r="AE45" s="60">
        <v>0</v>
      </c>
      <c r="AF45" s="60" t="str">
        <v xml:space="preserve">May Mobility and Stantec partner to deliver </v>
      </c>
      <c r="AG45" s="60" t="str">
        <v>turnkey AV microtransit solutions</v>
      </c>
    </row>
    <row r="46" spans="1:33" x14ac:dyDescent="0.35">
      <c r="A46" s="60" t="str">
        <v>https://maymobility.com/posts/spare-and-may-mobility-partner-to-deliver-a-powerful-on-demand-transit-solution-with-autonomous-vehicles/</v>
      </c>
      <c r="B46" s="60" t="str">
        <v>2023, 7, 19</v>
      </c>
      <c r="C46" s="105">
        <v>45126</v>
      </c>
      <c r="D46" s="60" t="str">
        <v>Spare and May Mobility Partner to Deliver a Powerful On-Demand Transit Solution with Autonomous Vehicles</v>
      </c>
      <c r="E46" s="60" t="str">
        <v>May Mobility</v>
      </c>
      <c r="F46" s="60" t="str">
        <v>L1</v>
      </c>
      <c r="G46" s="60" t="str">
        <v>May Mobility-SAV</v>
      </c>
      <c r="H46" s="60" t="str">
        <v>SAV</v>
      </c>
      <c r="I46" s="60" t="str">
        <v>Ridehailing</v>
      </c>
      <c r="J46" s="60" t="str">
        <v>Ridehailing</v>
      </c>
      <c r="K46" s="60" t="str">
        <v>Spare</v>
      </c>
      <c r="L46" s="60" t="str">
        <v>Spare</v>
      </c>
      <c r="M46" s="60">
        <v>0</v>
      </c>
      <c r="N46" s="60">
        <v>0</v>
      </c>
      <c r="O46"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46" s="60" t="str">
        <v xml:space="preserve">Spare, the leading on-demand transit platform, and May Mobility, a leader in the development and deployment of autonomous vehicle (AV) technology, have joined forces to deliver on-demand transit solutions leveraging autonomous vehicles. </v>
      </c>
      <c r="Q46" s="60" t="str">
        <v>Strategic Alliance</v>
      </c>
      <c r="R46" s="60" t="str">
        <v>n.a.</v>
      </c>
      <c r="S46" s="60" t="str">
        <v>Service Integration</v>
      </c>
      <c r="T46" s="60" t="str">
        <v>-</v>
      </c>
      <c r="U46" s="60" t="str">
        <v>-</v>
      </c>
      <c r="V46" s="60" t="str">
        <v>-</v>
      </c>
      <c r="W46" s="60" t="str">
        <v>2.1. Short term Alliance (no exclusivity / previous experience)</v>
      </c>
      <c r="X46" s="60">
        <v>0</v>
      </c>
      <c r="Y46"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46" s="60" t="str">
        <v>Joint Service Agreement</v>
      </c>
      <c r="AA46"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46" s="60">
        <v>0</v>
      </c>
      <c r="AC46" s="60">
        <v>0</v>
      </c>
      <c r="AD46" s="60">
        <v>0</v>
      </c>
      <c r="AE46" s="60">
        <v>0</v>
      </c>
      <c r="AF46" s="60" t="str">
        <v>Spare and May Mobility Partner to Deliver a Powerful On-Demand Transit Solution with Autonomous Vehicles</v>
      </c>
      <c r="AG46" s="60">
        <v>0</v>
      </c>
    </row>
    <row r="47" spans="1:33" x14ac:dyDescent="0.35">
      <c r="A47" s="60" t="str">
        <v>https://maymobility.com/posts/may-mobility-moovit-partner-to-deploy-complete-autonomous-mobility-package/</v>
      </c>
      <c r="B47" s="60" t="str">
        <v>2023, 4, 13</v>
      </c>
      <c r="C47" s="105">
        <v>45029</v>
      </c>
      <c r="D47" s="60" t="str">
        <v>May Mobility and Moovit partner to deploy complete autonomous mobility package</v>
      </c>
      <c r="E47" s="60" t="str">
        <v>May Mobility</v>
      </c>
      <c r="F47" s="60" t="str">
        <v>L1</v>
      </c>
      <c r="G47" s="60" t="str">
        <v>May Mobility-SAV</v>
      </c>
      <c r="H47" s="60" t="str">
        <v>SAV</v>
      </c>
      <c r="I47" s="60" t="str">
        <v>Ridehailing</v>
      </c>
      <c r="J47" s="60" t="str">
        <v>Ridehailing</v>
      </c>
      <c r="K47" s="60" t="str">
        <v>Moovit</v>
      </c>
      <c r="L47" s="60" t="str">
        <v>Moovit</v>
      </c>
      <c r="M47" s="60">
        <v>0</v>
      </c>
      <c r="N47" s="60">
        <v>0</v>
      </c>
      <c r="O47"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47" s="60" t="str">
        <v>The partnership will allow riders to easily plan, pay and ride in shared AVs while providing them a safe, accessible, and sustainable form of mobility in regions around the globe.</v>
      </c>
      <c r="Q47" s="60" t="str">
        <v>Strategic Alliance</v>
      </c>
      <c r="R47" s="60" t="str">
        <v>n.a.</v>
      </c>
      <c r="S47" s="60" t="str">
        <v>Service Integration</v>
      </c>
      <c r="T47" s="60" t="str">
        <v>-</v>
      </c>
      <c r="U47" s="60" t="str">
        <v>-</v>
      </c>
      <c r="V47" s="60" t="str">
        <v>-</v>
      </c>
      <c r="W47" s="60" t="str">
        <v>2.1. Short term Alliance (no exclusivity / previous experience)</v>
      </c>
      <c r="X47" s="60">
        <v>0</v>
      </c>
      <c r="Y47"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47" s="60" t="str">
        <v>Joint Service Agreement</v>
      </c>
      <c r="AA47"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47" s="60">
        <v>0</v>
      </c>
      <c r="AC47" s="60">
        <v>0</v>
      </c>
      <c r="AD47" s="60">
        <v>0</v>
      </c>
      <c r="AE47" s="60">
        <v>0</v>
      </c>
      <c r="AF47" s="60" t="str">
        <v>May Mobility and Moovit partner to deploy complete autonomous mobility package</v>
      </c>
      <c r="AG47" s="60">
        <v>0</v>
      </c>
    </row>
    <row r="48" spans="1:33" x14ac:dyDescent="0.35">
      <c r="A48" s="60" t="str">
        <v>https://maymobility.com/posts/liftango-and-may-mobility-partner/</v>
      </c>
      <c r="B48" s="60" t="str">
        <v>2023, 10, 25</v>
      </c>
      <c r="C48" s="105">
        <v>44951</v>
      </c>
      <c r="D48" s="60" t="str">
        <v>Liftango and May Mobility partner to deliver dynamic on-demand shared transport solutions with autonomous vehicles</v>
      </c>
      <c r="E48" s="60" t="str">
        <v>May Mobility</v>
      </c>
      <c r="F48" s="60" t="str">
        <v>L1</v>
      </c>
      <c r="G48" s="60" t="str">
        <v>May Mobility-SAV</v>
      </c>
      <c r="H48" s="60" t="str">
        <v>SAV</v>
      </c>
      <c r="I48" s="60" t="str">
        <v>Ridehailing</v>
      </c>
      <c r="J48" s="60" t="str">
        <v>Ridehailing</v>
      </c>
      <c r="K48" s="60" t="str">
        <v>Liftango</v>
      </c>
      <c r="L48" s="60" t="str">
        <v>Liftango</v>
      </c>
      <c r="M48" s="60">
        <v>0</v>
      </c>
      <c r="N48" s="60">
        <v>0</v>
      </c>
      <c r="O48"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48"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48" s="60" t="str">
        <v>Strategic Alliance</v>
      </c>
      <c r="R48" s="60" t="str">
        <v>n.a.</v>
      </c>
      <c r="S48" s="60" t="str">
        <v>Service Integration</v>
      </c>
      <c r="T48" s="60" t="str">
        <v>-</v>
      </c>
      <c r="U48" s="60" t="str">
        <v>-</v>
      </c>
      <c r="V48" s="60" t="str">
        <v>-</v>
      </c>
      <c r="W48" s="60" t="str">
        <v>2.1. Short term Alliance (no exclusivity / previous experience)</v>
      </c>
      <c r="X48" s="60">
        <v>0</v>
      </c>
      <c r="Y48"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48" s="60" t="str">
        <v>Joint Service Agreement</v>
      </c>
      <c r="AA48"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48" s="60">
        <v>0</v>
      </c>
      <c r="AC48" s="60">
        <v>0</v>
      </c>
      <c r="AD48" s="60">
        <v>0</v>
      </c>
      <c r="AE48" s="60">
        <v>0</v>
      </c>
      <c r="AF48" s="60" t="str">
        <v>Liftango and May Mobility partner to deliver dynamic on-demand shared transport solutions with autonomous vehicles</v>
      </c>
      <c r="AG48" s="60">
        <v>0</v>
      </c>
    </row>
    <row r="49" spans="1:33" x14ac:dyDescent="0.35">
      <c r="A49" s="60" t="str">
        <v>https://maymobility.com/posts/may-mobility-and-via-announce-partnership-that-will-integrate-on-demand-avs-into-public-transit/</v>
      </c>
      <c r="B49" s="60" t="str">
        <v>2020, 11, 18</v>
      </c>
      <c r="C49" s="105">
        <v>43848</v>
      </c>
      <c r="D49" s="60" t="str">
        <v>May Mobility and Via announce partnership that will integrate on-demand AVs into public transit</v>
      </c>
      <c r="E49" s="60" t="str">
        <v>May Mobility</v>
      </c>
      <c r="F49" s="60" t="str">
        <v>L1</v>
      </c>
      <c r="G49" s="60" t="str">
        <v>May Mobility-SAV</v>
      </c>
      <c r="H49" s="60" t="str">
        <v>SAV</v>
      </c>
      <c r="I49" s="60" t="str">
        <v>Ridehailing</v>
      </c>
      <c r="J49" s="60" t="str">
        <v>Ridepooling</v>
      </c>
      <c r="K49" s="60" t="str">
        <v>Via</v>
      </c>
      <c r="L49" s="60" t="str">
        <v>Via</v>
      </c>
      <c r="M49" s="60">
        <v>0</v>
      </c>
      <c r="N49" s="60">
        <v>0</v>
      </c>
      <c r="O49"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9"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9" s="60" t="str">
        <v>Strategic Alliance</v>
      </c>
      <c r="R49" s="60" t="str">
        <v>n.a.</v>
      </c>
      <c r="S49" s="60" t="str">
        <v>Service Integration</v>
      </c>
      <c r="T49" s="60" t="str">
        <v>Long term - -</v>
      </c>
      <c r="U49" s="60" t="str">
        <v>-</v>
      </c>
      <c r="V49" s="60" t="str">
        <v>-</v>
      </c>
      <c r="W49" s="60" t="str">
        <v>2.3. Long term Alliance</v>
      </c>
      <c r="X49" s="60">
        <v>0</v>
      </c>
      <c r="Y49"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9" s="60" t="str">
        <v>Joint Service Agreement</v>
      </c>
      <c r="AA49" s="60" t="str">
        <v>May Mobility will adopt Via's autonomous fleet platform to power booking, routing, passenger and vehicle assignment and identification, customer experience, and fleet management as part of their new transit solution for future autonomous vehicle deployments.</v>
      </c>
      <c r="AB49" s="60">
        <v>0</v>
      </c>
      <c r="AC49" s="60">
        <v>0</v>
      </c>
      <c r="AD49" s="60">
        <v>0</v>
      </c>
      <c r="AE49" s="60">
        <v>0</v>
      </c>
      <c r="AF49" s="60" t="str">
        <v>May Mobility and Via announce partnership that will integrate on-demand AVs into public transit</v>
      </c>
      <c r="AG49" s="60">
        <v>0</v>
      </c>
    </row>
    <row r="50" spans="1:33" x14ac:dyDescent="0.35">
      <c r="A50" s="60" t="str">
        <v>https://www.globenewswire.com/en/news-release/2015/03/23/717890/34491/en/Mission-Secure-Inc-Perrone-Robotics-and-University-of-Virginia-Demonstrate-Cyber-Attacks-and-Protections-for-Automobile-Braking-and-Acceleration.html</v>
      </c>
      <c r="B50" s="60" t="str">
        <v>2015, 3, 25</v>
      </c>
      <c r="C50" s="105">
        <v>42088</v>
      </c>
      <c r="D50" s="60" t="str">
        <v>Mission Secure Announces Partnership with UVA &amp; Perrone</v>
      </c>
      <c r="E50" s="60" t="str">
        <v>Perrone Robotics</v>
      </c>
      <c r="F50" s="60" t="str">
        <v>L1</v>
      </c>
      <c r="G50" s="60" t="str">
        <v>Perrone Robotics-SAV</v>
      </c>
      <c r="H50" s="60" t="str">
        <v>SAV</v>
      </c>
      <c r="I50" s="60" t="str">
        <v>Ridepooling</v>
      </c>
      <c r="J50" s="60" t="str">
        <v>Ridepooling</v>
      </c>
      <c r="K50" s="60" t="str">
        <v>Mission Secure</v>
      </c>
      <c r="L50" s="60" t="str">
        <v>Mission Secure</v>
      </c>
      <c r="M50" s="60">
        <v>0</v>
      </c>
      <c r="N50" s="60">
        <v>0</v>
      </c>
      <c r="O50"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50"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50" s="60" t="str">
        <v>Strategic Alliance</v>
      </c>
      <c r="R50" s="60" t="str">
        <v>n.a.</v>
      </c>
      <c r="S50" s="60" t="str">
        <v>One time - Pilot</v>
      </c>
      <c r="T50" s="60" t="str">
        <v>Short term -  &gt;2 months</v>
      </c>
      <c r="U50" s="60" t="str">
        <v>-</v>
      </c>
      <c r="V50" s="60" t="str">
        <v>-</v>
      </c>
      <c r="W50" s="60" t="str">
        <v>2.1. Short term Alliance (no exclusivity / previous experience)</v>
      </c>
      <c r="X50" s="60">
        <v>0</v>
      </c>
      <c r="Y50"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50" s="60" t="str">
        <v>Research &amp; Collaboration</v>
      </c>
      <c r="AA50"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50" s="60">
        <v>0</v>
      </c>
      <c r="AC50" s="60">
        <v>0</v>
      </c>
      <c r="AD50" s="60">
        <v>0</v>
      </c>
      <c r="AE50" s="60">
        <v>0</v>
      </c>
      <c r="AF50" s="60" t="str">
        <v>Mission Secure Announces Partnership with UVA &amp; Perrone</v>
      </c>
      <c r="AG50" s="60">
        <v>0</v>
      </c>
    </row>
    <row r="51" spans="1:33" x14ac:dyDescent="0.35">
      <c r="A51" s="60" t="str">
        <v>https://www.mobileye.com/news/mobileye-and-man-truck-bus-launch-collaboration-for-av-city-buses/</v>
      </c>
      <c r="B51" s="60" t="str">
        <v>2023, 5, 17</v>
      </c>
      <c r="C51" s="105">
        <v>45063</v>
      </c>
      <c r="D51" s="60" t="str">
        <v>Mobileye and MAN Truck &amp; Bus launch collaboration for AV city buses</v>
      </c>
      <c r="E51" s="60" t="str">
        <v>Mobileye</v>
      </c>
      <c r="F51" s="60" t="str">
        <v>L1</v>
      </c>
      <c r="G51" s="60" t="str">
        <v>Mobileye-SAV</v>
      </c>
      <c r="H51" s="60" t="str">
        <v>SAV</v>
      </c>
      <c r="I51" s="60" t="str">
        <v>Ridepooling</v>
      </c>
      <c r="J51" s="60" t="str">
        <v>Ridepooling</v>
      </c>
      <c r="K51" s="60" t="str">
        <v>MAN Truck &amp; Bus</v>
      </c>
      <c r="L51" s="60" t="str">
        <v>MAN Truck &amp; Bus</v>
      </c>
      <c r="M51" s="60">
        <v>0</v>
      </c>
      <c r="N51" s="60">
        <v>0</v>
      </c>
      <c r="O51"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51"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51" s="60" t="str">
        <v>Strategic Alliance</v>
      </c>
      <c r="R51" s="60" t="str">
        <v>n.a.</v>
      </c>
      <c r="S51" s="60" t="str">
        <v>Product cooperation</v>
      </c>
      <c r="T51" s="60" t="str">
        <v>-</v>
      </c>
      <c r="U51" s="60" t="str">
        <v>-</v>
      </c>
      <c r="V51" s="60" t="str">
        <v>-</v>
      </c>
      <c r="W51" s="60" t="str">
        <v>2.1. Short term Alliance (no exclusivity / previous experience)</v>
      </c>
      <c r="X51" s="60">
        <v>0</v>
      </c>
      <c r="Y51" s="60" t="str">
        <v>Mobileye and MAN Truck &amp; Bus today announced a collaboration to explore autonomy in public transit, integrating state-of-the-art autonomous vehicle technology into the award-winning city buses of MAN.</v>
      </c>
      <c r="Z51" s="60" t="str">
        <v>Joint D&amp;D</v>
      </c>
      <c r="AA51" s="60" t="str">
        <v>Mobileye and MAN Truck &amp; Bus today announced a collaboration to explore autonomy in public transit, integrating state-of-the-art autonomous vehicle technology into the award-winning city buses of MAN.</v>
      </c>
      <c r="AB51" s="60">
        <v>0</v>
      </c>
      <c r="AC51" s="60">
        <v>0</v>
      </c>
      <c r="AD51" s="60">
        <v>0</v>
      </c>
      <c r="AE51" s="60">
        <v>0</v>
      </c>
      <c r="AF51" s="60" t="str">
        <v>Mobileye and MAN Truck &amp; Bus launch collaboration for AV city buses</v>
      </c>
      <c r="AG51" s="60">
        <v>0</v>
      </c>
    </row>
    <row r="52" spans="1:33" x14ac:dyDescent="0.35">
      <c r="A52" s="60" t="str">
        <v>https://www.mobileye.com/news/mobileye-willer-self-driving-mobility-solutions/</v>
      </c>
      <c r="B52" s="60" t="str">
        <v>2020, 7, 7</v>
      </c>
      <c r="C52" s="105">
        <v>44019</v>
      </c>
      <c r="D52" s="60" t="str">
        <v>Mobileye and WILLER Partner on Self-Driving Mobility Solutions for Japan, Southeast Asia</v>
      </c>
      <c r="E52" s="60" t="str">
        <v>Mobileye</v>
      </c>
      <c r="F52" s="60" t="str">
        <v>L1</v>
      </c>
      <c r="G52" s="60" t="str">
        <v>Mobileye-SAV</v>
      </c>
      <c r="H52" s="60" t="str">
        <v>SAV</v>
      </c>
      <c r="I52" s="60" t="str">
        <v>Ridepooling</v>
      </c>
      <c r="J52" s="60" t="str">
        <v>Ridehailing</v>
      </c>
      <c r="K52" s="60" t="str">
        <v>WILLER</v>
      </c>
      <c r="L52" s="60" t="str">
        <v>WILLER</v>
      </c>
      <c r="M52" s="60">
        <v>0</v>
      </c>
      <c r="N52" s="60">
        <v>0</v>
      </c>
      <c r="O52"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52"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52" s="60" t="str">
        <v>Strategic Alliance</v>
      </c>
      <c r="R52" s="60" t="str">
        <v>n.a.</v>
      </c>
      <c r="S52" s="60" t="str">
        <v>Service integration</v>
      </c>
      <c r="T52" s="60" t="str">
        <v>Long term - 2023 (&gt;2 years)</v>
      </c>
      <c r="U52" s="60" t="str">
        <v>-</v>
      </c>
      <c r="V52" s="60" t="str">
        <v>-</v>
      </c>
      <c r="W52" s="60" t="str">
        <v>2.3. Long term Alliance</v>
      </c>
      <c r="X52" s="60">
        <v>0</v>
      </c>
      <c r="Y52"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52" s="60" t="str">
        <v>Supply Partnership (extended)</v>
      </c>
      <c r="AA52"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52" s="60">
        <v>0</v>
      </c>
      <c r="AC52" s="60">
        <v>0</v>
      </c>
      <c r="AD52" s="60">
        <v>0</v>
      </c>
      <c r="AE52" s="60">
        <v>0</v>
      </c>
      <c r="AF52" s="60" t="str">
        <v>Mobileye and WILLER Partner on Self-Driving Mobility Solutions for Japan, Southeast Asia</v>
      </c>
      <c r="AG52" s="60">
        <v>0</v>
      </c>
    </row>
    <row r="53" spans="1:33" x14ac:dyDescent="0.35">
      <c r="A53" s="60" t="str">
        <v>https://www.moia.io/en/news-center/hochbahn-volkswagen-commercial-vehicles-and-moia-cooperate-for-the-traffic-turnaround</v>
      </c>
      <c r="B53" s="60" t="str">
        <v>2022, 1, 13</v>
      </c>
      <c r="C53" s="105">
        <v>44574</v>
      </c>
      <c r="D53" s="60" t="str">
        <v>Partnership: HOCHBAHN, Volkswagen Commercial Vehicles and MOIA cooperate for the traffic turnaround</v>
      </c>
      <c r="E53" s="60" t="str">
        <v>MOIA</v>
      </c>
      <c r="F53" s="60" t="str">
        <v>L3</v>
      </c>
      <c r="G53" s="60" t="str">
        <v>MOIA-SAV</v>
      </c>
      <c r="H53" s="60" t="str">
        <v>SAV</v>
      </c>
      <c r="I53" s="60" t="str">
        <v>Ridepooling</v>
      </c>
      <c r="J53" s="60" t="str">
        <v>Ridepooling</v>
      </c>
      <c r="K53" s="60" t="str">
        <v>HOCHBAHN;Volkswagen Commercial Vehicles</v>
      </c>
      <c r="L53" s="60" t="str">
        <v>HOCHBAHN</v>
      </c>
      <c r="M53" s="60" t="str">
        <v>Volkswagen Commercial Vehicles</v>
      </c>
      <c r="N53" s="60">
        <v>0</v>
      </c>
      <c r="O53"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53"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53" s="60" t="str">
        <v>Strategic Alliance</v>
      </c>
      <c r="R53" s="60" t="str">
        <v>Yes</v>
      </c>
      <c r="S53" s="60" t="str">
        <v>Service Integration</v>
      </c>
      <c r="T53" s="60" t="str">
        <v>Long term - coming years</v>
      </c>
      <c r="U53" s="60" t="str">
        <v>Yes</v>
      </c>
      <c r="V53" s="60" t="str">
        <v>-</v>
      </c>
      <c r="W53" s="60" t="str">
        <v>2.3. Long term Alliance</v>
      </c>
      <c r="X53" s="60">
        <v>0</v>
      </c>
      <c r="Y53"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53" s="60" t="str">
        <v>Joint Service Agreement</v>
      </c>
      <c r="AA53"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53" s="60" t="str">
        <v>Research &amp; Collaboration</v>
      </c>
      <c r="AC53"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53" s="60">
        <v>0</v>
      </c>
      <c r="AE53" s="60">
        <v>0</v>
      </c>
      <c r="AF53" s="60" t="str">
        <v xml:space="preserve">cooperate for </v>
      </c>
      <c r="AG53" s="60" t="str">
        <v>the traffic turnaround</v>
      </c>
    </row>
    <row r="54" spans="1:33" x14ac:dyDescent="0.35">
      <c r="A54" s="60" t="str">
        <v>https://www.moia.io/en/news-center/new-licensing-model-moia-opens-ridepooling-ecosystem-to-cities-and-local-transport-operators</v>
      </c>
      <c r="B54" s="60" t="str">
        <v>2023, 9, 19</v>
      </c>
      <c r="C54" s="105">
        <v>45188</v>
      </c>
      <c r="D54" s="60" t="str">
        <v>New licensing model: MOIA opens ridepooling ecosystem to cities and local transport operators</v>
      </c>
      <c r="E54" s="60" t="str">
        <v>MOIA</v>
      </c>
      <c r="F54" s="60" t="str">
        <v>L3</v>
      </c>
      <c r="G54" s="60" t="str">
        <v>MOIA-SAV</v>
      </c>
      <c r="H54" s="60" t="str">
        <v>SAV</v>
      </c>
      <c r="I54" s="60" t="str">
        <v>Ridepooling</v>
      </c>
      <c r="J54" s="60" t="str">
        <v>Ridepooling</v>
      </c>
      <c r="K54" s="60" t="str">
        <v/>
      </c>
      <c r="L54" s="60">
        <v>0</v>
      </c>
      <c r="M54" s="60">
        <v>0</v>
      </c>
      <c r="N54" s="60">
        <v>0</v>
      </c>
      <c r="O54"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54" s="60" t="str">
        <v>-</v>
      </c>
      <c r="Q54" s="60" t="str">
        <v>Strategic Alliance</v>
      </c>
      <c r="R54" s="60" t="str">
        <v>n.a.</v>
      </c>
      <c r="S54" s="60" t="str">
        <v>Licensing</v>
      </c>
      <c r="T54" s="60" t="str">
        <v>-</v>
      </c>
      <c r="U54" s="60" t="str">
        <v>-</v>
      </c>
      <c r="V54" s="60" t="str">
        <v>-</v>
      </c>
      <c r="W54" s="60" t="str">
        <v>2.1. Short term Alliance (no exclusivity / previous experience)</v>
      </c>
      <c r="X54" s="60">
        <v>0</v>
      </c>
      <c r="Y54"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54" s="60" t="str">
        <v>Licensing</v>
      </c>
      <c r="AA54"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54" s="60">
        <v>0</v>
      </c>
      <c r="AC54" s="60">
        <v>0</v>
      </c>
      <c r="AD54" s="60">
        <v>0</v>
      </c>
      <c r="AE54" s="60">
        <v>0</v>
      </c>
      <c r="AF54" s="60" t="str">
        <v>New licensing model: MOIA opens ridepooling ecosystem to cities and local transport operators</v>
      </c>
      <c r="AG54" s="60">
        <v>0</v>
      </c>
    </row>
    <row r="55" spans="1:33" x14ac:dyDescent="0.35">
      <c r="A55" s="60" t="str">
        <v>https://motional.com/news/motional-derq-partner-give-driverless-vehicles-birds-eye-view</v>
      </c>
      <c r="B55" s="60" t="str">
        <v>2021, 4, 20</v>
      </c>
      <c r="C55" s="105">
        <v>44306</v>
      </c>
      <c r="D55" s="60" t="str">
        <v>Motional + Derq Partner to Give Driverless Vehicles a Bird's-Eye View</v>
      </c>
      <c r="E55" s="60" t="str">
        <v>Motional</v>
      </c>
      <c r="F55" s="60" t="str">
        <v>L1</v>
      </c>
      <c r="G55" s="60" t="str">
        <v>Motional-SAV</v>
      </c>
      <c r="H55" s="60" t="str">
        <v>SAV</v>
      </c>
      <c r="I55" s="60" t="str">
        <v>Last-Mile</v>
      </c>
      <c r="J55" s="60" t="str">
        <v>Ridehailing</v>
      </c>
      <c r="K55" s="60" t="str">
        <v>Derq</v>
      </c>
      <c r="L55" s="60" t="str">
        <v>Derq</v>
      </c>
      <c r="M55" s="60">
        <v>0</v>
      </c>
      <c r="N55" s="60">
        <v>0</v>
      </c>
      <c r="O55"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55" s="60" t="str">
        <v>We've partnered with Derq, an AI company developing innovative road solutions, to find those answers. Together, Derq and Motional are testing how driverless technology reacts when given an even broader perspective than it already has: a bird's-eye view.</v>
      </c>
      <c r="Q55" s="60" t="str">
        <v>Strategic Alliance</v>
      </c>
      <c r="R55" s="60" t="str">
        <v>n.a.</v>
      </c>
      <c r="S55" s="60" t="str">
        <v xml:space="preserve">One time - Pilot </v>
      </c>
      <c r="T55" s="60" t="str">
        <v>-</v>
      </c>
      <c r="U55" s="60" t="str">
        <v>-</v>
      </c>
      <c r="V55" s="60" t="str">
        <v>-</v>
      </c>
      <c r="W55" s="60" t="str">
        <v>2.1. Short term Alliance (no exclusivity / previous experience)</v>
      </c>
      <c r="X55" s="60">
        <v>0</v>
      </c>
      <c r="Y55"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55" s="60" t="str">
        <v>Joint D&amp;D</v>
      </c>
      <c r="AA55"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55" s="60" t="str">
        <v>Research &amp; Collaboration</v>
      </c>
      <c r="AC55" s="60" t="str">
        <v>We've partnered with Derq, an AI company developing innovative road solutions, to find those answers. Together, Derq and Motional are testing how driverless technology reacts when given an even broader perspective than it already has: a bird's-eye view.</v>
      </c>
      <c r="AD55" s="60">
        <v>0</v>
      </c>
      <c r="AE55" s="60">
        <v>0</v>
      </c>
      <c r="AF55" s="60" t="str">
        <v xml:space="preserve">Motional + Derq Partner to Give </v>
      </c>
      <c r="AG55" s="60" t="str">
        <v>Driverless Vehicles a Bird's-Eye View</v>
      </c>
    </row>
    <row r="56" spans="1:33" x14ac:dyDescent="0.35">
      <c r="A56" s="60" t="str">
        <v>https://motional.com/news/motional-boston-university-partner-navigational-assistance-research-blind</v>
      </c>
      <c r="B56" s="60" t="str">
        <v>2022, 7, 21</v>
      </c>
      <c r="C56" s="105">
        <v>44763</v>
      </c>
      <c r="D56" s="60" t="str">
        <v>Motional, Boston University Partner on Navigational Assistance Research for the Blind</v>
      </c>
      <c r="E56" s="60" t="str">
        <v>Motional</v>
      </c>
      <c r="F56" s="60" t="str">
        <v>L1</v>
      </c>
      <c r="G56" s="60" t="str">
        <v>Motional-SAV</v>
      </c>
      <c r="H56" s="60" t="str">
        <v>SAV</v>
      </c>
      <c r="I56" s="60" t="str">
        <v>Last-Mile</v>
      </c>
      <c r="J56" s="60" t="str">
        <v>Ridehailing</v>
      </c>
      <c r="K56" s="60" t="str">
        <v>Boston University</v>
      </c>
      <c r="L56" s="60" t="str">
        <v>Boston University</v>
      </c>
      <c r="M56" s="60">
        <v>0</v>
      </c>
      <c r="N56" s="60">
        <v>0</v>
      </c>
      <c r="O56"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56"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56" s="60" t="str">
        <v>Strategic Alliance</v>
      </c>
      <c r="R56" s="60" t="str">
        <v>n.a.</v>
      </c>
      <c r="S56" s="60" t="str">
        <v>One time - Pilot</v>
      </c>
      <c r="T56" s="60" t="str">
        <v>-</v>
      </c>
      <c r="U56" s="60" t="str">
        <v>-</v>
      </c>
      <c r="V56" s="60" t="str">
        <v>-</v>
      </c>
      <c r="W56" s="60" t="str">
        <v>2.1. Short term Alliance (no exclusivity / previous experience)</v>
      </c>
      <c r="X56" s="60">
        <v>0</v>
      </c>
      <c r="Y56"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56" s="60" t="str">
        <v>Research &amp; Collaboration</v>
      </c>
      <c r="AA56" s="60" t="str">
        <v>Once across the street, Howell swiped his finger across his smartphone's screen. The vehicle's rear passenger door unlocked. Using a couple more verbal cues, Howell was able to find the vehicle, open the door, fold up his cane, and sit himself down in the backseat.</v>
      </c>
      <c r="AB56" s="60" t="str">
        <v>Joint D&amp;D</v>
      </c>
      <c r="AC56" s="60" t="str">
        <v>Motional worked with people who are blind or have low-vision to develop features that help improve driverless rideshare accessibility. These features include a button on an app that triggers the vehicle's horn, making it easier to find.</v>
      </c>
      <c r="AD56" s="60">
        <v>0</v>
      </c>
      <c r="AE56" s="60">
        <v>0</v>
      </c>
      <c r="AF56" s="60" t="str">
        <v xml:space="preserve">Motional, Boston University Partner on </v>
      </c>
      <c r="AG56" s="60" t="str">
        <v>Navigational Assistance Research for the Blind</v>
      </c>
    </row>
    <row r="57" spans="1:33" x14ac:dyDescent="0.35">
      <c r="A57" s="60" t="str">
        <v>https://motional.com/news/tfnsw-and-motional-partner-lay-foundations-nsws-driverless-future</v>
      </c>
      <c r="B57" s="60" t="str">
        <v>2021, 10, 19</v>
      </c>
      <c r="C57" s="105">
        <v>44215</v>
      </c>
      <c r="D57" s="60" t="str">
        <v>TfNSW and Motional Partner to Lay Foundations for NSW's Driverless Future</v>
      </c>
      <c r="E57" s="60" t="str">
        <v>Motional</v>
      </c>
      <c r="F57" s="60" t="str">
        <v>L1</v>
      </c>
      <c r="G57" s="60" t="str">
        <v>Motional-SAV</v>
      </c>
      <c r="H57" s="60" t="str">
        <v>SAV</v>
      </c>
      <c r="I57" s="60" t="str">
        <v>Last-Mile</v>
      </c>
      <c r="J57" s="60" t="str">
        <v>Ridehailing</v>
      </c>
      <c r="K57" s="60" t="str">
        <v>tfnsw</v>
      </c>
      <c r="L57" s="60" t="str">
        <v>tfnsw</v>
      </c>
      <c r="M57" s="60">
        <v>0</v>
      </c>
      <c r="N57" s="60">
        <v>0</v>
      </c>
      <c r="O57"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57"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57" s="60" t="str">
        <v>Strategic Alliance</v>
      </c>
      <c r="R57" s="60" t="str">
        <v>n.a.</v>
      </c>
      <c r="S57" s="60" t="str">
        <v>One time - Pilot</v>
      </c>
      <c r="T57" s="60" t="str">
        <v>-</v>
      </c>
      <c r="U57" s="60" t="str">
        <v>-</v>
      </c>
      <c r="V57" s="60" t="str">
        <v>-</v>
      </c>
      <c r="W57" s="60" t="str">
        <v>2.1. Short term Alliance (no exclusivity / previous experience)</v>
      </c>
      <c r="X57" s="60">
        <v>0</v>
      </c>
      <c r="Y57"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57" s="60" t="str">
        <v>Research &amp; Collaboration</v>
      </c>
      <c r="AA57"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57" s="60">
        <v>0</v>
      </c>
      <c r="AC57" s="60">
        <v>0</v>
      </c>
      <c r="AD57" s="60">
        <v>0</v>
      </c>
      <c r="AE57" s="60">
        <v>0</v>
      </c>
      <c r="AF57" s="60" t="str">
        <v xml:space="preserve">TfNSW and Motional Partner to Lay Foundations </v>
      </c>
      <c r="AG57" s="60" t="str">
        <v>for NSW's Driverless Future</v>
      </c>
    </row>
    <row r="58" spans="1:33" x14ac:dyDescent="0.35">
      <c r="A58" s="60" t="str">
        <v>https://www.navya.tech/en/valeo-navya-technological-collaboration/</v>
      </c>
      <c r="B58" s="60" t="str">
        <v>2021, 6, 17</v>
      </c>
      <c r="C58" s="105">
        <v>44364</v>
      </c>
      <c r="D58" s="60" t="str">
        <v>Valeo and Navya strengthen their technological and industrial collaboration</v>
      </c>
      <c r="E58" s="60" t="str">
        <v>Navya</v>
      </c>
      <c r="F58" s="60" t="str">
        <v>L2</v>
      </c>
      <c r="G58" s="60" t="str">
        <v>Navya-SAV</v>
      </c>
      <c r="H58" s="60" t="str">
        <v>SAV</v>
      </c>
      <c r="I58" s="60" t="str">
        <v>Ridepooling</v>
      </c>
      <c r="J58" s="60" t="str">
        <v>Ridepooling</v>
      </c>
      <c r="K58" s="60" t="str">
        <v>Valeo</v>
      </c>
      <c r="L58" s="60" t="str">
        <v>Valeo</v>
      </c>
      <c r="M58" s="60">
        <v>0</v>
      </c>
      <c r="N58" s="60">
        <v>0</v>
      </c>
      <c r="O58"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8"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8" s="60" t="str">
        <v>Strategic Alliance</v>
      </c>
      <c r="R58" s="60" t="str">
        <v>n.a.</v>
      </c>
      <c r="S58" s="60" t="str">
        <v>Research cooperation</v>
      </c>
      <c r="T58" s="60" t="str">
        <v>Long term - 3 years</v>
      </c>
      <c r="U58" s="60" t="str">
        <v>Yes</v>
      </c>
      <c r="V58" s="60" t="str">
        <v>-</v>
      </c>
      <c r="W58" s="60" t="str">
        <v>2.3. Long term Alliance</v>
      </c>
      <c r="X58" s="60">
        <v>0</v>
      </c>
      <c r="Y58"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8" s="60" t="str">
        <v>Joint Production</v>
      </c>
      <c r="AA58" s="60" t="str">
        <v>At the end of this phase, Valeo will manufacture and supply the selected components, so that they can be integrated in the autonomous driving solutions marketed by Navya.</v>
      </c>
      <c r="AB58" s="60" t="str">
        <v>Research &amp; Collaboration</v>
      </c>
      <c r="AC58" s="60" t="str">
        <v>The aim is to ramp up the Research and Development program to build level 4 autonomous driving systems that can be brought to market within the next three years.</v>
      </c>
      <c r="AD58" s="60" t="str">
        <v>Supply Partnership (traditional)</v>
      </c>
      <c r="AE58" s="60" t="str">
        <v>Valeo will provide Navya with the sensors and associated algorithms that will enable the vehicle to closely perceive its surroundings</v>
      </c>
      <c r="AF58" s="60" t="str">
        <v xml:space="preserve">Valeo and Navya strengthen </v>
      </c>
      <c r="AG58" s="60" t="str">
        <v>their technological and industrial collaboration</v>
      </c>
    </row>
    <row r="59" spans="1:33" x14ac:dyDescent="0.35">
      <c r="A59" s="60" t="str">
        <v>https://www.navya.tech/en/ion-and-navya-form-partnership-to-deliver-sustainable-and-autonomous-transportation-offerings-in-gcc-region/</v>
      </c>
      <c r="B59" s="60" t="str">
        <v>2020, 6, 24</v>
      </c>
      <c r="C59" s="105">
        <v>44006</v>
      </c>
      <c r="D59" s="60" t="str">
        <v>ION And NAVYA Form Partnership To Deliver Sustainable And Autonomous Transportation Offerings In GCC Region</v>
      </c>
      <c r="E59" s="60" t="str">
        <v>Navya</v>
      </c>
      <c r="F59" s="60" t="str">
        <v>L2</v>
      </c>
      <c r="G59" s="60" t="str">
        <v>Navya-SAV</v>
      </c>
      <c r="H59" s="60" t="str">
        <v>SAV</v>
      </c>
      <c r="I59" s="60" t="str">
        <v>Ridepooling</v>
      </c>
      <c r="J59" s="60" t="str">
        <v>Ridepooling</v>
      </c>
      <c r="K59" s="60" t="str">
        <v>Ion</v>
      </c>
      <c r="L59" s="60" t="str">
        <v>Ion</v>
      </c>
      <c r="M59" s="60">
        <v>0</v>
      </c>
      <c r="N59" s="60">
        <v>0</v>
      </c>
      <c r="O59"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9" s="60" t="str">
        <v>ION will be the official distributor of NAVYA vehicles in the GCC operating and maintaining NAVYA vehicles in the region
Already operating in Masdar City since October 2018, the shuttles are also wheelchair-accessible and have a capacity of 15 passengers.</v>
      </c>
      <c r="Q59" s="60" t="str">
        <v>Strategic Alliance</v>
      </c>
      <c r="R59" s="60" t="str">
        <v>n.a.</v>
      </c>
      <c r="S59" s="60" t="str">
        <v>Service Integration</v>
      </c>
      <c r="T59" s="60" t="str">
        <v>-</v>
      </c>
      <c r="U59" s="60" t="str">
        <v>Yes</v>
      </c>
      <c r="V59" s="60" t="str">
        <v>-</v>
      </c>
      <c r="W59" s="60" t="str">
        <v xml:space="preserve">2.2. Renewed Alliance </v>
      </c>
      <c r="X59" s="60">
        <v>0</v>
      </c>
      <c r="Y59"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9" s="60" t="str">
        <v>Joint Service Agreement</v>
      </c>
      <c r="AA59"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9" s="60" t="str">
        <v>Marketing Agreement</v>
      </c>
      <c r="AC59" s="60" t="str">
        <v>As an official distributor, ION will engage with NAVYA's existing and new customers on sales and after-sales support.</v>
      </c>
      <c r="AD59" s="60">
        <v>0</v>
      </c>
      <c r="AE59" s="60">
        <v>0</v>
      </c>
      <c r="AF59" s="60" t="str">
        <v xml:space="preserve">ION And NAVYA Form Partnership To Deliver </v>
      </c>
      <c r="AG59" s="60" t="str">
        <v>Sustainable And Autonomous Transportation Offerings In GCC Region</v>
      </c>
    </row>
    <row r="60" spans="1:33" x14ac:dyDescent="0.35">
      <c r="A60" s="60" t="str">
        <v>https://www.navya.tech/en/navya-and-valeo-partner-to-develop-a-unique-safety-system-for-the-commercialization-of-level-4-autonomous-vehicles/</v>
      </c>
      <c r="B60" s="60" t="str">
        <v>2022, 1, 27</v>
      </c>
      <c r="C60" s="105">
        <v>44588</v>
      </c>
      <c r="D60" s="60" t="str">
        <v>NAVYA and VALEO partner to develop a unique safety system for the commercialization of level 4 autonomous vehicles</v>
      </c>
      <c r="E60" s="60" t="str">
        <v>Navya</v>
      </c>
      <c r="F60" s="60" t="str">
        <v>L2</v>
      </c>
      <c r="G60" s="60" t="str">
        <v>Navya-SAV</v>
      </c>
      <c r="H60" s="60" t="str">
        <v>SAV</v>
      </c>
      <c r="I60" s="60" t="str">
        <v>Ridepooling</v>
      </c>
      <c r="J60" s="60" t="str">
        <v>Ridepooling</v>
      </c>
      <c r="K60" s="60" t="str">
        <v>Valeo</v>
      </c>
      <c r="L60" s="60" t="str">
        <v>Valeo</v>
      </c>
      <c r="M60" s="60">
        <v>0</v>
      </c>
      <c r="N60" s="60">
        <v>0</v>
      </c>
      <c r="O60"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60"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60" s="60" t="str">
        <v>Strategic Alliance</v>
      </c>
      <c r="R60" s="60" t="str">
        <v>n.a.</v>
      </c>
      <c r="S60" s="60" t="str">
        <v>Product cooperation</v>
      </c>
      <c r="T60" s="60" t="str">
        <v>-</v>
      </c>
      <c r="U60" s="60" t="str">
        <v>Yes</v>
      </c>
      <c r="V60" s="60" t="str">
        <v>-</v>
      </c>
      <c r="W60" s="60" t="str">
        <v xml:space="preserve">2.2. Renewed Alliance </v>
      </c>
      <c r="X60" s="60">
        <v>0</v>
      </c>
      <c r="Y60" s="60" t="str">
        <v>have announced a new strategic partnership leveraging their respective industry advantages in software, hardware and technology products. The two sides will work together to create new products based on Mobileye SuperVision and Mobileye Chauffeur platform</v>
      </c>
      <c r="Z60" s="60" t="str">
        <v>Joint D&amp;D</v>
      </c>
      <c r="AA60" s="60" t="str">
        <v>project ensure the design of such a system, its realization, and a final evaluation of the concept.</v>
      </c>
      <c r="AB60" s="60" t="str">
        <v>Research &amp; Collaboration</v>
      </c>
      <c r="AC60" s="60" t="str">
        <v>The various stages of this R&amp;D project ensure the design of such a system, its realization, and a final evaluation of the concept.</v>
      </c>
      <c r="AD60" s="60">
        <v>0</v>
      </c>
      <c r="AE60" s="60">
        <v>0</v>
      </c>
      <c r="AF60" s="60" t="str">
        <v xml:space="preserve">NAVYA and VALEO partner to develop </v>
      </c>
      <c r="AG60" s="60" t="str">
        <v>a unique safety system for the commercialization of level 4 autonomous vehicles</v>
      </c>
    </row>
    <row r="61" spans="1:33" x14ac:dyDescent="0.35">
      <c r="A61" s="60" t="str">
        <v>https://www.navya.tech/en/navya-and-lohr-form-a-strategic-alliance-to-speed-up-their-technological-industrial-and-commercial-development-in-the-field-of-autonomous-mobility/</v>
      </c>
      <c r="B61" s="60" t="str">
        <v>2022, 9, 22</v>
      </c>
      <c r="C61" s="105">
        <v>44826</v>
      </c>
      <c r="D61" s="60" t="str">
        <v>Navya and Lohr form a strategic alliance to speed up their technological, industrial and commercial development in the field of autonomous mobility</v>
      </c>
      <c r="E61" s="60" t="str">
        <v>Navya</v>
      </c>
      <c r="F61" s="60" t="str">
        <v>L2</v>
      </c>
      <c r="G61" s="60" t="str">
        <v>Navya-SAV</v>
      </c>
      <c r="H61" s="60" t="str">
        <v>SAV</v>
      </c>
      <c r="I61" s="60" t="str">
        <v>Ridepooling</v>
      </c>
      <c r="J61" s="60" t="str">
        <v>Ridepooling</v>
      </c>
      <c r="K61" s="60" t="str">
        <v>Lohr</v>
      </c>
      <c r="L61" s="60" t="str">
        <v>Lohr</v>
      </c>
      <c r="M61" s="60">
        <v>0</v>
      </c>
      <c r="N61" s="60">
        <v>0</v>
      </c>
      <c r="O61"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61" s="60" t="str">
        <v>NAVYA (FR0013018041- Navya), an autonomous mobility systems leader, signs a strategic alliance with Lohr, an industrial group known worldwide for its expertise in the engineering, production and marketing of systems for the transportation of people and goods.</v>
      </c>
      <c r="Q61" s="60" t="str">
        <v>Strategic Alliance</v>
      </c>
      <c r="R61" s="60" t="str">
        <v>Yes</v>
      </c>
      <c r="S61" s="60" t="str">
        <v>Product cooperation</v>
      </c>
      <c r="T61" s="60" t="str">
        <v>-</v>
      </c>
      <c r="U61" s="60" t="str">
        <v>-</v>
      </c>
      <c r="V61" s="60" t="str">
        <v>-</v>
      </c>
      <c r="W61" s="60" t="str">
        <v>2.1. Short term Alliance (no exclusivity / previous experience)</v>
      </c>
      <c r="X61" s="60">
        <v>0</v>
      </c>
      <c r="Y6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61" s="60" t="str">
        <v>Joint Production</v>
      </c>
      <c r="AA6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61" s="60">
        <v>0</v>
      </c>
      <c r="AC61" s="60">
        <v>0</v>
      </c>
      <c r="AD61" s="60">
        <v>0</v>
      </c>
      <c r="AE61" s="60">
        <v>0</v>
      </c>
      <c r="AF61" s="60" t="str">
        <v>Navya and Lohr form a strategic alliance to speed up their technological, industrial and commercial development in the field of autonomous mobility</v>
      </c>
      <c r="AG61" s="60">
        <v>0</v>
      </c>
    </row>
    <row r="62" spans="1:33" x14ac:dyDescent="0.35">
      <c r="A62" s="60" t="str">
        <v>https://www.navya.tech/en/michelin-navya-and-beti-enter-into-a-technological-partnership-and-launch-their-first-autonomous-mobility-experimentation-within-the-framework-of-the-movinon-think-do-tank/</v>
      </c>
      <c r="B62" s="60" t="str">
        <v>2022, 6, 17</v>
      </c>
      <c r="C62" s="105">
        <v>44729</v>
      </c>
      <c r="D62" s="60" t="str">
        <v>Michelin, Navya and beti enter into a technological partnership and launch their first autonomous mobility experimentation within the framework of the Movin On Think &amp; Do Tank</v>
      </c>
      <c r="E62" s="60" t="str">
        <v>Navya</v>
      </c>
      <c r="F62" s="60" t="str">
        <v>L2</v>
      </c>
      <c r="G62" s="60" t="str">
        <v>Navya-SAV</v>
      </c>
      <c r="H62" s="60" t="str">
        <v>SAV</v>
      </c>
      <c r="I62" s="60" t="str">
        <v>Ridepooling</v>
      </c>
      <c r="J62" s="60" t="str">
        <v>Ridepooling</v>
      </c>
      <c r="K62" s="60" t="str">
        <v>Michelin;Beti</v>
      </c>
      <c r="L62" s="60" t="str">
        <v>Michelin</v>
      </c>
      <c r="M62" s="60" t="str">
        <v>Beti</v>
      </c>
      <c r="N62" s="60">
        <v>0</v>
      </c>
      <c r="O62"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62" s="60" t="str">
        <v>j</v>
      </c>
      <c r="Q62" s="60" t="str">
        <v>Strategic Alliance</v>
      </c>
      <c r="R62" s="60" t="str">
        <v>Yes</v>
      </c>
      <c r="S62" s="60" t="str">
        <v>One time</v>
      </c>
      <c r="T62" s="60" t="str">
        <v>-</v>
      </c>
      <c r="U62" s="60" t="str">
        <v>Yes</v>
      </c>
      <c r="V62" s="60" t="str">
        <v>-</v>
      </c>
      <c r="W62" s="60" t="str">
        <v xml:space="preserve">2.2. Renewed Alliance </v>
      </c>
      <c r="X62" s="60">
        <v>0</v>
      </c>
      <c r="Y62"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62" s="60" t="str">
        <v>Research &amp; Collaboration</v>
      </c>
      <c r="AA62"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62" s="60">
        <v>0</v>
      </c>
      <c r="AC62" s="60">
        <v>0</v>
      </c>
      <c r="AD62" s="60">
        <v>0</v>
      </c>
      <c r="AE62" s="60">
        <v>0</v>
      </c>
      <c r="AF62" s="60" t="str">
        <v>Michelin, Navya and beti enter into a technological partnership and launch their first autonomous mobility experimentation within the framework of the Movin On Think &amp; Do Tank</v>
      </c>
      <c r="AG62" s="60">
        <v>0</v>
      </c>
    </row>
    <row r="63" spans="1:33" x14ac:dyDescent="0.35">
      <c r="A63" s="60" t="str">
        <v>https://oxa.tech/news-and-insights/oxa-and-eversum-announce-partnership-to-develop-and-deploy-autonomous-passenger-shuttles/</v>
      </c>
      <c r="B63" s="60" t="str">
        <v>2023, 10, 8</v>
      </c>
      <c r="C63" s="105">
        <v>44934</v>
      </c>
      <c r="D63" s="60" t="str">
        <v>Oxa and eVersum Announce Partnership To Develop and Deploy Autonomous Passenger Shuttles</v>
      </c>
      <c r="E63" s="60" t="str">
        <v>Oxa</v>
      </c>
      <c r="F63" s="60" t="str">
        <v>L1</v>
      </c>
      <c r="G63" s="60" t="str">
        <v>Oxa-SAV</v>
      </c>
      <c r="H63" s="60" t="str">
        <v>SAV</v>
      </c>
      <c r="I63" s="60" t="str">
        <v>Ridepooling</v>
      </c>
      <c r="J63" s="60" t="str">
        <v>Ridepooling</v>
      </c>
      <c r="K63" s="60" t="str">
        <v>eVersum</v>
      </c>
      <c r="L63" s="60" t="str">
        <v>eVersum</v>
      </c>
      <c r="M63" s="60">
        <v>0</v>
      </c>
      <c r="N63" s="60">
        <v>0</v>
      </c>
      <c r="O63"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63"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63" s="60" t="str">
        <v>Strategic Alliance</v>
      </c>
      <c r="R63" s="60" t="str">
        <v>n.a.</v>
      </c>
      <c r="S63" s="60" t="str">
        <v>Product cooperation</v>
      </c>
      <c r="T63" s="60" t="str">
        <v>Long term - Min 1 year</v>
      </c>
      <c r="U63" s="60" t="str">
        <v>-</v>
      </c>
      <c r="V63" s="60" t="str">
        <v>-</v>
      </c>
      <c r="W63" s="60" t="str">
        <v>2.3. Long term Alliance</v>
      </c>
      <c r="X63" s="60">
        <v>0</v>
      </c>
      <c r="Y63"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63" s="60" t="str">
        <v>Joint D&amp;D</v>
      </c>
      <c r="AA63"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63" s="60" t="str">
        <v>Joint Production</v>
      </c>
      <c r="AC63" s="60" t="str">
        <v xml:space="preserve">this partnership will see eVersum produce autonomous-ready electric base vehicles, featuring Oxa Driver, Oxa's autonomy software, along with sensors and computing technology integrated directly on the production line. </v>
      </c>
      <c r="AD63" s="60">
        <v>0</v>
      </c>
      <c r="AE63" s="60">
        <v>0</v>
      </c>
      <c r="AF63" s="60" t="str">
        <v xml:space="preserve">Partnership To Develop and Deploy </v>
      </c>
      <c r="AG63" s="60" t="str">
        <v>Autonomous Passenger Shuttles</v>
      </c>
    </row>
    <row r="64" spans="1:33" x14ac:dyDescent="0.35">
      <c r="A64" s="60" t="str">
        <v>https://oxa.tech/news-and-insights/oxbotica-partners-with-nevs-to-reshape-the-future-of-urban-mobility-with-fleet-of-shared-self-driving-all-electric-vehicles/</v>
      </c>
      <c r="B64" s="60" t="str">
        <v>2022, 5, 11</v>
      </c>
      <c r="C64" s="105">
        <v>44692</v>
      </c>
      <c r="D64" s="60" t="str">
        <v>Oxbotica partners with NEVS to reshape the future of urban mobility with fleet of shared, self-driving, all-electric vehicles</v>
      </c>
      <c r="E64" s="60" t="str">
        <v>Oxa</v>
      </c>
      <c r="F64" s="60" t="str">
        <v>L1</v>
      </c>
      <c r="G64" s="60" t="str">
        <v>Oxa-SAV</v>
      </c>
      <c r="H64" s="60" t="str">
        <v>SAV</v>
      </c>
      <c r="I64" s="60" t="str">
        <v>Ridepooling</v>
      </c>
      <c r="J64" s="60" t="str">
        <v>Ridepooling</v>
      </c>
      <c r="K64" s="60" t="str">
        <v>NEVS</v>
      </c>
      <c r="L64" s="60" t="str">
        <v>NEVS</v>
      </c>
      <c r="M64" s="60">
        <v>0</v>
      </c>
      <c r="N64" s="60">
        <v>0</v>
      </c>
      <c r="O64"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64"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64" s="60" t="str">
        <v>Strategic Alliance</v>
      </c>
      <c r="R64" s="60" t="str">
        <v>Yes</v>
      </c>
      <c r="S64" s="60" t="str">
        <v>Product cooperation</v>
      </c>
      <c r="T64" s="60" t="str">
        <v>Long term - Min 2025 (&gt;2 years)</v>
      </c>
      <c r="U64" s="60" t="str">
        <v>-</v>
      </c>
      <c r="V64" s="60" t="str">
        <v>-</v>
      </c>
      <c r="W64" s="60" t="str">
        <v>2.3. Long term Alliance</v>
      </c>
      <c r="X64" s="60">
        <v>0</v>
      </c>
      <c r="Y64"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64" s="60" t="str">
        <v>Joint D&amp;D</v>
      </c>
      <c r="AA64"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64" s="60">
        <v>0</v>
      </c>
      <c r="AC64" s="60">
        <v>0</v>
      </c>
      <c r="AD64" s="60">
        <v>0</v>
      </c>
      <c r="AE64" s="60">
        <v>0</v>
      </c>
      <c r="AF64" s="60" t="str">
        <v>Oxbotica partners with NEVS to reshape the future of urban mobility with fleet of shared, self-driving, all-electric vehicles</v>
      </c>
      <c r="AG64" s="60">
        <v>0</v>
      </c>
    </row>
    <row r="65" spans="1:33" x14ac:dyDescent="0.35">
      <c r="A65" s="60" t="str">
        <v>https://www.perronerobotics.com/news/perrone-robotics-and-global-finance-group-partner-to-bring-turnkey-autonomous-vehicle-program-to-university-and-college-campuses</v>
      </c>
      <c r="B65" s="60" t="str">
        <v>2023, 5, 10</v>
      </c>
      <c r="C65" s="105">
        <v>45056</v>
      </c>
      <c r="D65" s="60" t="str">
        <v>Perrone Robotics and Global Finance Group Partner to Bring Turnkey Autonomous Vehicle Program to University and College Campuses</v>
      </c>
      <c r="E65" s="60" t="str">
        <v>Perrone Robotics</v>
      </c>
      <c r="F65" s="60" t="str">
        <v>L1</v>
      </c>
      <c r="G65" s="60" t="str">
        <v>Perrone Robotics-SAV</v>
      </c>
      <c r="H65" s="60" t="str">
        <v>SAV</v>
      </c>
      <c r="I65" s="60" t="str">
        <v>Ridepooling</v>
      </c>
      <c r="J65" s="60" t="str">
        <v>Ridepooling</v>
      </c>
      <c r="K65" s="60" t="str">
        <v>Global Finance Group</v>
      </c>
      <c r="L65" s="60" t="str">
        <v>Global Finance Group</v>
      </c>
      <c r="M65" s="60">
        <v>0</v>
      </c>
      <c r="N65" s="60">
        <v>0</v>
      </c>
      <c r="O65"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65"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65" s="60" t="str">
        <v>Strategic Alliance</v>
      </c>
      <c r="R65" s="60" t="str">
        <v>n.a.</v>
      </c>
      <c r="S65" s="60" t="str">
        <v>Financing</v>
      </c>
      <c r="T65" s="60" t="str">
        <v>-</v>
      </c>
      <c r="U65" s="60" t="str">
        <v>-</v>
      </c>
      <c r="V65" s="60" t="str">
        <v>-</v>
      </c>
      <c r="W65" s="60" t="str">
        <v>2.1. Short term Alliance (no exclusivity / previous experience)</v>
      </c>
      <c r="X65" s="60">
        <v>0</v>
      </c>
      <c r="Y65"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65" s="60" t="str">
        <v>Other</v>
      </c>
      <c r="AA65" s="60" t="str">
        <v>By lowering the financial barriers to this technology, Perrone and GFG open the doors for universities and colleges to bring fully functional autonomy to their communities for safe, reliable, and affordable transportation.</v>
      </c>
      <c r="AB65" s="60">
        <v>0</v>
      </c>
      <c r="AC65" s="60">
        <v>0</v>
      </c>
      <c r="AD65" s="60">
        <v>0</v>
      </c>
      <c r="AE65" s="60">
        <v>0</v>
      </c>
      <c r="AF65" s="60" t="str">
        <v xml:space="preserve">Perrone Robotics and Global Finance Group Partner to Bring </v>
      </c>
      <c r="AG65" s="60" t="str">
        <v>Turnkey Autonomous Vehicle Program to University and College Campuses</v>
      </c>
    </row>
    <row r="66" spans="1:33" x14ac:dyDescent="0.35">
      <c r="A66" s="60" t="str">
        <v>https://www.perronerobotics.com/news/western-reserve-transit-authority-selects-first-transit-in-partnership-with-perrone-robotics-and-greenpower-motor-company-for-autonomous-vehicle-pilot</v>
      </c>
      <c r="B66" s="60" t="str">
        <v>2022, 10, 5</v>
      </c>
      <c r="C66" s="105">
        <v>44566</v>
      </c>
      <c r="D66" s="60" t="str">
        <v>Western Reserve Transit Authority Selects First Transit, in Partnership with Perrone Robotics and GreenPower for Autonomous Vehicle Pilot</v>
      </c>
      <c r="E66" s="60" t="str">
        <v>Perrone Robotics</v>
      </c>
      <c r="F66" s="60" t="str">
        <v>L1</v>
      </c>
      <c r="G66" s="60" t="str">
        <v>Perrone Robotics-SAV</v>
      </c>
      <c r="H66" s="60" t="str">
        <v>SAV</v>
      </c>
      <c r="I66" s="60" t="str">
        <v>Ridepooling</v>
      </c>
      <c r="J66" s="60" t="str">
        <v>Ridepooling</v>
      </c>
      <c r="K66" s="60" t="str">
        <v>Western Reserve Transit Authority;GreenPower</v>
      </c>
      <c r="L66" s="60" t="str">
        <v>Western Reserve Transit Authority</v>
      </c>
      <c r="M66" s="60" t="str">
        <v>GreenPower</v>
      </c>
      <c r="N66" s="60">
        <v>0</v>
      </c>
      <c r="O66"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66"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66" s="60" t="str">
        <v>Strategic Alliance</v>
      </c>
      <c r="R66" s="60" t="str">
        <v>n.a.</v>
      </c>
      <c r="S66" s="60" t="str">
        <v>One time - pilot</v>
      </c>
      <c r="T66" s="60" t="str">
        <v>-</v>
      </c>
      <c r="U66" s="60" t="str">
        <v>-</v>
      </c>
      <c r="V66" s="60" t="str">
        <v>-</v>
      </c>
      <c r="W66" s="60" t="str">
        <v>2.1. Short term Alliance (no exclusivity / previous experience)</v>
      </c>
      <c r="X66" s="60">
        <v>0</v>
      </c>
      <c r="Y66" s="60" t="str">
        <v>First Transit, the leader in mobility solutions, announces that it will operate the Western Reserve Transit Authority (WRTA) autonomous vehicle (AV) pilot, in partnership with Perrone Robotics and GreenPower.</v>
      </c>
      <c r="Z66" s="60" t="str">
        <v>Joint Service Agreement</v>
      </c>
      <c r="AA66" s="60" t="str">
        <v>First Transit, the leader in mobility solutions, announces that it will operate the Western Reserve Transit Authority (WRTA) autonomous vehicle (AV) pilot, in partnership with Perrone Robotics and GreenPower.</v>
      </c>
      <c r="AB66" s="60">
        <v>0</v>
      </c>
      <c r="AC66" s="60">
        <v>0</v>
      </c>
      <c r="AD66" s="60">
        <v>0</v>
      </c>
      <c r="AE66" s="60">
        <v>0</v>
      </c>
      <c r="AF66" s="60" t="str">
        <v xml:space="preserve">Western Reserve Transit Authority Selects First Transit, in Partnership with Perrone Robotics and GreenPower </v>
      </c>
      <c r="AG66" s="60" t="str">
        <v>for Autonomous Vehicle Pilot</v>
      </c>
    </row>
    <row r="67" spans="1:33" x14ac:dyDescent="0.35">
      <c r="A67" s="60" t="str">
        <v>https://www.perronerobotics.com/news/pri-partners-sae-tampa</v>
      </c>
      <c r="B67" s="60" t="str">
        <v>2018, 5, 1</v>
      </c>
      <c r="C67" s="105">
        <v>43221</v>
      </c>
      <c r="D67" s="60" t="str">
        <v>PRI Partners with SAE in Tampa</v>
      </c>
      <c r="E67" s="60" t="str">
        <v>Perrone Robotics</v>
      </c>
      <c r="F67" s="60" t="str">
        <v>L1</v>
      </c>
      <c r="G67" s="60" t="str">
        <v>Perrone Robotics-SAV</v>
      </c>
      <c r="H67" s="60" t="str">
        <v>SAV</v>
      </c>
      <c r="I67" s="60" t="str">
        <v>Ridepooling</v>
      </c>
      <c r="J67" s="60" t="str">
        <v>Ridepooling</v>
      </c>
      <c r="K67" s="60" t="str">
        <v>SAE</v>
      </c>
      <c r="L67" s="60" t="str">
        <v>SAE</v>
      </c>
      <c r="M67" s="60">
        <v>0</v>
      </c>
      <c r="N67" s="60">
        <v>0</v>
      </c>
      <c r="O67"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67"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67" s="60" t="str">
        <v>Strategic Alliance</v>
      </c>
      <c r="R67" s="60" t="str">
        <v>n.a.</v>
      </c>
      <c r="S67" s="60" t="str">
        <v>One time - Pilot</v>
      </c>
      <c r="T67" s="60" t="str">
        <v>Short term - 3 days</v>
      </c>
      <c r="U67" s="60" t="str">
        <v>-</v>
      </c>
      <c r="V67" s="60" t="str">
        <v>-</v>
      </c>
      <c r="W67" s="60" t="str">
        <v>2.1. Short term Alliance (no exclusivity / previous experience)</v>
      </c>
      <c r="X67" s="60">
        <v>0</v>
      </c>
      <c r="Y67"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67" s="60" t="str">
        <v>Research &amp; Collaboration</v>
      </c>
      <c r="AA67"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67" s="60">
        <v>0</v>
      </c>
      <c r="AC67" s="60">
        <v>0</v>
      </c>
      <c r="AD67" s="60">
        <v>0</v>
      </c>
      <c r="AE67" s="60">
        <v>0</v>
      </c>
      <c r="AF67" s="60" t="str">
        <v xml:space="preserve">PRI Partners with SAE </v>
      </c>
      <c r="AG67" s="60" t="str">
        <v>in Tampa</v>
      </c>
    </row>
    <row r="68" spans="1:33" x14ac:dyDescent="0.35">
      <c r="A68" s="60" t="str">
        <v>https://www.perronerobotics.com/news/perrone-robotics-and-tropos-team-up-to-develop-autonomous-electric-compact-utility-vehicles</v>
      </c>
      <c r="B68" s="60" t="str">
        <v>2021, 8, 18</v>
      </c>
      <c r="C68" s="105">
        <v>44426</v>
      </c>
      <c r="D68" s="60" t="str">
        <v>Perrone Robotics and Tropos Team up to Develop Autonomous Electric Compact Utility Vehicles</v>
      </c>
      <c r="E68" s="60" t="str">
        <v>Perrone Robotics</v>
      </c>
      <c r="F68" s="60" t="str">
        <v>L1</v>
      </c>
      <c r="G68" s="60" t="str">
        <v>Perrone Robotics-SAV</v>
      </c>
      <c r="H68" s="60" t="str">
        <v>SAV</v>
      </c>
      <c r="I68" s="60" t="str">
        <v>Ridepooling</v>
      </c>
      <c r="J68" s="60" t="str">
        <v>Ridepooling</v>
      </c>
      <c r="K68" s="60" t="str">
        <v>Tropos Technologies</v>
      </c>
      <c r="L68" s="60" t="str">
        <v>Tropos Technologies</v>
      </c>
      <c r="M68" s="60">
        <v>0</v>
      </c>
      <c r="N68" s="60">
        <v>0</v>
      </c>
      <c r="O68"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8" s="60" t="str">
        <v>Autonomous vehicle technology provider Perrone Robotics  and cleantech vehicle manufacturer Tropos Motors yesterday announced a partnership to produce a series of fully autonomous, electric low-speed vehicles (e-LSVs) and trucks.</v>
      </c>
      <c r="Q68" s="60" t="str">
        <v>Strategic Alliance</v>
      </c>
      <c r="R68" s="60" t="str">
        <v>n.a.</v>
      </c>
      <c r="S68" s="60" t="str">
        <v>Product cooperation</v>
      </c>
      <c r="T68" s="60" t="str">
        <v>-</v>
      </c>
      <c r="U68" s="60" t="str">
        <v>-</v>
      </c>
      <c r="V68" s="60" t="str">
        <v>-</v>
      </c>
      <c r="W68" s="60" t="str">
        <v>2.1. Short term Alliance (no exclusivity / previous experience)</v>
      </c>
      <c r="X68" s="60">
        <v>0</v>
      </c>
      <c r="Y68"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8" s="60" t="str">
        <v>Joint D&amp;D</v>
      </c>
      <c r="AA68"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8" s="60">
        <v>0</v>
      </c>
      <c r="AC68" s="60">
        <v>0</v>
      </c>
      <c r="AD68" s="60">
        <v>0</v>
      </c>
      <c r="AE68" s="60">
        <v>0</v>
      </c>
      <c r="AF68" s="60" t="str">
        <v xml:space="preserve">Perrone Robotics and Tropos Team up to Develop </v>
      </c>
      <c r="AG68" s="60" t="str">
        <v>Autonomous Electric Compact Utility Vehicles</v>
      </c>
    </row>
    <row r="69" spans="1:33" x14ac:dyDescent="0.35">
      <c r="A69" s="60" t="str">
        <v>https://www.perronerobotics.com/news/perrone-robotics-partners-with-tropos-on-self-driving-trucks</v>
      </c>
      <c r="B69" s="60" t="str">
        <v>2021, 8, 18</v>
      </c>
      <c r="C69" s="105">
        <v>44426</v>
      </c>
      <c r="D69" s="60" t="str">
        <v>Perrone Robotics Partners With Tropos on Self-Driving Trucks</v>
      </c>
      <c r="E69" s="60" t="str">
        <v>Perrone Robotics</v>
      </c>
      <c r="F69" s="60" t="str">
        <v>L1</v>
      </c>
      <c r="G69" s="60" t="str">
        <v>Perrone Robotics-SAV</v>
      </c>
      <c r="H69" s="60" t="str">
        <v>SAV</v>
      </c>
      <c r="I69" s="60" t="str">
        <v>Ridepooling</v>
      </c>
      <c r="J69" s="60" t="str">
        <v>Ridepooling</v>
      </c>
      <c r="K69" s="60" t="str">
        <v>Tropos Technologies</v>
      </c>
      <c r="L69" s="60" t="str">
        <v>Tropos Technologies</v>
      </c>
      <c r="M69" s="60">
        <v>0</v>
      </c>
      <c r="N69" s="60">
        <v>0</v>
      </c>
      <c r="O69"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9" s="60" t="str">
        <v>Future platforms in development will include a series of emergency and first-responder solutions that will be available later this year.</v>
      </c>
      <c r="Q69" s="60" t="str">
        <v>Strategic Alliance</v>
      </c>
      <c r="R69" s="60" t="str">
        <v>n.a.</v>
      </c>
      <c r="S69" s="60" t="str">
        <v>Service cooperation</v>
      </c>
      <c r="T69" s="60" t="str">
        <v>-</v>
      </c>
      <c r="U69" s="60" t="str">
        <v>-</v>
      </c>
      <c r="V69" s="60" t="str">
        <v>-</v>
      </c>
      <c r="W69" s="60" t="str">
        <v>2.1. Short term Alliance (no exclusivity / previous experience)</v>
      </c>
      <c r="X69" s="60">
        <v>0</v>
      </c>
      <c r="Y69"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9" s="60" t="str">
        <v>Joint D&amp;D</v>
      </c>
      <c r="AA69"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9" s="60">
        <v>0</v>
      </c>
      <c r="AC69" s="60">
        <v>0</v>
      </c>
      <c r="AD69" s="60">
        <v>0</v>
      </c>
      <c r="AE69" s="60">
        <v>0</v>
      </c>
      <c r="AF69" s="60" t="str">
        <v>Perrone Robotics Partners With Tropos on Self-Driving Trucks</v>
      </c>
      <c r="AG69" s="60">
        <v>0</v>
      </c>
    </row>
    <row r="70" spans="1:33" x14ac:dyDescent="0.35">
      <c r="A70" s="60" t="str">
        <v>https://www.perronerobotics.com/news/autonomous-ev-bus-collaboration-announced</v>
      </c>
      <c r="B70" s="60" t="str">
        <v>2020, 3, 2</v>
      </c>
      <c r="C70" s="105">
        <v>43892</v>
      </c>
      <c r="D70" s="60" t="str">
        <v>Autonomous EV Bus Collaboration Announced</v>
      </c>
      <c r="E70" s="60" t="str">
        <v>Perrone Robotics</v>
      </c>
      <c r="F70" s="60" t="str">
        <v>L1</v>
      </c>
      <c r="G70" s="60" t="str">
        <v>Perrone Robotics-SAV</v>
      </c>
      <c r="H70" s="60" t="str">
        <v>SAV</v>
      </c>
      <c r="I70" s="60" t="str">
        <v>Ridepooling</v>
      </c>
      <c r="J70" s="60" t="str">
        <v>Ridepooling</v>
      </c>
      <c r="K70" s="60" t="str">
        <v>Greenpower</v>
      </c>
      <c r="L70" s="60" t="str">
        <v>Greenpower</v>
      </c>
      <c r="M70" s="60">
        <v>0</v>
      </c>
      <c r="N70" s="60">
        <v>0</v>
      </c>
      <c r="O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70" s="60" t="str">
        <v>Strategic Alliance</v>
      </c>
      <c r="R70" s="60" t="str">
        <v>n.a.</v>
      </c>
      <c r="S70" s="60" t="str">
        <v>Product cooperation</v>
      </c>
      <c r="T70" s="60" t="str">
        <v>-</v>
      </c>
      <c r="U70" s="60" t="str">
        <v>-</v>
      </c>
      <c r="V70" s="60" t="str">
        <v>-</v>
      </c>
      <c r="W70" s="60" t="str">
        <v>2.1. Short term Alliance (no exclusivity / previous experience)</v>
      </c>
      <c r="X70" s="60">
        <v>0</v>
      </c>
      <c r="Y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70" s="60" t="str">
        <v>Joint D&amp;D</v>
      </c>
      <c r="AA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70" s="60">
        <v>0</v>
      </c>
      <c r="AC70" s="60">
        <v>0</v>
      </c>
      <c r="AD70" s="60">
        <v>0</v>
      </c>
      <c r="AE70" s="60">
        <v>0</v>
      </c>
      <c r="AF70" s="60" t="str">
        <v>Autonomous EV Bus Collaboration Announced</v>
      </c>
      <c r="AG70" s="60">
        <v>0</v>
      </c>
    </row>
    <row r="71" spans="1:33" x14ac:dyDescent="0.35">
      <c r="A71" s="60" t="str">
        <v>https://www.perronerobotics.com/news/perrone-robotics-inc-and-guident-corp-sign-strategic-alliance</v>
      </c>
      <c r="B71" s="60" t="str">
        <v>2022, 4, 19</v>
      </c>
      <c r="C71" s="105">
        <v>44670</v>
      </c>
      <c r="D71" s="60" t="str">
        <v>Perrone Robotics,  and Guident Corp. Sign Strategic Alliance</v>
      </c>
      <c r="E71" s="60" t="str">
        <v>Perrone Robotics</v>
      </c>
      <c r="F71" s="60" t="str">
        <v>L1</v>
      </c>
      <c r="G71" s="60" t="str">
        <v>Perrone Robotics-SAV</v>
      </c>
      <c r="H71" s="60" t="str">
        <v>SAV</v>
      </c>
      <c r="I71" s="60" t="str">
        <v>Ridepooling</v>
      </c>
      <c r="J71" s="60" t="str">
        <v>Ridepooling</v>
      </c>
      <c r="K71" s="60" t="str">
        <v>Guident</v>
      </c>
      <c r="L71" s="60" t="str">
        <v>Guident</v>
      </c>
      <c r="M71" s="60">
        <v>0</v>
      </c>
      <c r="N71" s="60">
        <v>0</v>
      </c>
      <c r="O71"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71"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71" s="60" t="str">
        <v>Strategic Alliance</v>
      </c>
      <c r="R71" s="60" t="str">
        <v>Yes</v>
      </c>
      <c r="S71" s="60" t="str">
        <v>Product cooperation</v>
      </c>
      <c r="T71" s="60" t="str">
        <v>-</v>
      </c>
      <c r="U71" s="60" t="str">
        <v>-</v>
      </c>
      <c r="V71" s="60" t="str">
        <v>-</v>
      </c>
      <c r="W71" s="60" t="str">
        <v>2.1. Short term Alliance (no exclusivity / previous experience)</v>
      </c>
      <c r="X71" s="60">
        <v>0</v>
      </c>
      <c r="Y71"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71" s="60" t="str">
        <v>Joint D&amp;D</v>
      </c>
      <c r="AA71"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71" s="60">
        <v>0</v>
      </c>
      <c r="AC71" s="60">
        <v>0</v>
      </c>
      <c r="AD71" s="60">
        <v>0</v>
      </c>
      <c r="AE71" s="60">
        <v>0</v>
      </c>
      <c r="AF71" s="60" t="str">
        <v>Perrone Robotics,  and Guident Corp. Sign Strategic Alliance</v>
      </c>
      <c r="AG71" s="60">
        <v>0</v>
      </c>
    </row>
    <row r="72" spans="1:33" x14ac:dyDescent="0.35">
      <c r="A72" s="60" t="str">
        <v>https://www.perronerobotics.com/news/lightning-emotors-partners-with-perrone-robotics-to-offer-fully-autonomous-vehicle-option-to-zero-emission-fleet-customers</v>
      </c>
      <c r="B72" s="60" t="str">
        <v>2022, 5, 9</v>
      </c>
      <c r="C72" s="105">
        <v>44690</v>
      </c>
      <c r="D72" s="60" t="str">
        <v>Lightning eMotors Partners with Perrone Robotics to Offer Fully Autonomous Vehicle Option to Zero-Emission Fleet Customers</v>
      </c>
      <c r="E72" s="60" t="str">
        <v>Perrone Robotics</v>
      </c>
      <c r="F72" s="60" t="str">
        <v>L1</v>
      </c>
      <c r="G72" s="60" t="str">
        <v>Perrone Robotics-SAV</v>
      </c>
      <c r="H72" s="60" t="str">
        <v>SAV</v>
      </c>
      <c r="I72" s="60" t="str">
        <v>Ridepooling</v>
      </c>
      <c r="J72" s="60" t="str">
        <v>Ridepooling</v>
      </c>
      <c r="K72" s="60" t="str">
        <v>Lightning eMotors</v>
      </c>
      <c r="L72" s="60" t="str">
        <v>Lightning eMotors</v>
      </c>
      <c r="M72" s="60">
        <v>0</v>
      </c>
      <c r="N72" s="60">
        <v>0</v>
      </c>
      <c r="O72"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72"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72" s="60" t="str">
        <v>Strategic Alliance</v>
      </c>
      <c r="R72" s="60" t="str">
        <v>n.a.</v>
      </c>
      <c r="S72" s="60" t="str">
        <v>Product cooperation</v>
      </c>
      <c r="T72" s="60" t="str">
        <v>-</v>
      </c>
      <c r="U72" s="60" t="str">
        <v>-</v>
      </c>
      <c r="V72" s="60" t="str">
        <v>-</v>
      </c>
      <c r="W72" s="60" t="str">
        <v>2.1. Short term Alliance (no exclusivity / previous experience)</v>
      </c>
      <c r="X72" s="60">
        <v>0</v>
      </c>
      <c r="Y72"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72" s="60" t="str">
        <v>Joint D&amp;D</v>
      </c>
      <c r="AA72"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72" s="60">
        <v>0</v>
      </c>
      <c r="AC72" s="60">
        <v>0</v>
      </c>
      <c r="AD72" s="60">
        <v>0</v>
      </c>
      <c r="AE72" s="60">
        <v>0</v>
      </c>
      <c r="AF72" s="60" t="str">
        <v>Lightning eMotors Partners with Perrone Robotics to Offer Fully Autonomous Vehicle Option to Zero-Emission Fleet Customers</v>
      </c>
      <c r="AG72" s="60">
        <v>0</v>
      </c>
    </row>
    <row r="73" spans="1:33" x14ac:dyDescent="0.35">
      <c r="A73" s="60" t="str">
        <v>https://www.perronerobotics.com/news/perrone-robotics-collaborates-machine-learning-pioneer</v>
      </c>
      <c r="B73" s="60" t="str">
        <v>2021, 2, 8</v>
      </c>
      <c r="C73" s="105">
        <v>44235</v>
      </c>
      <c r="D73" s="60" t="str">
        <v>Perrone Robotics Collaborates with Machine Learning Pioneer</v>
      </c>
      <c r="E73" s="60" t="str">
        <v>Perrone Robotics</v>
      </c>
      <c r="F73" s="60" t="str">
        <v>L1</v>
      </c>
      <c r="G73" s="60" t="str">
        <v>Perrone Robotics-SAV</v>
      </c>
      <c r="H73" s="60" t="str">
        <v>SAV</v>
      </c>
      <c r="I73" s="60" t="str">
        <v>Ridepooling</v>
      </c>
      <c r="J73" s="60" t="str">
        <v>Ridepooling</v>
      </c>
      <c r="K73" s="60" t="str">
        <v>University of California</v>
      </c>
      <c r="L73" s="60" t="str">
        <v>University of California</v>
      </c>
      <c r="M73" s="60">
        <v>0</v>
      </c>
      <c r="N73" s="60">
        <v>0</v>
      </c>
      <c r="O73"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73" s="60" t="str">
        <v>Perrone Robotics has signed a memorandum of understanding for a collaboration with Professor Robert Hecht-Nielsen of the University of California (San Diego), San Diego's Vertebrate Movement Laboratory and its research team on advanced machine learning methods</v>
      </c>
      <c r="Q73" s="60" t="str">
        <v>Strategic Alliance</v>
      </c>
      <c r="R73" s="60" t="str">
        <v>Yes</v>
      </c>
      <c r="S73" s="60" t="str">
        <v>Research cooperation</v>
      </c>
      <c r="T73" s="60" t="str">
        <v>-</v>
      </c>
      <c r="U73" s="60" t="str">
        <v>-</v>
      </c>
      <c r="V73" s="60" t="str">
        <v>-</v>
      </c>
      <c r="W73" s="60" t="str">
        <v>2.1. Short term Alliance (no exclusivity / previous experience)</v>
      </c>
      <c r="X73" s="60">
        <v>0</v>
      </c>
      <c r="Y73" s="60" t="str">
        <v>Perrone Robotics has signed a memorandum of understanding for a collaboration with Professor Robert Hecht-Nielsen of the University of California (San Diego), San Diego's Vertebrate Movement Laboratory and its research team on advanced machine learning methods</v>
      </c>
      <c r="Z73" s="60" t="str">
        <v>Research &amp; Collaboration</v>
      </c>
      <c r="AA73" s="60" t="str">
        <v>Perrone Robotics has signed a memorandum of understanding for a collaboration with Professor Robert Hecht-Nielsen of the University of California (San Diego), San Diego's Vertebrate Movement Laboratory and its research team on advanced machine learning methods</v>
      </c>
      <c r="AB73" s="60">
        <v>0</v>
      </c>
      <c r="AC73" s="60">
        <v>0</v>
      </c>
      <c r="AD73" s="60">
        <v>0</v>
      </c>
      <c r="AE73" s="60">
        <v>0</v>
      </c>
      <c r="AF73" s="60" t="str">
        <v>Perrone Robotics Collaborates with Machine Learning Pioneer</v>
      </c>
      <c r="AG73" s="60">
        <v>0</v>
      </c>
    </row>
    <row r="74" spans="1:33" x14ac:dyDescent="0.35">
      <c r="A74" s="60" t="str">
        <v>https://www.perronerobotics.com/news/perrone-robotics-enters-into-agreement-with-sustainability-partners-bringing-autonomous-vehicles-to-the-state-of-hawaii</v>
      </c>
      <c r="B74" s="60" t="str">
        <v>2023, 2, 17</v>
      </c>
      <c r="C74" s="105">
        <v>44974</v>
      </c>
      <c r="D74" s="60" t="str">
        <v>Perrone Robotics Enters into Agreement with Sustainability Partners Bringing Autonomous Vehicles to the State of Hawaii</v>
      </c>
      <c r="E74" s="60" t="str">
        <v>Perrone Robotics</v>
      </c>
      <c r="F74" s="60" t="str">
        <v>L1</v>
      </c>
      <c r="G74" s="60" t="str">
        <v>Perrone Robotics-SAV</v>
      </c>
      <c r="H74" s="60" t="str">
        <v>SAV</v>
      </c>
      <c r="I74" s="60" t="str">
        <v>Ridepooling</v>
      </c>
      <c r="J74" s="60" t="str">
        <v>Ridepooling</v>
      </c>
      <c r="K74" s="60" t="str">
        <v>Sustainability Partners</v>
      </c>
      <c r="L74" s="60" t="str">
        <v>Sustainability Partners</v>
      </c>
      <c r="M74" s="60">
        <v>0</v>
      </c>
      <c r="N74" s="60">
        <v>0</v>
      </c>
      <c r="O74"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74"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74" s="60" t="str">
        <v>Strategic Alliance</v>
      </c>
      <c r="R74" s="60" t="str">
        <v>n.a.</v>
      </c>
      <c r="S74" s="60" t="str">
        <v>Financing</v>
      </c>
      <c r="T74" s="60" t="str">
        <v>-</v>
      </c>
      <c r="U74" s="60" t="str">
        <v>-</v>
      </c>
      <c r="V74" s="60" t="str">
        <v>-</v>
      </c>
      <c r="W74" s="60" t="str">
        <v>2.1. Short term Alliance (no exclusivity / previous experience)</v>
      </c>
      <c r="X74" s="60">
        <v>0</v>
      </c>
      <c r="Y74"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74" s="60" t="str">
        <v>Other</v>
      </c>
      <c r="AA74"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74" s="60">
        <v>0</v>
      </c>
      <c r="AC74" s="60">
        <v>0</v>
      </c>
      <c r="AD74" s="60">
        <v>0</v>
      </c>
      <c r="AE74" s="60">
        <v>0</v>
      </c>
      <c r="AF74" s="60" t="str">
        <v>Perrone Robotics Enters into Agreement with Sustainability Partners Bringing Autonomous Vehicles to the State of Hawaii</v>
      </c>
      <c r="AG74" s="60">
        <v>0</v>
      </c>
    </row>
    <row r="75" spans="1:33" x14ac:dyDescent="0.35">
      <c r="A75" s="60" t="str">
        <v>https://www.perronerobotics.com/news/perrone-robotics-and-rampini-announce-partnership-to-provide-automated-6-meter-electric-buses</v>
      </c>
      <c r="B75" s="60" t="str">
        <v>2022, 12, 10</v>
      </c>
      <c r="C75" s="105">
        <v>44571</v>
      </c>
      <c r="D75" s="60" t="str">
        <v>Perrone Robotics and Rampini announce Partnership to Provide Automated 6-meter Electric Buses</v>
      </c>
      <c r="E75" s="60" t="str">
        <v>Perrone Robotics</v>
      </c>
      <c r="F75" s="60" t="str">
        <v>L1</v>
      </c>
      <c r="G75" s="60" t="str">
        <v>Perrone Robotics-SAV</v>
      </c>
      <c r="H75" s="60" t="str">
        <v>SAV</v>
      </c>
      <c r="I75" s="60" t="str">
        <v>Ridepooling</v>
      </c>
      <c r="J75" s="60" t="str">
        <v>Ridepooling</v>
      </c>
      <c r="K75" s="60" t="str">
        <v>Rampini</v>
      </c>
      <c r="L75" s="60" t="str">
        <v>Rampini</v>
      </c>
      <c r="M75" s="60">
        <v>0</v>
      </c>
      <c r="N75" s="60">
        <v>0</v>
      </c>
      <c r="O75"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75"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75" s="60" t="str">
        <v>Strategic Alliance</v>
      </c>
      <c r="R75" s="60" t="str">
        <v>n.a.</v>
      </c>
      <c r="S75" s="60" t="str">
        <v>Product cooperation</v>
      </c>
      <c r="T75" s="60" t="str">
        <v>-</v>
      </c>
      <c r="U75" s="60" t="str">
        <v>-</v>
      </c>
      <c r="V75" s="60" t="str">
        <v>-</v>
      </c>
      <c r="W75" s="60" t="str">
        <v>2.1. Short term Alliance (no exclusivity / previous experience)</v>
      </c>
      <c r="X75" s="60">
        <v>0</v>
      </c>
      <c r="Y75"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75" s="60" t="str">
        <v>Joint D&amp;D</v>
      </c>
      <c r="AA75"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75" s="60">
        <v>0</v>
      </c>
      <c r="AC75" s="60">
        <v>0</v>
      </c>
      <c r="AD75" s="60">
        <v>0</v>
      </c>
      <c r="AE75" s="60">
        <v>0</v>
      </c>
      <c r="AF75" s="60" t="str">
        <v>Perrone Robotics and Rampini announce Partnership to Provide Automated 6-meter Electric Buses</v>
      </c>
      <c r="AG75" s="60">
        <v>0</v>
      </c>
    </row>
    <row r="76" spans="1:33" x14ac:dyDescent="0.35">
      <c r="A76" s="60" t="str">
        <v>https://www.perronerobotics.com/news/perrone-robotics-and-tropos-technologies-announce-partnership-to-develop-fully-autonomous-electric-compact-utility-vehicles</v>
      </c>
      <c r="B76" s="60" t="str">
        <v>2021, 8, 17</v>
      </c>
      <c r="C76" s="105">
        <v>44425</v>
      </c>
      <c r="D76" s="60" t="str">
        <v>Perrone Robotics and Tropos Technologies Announce Partnership to Develop Fully Autonomous Electric Compact Utility Vehicles</v>
      </c>
      <c r="E76" s="60" t="str">
        <v>Perrone Robotics</v>
      </c>
      <c r="F76" s="60" t="str">
        <v>L1</v>
      </c>
      <c r="G76" s="60" t="str">
        <v>Perrone Robotics-SAV</v>
      </c>
      <c r="H76" s="60" t="str">
        <v>SAV</v>
      </c>
      <c r="I76" s="60" t="str">
        <v>Ridepooling</v>
      </c>
      <c r="J76" s="60" t="str">
        <v>Ridepooling</v>
      </c>
      <c r="K76" s="60" t="str">
        <v>Tropos Technologies</v>
      </c>
      <c r="L76" s="60" t="str">
        <v>Tropos Technologies</v>
      </c>
      <c r="M76" s="60">
        <v>0</v>
      </c>
      <c r="N76" s="60">
        <v>0</v>
      </c>
      <c r="O76"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76" s="60" t="str">
        <v>today announced a partnership to produce a series of fully autonomous, electric low speed vehicles (e-LSVs) and trucks.
Future platforms in development will include a series of emergency and first-responder solutions that will be available later this year.</v>
      </c>
      <c r="Q76" s="60" t="str">
        <v>Strategic Alliance</v>
      </c>
      <c r="R76" s="60" t="str">
        <v>n.a.</v>
      </c>
      <c r="S76" s="60" t="str">
        <v>Product cooperation</v>
      </c>
      <c r="T76" s="60" t="str">
        <v>-</v>
      </c>
      <c r="U76" s="60" t="str">
        <v>-</v>
      </c>
      <c r="V76" s="60" t="str">
        <v>-</v>
      </c>
      <c r="W76" s="60" t="str">
        <v>2.1. Short term Alliance (no exclusivity / previous experience)</v>
      </c>
      <c r="X76" s="60">
        <v>0</v>
      </c>
      <c r="Y76"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76" s="60" t="str">
        <v>Joint D&amp;D</v>
      </c>
      <c r="AA76"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76" s="60" t="str">
        <v>Licensing</v>
      </c>
      <c r="AC76" s="60" t="str">
        <v>The partnership will include the delivery of Perrone's reliable core TONY autonomous vehicle driverless system, the licensing of software, and the provision of related services.</v>
      </c>
      <c r="AD76" s="60">
        <v>0</v>
      </c>
      <c r="AE76" s="60">
        <v>0</v>
      </c>
      <c r="AF76" s="60" t="str">
        <v>Perrone Robotics and Tropos Technologies Announce Partnership to Develop Fully Autonomous Electric Compact Utility Vehicles</v>
      </c>
      <c r="AG76" s="60">
        <v>0</v>
      </c>
    </row>
    <row r="77" spans="1:33" x14ac:dyDescent="0.35">
      <c r="A77" s="60" t="str">
        <v>https://www.perronerobotics.com/news/greenpower-partners-with-perrone-robotics-jta-to-win-innovative-solutions-award-for-autonomous-vehicles</v>
      </c>
      <c r="B77" s="60" t="str">
        <v>2021, 11, 9</v>
      </c>
      <c r="C77" s="105">
        <v>44205</v>
      </c>
      <c r="D77" s="60" t="str">
        <v>GreenPower Partners with Perrone Robotics, JTA to Win Innovative Solutions Award for Autonomous Vehicles</v>
      </c>
      <c r="E77" s="60" t="str">
        <v>Perrone Robotics</v>
      </c>
      <c r="F77" s="60" t="str">
        <v>L1</v>
      </c>
      <c r="G77" s="60" t="str">
        <v>Perrone Robotics-SAV</v>
      </c>
      <c r="H77" s="60" t="str">
        <v>SAV</v>
      </c>
      <c r="I77" s="60" t="str">
        <v>Ridepooling</v>
      </c>
      <c r="J77" s="60" t="str">
        <v>Ridepooling</v>
      </c>
      <c r="K77" s="60" t="str">
        <v>GreenPower;JTA</v>
      </c>
      <c r="L77" s="60" t="str">
        <v>GreenPower</v>
      </c>
      <c r="M77" s="60" t="str">
        <v>JTA</v>
      </c>
      <c r="N77" s="60">
        <v>0</v>
      </c>
      <c r="O77"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77"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77" s="60" t="str">
        <v>Strategic Alliance</v>
      </c>
      <c r="R77" s="60" t="str">
        <v>n.a.</v>
      </c>
      <c r="S77" s="60" t="str">
        <v>Financing</v>
      </c>
      <c r="T77" s="60" t="str">
        <v>Short term - 6 months</v>
      </c>
      <c r="U77" s="60" t="str">
        <v>-</v>
      </c>
      <c r="V77" s="60" t="str">
        <v>-</v>
      </c>
      <c r="W77" s="60" t="str">
        <v>2.1. Short term Alliance (no exclusivity / previous experience)</v>
      </c>
      <c r="X77" s="60">
        <v>0</v>
      </c>
      <c r="Y77"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77" s="60" t="str">
        <v>Joint D&amp;D</v>
      </c>
      <c r="AA77"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77" s="60">
        <v>0</v>
      </c>
      <c r="AC77" s="60">
        <v>0</v>
      </c>
      <c r="AD77" s="60">
        <v>0</v>
      </c>
      <c r="AE77" s="60">
        <v>0</v>
      </c>
      <c r="AF77" s="60" t="str">
        <v>GreenPower Partners with Perrone Robotics, JTA to Win Innovative Solutions Award for Autonomous Vehicles</v>
      </c>
      <c r="AG77" s="60">
        <v>0</v>
      </c>
    </row>
    <row r="78" spans="1:33" x14ac:dyDescent="0.35">
      <c r="A78" s="60" t="str">
        <v>https://www.perronerobotics.com/news/perrone-robotics-collaborates-with-uva-foundation-to-bring-autonomous-shuttle-service-to-north-fork</v>
      </c>
      <c r="B78" s="60" t="str">
        <v>2022, 12, 8</v>
      </c>
      <c r="C78" s="105">
        <v>44569</v>
      </c>
      <c r="D78" s="60" t="str">
        <v>Perrone Robotics Collaborates with UVA Foundation to Bring Autonomous Shuttle Service to North Fork</v>
      </c>
      <c r="E78" s="60" t="str">
        <v>Perrone Robotics</v>
      </c>
      <c r="F78" s="60" t="str">
        <v>L1</v>
      </c>
      <c r="G78" s="60" t="str">
        <v>Perrone Robotics-SAV</v>
      </c>
      <c r="H78" s="60" t="str">
        <v>SAV</v>
      </c>
      <c r="I78" s="60" t="str">
        <v>Ridepooling</v>
      </c>
      <c r="J78" s="60" t="str">
        <v>Ridepooling</v>
      </c>
      <c r="K78" s="60" t="str">
        <v>UVA Foundation</v>
      </c>
      <c r="L78" s="60" t="str">
        <v>UVA Foundation</v>
      </c>
      <c r="M78" s="60">
        <v>0</v>
      </c>
      <c r="N78" s="60">
        <v>0</v>
      </c>
      <c r="O78"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8"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8" s="60" t="str">
        <v>Strategic Alliance</v>
      </c>
      <c r="R78" s="60" t="str">
        <v>n.a.</v>
      </c>
      <c r="S78" s="60" t="str">
        <v>Research cooperation</v>
      </c>
      <c r="T78" s="60" t="str">
        <v>Long term - min 12 months</v>
      </c>
      <c r="U78" s="60" t="str">
        <v>-</v>
      </c>
      <c r="V78" s="60" t="str">
        <v>-</v>
      </c>
      <c r="W78" s="60" t="str">
        <v>2.3. Long term Alliance</v>
      </c>
      <c r="X78" s="60">
        <v>0</v>
      </c>
      <c r="Y78"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8" s="60" t="str">
        <v>Other</v>
      </c>
      <c r="AA78"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8" s="60">
        <v>0</v>
      </c>
      <c r="AC78" s="60">
        <v>0</v>
      </c>
      <c r="AD78" s="60">
        <v>0</v>
      </c>
      <c r="AE78" s="60">
        <v>0</v>
      </c>
      <c r="AF78" s="60" t="str">
        <v>Perrone Robotics Collaborates with UVA Foundation to Bring Autonomous Shuttle Service to North Fork</v>
      </c>
      <c r="AG78" s="60">
        <v>0</v>
      </c>
    </row>
    <row r="79" spans="1:33" x14ac:dyDescent="0.35">
      <c r="A79" s="60" t="str">
        <v>https://www.perronerobotics.com/news/revolutionizing-transportation-perrone-robotics-unveils-historic-collaboration-with-e-charger-systems-revealed-at-sema-2023</v>
      </c>
      <c r="B79" s="60" t="str">
        <v>2023, 11, 1</v>
      </c>
      <c r="C79" s="105">
        <v>44927</v>
      </c>
      <c r="D79" s="60" t="str">
        <v>Revolutionizing Transportation: Perrone Robotics Unveils Historic Collaboration with E Charger Systems - Revealed at SEMA 2023</v>
      </c>
      <c r="E79" s="60" t="str">
        <v>Perrone Robotics</v>
      </c>
      <c r="F79" s="60" t="str">
        <v>L1</v>
      </c>
      <c r="G79" s="60" t="str">
        <v>Perrone Robotics-SAV</v>
      </c>
      <c r="H79" s="60" t="str">
        <v>SAV</v>
      </c>
      <c r="I79" s="60" t="str">
        <v>Ridepooling</v>
      </c>
      <c r="J79" s="60" t="str">
        <v>Ridepooling</v>
      </c>
      <c r="K79" s="60" t="str">
        <v>E Charger Systems</v>
      </c>
      <c r="L79" s="60" t="str">
        <v>E Charger Systems</v>
      </c>
      <c r="M79" s="60">
        <v>0</v>
      </c>
      <c r="N79" s="60">
        <v>0</v>
      </c>
      <c r="O79"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9"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9" s="60" t="str">
        <v>Strategic Alliance</v>
      </c>
      <c r="R79" s="60" t="str">
        <v>n.a.</v>
      </c>
      <c r="S79" s="60" t="str">
        <v>Product cooperation</v>
      </c>
      <c r="T79" s="60" t="str">
        <v>-</v>
      </c>
      <c r="U79" s="60" t="str">
        <v>Yes</v>
      </c>
      <c r="V79" s="60" t="str">
        <v>-</v>
      </c>
      <c r="W79" s="60" t="str">
        <v xml:space="preserve">2.2. Renewed Alliance </v>
      </c>
      <c r="X79" s="60">
        <v>0</v>
      </c>
      <c r="Y79"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9" s="60" t="str">
        <v>Joint D&amp;D</v>
      </c>
      <c r="AA79"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9" s="60">
        <v>0</v>
      </c>
      <c r="AC79" s="60">
        <v>0</v>
      </c>
      <c r="AD79" s="60">
        <v>0</v>
      </c>
      <c r="AE79" s="60">
        <v>0</v>
      </c>
      <c r="AF79" s="60" t="str">
        <v>Revolutionizing Transportation: Perrone Robotics Unveils Historic Collaboration with E Charger Systems - Revealed at SEMA 2023</v>
      </c>
      <c r="AG79" s="60">
        <v>0</v>
      </c>
    </row>
    <row r="80" spans="1:33" x14ac:dyDescent="0.35">
      <c r="A80" s="60" t="str">
        <v>https://www.businesswire.com/news/home/20230804774136/en/Pony.ai-and-Toyota-to-Form-Joint-Venture-to-Advance-Mass-Production-of-L4-Autonomous-Vehicles</v>
      </c>
      <c r="B80" s="60" t="str">
        <v>2023, 8, 4</v>
      </c>
      <c r="C80" s="105">
        <v>45142</v>
      </c>
      <c r="D80" s="60" t="str">
        <v>Pony.ai and Toyota to Form Joint Venture to Advance Mass Production of L4 Autonomous Vehicles</v>
      </c>
      <c r="E80" s="60" t="str">
        <v>Pony.ai</v>
      </c>
      <c r="F80" s="60" t="str">
        <v>L1</v>
      </c>
      <c r="G80" s="60" t="str">
        <v>Pony.ai-SAV</v>
      </c>
      <c r="H80" s="60" t="str">
        <v>SAV</v>
      </c>
      <c r="I80" s="60" t="str">
        <v>Ridehailing</v>
      </c>
      <c r="J80" s="60" t="str">
        <v>Ridehailing</v>
      </c>
      <c r="K80" s="60" t="str">
        <v>Toyota</v>
      </c>
      <c r="L80" s="60" t="str">
        <v>Toyota</v>
      </c>
      <c r="M80" s="60">
        <v>0</v>
      </c>
      <c r="N80" s="60">
        <v>0</v>
      </c>
      <c r="O80"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80"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80" s="60" t="str">
        <v>Joint Venture</v>
      </c>
      <c r="R80" s="60" t="str">
        <v>Yes</v>
      </c>
      <c r="S80" s="60" t="str">
        <v>Product cooperation</v>
      </c>
      <c r="T80" s="60" t="str">
        <v>-</v>
      </c>
      <c r="U80" s="60" t="str">
        <v>Yes</v>
      </c>
      <c r="V80" s="60" t="str">
        <v>-</v>
      </c>
      <c r="W80" s="60" t="str">
        <v>4. Joint Venture</v>
      </c>
      <c r="X80" s="60">
        <v>0</v>
      </c>
      <c r="Y80" s="60" t="str">
        <v>It will provide the capacity for scaled-up robotaxi services, encourage the full commercialization of advanced autonomous mobility, and drive the development of the entire industry into a new stage.</v>
      </c>
      <c r="Z80" s="60" t="str">
        <v>Joint D&amp;D</v>
      </c>
      <c r="AA80" s="60" t="str">
        <v>It will provide the capacity for scaled-up robotaxi services, encourage the full commercialization of advanced autonomous mobility, and drive the development of the entire industry into a new stage.</v>
      </c>
      <c r="AB80" s="60" t="str">
        <v>Supply Partnership (traditional)</v>
      </c>
      <c r="AC80"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80" s="60">
        <v>0</v>
      </c>
      <c r="AE80" s="60">
        <v>0</v>
      </c>
      <c r="AF80" s="60" t="str">
        <v xml:space="preserve">Pony.ai and Toyota to Form Joint Venture </v>
      </c>
      <c r="AG80" s="60" t="str">
        <v>to Advance Mass Production of L4 Autonomous Vehicles</v>
      </c>
    </row>
    <row r="81" spans="1:47" x14ac:dyDescent="0.35">
      <c r="A81" s="60" t="str">
        <v>https://www.globenewswire.com/news-release/2020/01/06/1966657/0/en/ON-Semiconductor-and-Pony-ai-Collaboration-on-Next-Gen-Image-Sensing-and-Processing-Technologies-for-Autonomous-Vehicles.html</v>
      </c>
      <c r="B81" s="60" t="str">
        <v>2020, 6, 1</v>
      </c>
      <c r="C81" s="105">
        <v>43983</v>
      </c>
      <c r="D81" s="60" t="str">
        <v>Onsemi and Pony.ai Collaboration on Next-Gen Image Sensing and Processing Technologies for Autonomous Vehicles</v>
      </c>
      <c r="E81" s="60" t="str">
        <v>Pony.ai</v>
      </c>
      <c r="F81" s="60" t="str">
        <v>L1</v>
      </c>
      <c r="G81" s="60" t="str">
        <v>Pony.ai-SAV</v>
      </c>
      <c r="H81" s="60" t="str">
        <v>SAV</v>
      </c>
      <c r="I81" s="60" t="str">
        <v>Ridehailing</v>
      </c>
      <c r="J81" s="60" t="str">
        <v>Ridehailing</v>
      </c>
      <c r="K81" s="60" t="str">
        <v>Onsemi</v>
      </c>
      <c r="L81" s="60" t="str">
        <v>Onsemi</v>
      </c>
      <c r="M81" s="60">
        <v>0</v>
      </c>
      <c r="N81" s="60">
        <v>0</v>
      </c>
      <c r="O81"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81"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81" s="60" t="str">
        <v>Strategic Alliance</v>
      </c>
      <c r="R81" s="60" t="str">
        <v>n.a.</v>
      </c>
      <c r="S81" s="60" t="str">
        <v>Product cooperation</v>
      </c>
      <c r="T81" s="60" t="str">
        <v>-</v>
      </c>
      <c r="U81" s="60" t="str">
        <v>-</v>
      </c>
      <c r="V81" s="60" t="str">
        <v>-</v>
      </c>
      <c r="W81" s="60" t="str">
        <v>2.1. Short term Alliance (no exclusivity / previous experience)</v>
      </c>
      <c r="X81" s="60">
        <v>0</v>
      </c>
      <c r="Y81"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81" s="60" t="str">
        <v>Supply Partnership (traditional)</v>
      </c>
      <c r="AA81"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81" s="60" t="str">
        <v>Joint D&amp;D</v>
      </c>
      <c r="AC81" s="60" t="str">
        <v>announced today that they will collaborate on developing next-generation image sensing and processing technologies for machine vision to enhance the reliability and scalability of mass-produced autonomous vehicles.</v>
      </c>
      <c r="AD81" s="60">
        <v>0</v>
      </c>
      <c r="AE81" s="60">
        <v>0</v>
      </c>
      <c r="AF81" s="60" t="str">
        <v xml:space="preserve">Onsemi and Pony.ai Collaboration on </v>
      </c>
      <c r="AG81" s="60" t="str">
        <v>Next-Gen Image Sensing and Processing Technologies for Autonomous Vehicles</v>
      </c>
    </row>
    <row r="82" spans="1:47" x14ac:dyDescent="0.35">
      <c r="A82" s="60" t="str">
        <v>https://www.businesswire.com/news/home/20230109005725/en/Pony.ai-and-Horizon-Robotics-Partner-to-Create-a-Comprehensive-Smart-Driving-Solution-for-OEMs</v>
      </c>
      <c r="B82" s="60" t="str">
        <v>2023, 1, 9</v>
      </c>
      <c r="C82" s="105">
        <v>44935</v>
      </c>
      <c r="D82" s="60" t="str">
        <v>Pony.ai and Horizon Robotics Partner to Create a Comprehensive Smart Driving Solution for OEMs</v>
      </c>
      <c r="E82" s="60" t="str">
        <v>Pony.ai</v>
      </c>
      <c r="F82" s="60" t="str">
        <v>L1</v>
      </c>
      <c r="G82" s="60" t="str">
        <v>Pony.ai-SAV</v>
      </c>
      <c r="H82" s="60" t="str">
        <v>SAV</v>
      </c>
      <c r="I82" s="60" t="str">
        <v>Ridehailing</v>
      </c>
      <c r="J82" s="60" t="str">
        <v>Ridehailing</v>
      </c>
      <c r="K82" s="60" t="str">
        <v>Horizon Robotics</v>
      </c>
      <c r="L82" s="60" t="str">
        <v>Horizon Robotics</v>
      </c>
      <c r="M82" s="60">
        <v>0</v>
      </c>
      <c r="N82" s="60">
        <v>0</v>
      </c>
      <c r="O82"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82" s="60" t="str">
        <v xml:space="preserve">The partnership combines Pony.ai's industry-leading L2++ smart driving solution with Horizon Robotics' Journey series auto-grade processors to provide smart driving solutions for series production vehicles. </v>
      </c>
      <c r="Q82" s="60" t="str">
        <v>Strategic Alliance</v>
      </c>
      <c r="R82" s="60" t="str">
        <v>n.a.</v>
      </c>
      <c r="S82" s="60" t="str">
        <v>Product cooperation</v>
      </c>
      <c r="T82" s="60" t="str">
        <v>-</v>
      </c>
      <c r="U82" s="60" t="str">
        <v>-</v>
      </c>
      <c r="V82" s="60" t="str">
        <v>-</v>
      </c>
      <c r="W82" s="60" t="str">
        <v>2.1. Short term Alliance (no exclusivity / previous experience)</v>
      </c>
      <c r="X82" s="60">
        <v>0</v>
      </c>
      <c r="Y82"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82" s="60" t="str">
        <v>Joint D&amp;D</v>
      </c>
      <c r="AA82" s="60" t="str">
        <v xml:space="preserve">The partnership combines Pony.ai's industry-leading L2++ smart driving solution with Horizon Robotics' Journey series auto-grade processors to provide smart driving solutions for series production vehicles. </v>
      </c>
      <c r="AB82" s="60" t="str">
        <v>Supply Partnership (traditional)</v>
      </c>
      <c r="AC82"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82" s="60">
        <v>0</v>
      </c>
      <c r="AE82" s="60">
        <v>0</v>
      </c>
      <c r="AF82" s="60" t="str">
        <v xml:space="preserve">Pony.ai and Horizon Robotics Partner to </v>
      </c>
      <c r="AG82" s="60" t="str">
        <v>Create a Comprehensive Smart Driving Solution for OEMs</v>
      </c>
    </row>
    <row r="83" spans="1:47" x14ac:dyDescent="0.35">
      <c r="A83" s="60" t="str">
        <v>https://www.globenewswire.com/news-release/2019/08/26/1906248/0/en/Pony-ai-collaborates-with-Toyota-for-future-of-autonomous-mobility.html</v>
      </c>
      <c r="B83" s="60" t="str">
        <v>2019, 8, 26</v>
      </c>
      <c r="C83" s="105">
        <v>43703</v>
      </c>
      <c r="D83" s="60" t="str">
        <v>Pony.ai collaborates with Toyota for future of autonomous mobility</v>
      </c>
      <c r="E83" s="60" t="str">
        <v>Pony.ai</v>
      </c>
      <c r="F83" s="60" t="str">
        <v>L1</v>
      </c>
      <c r="G83" s="60" t="str">
        <v>Pony.ai-SAV</v>
      </c>
      <c r="H83" s="60" t="str">
        <v>SAV</v>
      </c>
      <c r="I83" s="60" t="str">
        <v>Ridehailing</v>
      </c>
      <c r="J83" s="60" t="str">
        <v>Ridehailing</v>
      </c>
      <c r="K83" s="60" t="str">
        <v>Toyota</v>
      </c>
      <c r="L83" s="60" t="str">
        <v>Toyota</v>
      </c>
      <c r="M83" s="60">
        <v>0</v>
      </c>
      <c r="N83" s="60">
        <v>0</v>
      </c>
      <c r="O83"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83" s="60" t="str">
        <v>Pony.ai and Toyota are teaming up on an autonomous driving pilot to accelerate the development and deployment of autonomous vehicles. Together, the companies will explore a variety of possibilities to provide safe mobility services for all.</v>
      </c>
      <c r="Q83" s="60" t="str">
        <v>Strategic Alliance</v>
      </c>
      <c r="R83" s="60" t="str">
        <v>n.a.</v>
      </c>
      <c r="S83" s="60" t="str">
        <v>Product cooperation</v>
      </c>
      <c r="T83" s="60" t="str">
        <v>-</v>
      </c>
      <c r="U83" s="60" t="str">
        <v>-</v>
      </c>
      <c r="V83" s="60" t="str">
        <v>-</v>
      </c>
      <c r="W83" s="60" t="str">
        <v>2.1. Short term Alliance (no exclusivity / previous experience)</v>
      </c>
      <c r="X83" s="60">
        <v>0</v>
      </c>
      <c r="Y83" s="60" t="str">
        <v>Pony.ai and Toyota are teaming up on an autonomous driving pilot to accelerate the development and deployment of autonomous vehicles. Together, the companies will explore a variety of possibilities to provide safe mobility services for all.</v>
      </c>
      <c r="Z83" s="60" t="str">
        <v>Research &amp; Collaboration</v>
      </c>
      <c r="AA83" s="60" t="str">
        <v>Pony.ai and Toyota are teaming up on an autonomous driving pilot to accelerate the development and deployment of autonomous vehicles. Together, the companies will explore a variety of possibilities to provide safe mobility services for all</v>
      </c>
      <c r="AB83" s="60">
        <v>0</v>
      </c>
      <c r="AC83" s="60">
        <v>0</v>
      </c>
      <c r="AD83" s="60">
        <v>0</v>
      </c>
      <c r="AE83" s="60">
        <v>0</v>
      </c>
      <c r="AF83" s="60" t="str">
        <v>Pony.ai collaborates with Toyota for future of autonomous mobility</v>
      </c>
      <c r="AG83" s="60">
        <v>0</v>
      </c>
    </row>
    <row r="84" spans="1:47" x14ac:dyDescent="0.35">
      <c r="A84" s="60" t="str">
        <v>https://www.reuters.com/article/us-autonomous-luminar-pony-ai/toyota-backed-self-driving-car-pony-ai-partners-with-luminar-idUSKBN2CR0ZY/</v>
      </c>
      <c r="B84" s="60" t="str">
        <v>2021, 5, 10</v>
      </c>
      <c r="C84" s="105">
        <v>44326</v>
      </c>
      <c r="D84" s="60" t="str">
        <v>Toyota-backed self-driving car Pony.ai partners with Luminar</v>
      </c>
      <c r="E84" s="60" t="str">
        <v>Pony.ai</v>
      </c>
      <c r="F84" s="60" t="str">
        <v>L1</v>
      </c>
      <c r="G84" s="60" t="str">
        <v>Pony.ai-SAV</v>
      </c>
      <c r="H84" s="60" t="str">
        <v>SAV</v>
      </c>
      <c r="I84" s="60" t="str">
        <v>Ridehailing</v>
      </c>
      <c r="J84" s="60" t="str">
        <v>Ridehailing</v>
      </c>
      <c r="K84" s="60" t="str">
        <v>Luminar</v>
      </c>
      <c r="L84" s="60" t="str">
        <v>Luminar</v>
      </c>
      <c r="M84" s="60">
        <v>0</v>
      </c>
      <c r="N84" s="60">
        <v>0</v>
      </c>
      <c r="O84"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84"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84" s="60" t="str">
        <v>Strategic Alliance</v>
      </c>
      <c r="R84" s="60" t="str">
        <v>n.a.</v>
      </c>
      <c r="S84" s="60" t="str">
        <v>Product integration</v>
      </c>
      <c r="T84" s="60" t="str">
        <v>Long term - min 2023</v>
      </c>
      <c r="U84" s="60" t="str">
        <v>-</v>
      </c>
      <c r="V84" s="60" t="str">
        <v>-</v>
      </c>
      <c r="W84" s="60" t="str">
        <v>2.3. Long term Alliance</v>
      </c>
      <c r="X84" s="60">
        <v>0</v>
      </c>
      <c r="Y84" s="60" t="str">
        <v>James Peng, Pony.ai CEO said the startup chose Luminar's Iris lidar for its performance but also as it can be integrated into the car better than traditional lidars.</v>
      </c>
      <c r="Z84" s="60" t="str">
        <v>Supply Partnership (traditional)</v>
      </c>
      <c r="AA84" s="60" t="str">
        <v>James Peng, Pony.ai CEO said the startup chose Luminar's Iris lidar for its performance but also as it can be integrated into the car better than traditional lidars.</v>
      </c>
      <c r="AB84" s="60">
        <v>0</v>
      </c>
      <c r="AC84" s="60">
        <v>0</v>
      </c>
      <c r="AD84" s="60">
        <v>0</v>
      </c>
      <c r="AE84" s="60">
        <v>0</v>
      </c>
      <c r="AF84" s="60" t="str">
        <v>Toyota-backed self-driving car Pony.ai partners with Luminar</v>
      </c>
      <c r="AG84" s="60">
        <v>0</v>
      </c>
    </row>
    <row r="85" spans="1:47" x14ac:dyDescent="0.35">
      <c r="A85" s="60" t="str">
        <v>https://www.businesswire.com/news/home/20220104005793/en/Autonomous-Trucking-Milestone-Pony.ai-Forms-Joint-Venture-with-Sinotrans-One-of-China%E2%80%99s-Leading-Logistics-Firms-to-Further-Deployment-of-Autonomous-Driving-Technologies</v>
      </c>
      <c r="B85" s="60" t="str">
        <v>2022, 1, 4</v>
      </c>
      <c r="C85" s="105">
        <v>44565</v>
      </c>
      <c r="D85" s="60" t="str">
        <v>Autonomous Trucking Milestone: Pony.ai Forms Joint Venture with Sinotrans, One of China's Leading Logistics Firms, to Further Deployment of Autonomous Driving Technologies</v>
      </c>
      <c r="E85" s="60" t="str">
        <v>Pony.ai</v>
      </c>
      <c r="F85" s="60" t="str">
        <v>L1</v>
      </c>
      <c r="G85" s="60" t="str">
        <v>Pony.ai-SAV</v>
      </c>
      <c r="H85" s="60" t="str">
        <v>SAV</v>
      </c>
      <c r="I85" s="60" t="str">
        <v>Ridehailing</v>
      </c>
      <c r="J85" s="60" t="str">
        <v>Ridehailing</v>
      </c>
      <c r="K85" s="60" t="str">
        <v>Sinotrans</v>
      </c>
      <c r="L85" s="60" t="str">
        <v>Sinotrans</v>
      </c>
      <c r="M85" s="60">
        <v>0</v>
      </c>
      <c r="N85" s="60">
        <v>0</v>
      </c>
      <c r="O85"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85"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85" s="60" t="str">
        <v>Joint Venture</v>
      </c>
      <c r="R85" s="60" t="str">
        <v>n.a.</v>
      </c>
      <c r="S85" s="60" t="str">
        <v>Product cooperation</v>
      </c>
      <c r="T85" s="60" t="str">
        <v>-</v>
      </c>
      <c r="U85" s="60" t="str">
        <v>Yes</v>
      </c>
      <c r="V85" s="60" t="str">
        <v>-</v>
      </c>
      <c r="W85" s="60" t="str">
        <v>4. Joint Venture</v>
      </c>
      <c r="X85" s="60">
        <v>0</v>
      </c>
      <c r="Y85" s="60" t="str">
        <v>The two companies will work together to build a smart logistics network featuring autonomous driving trucking technologies.</v>
      </c>
      <c r="Z85" s="60" t="str">
        <v>Joint D&amp;D</v>
      </c>
      <c r="AA85" s="60" t="str">
        <v>The two companies will work together to build a smart logistics network featuring autonomous driving trucking technologies.</v>
      </c>
      <c r="AB85" s="60">
        <v>0</v>
      </c>
      <c r="AC85" s="60">
        <v>0</v>
      </c>
      <c r="AD85" s="60">
        <v>0</v>
      </c>
      <c r="AE85" s="60">
        <v>0</v>
      </c>
      <c r="AF85" s="60" t="str">
        <v>Autonomous Trucking Milestone: Pony.ai Forms Joint Venture with Sinotrans, One of China's Leading Logistics Firms, to Further Deployment of Autonomous Driving Technologies</v>
      </c>
      <c r="AG85" s="60">
        <v>0</v>
      </c>
    </row>
    <row r="86" spans="1:47" x14ac:dyDescent="0.35">
      <c r="A86" s="60" t="str">
        <v>https://www.transdev.com/en/press-release/partnership-torc-autonomous-shuttle/</v>
      </c>
      <c r="B86" s="60" t="str">
        <v>2019, 1, 7</v>
      </c>
      <c r="C86" s="105">
        <v>43472</v>
      </c>
      <c r="D86" s="60" t="str">
        <v>Torc and Transdev partner to develop technology for i-Cristal, a shared and fully autonomous shuttle</v>
      </c>
      <c r="E86" s="60" t="str">
        <v>Transdev</v>
      </c>
      <c r="F86" s="60" t="str">
        <v>L3</v>
      </c>
      <c r="G86" s="60" t="str">
        <v>Transdev-SAV</v>
      </c>
      <c r="H86" s="60" t="str">
        <v>SAV</v>
      </c>
      <c r="I86" s="60" t="str">
        <v>Ridepooling</v>
      </c>
      <c r="J86" s="60" t="str">
        <v>Ridepooling</v>
      </c>
      <c r="K86" s="60" t="str">
        <v>Torc</v>
      </c>
      <c r="L86" s="60" t="str">
        <v>Torc</v>
      </c>
      <c r="M86" s="60">
        <v>0</v>
      </c>
      <c r="N86" s="60">
        <v>0</v>
      </c>
      <c r="O86"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6"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6" s="60" t="str">
        <v>Strategic Alliance</v>
      </c>
      <c r="R86" s="60" t="str">
        <v>n.a.</v>
      </c>
      <c r="S86" s="60" t="str">
        <v>Service integration</v>
      </c>
      <c r="T86" s="60" t="str">
        <v>-</v>
      </c>
      <c r="U86" s="60" t="str">
        <v>Yes</v>
      </c>
      <c r="V86" s="60" t="str">
        <v>-</v>
      </c>
      <c r="W86" s="60" t="str">
        <v xml:space="preserve">2.2. Renewed Alliance </v>
      </c>
      <c r="X86" s="60">
        <v>0</v>
      </c>
      <c r="Y86"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6" s="60" t="str">
        <v>Joint Service Agreement</v>
      </c>
      <c r="AA86"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6" s="60" t="str">
        <v>Research &amp; Collaboration</v>
      </c>
      <c r="AC86" s="60" t="str">
        <v>The partners have already begun testing on closed courses, while testing on public roads will proceed after obtaining successive safety authorizations and before providing public service trials in two locations in France: Paris-Saclay and Rouen.</v>
      </c>
      <c r="AD86" s="60">
        <v>0</v>
      </c>
      <c r="AE86" s="60">
        <v>0</v>
      </c>
      <c r="AF86" s="60" t="str">
        <v xml:space="preserve">Torc and Transdev partner to develop </v>
      </c>
      <c r="AG86" s="60" t="str">
        <v>technology for i-Cristal, a shared and fully autonomous shuttle</v>
      </c>
    </row>
    <row r="87" spans="1:47" x14ac:dyDescent="0.35">
      <c r="A87" s="60" t="str">
        <v>https://www.transdev.com/en/sustainable-mobility/transdev-usa-partners-lavta-begin-testing-shared-autonomous-vehicle/</v>
      </c>
      <c r="B87" s="60" t="str">
        <v>2020, 7, 31</v>
      </c>
      <c r="C87" s="105">
        <v>44043</v>
      </c>
      <c r="D87" s="60" t="str">
        <v>Transdev USA partners with LAVTA to begin testing of its shared autonomous vehicle</v>
      </c>
      <c r="E87" s="60" t="str">
        <v>Transdev</v>
      </c>
      <c r="F87" s="60" t="str">
        <v>L3</v>
      </c>
      <c r="G87" s="60" t="str">
        <v>Transdev-SAV</v>
      </c>
      <c r="H87" s="60" t="str">
        <v>SAV</v>
      </c>
      <c r="I87" s="60" t="str">
        <v>Ridepooling</v>
      </c>
      <c r="J87" s="60" t="str">
        <v>Ridepooling</v>
      </c>
      <c r="K87" s="60" t="str">
        <v>LAVTA</v>
      </c>
      <c r="L87" s="60" t="str">
        <v>LAVTA</v>
      </c>
      <c r="M87" s="60">
        <v>0</v>
      </c>
      <c r="N87" s="60">
        <v>0</v>
      </c>
      <c r="O87"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87"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87" s="60" t="str">
        <v>Strategic Alliance</v>
      </c>
      <c r="R87" s="60" t="str">
        <v>n.a.</v>
      </c>
      <c r="S87" s="60" t="str">
        <v>One time - pilot</v>
      </c>
      <c r="T87" s="60" t="str">
        <v>-</v>
      </c>
      <c r="U87" s="60" t="str">
        <v>-</v>
      </c>
      <c r="V87" s="60" t="str">
        <v>-</v>
      </c>
      <c r="W87" s="60" t="str">
        <v>2.1. Short term Alliance (no exclusivity / previous experience)</v>
      </c>
      <c r="X87" s="60">
        <v>0</v>
      </c>
      <c r="Y87"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87" s="60" t="str">
        <v>Research &amp; Collaboration</v>
      </c>
      <c r="AA87" s="60" t="str">
        <v>When testing is complete, the SAV will improve mobility for riders by providing first- and last-mile solutions for passengers by connecting them between the Dublin/Pleasanton Bay Area Rapid Transit (BART) station and nearby locations.</v>
      </c>
      <c r="AB87" s="60">
        <v>0</v>
      </c>
      <c r="AC87" s="60">
        <v>0</v>
      </c>
      <c r="AD87" s="60">
        <v>0</v>
      </c>
      <c r="AE87" s="60">
        <v>0</v>
      </c>
      <c r="AF87" s="60" t="str">
        <v xml:space="preserve">Transdev USA partners with LAVTA to begin </v>
      </c>
      <c r="AG87" s="60" t="str">
        <v>testing of its shared autonomous vehicle</v>
      </c>
    </row>
    <row r="88" spans="1:47" x14ac:dyDescent="0.35">
      <c r="A88" s="60" t="str">
        <v>https://www.transdev.com/en/press-release/transdev-and-delphi-announce-commercial-partnership-for-autonomous-transportation/</v>
      </c>
      <c r="B88" s="60" t="str">
        <v>2017, 6, 7</v>
      </c>
      <c r="C88" s="105">
        <v>42893</v>
      </c>
      <c r="D88" s="60" t="str">
        <v>Transdev and Delphi Announce Commercial Partnership for Autonomous Transportation</v>
      </c>
      <c r="E88" s="60" t="str">
        <v>Transdev</v>
      </c>
      <c r="F88" s="60" t="str">
        <v>L3</v>
      </c>
      <c r="G88" s="60" t="str">
        <v>Transdev-SAV</v>
      </c>
      <c r="H88" s="60" t="str">
        <v>SAV</v>
      </c>
      <c r="I88" s="60" t="str">
        <v>Ridepooling</v>
      </c>
      <c r="J88" s="60" t="str">
        <v>Ridepooling</v>
      </c>
      <c r="K88" s="60" t="str">
        <v>Delphi</v>
      </c>
      <c r="L88" s="60" t="str">
        <v>Delphi</v>
      </c>
      <c r="M88" s="60">
        <v>0</v>
      </c>
      <c r="N88" s="60">
        <v>0</v>
      </c>
      <c r="O88"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88"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88" s="60" t="str">
        <v>Strategic Alliance</v>
      </c>
      <c r="R88" s="60" t="str">
        <v>n.a.</v>
      </c>
      <c r="S88" s="60" t="str">
        <v>Product cooperation</v>
      </c>
      <c r="T88" s="60" t="str">
        <v>-</v>
      </c>
      <c r="U88" s="60" t="str">
        <v>-</v>
      </c>
      <c r="V88" s="60" t="str">
        <v>-</v>
      </c>
      <c r="W88" s="60" t="str">
        <v>2.1. Short term Alliance (no exclusivity / previous experience)</v>
      </c>
      <c r="X88" s="60">
        <v>0</v>
      </c>
      <c r="Y88" s="60" t="str">
        <v>"With Transdev's deep understanding of mobility operations, this collaboration will further strengthen our AMoD and data management capabilities, while expanding our automated driving platform to include a variety of different vehicle types.</v>
      </c>
      <c r="Z88" s="60" t="str">
        <v>Joint Service Agreement</v>
      </c>
      <c r="AA88" s="60" t="str">
        <v>"With Transdev's deep understanding of mobility operations, this collaboration will further strengthen our AMoD and data management capabilities, while expanding our automated driving platform to include a variety of different vehicle types.</v>
      </c>
      <c r="AB88" s="60">
        <v>0</v>
      </c>
      <c r="AC88" s="60">
        <v>0</v>
      </c>
      <c r="AD88" s="60">
        <v>0</v>
      </c>
      <c r="AE88" s="60">
        <v>0</v>
      </c>
      <c r="AF88" s="60" t="str">
        <v xml:space="preserve">Transdev and Delphi Announce Commercial Partnership </v>
      </c>
      <c r="AG88" s="60" t="str">
        <v>for Autonomous Transportation</v>
      </c>
    </row>
    <row r="89" spans="1:47" x14ac:dyDescent="0.35">
      <c r="A89" s="60" t="str">
        <v>https://www.transdev.com/en/press-release/zf-partnership/</v>
      </c>
      <c r="B89" s="60" t="str">
        <v>2019, 1, 8</v>
      </c>
      <c r="C89" s="105">
        <v>43473</v>
      </c>
      <c r="D89" s="60" t="str">
        <v>Transdev, ZF and e.GO announce partnership to develop shared autonomous mobility</v>
      </c>
      <c r="E89" s="60" t="str">
        <v>Transdev</v>
      </c>
      <c r="F89" s="60" t="str">
        <v>L3</v>
      </c>
      <c r="G89" s="60" t="str">
        <v>Transdev-SAV</v>
      </c>
      <c r="H89" s="60" t="str">
        <v>SAV</v>
      </c>
      <c r="I89" s="60" t="str">
        <v>Ridepooling</v>
      </c>
      <c r="J89" s="60" t="str">
        <v>Ridepooling</v>
      </c>
      <c r="K89" s="60" t="str">
        <v>ZF;e.GO</v>
      </c>
      <c r="L89" s="60" t="str">
        <v>ZF</v>
      </c>
      <c r="M89" s="60" t="str">
        <v>e.GO</v>
      </c>
      <c r="N89" s="60">
        <v>0</v>
      </c>
      <c r="O89"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9" s="60" t="str">
        <v>The partners will start working together immediately to provide a fully functional solution by 2020, with priority markets in France and Germany.</v>
      </c>
      <c r="Q89" s="60" t="str">
        <v>Strategic Alliance</v>
      </c>
      <c r="R89" s="60" t="str">
        <v>n.a.</v>
      </c>
      <c r="S89" s="60" t="str">
        <v>Product cooperation</v>
      </c>
      <c r="T89" s="60" t="str">
        <v>Long term - &gt;1 year</v>
      </c>
      <c r="U89" s="60" t="str">
        <v>-</v>
      </c>
      <c r="V89" s="60" t="str">
        <v>-</v>
      </c>
      <c r="W89" s="60" t="str">
        <v>2.3. Long term Alliance</v>
      </c>
      <c r="X89" s="60">
        <v>0</v>
      </c>
      <c r="Y89"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9" s="60" t="str">
        <v>Joint D&amp;D</v>
      </c>
      <c r="AA89"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9" s="60">
        <v>0</v>
      </c>
      <c r="AC89" s="60">
        <v>0</v>
      </c>
      <c r="AD89" s="60">
        <v>0</v>
      </c>
      <c r="AE89" s="60">
        <v>0</v>
      </c>
      <c r="AF89" s="60" t="str">
        <v>Transdev, ZF and e.GO announce partnership to develop shared autonomous mobility</v>
      </c>
      <c r="AG89" s="60">
        <v>0</v>
      </c>
    </row>
    <row r="90" spans="1:47" x14ac:dyDescent="0.35">
      <c r="A90" s="60" t="str">
        <v>https://www.uber.com/newsroom/uber-toyota-team-self-driving-cars/</v>
      </c>
      <c r="B90" s="60" t="str">
        <v>2018, 8, 27</v>
      </c>
      <c r="C90" s="105">
        <v>43339</v>
      </c>
      <c r="D90" s="60" t="str">
        <v>Uber and Toyota Team Up on Self-Driving Cars</v>
      </c>
      <c r="E90" s="60" t="str">
        <v>Uber</v>
      </c>
      <c r="F90" s="60" t="str">
        <v>L4</v>
      </c>
      <c r="G90" s="60" t="str">
        <v>Uber-SAV</v>
      </c>
      <c r="H90" s="60" t="str">
        <v>SAV</v>
      </c>
      <c r="I90" s="60" t="str">
        <v>Ridehailing</v>
      </c>
      <c r="J90" s="60" t="str">
        <v>Ridehailing</v>
      </c>
      <c r="K90" s="60" t="str">
        <v>Toyota</v>
      </c>
      <c r="L90" s="60" t="str">
        <v>Toyota</v>
      </c>
      <c r="M90" s="60">
        <v>0</v>
      </c>
      <c r="N90" s="60">
        <v>0</v>
      </c>
      <c r="O90"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90" s="60" t="str">
        <v>Our expanded partnership with Toyota signals our commitment to deploying self-driving technology at scale for our riders around the globe. We look forward to making progress in the years ahead with another strong partner by our side.</v>
      </c>
      <c r="Q90" s="60" t="str">
        <v>Strategic Alliance</v>
      </c>
      <c r="R90" s="60" t="str">
        <v>n.a.</v>
      </c>
      <c r="S90" s="60" t="str">
        <v>Product cooperation</v>
      </c>
      <c r="T90" s="60" t="str">
        <v>-</v>
      </c>
      <c r="U90" s="60" t="str">
        <v>Yes</v>
      </c>
      <c r="V90" s="60" t="str">
        <v>-</v>
      </c>
      <c r="W90" s="60" t="str">
        <v xml:space="preserve">2.2. Renewed Alliance </v>
      </c>
      <c r="X90" s="60">
        <v>0</v>
      </c>
      <c r="Y90"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90" s="60" t="str">
        <v>Supply Partnership (traditional)</v>
      </c>
      <c r="AA90"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90" s="60">
        <v>0</v>
      </c>
      <c r="AC90" s="60">
        <v>0</v>
      </c>
      <c r="AD90" s="60">
        <v>0</v>
      </c>
      <c r="AE90" s="60">
        <v>0</v>
      </c>
      <c r="AF90" s="60" t="str">
        <v>Uber and Toyota Team Up on Self-Driving Cars</v>
      </c>
      <c r="AG90" s="60">
        <v>0</v>
      </c>
    </row>
    <row r="91" spans="1:47" x14ac:dyDescent="0.35">
      <c r="A91" s="60" t="str">
        <v>https://waymo.com/blog/2020/07/waymo-and-fiat-chrysler-automobiles-fca-expand-partnership/</v>
      </c>
      <c r="B91" s="60" t="str">
        <v>2020, 7, 22</v>
      </c>
      <c r="C91" s="105">
        <v>44034</v>
      </c>
      <c r="D91" s="60" t="str">
        <v>Waymo and Fiat Chrysler Automobiles (FCA) expand autonomous driving technology partnership</v>
      </c>
      <c r="E91" s="60" t="str">
        <v>Waymo</v>
      </c>
      <c r="F91" s="60" t="str">
        <v>L1</v>
      </c>
      <c r="G91" s="60" t="str">
        <v>Waymo-SAV</v>
      </c>
      <c r="H91" s="60" t="str">
        <v>SAV</v>
      </c>
      <c r="I91" s="60" t="str">
        <v>Ridehailing</v>
      </c>
      <c r="J91" s="60" t="str">
        <v>Ridehailing</v>
      </c>
      <c r="K91" s="60" t="str">
        <v>Fiat Chrysler Automobiles</v>
      </c>
      <c r="L91" s="60" t="str">
        <v>Fiat Chrysler Automobiles</v>
      </c>
      <c r="M91" s="60">
        <v>0</v>
      </c>
      <c r="N91" s="60">
        <v>0</v>
      </c>
      <c r="O91"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91" s="60" t="str">
        <v xml:space="preserve">Now, we're pleased to share that we've strengthened our partnership with FCA in several important ways.
FCA has selected Waymo as its exclusive, strategic technology partner for L4 fully self-driving technology across FCA's full product portfolio. </v>
      </c>
      <c r="Q91" s="60" t="str">
        <v>Strategic Alliance</v>
      </c>
      <c r="R91" s="60" t="str">
        <v>n.a.</v>
      </c>
      <c r="S91" s="60" t="str">
        <v>Product cooperation</v>
      </c>
      <c r="T91" s="60" t="str">
        <v>-</v>
      </c>
      <c r="U91" s="60" t="str">
        <v>Yes</v>
      </c>
      <c r="V91" s="60" t="str">
        <v>Yes</v>
      </c>
      <c r="W91" s="60" t="str">
        <v>2.4. Exclusive Alliance</v>
      </c>
      <c r="X91" s="60">
        <v>0</v>
      </c>
      <c r="Y91"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91" s="60" t="str">
        <v>Joint D&amp;D</v>
      </c>
      <c r="AA91"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91" s="60" t="str">
        <v>Research &amp; Collaboration</v>
      </c>
      <c r="AC91"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91" s="60">
        <v>0</v>
      </c>
      <c r="AE91" s="60">
        <v>0</v>
      </c>
      <c r="AF91" s="60" t="str">
        <v xml:space="preserve">Waymo and Fiat Chrysler Automobiles (FCA) expand </v>
      </c>
      <c r="AG91" s="60" t="str">
        <v>autonomous driving technology partnership</v>
      </c>
    </row>
    <row r="92" spans="1:47" s="55" customFormat="1" x14ac:dyDescent="0.35">
      <c r="A92" s="60" t="str">
        <v>https://waymo.com/blog/2017/06/well-oiled-and-squeaky-clean-partnering/</v>
      </c>
      <c r="B92" s="60" t="str">
        <v>2017, 6, 27</v>
      </c>
      <c r="C92" s="105">
        <v>42913</v>
      </c>
      <c r="D92" s="60" t="str">
        <v>Well-oiled and squeaky-clean: Partnering with Avis to maintain our self-driving fleet</v>
      </c>
      <c r="E92" s="60" t="str">
        <v>Waymo</v>
      </c>
      <c r="F92" s="60" t="str">
        <v>L1</v>
      </c>
      <c r="G92" s="60" t="str">
        <v>Waymo-SAV</v>
      </c>
      <c r="H92" s="60" t="str">
        <v>SAV</v>
      </c>
      <c r="I92" s="60" t="str">
        <v>Ridehailing</v>
      </c>
      <c r="J92" s="60" t="str">
        <v>Ridehailing</v>
      </c>
      <c r="K92" s="60" t="str">
        <v>Avis</v>
      </c>
      <c r="L92" s="60" t="str">
        <v>Avis</v>
      </c>
      <c r="M92" s="60">
        <v>0</v>
      </c>
      <c r="N92" s="60">
        <v>0</v>
      </c>
      <c r="O92"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92"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92" s="60" t="str">
        <v>Strategic Alliance</v>
      </c>
      <c r="R92" s="60" t="str">
        <v>n.a.</v>
      </c>
      <c r="S92" s="60" t="str">
        <v>Service cooperation</v>
      </c>
      <c r="T92" s="60" t="str">
        <v>-</v>
      </c>
      <c r="U92" s="60" t="str">
        <v>-</v>
      </c>
      <c r="V92" s="60" t="str">
        <v>-</v>
      </c>
      <c r="W92" s="60" t="str">
        <v>2.1. Short term Alliance (no exclusivity / previous experience)</v>
      </c>
      <c r="X92" s="60">
        <v>0</v>
      </c>
      <c r="Y92"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92" s="60" t="str">
        <v>Joint Service Agreement</v>
      </c>
      <c r="AA92"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92" s="60">
        <v>0</v>
      </c>
      <c r="AC92" s="60">
        <v>0</v>
      </c>
      <c r="AD92" s="60">
        <v>0</v>
      </c>
      <c r="AE92" s="60">
        <v>0</v>
      </c>
      <c r="AF92" s="60" t="str">
        <v>Well-oiled and squeaky-clean: Partnering with Avis to maintain our self-driving fleet</v>
      </c>
      <c r="AG92" s="60">
        <v>0</v>
      </c>
      <c r="AH92"/>
      <c r="AI92"/>
      <c r="AJ92"/>
      <c r="AK92"/>
      <c r="AL92"/>
      <c r="AM92"/>
      <c r="AN92"/>
      <c r="AO92"/>
      <c r="AP92"/>
      <c r="AQ92"/>
      <c r="AR92"/>
      <c r="AS92"/>
      <c r="AT92"/>
      <c r="AU92"/>
    </row>
    <row r="93" spans="1:47" s="55" customFormat="1" x14ac:dyDescent="0.35">
      <c r="A93" s="60" t="str">
        <v>https://waymo.com/blog/2018/07/partnering-with-valley-metro-to-explore-public-transport-solutions/</v>
      </c>
      <c r="B93" s="60" t="str">
        <v>2018, 7, 31</v>
      </c>
      <c r="C93" s="105">
        <v>43312</v>
      </c>
      <c r="D93" s="60" t="str">
        <v>Partnering with Valley Metro to explore public transportation solutions</v>
      </c>
      <c r="E93" s="60" t="str">
        <v>Waymo</v>
      </c>
      <c r="F93" s="60" t="str">
        <v>L1</v>
      </c>
      <c r="G93" s="60" t="str">
        <v>Waymo-SAV</v>
      </c>
      <c r="H93" s="60" t="str">
        <v>SAV</v>
      </c>
      <c r="I93" s="60" t="str">
        <v>Ridehailing</v>
      </c>
      <c r="J93" s="60" t="str">
        <v>Ridehailing</v>
      </c>
      <c r="K93" s="60" t="str">
        <v>Valley Metro</v>
      </c>
      <c r="L93" s="60" t="str">
        <v>Valley Metro</v>
      </c>
      <c r="M93" s="60">
        <v>0</v>
      </c>
      <c r="N93" s="60">
        <v>0</v>
      </c>
      <c r="O93"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93"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93" s="60" t="str">
        <v>Strategic Alliance</v>
      </c>
      <c r="R93" s="60" t="str">
        <v>n.a.</v>
      </c>
      <c r="S93" s="60" t="str">
        <v>Research cooperation</v>
      </c>
      <c r="T93" s="60" t="str">
        <v>-</v>
      </c>
      <c r="U93" s="60" t="str">
        <v>-</v>
      </c>
      <c r="V93" s="60" t="str">
        <v>-</v>
      </c>
      <c r="W93" s="60" t="str">
        <v>2.1. Short term Alliance (no exclusivity / previous experience)</v>
      </c>
      <c r="X93" s="60">
        <v>0</v>
      </c>
      <c r="Y93"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93" s="60" t="str">
        <v>Research &amp; Collaboration</v>
      </c>
      <c r="AA93" s="60" t="str">
        <v>Waymo is partnering with Valley Metro, the Phoenix area's regional public transportation authority, to explore mobility solutions that use self-driving technology to better connect travelers with the city's existing buses and light rail.</v>
      </c>
      <c r="AB93" s="60">
        <v>0</v>
      </c>
      <c r="AC93" s="60">
        <v>0</v>
      </c>
      <c r="AD93" s="60">
        <v>0</v>
      </c>
      <c r="AE93" s="60">
        <v>0</v>
      </c>
      <c r="AF93" s="60" t="str">
        <v>Partnering with Valley Metro to explore public transportation solutions</v>
      </c>
      <c r="AG93" s="60">
        <v>0</v>
      </c>
      <c r="AH93"/>
      <c r="AI93"/>
      <c r="AJ93"/>
      <c r="AK93"/>
      <c r="AL93"/>
      <c r="AM93"/>
      <c r="AN93"/>
      <c r="AO93"/>
      <c r="AP93"/>
      <c r="AQ93"/>
      <c r="AR93"/>
      <c r="AS93"/>
      <c r="AT93"/>
      <c r="AU93"/>
    </row>
    <row r="94" spans="1:47" s="107" customFormat="1" x14ac:dyDescent="0.35">
      <c r="A94" s="60" t="str">
        <v>https://waymo.com/blog/2019/05/partnering-with-lyft-to-serve-more-riders/</v>
      </c>
      <c r="B94" s="60" t="str">
        <v>2019, 5, 7</v>
      </c>
      <c r="C94" s="105">
        <v>43592</v>
      </c>
      <c r="D94" s="60" t="str">
        <v>Partnering with Lyft to serve more riders in Metro Phoenix</v>
      </c>
      <c r="E94" s="60" t="str">
        <v>Waymo</v>
      </c>
      <c r="F94" s="60" t="str">
        <v>L1</v>
      </c>
      <c r="G94" s="60" t="str">
        <v>Waymo-SAV</v>
      </c>
      <c r="H94" s="60" t="str">
        <v>SAV</v>
      </c>
      <c r="I94" s="60" t="str">
        <v>Ridehailing</v>
      </c>
      <c r="J94" s="60" t="str">
        <v>Ridehailing</v>
      </c>
      <c r="K94" s="60" t="str">
        <v>Lyft</v>
      </c>
      <c r="L94" s="60" t="str">
        <v>Lyft</v>
      </c>
      <c r="M94" s="60">
        <v>0</v>
      </c>
      <c r="N94" s="60">
        <v>0</v>
      </c>
      <c r="O94"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94"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94" s="60" t="str">
        <v>Strategic Alliance</v>
      </c>
      <c r="R94" s="60" t="str">
        <v>n.a.</v>
      </c>
      <c r="S94" s="60" t="str">
        <v>Service integration</v>
      </c>
      <c r="T94" s="60" t="str">
        <v>Short term - months</v>
      </c>
      <c r="U94" s="60" t="str">
        <v>-</v>
      </c>
      <c r="V94" s="60" t="str">
        <v>-</v>
      </c>
      <c r="W94" s="60" t="str">
        <v>2.1. Short term Alliance (no exclusivity / previous experience)</v>
      </c>
      <c r="X94" s="60">
        <v>0</v>
      </c>
      <c r="Y94" s="60" t="str">
        <v>As a first step, we'll deploy 10 Waymo vehicles on Lyft over the next few months. Once Waymo vehicles are on the platform, Lyft users in the area will have the option to select a Waymo directly from the Lyft app for eligible rides.</v>
      </c>
      <c r="Z94" s="60" t="str">
        <v>Supply Partnership (extended)</v>
      </c>
      <c r="AA94" s="60" t="str">
        <v>As a first step, we'll deploy 10 Waymo vehicles on Lyft over the next few months. Once Waymo vehicles are on the platform, Lyft users in the area will have the option to select a Waymo directly from the Lyft app for eligible rides.</v>
      </c>
      <c r="AB94" s="60">
        <v>0</v>
      </c>
      <c r="AC94" s="60">
        <v>0</v>
      </c>
      <c r="AD94" s="60">
        <v>0</v>
      </c>
      <c r="AE94" s="60">
        <v>0</v>
      </c>
      <c r="AF94" s="60" t="str">
        <v>Partnering with Lyft to serve more riders in Metro Phoenix</v>
      </c>
      <c r="AG94" s="60">
        <v>0</v>
      </c>
      <c r="AH94"/>
      <c r="AI94"/>
      <c r="AJ94"/>
      <c r="AK94"/>
      <c r="AL94"/>
      <c r="AM94"/>
      <c r="AN94"/>
      <c r="AO94"/>
      <c r="AP94"/>
      <c r="AQ94"/>
      <c r="AR94"/>
      <c r="AS94"/>
      <c r="AT94"/>
      <c r="AU94"/>
    </row>
    <row r="95" spans="1:47" x14ac:dyDescent="0.35">
      <c r="A95" s="60" t="str">
        <v>https://waymo.com/blog/2019/06/partnering-with-alliance-in-france-japan-and-beyond/</v>
      </c>
      <c r="B95" s="60" t="str">
        <v>2019, 6, 19</v>
      </c>
      <c r="C95" s="105">
        <v>43635</v>
      </c>
      <c r="D95" s="60" t="str">
        <v>Partnering with The Alliance in France, Japan, and beyond</v>
      </c>
      <c r="E95" s="60" t="str">
        <v>Waymo</v>
      </c>
      <c r="F95" s="60" t="str">
        <v>L1</v>
      </c>
      <c r="G95" s="60" t="str">
        <v>Waymo-SAV</v>
      </c>
      <c r="H95" s="60" t="str">
        <v>SAV</v>
      </c>
      <c r="I95" s="60" t="str">
        <v>Ridehailing; Last-Mile</v>
      </c>
      <c r="J95" s="60" t="str">
        <v>Ridehailing</v>
      </c>
      <c r="K95" s="60" t="str">
        <v>Alliance Ventures (Renault, Nissan, Mitsubishi)</v>
      </c>
      <c r="L95" s="60" t="str">
        <v>Alliance Ventures (Renault, Nissan, Mitsubishi)</v>
      </c>
      <c r="M95" s="60">
        <v>0</v>
      </c>
      <c r="N95" s="60">
        <v>0</v>
      </c>
      <c r="O95"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95" s="60" t="str">
        <v>Today we're announcing that Waymo has entered into an exclusive partnership with Renault and Nissan on behalf of The Alliance to explore driverless mobility services for passengers and deliveries in France and Japan.</v>
      </c>
      <c r="Q95" s="60" t="str">
        <v>Strategic Alliance</v>
      </c>
      <c r="R95" s="60" t="str">
        <v>n.a.</v>
      </c>
      <c r="S95" s="60" t="str">
        <v>Research cooperation</v>
      </c>
      <c r="T95" s="60" t="str">
        <v>-</v>
      </c>
      <c r="U95" s="60" t="str">
        <v>-</v>
      </c>
      <c r="V95" s="60" t="str">
        <v>Yes</v>
      </c>
      <c r="W95" s="60" t="str">
        <v>2.4. Exclusive Alliance</v>
      </c>
      <c r="X95" s="60">
        <v>0</v>
      </c>
      <c r="Y95"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95" s="60" t="str">
        <v>Research &amp; Collaboration</v>
      </c>
      <c r="AA95" s="60" t="str">
        <v>By teaming up with Renault and Nissan initially to research commercial, legal, and regulatory issues related to transportation-as-a-service in France and Japan, we're on the path to creating long-term driverless solutions hand-in-hand with the world's largest automaker.</v>
      </c>
      <c r="AB95" s="60">
        <v>0</v>
      </c>
      <c r="AC95" s="60">
        <v>0</v>
      </c>
      <c r="AD95" s="60">
        <v>0</v>
      </c>
      <c r="AE95" s="60">
        <v>0</v>
      </c>
      <c r="AF95" s="60" t="str">
        <v>Partnering with The Alliance in France, Japan, and beyond</v>
      </c>
      <c r="AG95" s="60">
        <v>0</v>
      </c>
    </row>
    <row r="96" spans="1:47" x14ac:dyDescent="0.35">
      <c r="A96" s="60" t="str">
        <v>https://waymo.com/blog/2020/06/partnering-with-volvo-car-group-to-scale-the-waymo-driver/</v>
      </c>
      <c r="B96" s="60" t="str">
        <v>2020, 6, 25</v>
      </c>
      <c r="C96" s="105">
        <v>44007</v>
      </c>
      <c r="D96" s="60" t="str">
        <v>Partnering with Volvo Car Group to scale the Waymo Driver</v>
      </c>
      <c r="E96" s="60" t="str">
        <v>Waymo</v>
      </c>
      <c r="F96" s="60" t="str">
        <v>L1</v>
      </c>
      <c r="G96" s="60" t="str">
        <v>Waymo-SAV</v>
      </c>
      <c r="H96" s="60" t="str">
        <v>SAV</v>
      </c>
      <c r="I96" s="60" t="str">
        <v>Ridehailing</v>
      </c>
      <c r="J96" s="60" t="str">
        <v>Ridehailing</v>
      </c>
      <c r="K96" s="60" t="str">
        <v>Volvo Car Group</v>
      </c>
      <c r="L96" s="60" t="str">
        <v>Volvo Car Group</v>
      </c>
      <c r="M96" s="60">
        <v>0</v>
      </c>
      <c r="N96" s="60">
        <v>0</v>
      </c>
      <c r="O96"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96"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96" s="60" t="str">
        <v>Strategic Alliance</v>
      </c>
      <c r="R96" s="60" t="str">
        <v>n.a.</v>
      </c>
      <c r="S96" s="60" t="str">
        <v>Product cooperation</v>
      </c>
      <c r="T96" s="60" t="str">
        <v>-</v>
      </c>
      <c r="U96" s="60" t="str">
        <v>-</v>
      </c>
      <c r="V96" s="60" t="str">
        <v>Yes</v>
      </c>
      <c r="W96" s="60" t="str">
        <v>2.4. Exclusive Alliance</v>
      </c>
      <c r="X96" s="60">
        <v>0</v>
      </c>
      <c r="Y96"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96" s="60" t="str">
        <v>Joint D&amp;D</v>
      </c>
      <c r="AA96"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96" s="60">
        <v>0</v>
      </c>
      <c r="AC96" s="60">
        <v>0</v>
      </c>
      <c r="AD96" s="60">
        <v>0</v>
      </c>
      <c r="AE96" s="60">
        <v>0</v>
      </c>
      <c r="AF96" s="60" t="str">
        <v>Partnering with Volvo Car Group to scale the Waymo Driver</v>
      </c>
      <c r="AG96" s="60">
        <v>0</v>
      </c>
    </row>
    <row r="97" spans="1:60" x14ac:dyDescent="0.35">
      <c r="A97" s="60" t="str">
        <v>https://press.zf.com/press/en/releases/release_14913.html</v>
      </c>
      <c r="B97" s="60" t="str">
        <v>2020, 2, 19</v>
      </c>
      <c r="C97" s="105">
        <v>43880</v>
      </c>
      <c r="D97" s="60" t="str">
        <v>Open Manufacturing Platform expands: Anheuser-Busch InBev, BMW Group, Bosch, Microsoft and ZF team up to accelerate manufacturing innovation at scale</v>
      </c>
      <c r="E97" s="60" t="str">
        <v>ZF</v>
      </c>
      <c r="F97" s="60" t="str">
        <v>L2</v>
      </c>
      <c r="G97" s="60" t="str">
        <v>ZF-SAV</v>
      </c>
      <c r="H97" s="60" t="str">
        <v>SAV</v>
      </c>
      <c r="I97" s="60" t="str">
        <v>Ridepooling</v>
      </c>
      <c r="J97" s="60" t="str">
        <v>Ridepooling</v>
      </c>
      <c r="K97" s="60" t="str">
        <v>Anheuser - Busch InBev;Bosch;Microsoft</v>
      </c>
      <c r="L97" s="60" t="str">
        <v>Anheuser - Busch InBev</v>
      </c>
      <c r="M97" s="60" t="str">
        <v>Bosch</v>
      </c>
      <c r="N97" s="60" t="str">
        <v>Microsoft</v>
      </c>
      <c r="O97"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97"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97" s="60" t="str">
        <v>Strategic Alliance</v>
      </c>
      <c r="R97" s="60" t="str">
        <v>n.a.</v>
      </c>
      <c r="S97" s="60" t="str">
        <v>Membership</v>
      </c>
      <c r="T97" s="60" t="str">
        <v>-</v>
      </c>
      <c r="U97" s="60" t="str">
        <v>-</v>
      </c>
      <c r="V97" s="60" t="str">
        <v>-</v>
      </c>
      <c r="W97" s="60" t="str">
        <v>2.1. Short term Alliance (no exclusivity / previous experience)</v>
      </c>
      <c r="X97" s="60">
        <v>0</v>
      </c>
      <c r="Y97"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97" s="60" t="str">
        <v>Research &amp; Collaboration</v>
      </c>
      <c r="AA97"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97" s="60">
        <v>0</v>
      </c>
      <c r="AC97" s="60">
        <v>0</v>
      </c>
      <c r="AD97" s="60">
        <v>0</v>
      </c>
      <c r="AE97" s="60">
        <v>0</v>
      </c>
      <c r="AF97" s="60" t="str">
        <v xml:space="preserve">Open Manufacturing Platform expands: Anheuser-Busch InBev, BMW Group, Bosch, Microsoft and ZF team up to accelerate </v>
      </c>
      <c r="AG97" s="60" t="str">
        <v>manufacturing innovation at scale</v>
      </c>
    </row>
    <row r="98" spans="1:60" x14ac:dyDescent="0.35">
      <c r="A98" s="60" t="str">
        <v>https://press.zf.com/press/en/releases/release_31362.html</v>
      </c>
      <c r="B98" s="60" t="str">
        <v>2021, 10, 7</v>
      </c>
      <c r="C98" s="105">
        <v>44203</v>
      </c>
      <c r="D98" s="60" t="str">
        <v>ZF and DB Regio agree on strategic partnership for autonomous transport systems</v>
      </c>
      <c r="E98" s="60" t="str">
        <v>ZF</v>
      </c>
      <c r="F98" s="60" t="str">
        <v>L2</v>
      </c>
      <c r="G98" s="60" t="str">
        <v>ZF-SAV</v>
      </c>
      <c r="H98" s="60" t="str">
        <v>SAV</v>
      </c>
      <c r="I98" s="60" t="str">
        <v>Ridepooling</v>
      </c>
      <c r="J98" s="60" t="str">
        <v>Ridepooling</v>
      </c>
      <c r="K98" s="60" t="str">
        <v>DB Regio</v>
      </c>
      <c r="L98" s="60" t="str">
        <v>DB Regio</v>
      </c>
      <c r="M98" s="60">
        <v>0</v>
      </c>
      <c r="N98" s="60">
        <v>0</v>
      </c>
      <c r="O98"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98"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98" s="60" t="str">
        <v>Strategic Alliance</v>
      </c>
      <c r="R98" s="60" t="str">
        <v>Yes</v>
      </c>
      <c r="S98" s="60" t="str">
        <v>Service cooperation</v>
      </c>
      <c r="T98" s="60" t="str">
        <v>-</v>
      </c>
      <c r="U98" s="60" t="str">
        <v>-</v>
      </c>
      <c r="V98" s="60" t="str">
        <v>-</v>
      </c>
      <c r="W98" s="60" t="str">
        <v>2.1. Short term Alliance (no exclusivity / previous experience)</v>
      </c>
      <c r="X98" s="60">
        <v>0</v>
      </c>
      <c r="Y98"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98" s="60" t="str">
        <v>Joint Service Agreement</v>
      </c>
      <c r="AA98"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98" s="60">
        <v>0</v>
      </c>
      <c r="AC98" s="60">
        <v>0</v>
      </c>
      <c r="AD98" s="60">
        <v>0</v>
      </c>
      <c r="AE98" s="60">
        <v>0</v>
      </c>
      <c r="AF98" s="60" t="str">
        <v>ZF and DB Regio agree on strategic partnership for autonomous transport systems</v>
      </c>
      <c r="AG98" s="60">
        <v>0</v>
      </c>
    </row>
    <row r="99" spans="1:60" x14ac:dyDescent="0.35">
      <c r="A99" s="60" t="str">
        <v>https://ridebeep.com/press-releases/zf-announces-partnership-with-beep-unveils-next-generation-autonomous-shuttle</v>
      </c>
      <c r="B99" s="60" t="str">
        <v>2023, 1, 4</v>
      </c>
      <c r="C99" s="105">
        <v>44930</v>
      </c>
      <c r="D99" s="60" t="str">
        <v>ZF announces partnership with Beep, unveils next-generation autonomous shuttle</v>
      </c>
      <c r="E99" s="60" t="str">
        <v>ZF</v>
      </c>
      <c r="F99" s="60" t="str">
        <v>L2</v>
      </c>
      <c r="G99" s="60" t="str">
        <v>ZF-SAV</v>
      </c>
      <c r="H99" s="60" t="str">
        <v>SAV</v>
      </c>
      <c r="I99" s="60" t="str">
        <v>Ridepooling</v>
      </c>
      <c r="J99" s="60" t="str">
        <v>Ridepooling</v>
      </c>
      <c r="K99" s="60" t="str">
        <v>Beep</v>
      </c>
      <c r="L99" s="60" t="str">
        <v>Beep</v>
      </c>
      <c r="M99" s="60">
        <v>0</v>
      </c>
      <c r="N99" s="60">
        <v>0</v>
      </c>
      <c r="O99"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99"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99" s="60" t="str">
        <v>Strategic Alliance</v>
      </c>
      <c r="R99" s="60" t="str">
        <v>Yes</v>
      </c>
      <c r="S99" s="60" t="str">
        <v>Service Integration</v>
      </c>
      <c r="T99" s="60" t="str">
        <v>Long term - coming years</v>
      </c>
      <c r="U99" s="60" t="str">
        <v>-</v>
      </c>
      <c r="V99" s="60" t="str">
        <v>-</v>
      </c>
      <c r="W99" s="60" t="str">
        <v>2.3. Long term Alliance</v>
      </c>
      <c r="X99" s="60">
        <v>0</v>
      </c>
      <c r="Y99" s="60" t="str">
        <v>"Our offer of clean, efficient and affordable mobility is convincing, and has found a partner and major customer in Beep"</v>
      </c>
      <c r="Z99" s="60" t="str">
        <v>Joint Service Agreement</v>
      </c>
      <c r="AA99" s="60" t="str">
        <v>"Our offer of clean, efficient and affordable mobility is convincing, and has found a partner and major customer in Beep"</v>
      </c>
      <c r="AB99" s="60">
        <v>0</v>
      </c>
      <c r="AC99" s="60">
        <v>0</v>
      </c>
      <c r="AD99" s="60">
        <v>0</v>
      </c>
      <c r="AE99" s="60">
        <v>0</v>
      </c>
      <c r="AF99" s="60" t="str">
        <v>ZF announces partnership with Beep, unveils next-generation autonomous shuttle</v>
      </c>
      <c r="AG99" s="60">
        <v>0</v>
      </c>
    </row>
    <row r="100" spans="1:60" x14ac:dyDescent="0.35">
      <c r="A100" s="60" t="str">
        <v>https://www.ridebeep.com/press-releases/beep-and-oxa-announce-partnership-to-deploy-autonomous-vehicles-driven-by-oxa-in-united-states</v>
      </c>
      <c r="B100" s="60" t="str">
        <v>2023, 8, 24</v>
      </c>
      <c r="C100" s="105">
        <v>45162</v>
      </c>
      <c r="D100" s="60" t="str">
        <v>Beep and Oxa Announce Partnership to Deploy Autonomous Vehicles Driven by Oxa in United States</v>
      </c>
      <c r="E100" s="60" t="str">
        <v>Oxa</v>
      </c>
      <c r="F100" s="60" t="str">
        <v>L1</v>
      </c>
      <c r="G100" s="60" t="str">
        <v>Oxa-SAV</v>
      </c>
      <c r="H100" s="60" t="str">
        <v>SAV</v>
      </c>
      <c r="I100" s="60" t="str">
        <v>Ridepooling</v>
      </c>
      <c r="J100" s="60" t="str">
        <v>Ridepooling</v>
      </c>
      <c r="K100" s="60" t="str">
        <v>Beep</v>
      </c>
      <c r="L100" s="60" t="str">
        <v>Beep</v>
      </c>
      <c r="M100" s="60">
        <v>0</v>
      </c>
      <c r="N100" s="60">
        <v>0</v>
      </c>
      <c r="O100"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100"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100" s="60" t="str">
        <v>Strategic Alliance</v>
      </c>
      <c r="R100" s="60" t="str">
        <v>n.a.</v>
      </c>
      <c r="S100" s="60" t="str">
        <v>Service Integration</v>
      </c>
      <c r="T100" s="60" t="str">
        <v>Long term - Future years mentioned</v>
      </c>
      <c r="U100" s="60" t="str">
        <v>Yes</v>
      </c>
      <c r="V100" s="60" t="str">
        <v>-</v>
      </c>
      <c r="W100" s="60" t="str">
        <v>2.3. Long term Alliance</v>
      </c>
      <c r="X100" s="60">
        <v>0</v>
      </c>
      <c r="Y100" s="60" t="str">
        <v>the strategic partnership will see Oxa's autonomy software installed in a variety of vehicle types operated by Beep, from current passenger shuttles to future vehicle platforms</v>
      </c>
      <c r="Z100" s="60" t="str">
        <v>Joint Service Agreement</v>
      </c>
      <c r="AA100" s="60" t="str">
        <v>the strategic partnership will see Oxa's autonomy software installed in a variety of vehicle types operated by Beep, from current passenger shuttles to future vehicle platforms</v>
      </c>
      <c r="AB100" s="60">
        <v>0</v>
      </c>
      <c r="AC100" s="60">
        <v>0</v>
      </c>
      <c r="AD100" s="60">
        <v>0</v>
      </c>
      <c r="AE100" s="60">
        <v>0</v>
      </c>
      <c r="AF100" s="60" t="str">
        <v>Beep and Oxa Announce Partnership to Deploy Autonomous Vehicles Driven by Oxa in United States</v>
      </c>
      <c r="AG100" s="60">
        <v>0</v>
      </c>
    </row>
    <row r="101" spans="1:60" x14ac:dyDescent="0.35">
      <c r="A101" s="60" t="str">
        <v>Ridepooling</v>
      </c>
      <c r="B101" s="60" t="str">
        <v>2020, 11, 18</v>
      </c>
      <c r="C101" s="105">
        <v>43848</v>
      </c>
      <c r="D101" s="60" t="str">
        <v>May Mobility and Via announce partnership that will integrate on-demand AVs into public transit</v>
      </c>
      <c r="E101" s="60" t="str">
        <v>Via</v>
      </c>
      <c r="F101" s="60" t="str">
        <v>L3</v>
      </c>
      <c r="G101" s="60" t="str">
        <v>Via-SAV</v>
      </c>
      <c r="H101" s="60" t="str">
        <v>SAV</v>
      </c>
      <c r="I101" s="60" t="str">
        <v>Ridepooling</v>
      </c>
      <c r="J101" s="60" t="str">
        <v>Ridepooling</v>
      </c>
      <c r="K101" s="60" t="str">
        <v>May Mobility</v>
      </c>
      <c r="L101" s="60" t="str">
        <v>May Mobility</v>
      </c>
      <c r="M101" s="60">
        <v>0</v>
      </c>
      <c r="N101" s="60">
        <v>0</v>
      </c>
      <c r="O101"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101"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101" s="60" t="str">
        <v>Strategic Alliance</v>
      </c>
      <c r="R101" s="60" t="str">
        <v>n.a.</v>
      </c>
      <c r="S101" s="60" t="str">
        <v>Service Integration</v>
      </c>
      <c r="T101" s="60" t="str">
        <v>Long term - -</v>
      </c>
      <c r="U101" s="60" t="str">
        <v>-</v>
      </c>
      <c r="V101" s="60" t="str">
        <v>-</v>
      </c>
      <c r="W101" s="60" t="str">
        <v>2.3. Long term Alliance</v>
      </c>
      <c r="X101" s="60">
        <v>0</v>
      </c>
      <c r="Y101"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101" s="60" t="str">
        <v>Joint Service Agreement</v>
      </c>
      <c r="AA101" s="60" t="str">
        <v>May Mobility will adopt Via's autonomous fleet platform to power booking, routing, passenger and vehicle assignment and identification, customer experience, and fleet management as part of their new transit solution for future autonomous vehicle deployments.</v>
      </c>
      <c r="AB101" s="60">
        <v>0</v>
      </c>
      <c r="AC101" s="60">
        <v>0</v>
      </c>
      <c r="AD101" s="60">
        <v>0</v>
      </c>
      <c r="AE101" s="60">
        <v>0</v>
      </c>
      <c r="AF101" s="60" t="str">
        <v>May Mobility and Via announce partnership that will integrate on-demand AVs into public transit</v>
      </c>
      <c r="AG101" s="60">
        <v>0</v>
      </c>
      <c r="AO101" s="55"/>
      <c r="AP101" s="55"/>
      <c r="AQ101" s="55"/>
      <c r="AR101" s="55"/>
      <c r="AS101" s="55"/>
      <c r="AT101" s="55"/>
      <c r="AU101" s="55"/>
      <c r="AV101" s="55"/>
      <c r="AW101" s="55"/>
      <c r="AX101" s="55"/>
      <c r="AY101" s="55"/>
      <c r="AZ101" s="55"/>
      <c r="BA101" s="55"/>
      <c r="BB101" s="55"/>
      <c r="BC101" s="55"/>
      <c r="BD101" s="55"/>
      <c r="BE101" s="55"/>
      <c r="BF101" s="55"/>
      <c r="BG101" s="55"/>
      <c r="BH101" s="55"/>
    </row>
    <row r="102" spans="1:60" x14ac:dyDescent="0.35">
      <c r="A102" s="60" t="str">
        <v>https://www.navya.tech/en/navya-and-lohr-form-a-strategic-alliance-to-speed-up-their-technological-industrial-and-commercial-development-in-the-field-of-autonomous-mobility/</v>
      </c>
      <c r="B102" s="60" t="str">
        <v>2022, 9, 22</v>
      </c>
      <c r="C102" s="60">
        <v>44826</v>
      </c>
      <c r="D102" s="60" t="str">
        <v>Navya and Lohr form a strategic alliance to speed up their technological, industrial and commercial development in the field of autonomous mobility</v>
      </c>
      <c r="E102" s="60" t="str">
        <v>Lohr</v>
      </c>
      <c r="F102" s="60" t="str">
        <v>L2</v>
      </c>
      <c r="G102" s="60" t="str">
        <v>Lohr-SAV</v>
      </c>
      <c r="H102" s="60" t="str">
        <v>SAV</v>
      </c>
      <c r="I102" s="60" t="str">
        <v>Ridepooling</v>
      </c>
      <c r="J102" s="60" t="str">
        <v>Ridepooling</v>
      </c>
      <c r="K102" s="60" t="str">
        <v>Navya</v>
      </c>
      <c r="L102" s="60" t="str">
        <v>Navya</v>
      </c>
      <c r="M102" s="60">
        <v>0</v>
      </c>
      <c r="N102" s="60">
        <v>0</v>
      </c>
      <c r="O102"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02" s="60" t="str">
        <v>NAVYA (FR0013018041- Navya), an autonomous mobility systems leader, signs a strategic alliance with Lohr, an industrial group known worldwide for its expertise in the engineering, production and marketing of systems for the transportation of people and goods.</v>
      </c>
      <c r="Q102" s="60" t="str">
        <v>Strategic Alliance</v>
      </c>
      <c r="R102" s="60" t="str">
        <v>Yes</v>
      </c>
      <c r="S102" s="60" t="str">
        <v>Product cooperation</v>
      </c>
      <c r="T102" s="60" t="str">
        <v>-</v>
      </c>
      <c r="U102" s="60" t="str">
        <v>-</v>
      </c>
      <c r="V102" s="60" t="str">
        <v>-</v>
      </c>
      <c r="W102" s="60" t="str">
        <v>2.1. Short term Alliance (no exclusivity / previous experience)</v>
      </c>
      <c r="X102" s="60">
        <v>0</v>
      </c>
      <c r="Y102"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02" s="60" t="str">
        <v>Joint Production</v>
      </c>
      <c r="AA102"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02" s="60">
        <v>0</v>
      </c>
      <c r="AC102" s="60">
        <v>0</v>
      </c>
      <c r="AD102" s="60">
        <v>0</v>
      </c>
      <c r="AE102" s="60">
        <v>0</v>
      </c>
      <c r="AF102" s="60" t="str">
        <v>Navya and Lohr form a strategic alliance to speed up their technological, industrial and commercial development in the field of autonomous mobility</v>
      </c>
      <c r="AG102" s="60">
        <v>0</v>
      </c>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row>
    <row r="103" spans="1:60" x14ac:dyDescent="0.35">
      <c r="A103" s="60" t="str">
        <v>https://www.transdev.com/en/press-release/partnership-torc-autonomous-shuttle/</v>
      </c>
      <c r="B103" s="60" t="str">
        <v>2019, 1, 7</v>
      </c>
      <c r="C103" s="60">
        <v>43472</v>
      </c>
      <c r="D103" s="60" t="str">
        <v>Torc and Transdev partner to develop technology for i-Cristal, a shared and fully autonomous shuttle</v>
      </c>
      <c r="E103" s="60" t="str">
        <v>Torc</v>
      </c>
      <c r="F103" s="60" t="str">
        <v>L1</v>
      </c>
      <c r="G103" s="60" t="str">
        <v>Torc-SAV</v>
      </c>
      <c r="H103" s="60" t="str">
        <v>SAV</v>
      </c>
      <c r="I103" s="60" t="str">
        <v>Ridepooling</v>
      </c>
      <c r="J103" s="60" t="str">
        <v>Ridepooling</v>
      </c>
      <c r="K103" s="60" t="str">
        <v>Transdev</v>
      </c>
      <c r="L103" s="60" t="str">
        <v>Transdev</v>
      </c>
      <c r="M103" s="60">
        <v>0</v>
      </c>
      <c r="N103" s="60">
        <v>0</v>
      </c>
      <c r="O103"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03"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03" s="60" t="str">
        <v>Strategic Alliance</v>
      </c>
      <c r="R103" s="60" t="str">
        <v>n.a.</v>
      </c>
      <c r="S103" s="60" t="str">
        <v>Service integration</v>
      </c>
      <c r="T103" s="60" t="str">
        <v>-</v>
      </c>
      <c r="U103" s="60" t="str">
        <v>Yes</v>
      </c>
      <c r="V103" s="60" t="str">
        <v>-</v>
      </c>
      <c r="W103" s="60" t="str">
        <v xml:space="preserve">2.2. Renewed Alliance </v>
      </c>
      <c r="X103" s="60">
        <v>0</v>
      </c>
      <c r="Y103"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03" s="60" t="str">
        <v>Joint Service Agreement</v>
      </c>
      <c r="AA103"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03" s="60" t="str">
        <v>Research &amp; Collaboration</v>
      </c>
      <c r="AC103" s="60" t="str">
        <v>The partners have already begun testing on closed courses, while testing on public roads will proceed after obtaining successive safety authorizations and before providing public service trials in two locations in France: Paris-Saclay and Rouen.</v>
      </c>
      <c r="AD103" s="60">
        <v>0</v>
      </c>
      <c r="AE103" s="60">
        <v>0</v>
      </c>
      <c r="AF103" s="60" t="str">
        <v xml:space="preserve">Torc and Transdev partner to develop </v>
      </c>
      <c r="AG103" s="60" t="str">
        <v>technology for i-Cristal, a shared and fully autonomous shuttle</v>
      </c>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107"/>
    </row>
    <row r="104" spans="1:60" x14ac:dyDescent="0.35">
      <c r="A104" s="60" t="str">
        <v>https://www.transdev.com/en/press-release/zf-partnership/</v>
      </c>
      <c r="B104" s="60" t="str">
        <v>2019, 1, 8</v>
      </c>
      <c r="C104" s="60">
        <v>43473</v>
      </c>
      <c r="D104" s="60" t="str">
        <v>Transdev, ZF and e.GO announce partnership to develop shared autonomous mobility</v>
      </c>
      <c r="E104" s="60" t="str">
        <v>ZF</v>
      </c>
      <c r="F104" s="60" t="str">
        <v>L2</v>
      </c>
      <c r="G104" s="60" t="str">
        <v>ZF-SAV</v>
      </c>
      <c r="H104" s="60" t="str">
        <v>SAV</v>
      </c>
      <c r="I104" s="60" t="str">
        <v>Ridepooling</v>
      </c>
      <c r="J104" s="60" t="str">
        <v>Ridepooling</v>
      </c>
      <c r="K104" s="60" t="str">
        <v>Transdev;e.GO</v>
      </c>
      <c r="L104" s="60" t="str">
        <v>Transdev</v>
      </c>
      <c r="M104" s="60" t="str">
        <v>e.GO</v>
      </c>
      <c r="N104" s="60">
        <v>0</v>
      </c>
      <c r="O104"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04" s="60" t="str">
        <v>The partners will start working together immediately to provide a fully functional solution by 2020, with priority markets in France and Germany.</v>
      </c>
      <c r="Q104" s="60" t="str">
        <v>Strategic Alliance</v>
      </c>
      <c r="R104" s="60" t="str">
        <v>n.a.</v>
      </c>
      <c r="S104" s="60" t="str">
        <v>Product cooperation</v>
      </c>
      <c r="T104" s="60" t="str">
        <v>Long term - &gt;1 year</v>
      </c>
      <c r="U104" s="60" t="str">
        <v>-</v>
      </c>
      <c r="V104" s="60" t="str">
        <v>-</v>
      </c>
      <c r="W104" s="60" t="str">
        <v>2.3. Long term Alliance</v>
      </c>
      <c r="X104" s="60">
        <v>0</v>
      </c>
      <c r="Y104"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04" s="60" t="str">
        <v>Joint D&amp;D</v>
      </c>
      <c r="AA104"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04" s="60">
        <v>0</v>
      </c>
      <c r="AC104" s="60">
        <v>0</v>
      </c>
      <c r="AD104" s="60">
        <v>0</v>
      </c>
      <c r="AE104" s="60">
        <v>0</v>
      </c>
      <c r="AF104" s="60" t="str">
        <v>Transdev, ZF and e.GO announce partnership to develop shared autonomous mobility</v>
      </c>
      <c r="AG104" s="60">
        <v>0</v>
      </c>
    </row>
    <row r="105" spans="1:60" x14ac:dyDescent="0.35">
      <c r="A105" t="str">
        <v>https://waymo.com/blog/2019/05/partnering-with-lyft-to-serve-more-riders/</v>
      </c>
      <c r="B105" t="str">
        <v>2019, 5, 7</v>
      </c>
      <c r="C105">
        <v>43592</v>
      </c>
      <c r="D105" t="str">
        <v>Partnering with Lyft to serve more riders in Metro Phoenix</v>
      </c>
      <c r="E105" t="str">
        <v>Lyft</v>
      </c>
      <c r="F105" t="str">
        <v>L4</v>
      </c>
      <c r="G105" t="str">
        <v>Lyft-SAV</v>
      </c>
      <c r="H105" t="str">
        <v>SAV</v>
      </c>
      <c r="I105" t="str">
        <v>Ridehailing</v>
      </c>
      <c r="J105" t="str">
        <v>Ridehailing</v>
      </c>
      <c r="K105" t="str">
        <v>Waymo</v>
      </c>
      <c r="L105" t="str">
        <v>Waymo</v>
      </c>
      <c r="M105">
        <v>0</v>
      </c>
      <c r="N105">
        <v>0</v>
      </c>
      <c r="O105"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05"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05" t="str">
        <v>Strategic Alliance</v>
      </c>
      <c r="R105" t="str">
        <v>n.a.</v>
      </c>
      <c r="S105" t="str">
        <v>Service integration</v>
      </c>
      <c r="T105" t="str">
        <v>Short term - months</v>
      </c>
      <c r="U105" t="str">
        <v>-</v>
      </c>
      <c r="V105" t="str">
        <v>-</v>
      </c>
      <c r="W105" t="str">
        <v>2.1. Short term Alliance (no exclusivity / previous experience)</v>
      </c>
      <c r="X105">
        <v>0</v>
      </c>
      <c r="Y105" t="str">
        <v>As a first step, we'll deploy 10 Waymo vehicles on Lyft over the next few months. Once Waymo vehicles are on the platform, Lyft users in the area will have the option to select a Waymo directly from the Lyft app for eligible rides.</v>
      </c>
      <c r="Z105" t="str">
        <v>Supply Partnership (extended)</v>
      </c>
      <c r="AA105" t="str">
        <v>As a first step, we'll deploy 10 Waymo vehicles on Lyft over the next few months. Once Waymo vehicles are on the platform, Lyft users in the area will have the option to select a Waymo directly from the Lyft app for eligible rides.</v>
      </c>
      <c r="AB105">
        <v>0</v>
      </c>
      <c r="AC105">
        <v>0</v>
      </c>
      <c r="AD105">
        <v>0</v>
      </c>
      <c r="AE105">
        <v>0</v>
      </c>
      <c r="AF105" t="str">
        <v>Partnering with Lyft to serve more riders in Metro Phoenix</v>
      </c>
      <c r="AG105">
        <v>0</v>
      </c>
    </row>
    <row r="106" spans="1:60" x14ac:dyDescent="0.35">
      <c r="A106" t="str">
        <v>https://www.mobileye.com/news/mobileye-willer-self-driving-mobility-solutions/</v>
      </c>
      <c r="B106" t="str">
        <v>2020, 7, 7</v>
      </c>
      <c r="C106">
        <v>44019</v>
      </c>
      <c r="D106" t="str">
        <v>Mobileye and WILLER Partner on Self-Driving Mobility Solutions for Japan, Southeast Asia</v>
      </c>
      <c r="E106" t="str">
        <v>Mobileye</v>
      </c>
      <c r="F106" t="str">
        <v>L1</v>
      </c>
      <c r="G106" t="str">
        <v>Mobileye-SAV</v>
      </c>
      <c r="H106" t="str">
        <v>SAV</v>
      </c>
      <c r="I106" t="str">
        <v>Ridepooling</v>
      </c>
      <c r="J106" t="str">
        <v>Ridepooling</v>
      </c>
      <c r="K106" t="str">
        <v>WILLER</v>
      </c>
      <c r="L106" t="str">
        <v>WILLER</v>
      </c>
      <c r="M106">
        <v>0</v>
      </c>
      <c r="N106">
        <v>0</v>
      </c>
      <c r="O106"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6"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6" t="str">
        <v>Strategic Alliance</v>
      </c>
      <c r="R106" t="str">
        <v>n.a.</v>
      </c>
      <c r="S106" t="str">
        <v>Service integration</v>
      </c>
      <c r="T106" t="str">
        <v>Long term - 2023 (&gt;2 years)</v>
      </c>
      <c r="U106" t="str">
        <v>-</v>
      </c>
      <c r="V106" t="str">
        <v>-</v>
      </c>
      <c r="W106" t="str">
        <v>2.3. Long term Alliance</v>
      </c>
      <c r="X106">
        <v>0</v>
      </c>
      <c r="Y106"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6" t="str">
        <v>Supply Partnership (extended)</v>
      </c>
      <c r="AA106"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6">
        <v>0</v>
      </c>
      <c r="AC106">
        <v>0</v>
      </c>
      <c r="AD106">
        <v>0</v>
      </c>
      <c r="AE106">
        <v>0</v>
      </c>
      <c r="AF106">
        <v>0</v>
      </c>
      <c r="AG106">
        <v>0</v>
      </c>
    </row>
    <row r="107" spans="1:60" x14ac:dyDescent="0.35">
      <c r="L107" s="152"/>
      <c r="M107" s="152"/>
      <c r="N107" s="152"/>
      <c r="O107" s="152"/>
      <c r="P107" s="152"/>
      <c r="Q107" s="152"/>
      <c r="R107" s="152"/>
      <c r="S107" s="152"/>
      <c r="T107" s="152"/>
      <c r="U107" s="152"/>
      <c r="V107" s="152"/>
      <c r="BF107" s="152"/>
      <c r="BG107" s="152"/>
      <c r="BH107" s="152"/>
    </row>
    <row r="108" spans="1:60" ht="26" x14ac:dyDescent="0.6">
      <c r="A108" s="146"/>
      <c r="B108" s="145"/>
      <c r="C108" s="78"/>
      <c r="AE108" s="95"/>
      <c r="AF108" s="95"/>
      <c r="AG108" s="95"/>
      <c r="AH108" s="95"/>
      <c r="AI108" s="95"/>
      <c r="AJ108" s="95"/>
      <c r="AK108" s="60"/>
      <c r="AL108" s="60"/>
      <c r="AM108" s="60"/>
      <c r="AN108" s="97"/>
      <c r="AO108" s="97"/>
      <c r="AP108" s="97"/>
      <c r="AQ108" s="97"/>
      <c r="AR108" s="97"/>
      <c r="AS108" s="108"/>
      <c r="AT108" s="97"/>
      <c r="AU108" s="97"/>
      <c r="AV108" s="82"/>
      <c r="AW108" s="82"/>
      <c r="AX108" s="82"/>
      <c r="AY108" s="82"/>
    </row>
    <row r="109" spans="1:60" x14ac:dyDescent="0.35">
      <c r="W109" s="89"/>
      <c r="AV109" s="154"/>
      <c r="AW109" s="154"/>
      <c r="AX109" s="154"/>
      <c r="AY109" s="154"/>
      <c r="AZ109" s="154"/>
      <c r="BA109" s="154"/>
      <c r="BB109" s="154"/>
      <c r="BC109" s="118"/>
      <c r="BD109" s="118"/>
      <c r="BE109" s="118"/>
      <c r="BF109" s="118"/>
      <c r="BG109" s="118"/>
      <c r="BH109" s="118"/>
    </row>
    <row r="110" spans="1:60" x14ac:dyDescent="0.35">
      <c r="O110" s="58"/>
      <c r="P110" s="58"/>
      <c r="Q110" s="58"/>
      <c r="R110" s="58"/>
      <c r="S110" s="58"/>
      <c r="W110" s="89"/>
      <c r="AV110" s="154"/>
      <c r="AW110" s="154"/>
      <c r="AX110" s="154"/>
      <c r="AY110" s="154"/>
      <c r="AZ110" s="154"/>
      <c r="BA110" s="154"/>
      <c r="BB110" s="154"/>
      <c r="BC110" s="118"/>
      <c r="BD110" s="118"/>
      <c r="BE110" s="118"/>
      <c r="BF110" s="118"/>
      <c r="BG110" s="118"/>
      <c r="BH110" s="118"/>
    </row>
    <row r="111" spans="1:60" x14ac:dyDescent="0.35">
      <c r="O111" s="58"/>
      <c r="P111" s="58"/>
      <c r="Q111" s="58"/>
      <c r="R111" s="58"/>
      <c r="S111" s="58"/>
      <c r="W111" s="89"/>
      <c r="AV111" s="154"/>
      <c r="AW111" s="154"/>
      <c r="AX111" s="154"/>
      <c r="AY111" s="154"/>
      <c r="AZ111" s="154"/>
      <c r="BA111" s="154"/>
      <c r="BB111" s="154"/>
      <c r="BC111" s="118"/>
      <c r="BD111" s="118"/>
      <c r="BE111" s="118"/>
      <c r="BF111" s="118"/>
      <c r="BG111" s="118"/>
      <c r="BH111" s="118"/>
    </row>
    <row r="112" spans="1:60" s="148" customFormat="1" ht="15" thickBot="1" x14ac:dyDescent="0.4">
      <c r="BA112" s="149"/>
      <c r="BB112" s="149"/>
      <c r="BC112" s="149"/>
      <c r="BD112" s="149"/>
      <c r="BE112" s="149"/>
      <c r="BF112" s="149"/>
    </row>
    <row r="113" spans="2:60" x14ac:dyDescent="0.35">
      <c r="C113" s="59"/>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c r="AT113" s="126"/>
      <c r="AU113" s="126"/>
      <c r="AV113" s="126"/>
      <c r="AW113" s="126"/>
      <c r="AX113" s="126"/>
      <c r="AY113" s="126"/>
      <c r="AZ113" s="126"/>
      <c r="BA113" s="126"/>
      <c r="BB113" s="126"/>
      <c r="BC113" s="126"/>
      <c r="BD113" s="126"/>
      <c r="BE113" s="126"/>
      <c r="BF113" s="126"/>
      <c r="BG113" s="126"/>
      <c r="BH113" s="126"/>
    </row>
    <row r="114" spans="2:60" x14ac:dyDescent="0.35">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c r="AT114" s="126"/>
      <c r="AU114" s="126"/>
      <c r="AV114" s="126"/>
      <c r="AW114" s="126"/>
      <c r="AX114" s="126"/>
      <c r="AY114" s="126"/>
      <c r="AZ114" s="126"/>
      <c r="BA114" s="126"/>
      <c r="BB114" s="126"/>
      <c r="BC114" s="126"/>
      <c r="BD114" s="126"/>
      <c r="BE114" s="126"/>
      <c r="BF114" s="126"/>
      <c r="BG114" s="126"/>
      <c r="BH114" s="126"/>
    </row>
    <row r="115" spans="2:60" x14ac:dyDescent="0.35">
      <c r="B115" s="59"/>
      <c r="C115" s="59"/>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c r="AT115" s="126"/>
      <c r="AU115" s="126"/>
      <c r="AV115" s="126"/>
      <c r="AW115" s="126"/>
      <c r="AX115" s="126"/>
      <c r="AY115" s="126"/>
      <c r="AZ115" s="126"/>
      <c r="BA115" s="126"/>
      <c r="BB115" s="126"/>
      <c r="BC115" s="126"/>
      <c r="BD115" s="126"/>
      <c r="BE115" s="126"/>
      <c r="BF115" s="126"/>
      <c r="BG115" s="126"/>
      <c r="BH115" s="126"/>
    </row>
  </sheetData>
  <conditionalFormatting sqref="B109:B110 B2:B16">
    <cfRule type="duplicateValues" dxfId="27" priority="388"/>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A87BE-5440-4E00-8BE0-1F3BE28820C4}">
  <sheetPr>
    <tabColor rgb="FFC00000"/>
  </sheetPr>
  <dimension ref="A1:BA64"/>
  <sheetViews>
    <sheetView topLeftCell="D1" zoomScale="40" zoomScaleNormal="40" workbookViewId="0"/>
  </sheetViews>
  <sheetFormatPr defaultRowHeight="14.5" x14ac:dyDescent="0.35"/>
  <cols>
    <col min="1" max="1" width="63.1796875" style="55" bestFit="1" customWidth="1"/>
    <col min="2" max="29" width="8.6328125" customWidth="1"/>
  </cols>
  <sheetData>
    <row r="1" spans="1:53" s="117" customFormat="1" ht="94.5" customHeight="1" x14ac:dyDescent="0.35">
      <c r="A1" s="180" t="s">
        <v>2220</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c r="C3" s="116"/>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0.21389631597324901</v>
      </c>
      <c r="C4" s="116"/>
      <c r="D4" s="116">
        <v>0.999999999999999</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v>-0.11322770341445899</v>
      </c>
      <c r="C5" s="116"/>
      <c r="D5" s="116">
        <v>0.217970897638181</v>
      </c>
      <c r="E5" s="116">
        <v>1</v>
      </c>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-0.11322770341445899</v>
      </c>
      <c r="C6" s="116"/>
      <c r="D6" s="116">
        <v>-0.43594179527636201</v>
      </c>
      <c r="E6" s="116">
        <v>-7.69230769230769E-2</v>
      </c>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-0.21182963643408001</v>
      </c>
      <c r="C7" s="116"/>
      <c r="D7" s="116">
        <v>-0.18123831538881</v>
      </c>
      <c r="E7" s="116">
        <v>-0.143909899491305</v>
      </c>
      <c r="F7" s="116">
        <v>-0.143909899491305</v>
      </c>
      <c r="G7" s="116">
        <v>1</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c r="C8" s="116"/>
      <c r="D8" s="116"/>
      <c r="E8" s="116"/>
      <c r="F8" s="116"/>
      <c r="G8" s="116"/>
      <c r="H8" s="116"/>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v>-0.11322770341445899</v>
      </c>
      <c r="C9" s="116"/>
      <c r="D9" s="116">
        <v>0.43594179527636201</v>
      </c>
      <c r="E9" s="116">
        <v>-7.69230769230769E-2</v>
      </c>
      <c r="F9" s="116">
        <v>-7.69230769230769E-2</v>
      </c>
      <c r="G9" s="116">
        <v>-0.143909899491305</v>
      </c>
      <c r="H9" s="116"/>
      <c r="I9" s="116">
        <v>1</v>
      </c>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c r="C10" s="182"/>
      <c r="D10" s="182"/>
      <c r="E10" s="182"/>
      <c r="F10" s="182"/>
      <c r="G10" s="182"/>
      <c r="H10" s="182"/>
      <c r="I10" s="182"/>
      <c r="J10" s="183"/>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v>-0.11322770341445899</v>
      </c>
      <c r="C11" s="116"/>
      <c r="D11" s="116">
        <v>0.43594179527636201</v>
      </c>
      <c r="E11" s="116">
        <v>-7.69230769230769E-2</v>
      </c>
      <c r="F11" s="116">
        <v>-7.69230769230769E-2</v>
      </c>
      <c r="G11" s="116">
        <v>-0.143909899491305</v>
      </c>
      <c r="H11" s="116"/>
      <c r="I11" s="116">
        <v>1</v>
      </c>
      <c r="J11" s="184"/>
      <c r="K11" s="116">
        <v>1</v>
      </c>
      <c r="L11" s="181"/>
      <c r="M11" s="181"/>
      <c r="N11" s="181"/>
      <c r="O11" s="181"/>
      <c r="P11" s="181"/>
      <c r="Q11" s="186"/>
      <c r="R11" s="181"/>
      <c r="S11" s="181"/>
      <c r="T11" s="181"/>
      <c r="U11" s="181"/>
      <c r="V11" s="192"/>
      <c r="W11" s="116"/>
      <c r="X11" s="116"/>
      <c r="Y11" s="116"/>
      <c r="Z11" s="190"/>
      <c r="AA11" s="190"/>
      <c r="AB11" s="190"/>
      <c r="AC11" s="190"/>
      <c r="AD11" s="16"/>
    </row>
    <row r="12" spans="1:53" x14ac:dyDescent="0.35">
      <c r="A12" s="124" t="s">
        <v>2233</v>
      </c>
      <c r="B12" s="204">
        <v>0.29966761343384501</v>
      </c>
      <c r="C12" s="116"/>
      <c r="D12" s="116">
        <v>0.77416821601163099</v>
      </c>
      <c r="E12" s="116">
        <v>0.29612226027758198</v>
      </c>
      <c r="F12" s="116">
        <v>-3.7015282534697803E-2</v>
      </c>
      <c r="G12" s="116">
        <v>-0.28359217755892802</v>
      </c>
      <c r="H12" s="116"/>
      <c r="I12" s="116">
        <v>0.444183390416374</v>
      </c>
      <c r="J12" s="184"/>
      <c r="K12" s="116">
        <v>0.444183390416374</v>
      </c>
      <c r="L12" s="116">
        <v>1</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-0.11322770341445899</v>
      </c>
      <c r="C13" s="116"/>
      <c r="D13" s="116">
        <v>-0.14531393175878701</v>
      </c>
      <c r="E13" s="116">
        <v>-7.69230769230769E-2</v>
      </c>
      <c r="F13" s="116">
        <v>-7.69230769230769E-2</v>
      </c>
      <c r="G13" s="116">
        <v>0.47969966497101801</v>
      </c>
      <c r="H13" s="116"/>
      <c r="I13" s="116">
        <v>-7.69230769230769E-2</v>
      </c>
      <c r="J13" s="184"/>
      <c r="K13" s="116">
        <v>-7.69230769230769E-2</v>
      </c>
      <c r="L13" s="116">
        <v>-3.7015282534697803E-2</v>
      </c>
      <c r="M13" s="116">
        <v>1</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0.121716123890036</v>
      </c>
      <c r="C14" s="116"/>
      <c r="D14" s="116">
        <v>0.31241556593546999</v>
      </c>
      <c r="E14" s="116">
        <v>-0.20672455764868</v>
      </c>
      <c r="F14" s="116">
        <v>-0.20672455764868</v>
      </c>
      <c r="G14" s="116">
        <v>2.5783082271792001E-2</v>
      </c>
      <c r="H14" s="116"/>
      <c r="I14" s="116">
        <v>-0.20672455764868</v>
      </c>
      <c r="J14" s="184"/>
      <c r="K14" s="116">
        <v>-0.20672455764868</v>
      </c>
      <c r="L14" s="116">
        <v>-0.238741398736662</v>
      </c>
      <c r="M14" s="116">
        <v>-0.20672455764868</v>
      </c>
      <c r="N14" s="116">
        <v>1</v>
      </c>
      <c r="O14" s="181"/>
      <c r="P14" s="181"/>
      <c r="Q14" s="186"/>
      <c r="R14" s="181"/>
      <c r="S14" s="181"/>
      <c r="T14" s="181"/>
      <c r="U14" s="181"/>
      <c r="V14" s="192"/>
      <c r="W14" s="116"/>
      <c r="X14" s="116"/>
      <c r="Y14" s="116"/>
      <c r="Z14" s="190"/>
      <c r="AA14" s="190"/>
      <c r="AB14" s="190"/>
      <c r="AC14" s="190"/>
      <c r="AD14" s="16"/>
    </row>
    <row r="15" spans="1:53" x14ac:dyDescent="0.35">
      <c r="A15" s="124" t="s">
        <v>2236</v>
      </c>
      <c r="B15" s="204">
        <v>-0.11322770341445899</v>
      </c>
      <c r="C15" s="116"/>
      <c r="D15" s="116">
        <v>-0.43594179527636201</v>
      </c>
      <c r="E15" s="116">
        <v>-7.69230769230769E-2</v>
      </c>
      <c r="F15" s="116">
        <v>-7.69230769230769E-2</v>
      </c>
      <c r="G15" s="116">
        <v>0.47969966497101801</v>
      </c>
      <c r="H15" s="116"/>
      <c r="I15" s="116">
        <v>-7.69230769230769E-2</v>
      </c>
      <c r="J15" s="184"/>
      <c r="K15" s="116">
        <v>-7.69230769230769E-2</v>
      </c>
      <c r="L15" s="116">
        <v>-0.40716810788167601</v>
      </c>
      <c r="M15" s="116">
        <v>-7.69230769230769E-2</v>
      </c>
      <c r="N15" s="116">
        <v>-0.20672455764868</v>
      </c>
      <c r="O15" s="116">
        <v>1</v>
      </c>
      <c r="P15" s="181"/>
      <c r="Q15" s="186"/>
      <c r="R15" s="181"/>
      <c r="S15" s="181"/>
      <c r="T15" s="181"/>
      <c r="U15" s="181"/>
      <c r="V15" s="192"/>
      <c r="W15" s="116"/>
      <c r="X15" s="116"/>
      <c r="Y15" s="116"/>
      <c r="Z15" s="190"/>
      <c r="AA15" s="190"/>
      <c r="AB15" s="190"/>
      <c r="AC15" s="190"/>
      <c r="AD15" s="16"/>
    </row>
    <row r="16" spans="1:53" x14ac:dyDescent="0.35">
      <c r="A16" s="124" t="s">
        <v>1204</v>
      </c>
      <c r="B16" s="204">
        <v>0.41666666666666602</v>
      </c>
      <c r="C16" s="116"/>
      <c r="D16" s="116">
        <v>5.3474078993312302E-2</v>
      </c>
      <c r="E16" s="116">
        <v>0.67936622048675699</v>
      </c>
      <c r="F16" s="116">
        <v>-0.11322770341445899</v>
      </c>
      <c r="G16" s="116">
        <v>-0.21182963643408001</v>
      </c>
      <c r="H16" s="116"/>
      <c r="I16" s="116">
        <v>-0.11322770341445899</v>
      </c>
      <c r="J16" s="184"/>
      <c r="K16" s="116">
        <v>-0.11322770341445899</v>
      </c>
      <c r="L16" s="116">
        <v>0.190697572185174</v>
      </c>
      <c r="M16" s="116">
        <v>-0.11322770341445899</v>
      </c>
      <c r="N16" s="116">
        <v>-0.30429030972509202</v>
      </c>
      <c r="O16" s="116">
        <v>-0.11322770341445899</v>
      </c>
      <c r="P16" s="116">
        <v>1</v>
      </c>
      <c r="Q16" s="194"/>
      <c r="R16" s="181"/>
      <c r="S16" s="181"/>
      <c r="T16" s="181"/>
      <c r="U16" s="181"/>
      <c r="V16" s="192"/>
      <c r="W16" s="116"/>
      <c r="X16" s="116"/>
      <c r="Y16" s="116"/>
      <c r="Z16" s="190"/>
      <c r="AA16" s="190"/>
      <c r="AB16" s="190"/>
      <c r="AC16" s="190"/>
      <c r="AD16" s="16"/>
    </row>
    <row r="17" spans="1:40" x14ac:dyDescent="0.35">
      <c r="A17" s="124" t="s">
        <v>1205</v>
      </c>
      <c r="B17" s="205"/>
      <c r="C17" s="182"/>
      <c r="D17" s="182"/>
      <c r="E17" s="182"/>
      <c r="F17" s="182"/>
      <c r="G17" s="182"/>
      <c r="H17" s="182"/>
      <c r="I17" s="182"/>
      <c r="J17" s="183"/>
      <c r="K17" s="182"/>
      <c r="L17" s="182"/>
      <c r="M17" s="182"/>
      <c r="N17" s="182"/>
      <c r="O17" s="182"/>
      <c r="P17" s="182"/>
      <c r="Q17" s="195"/>
      <c r="R17" s="182"/>
      <c r="S17" s="182"/>
      <c r="T17" s="182"/>
      <c r="U17" s="182"/>
      <c r="V17" s="182"/>
      <c r="W17" s="182"/>
      <c r="X17" s="182"/>
      <c r="Y17" s="182"/>
      <c r="Z17" s="182"/>
      <c r="AA17" s="182"/>
      <c r="AB17" s="182"/>
      <c r="AC17" s="182"/>
      <c r="AD17" s="115"/>
    </row>
    <row r="18" spans="1:40" x14ac:dyDescent="0.35">
      <c r="A18" s="125" t="s">
        <v>2096</v>
      </c>
      <c r="B18" s="204">
        <v>5.8925565098878897E-2</v>
      </c>
      <c r="C18" s="116"/>
      <c r="D18" s="116">
        <v>-0.37811883873876201</v>
      </c>
      <c r="E18" s="116">
        <v>-0.24019223070762999</v>
      </c>
      <c r="F18" s="116">
        <v>0.32025630761017398</v>
      </c>
      <c r="G18" s="116">
        <v>0.27460798269450198</v>
      </c>
      <c r="H18" s="116"/>
      <c r="I18" s="116">
        <v>-0.24019223070762999</v>
      </c>
      <c r="J18" s="184"/>
      <c r="K18" s="116">
        <v>-0.24019223070762999</v>
      </c>
      <c r="L18" s="116">
        <v>-0.13484354644794699</v>
      </c>
      <c r="M18" s="116">
        <v>-0.24019223070762999</v>
      </c>
      <c r="N18" s="116">
        <v>-0.344265186329548</v>
      </c>
      <c r="O18" s="116">
        <v>0.32025630761017398</v>
      </c>
      <c r="P18" s="116">
        <v>5.8925565098878897E-2</v>
      </c>
      <c r="Q18" s="194"/>
      <c r="R18" s="116">
        <v>1</v>
      </c>
      <c r="S18" s="181"/>
      <c r="T18" s="181"/>
      <c r="U18" s="181"/>
      <c r="V18" s="192"/>
      <c r="W18" s="116"/>
      <c r="X18" s="116"/>
      <c r="Y18" s="116"/>
      <c r="Z18" s="190"/>
      <c r="AA18" s="190"/>
      <c r="AB18" s="190"/>
      <c r="AC18" s="190"/>
      <c r="AD18" s="16"/>
    </row>
    <row r="19" spans="1:40" x14ac:dyDescent="0.35">
      <c r="A19" s="125" t="s">
        <v>2097</v>
      </c>
      <c r="B19" s="204">
        <v>5.8925565098878897E-2</v>
      </c>
      <c r="C19" s="116"/>
      <c r="D19" s="116">
        <v>0.34030695486488599</v>
      </c>
      <c r="E19" s="116">
        <v>0.32025630761017398</v>
      </c>
      <c r="F19" s="116">
        <v>-0.24019223070762999</v>
      </c>
      <c r="G19" s="116">
        <v>-0.124821810315682</v>
      </c>
      <c r="H19" s="116"/>
      <c r="I19" s="116">
        <v>0.32025630761017398</v>
      </c>
      <c r="J19" s="184"/>
      <c r="K19" s="116">
        <v>0.32025630761017398</v>
      </c>
      <c r="L19" s="116">
        <v>0.173370274004504</v>
      </c>
      <c r="M19" s="116">
        <v>0.32025630761017398</v>
      </c>
      <c r="N19" s="116">
        <v>0.25819888974716099</v>
      </c>
      <c r="O19" s="116">
        <v>-0.24019223070762999</v>
      </c>
      <c r="P19" s="116">
        <v>5.8925565098878897E-2</v>
      </c>
      <c r="Q19" s="194"/>
      <c r="R19" s="116">
        <v>-0.75</v>
      </c>
      <c r="S19" s="116">
        <v>1</v>
      </c>
      <c r="T19" s="181"/>
      <c r="U19" s="181"/>
      <c r="V19" s="192"/>
      <c r="W19" s="116"/>
      <c r="X19" s="116"/>
      <c r="Y19" s="116"/>
      <c r="Z19" s="190"/>
      <c r="AA19" s="190"/>
      <c r="AB19" s="190"/>
      <c r="AC19" s="190"/>
      <c r="AD19" s="16"/>
    </row>
    <row r="20" spans="1:40" x14ac:dyDescent="0.35">
      <c r="A20" s="125" t="s">
        <v>2098</v>
      </c>
      <c r="B20" s="206"/>
      <c r="C20" s="122"/>
      <c r="D20" s="122"/>
      <c r="E20" s="122"/>
      <c r="F20" s="122"/>
      <c r="G20" s="122"/>
      <c r="H20" s="122"/>
      <c r="I20" s="122"/>
      <c r="J20" s="184"/>
      <c r="K20" s="122"/>
      <c r="L20" s="122"/>
      <c r="M20" s="122"/>
      <c r="N20" s="122"/>
      <c r="O20" s="122"/>
      <c r="P20" s="122"/>
      <c r="Q20" s="194"/>
      <c r="R20" s="122"/>
      <c r="S20" s="122"/>
      <c r="T20" s="122"/>
      <c r="U20" s="193"/>
      <c r="V20" s="193"/>
      <c r="W20" s="122"/>
      <c r="X20" s="122"/>
      <c r="Y20" s="122"/>
      <c r="Z20" s="190"/>
      <c r="AA20" s="190"/>
      <c r="AB20" s="190"/>
      <c r="AC20" s="190"/>
      <c r="AD20" s="16"/>
    </row>
    <row r="21" spans="1:40" x14ac:dyDescent="0.35">
      <c r="A21" s="125" t="s">
        <v>2099</v>
      </c>
      <c r="B21" s="206">
        <v>-0.16666666666666599</v>
      </c>
      <c r="C21" s="122"/>
      <c r="D21" s="122">
        <v>5.3474078993312302E-2</v>
      </c>
      <c r="E21" s="122">
        <v>-0.11322770341445899</v>
      </c>
      <c r="F21" s="122">
        <v>-0.11322770341445899</v>
      </c>
      <c r="G21" s="122">
        <v>-0.21182963643408001</v>
      </c>
      <c r="H21" s="122"/>
      <c r="I21" s="122">
        <v>-0.11322770341445899</v>
      </c>
      <c r="J21" s="184"/>
      <c r="K21" s="122">
        <v>-0.11322770341445899</v>
      </c>
      <c r="L21" s="122">
        <v>-5.4485020624335502E-2</v>
      </c>
      <c r="M21" s="122">
        <v>-0.11322770341445899</v>
      </c>
      <c r="N21" s="122">
        <v>0.121716123890036</v>
      </c>
      <c r="O21" s="122">
        <v>-0.11322770341445899</v>
      </c>
      <c r="P21" s="122">
        <v>-0.16666666666666599</v>
      </c>
      <c r="Q21" s="194"/>
      <c r="R21" s="122">
        <v>-0.35355339059327301</v>
      </c>
      <c r="S21" s="122">
        <v>-0.35355339059327301</v>
      </c>
      <c r="T21" s="122"/>
      <c r="U21" s="122">
        <v>1</v>
      </c>
      <c r="V21" s="193"/>
      <c r="W21" s="122"/>
      <c r="X21" s="122"/>
      <c r="Y21" s="122"/>
      <c r="Z21" s="190"/>
      <c r="AA21" s="190"/>
      <c r="AB21" s="190"/>
      <c r="AC21" s="190"/>
      <c r="AD21" s="16"/>
    </row>
    <row r="22" spans="1:40" x14ac:dyDescent="0.35">
      <c r="A22" s="125" t="s">
        <v>2247</v>
      </c>
      <c r="B22" s="207">
        <v>0.19192236044781899</v>
      </c>
      <c r="C22" s="208"/>
      <c r="D22" s="208">
        <v>0.96512881025072705</v>
      </c>
      <c r="E22" s="208">
        <v>0.223518117675997</v>
      </c>
      <c r="F22" s="208">
        <v>-0.186265098063331</v>
      </c>
      <c r="G22" s="208">
        <v>-0.22899463059338901</v>
      </c>
      <c r="H22" s="208"/>
      <c r="I22" s="208">
        <v>0.44703623535199499</v>
      </c>
      <c r="J22" s="209"/>
      <c r="K22" s="208">
        <v>0.44703623535199499</v>
      </c>
      <c r="L22" s="208">
        <v>0.83228338147663705</v>
      </c>
      <c r="M22" s="208">
        <v>-0.186265098063331</v>
      </c>
      <c r="N22" s="208">
        <v>0.28032054961842001</v>
      </c>
      <c r="O22" s="208">
        <v>-0.48428925496466102</v>
      </c>
      <c r="P22" s="208">
        <v>2.7417480063974101E-2</v>
      </c>
      <c r="Q22" s="209"/>
      <c r="R22" s="208">
        <v>-0.31019337722052898</v>
      </c>
      <c r="S22" s="208">
        <v>0.290806291144246</v>
      </c>
      <c r="T22" s="208"/>
      <c r="U22" s="208">
        <v>2.7417480063974101E-2</v>
      </c>
      <c r="V22" s="215">
        <v>0.999999999999999</v>
      </c>
      <c r="W22" s="216"/>
      <c r="X22" s="216"/>
      <c r="Y22" s="216"/>
      <c r="Z22" s="217"/>
      <c r="AA22" s="217"/>
      <c r="AB22" s="217"/>
      <c r="AC22" s="217"/>
      <c r="AD22" s="99"/>
    </row>
    <row r="23" spans="1:40" x14ac:dyDescent="0.35">
      <c r="A23" s="227" t="s">
        <v>2248</v>
      </c>
      <c r="B23" s="207">
        <v>1</v>
      </c>
      <c r="C23" s="208"/>
      <c r="D23" s="208">
        <v>0.21389631597324901</v>
      </c>
      <c r="E23" s="208">
        <v>-0.11322770341445899</v>
      </c>
      <c r="F23" s="208">
        <v>-0.11322770341445899</v>
      </c>
      <c r="G23" s="208">
        <v>-0.21182963643408001</v>
      </c>
      <c r="H23" s="208"/>
      <c r="I23" s="208">
        <v>-0.11322770341445899</v>
      </c>
      <c r="J23" s="209"/>
      <c r="K23" s="208">
        <v>-0.11322770341445899</v>
      </c>
      <c r="L23" s="208">
        <v>0.29966761343384501</v>
      </c>
      <c r="M23" s="208">
        <v>-0.11322770341445899</v>
      </c>
      <c r="N23" s="208">
        <v>0.121716123890036</v>
      </c>
      <c r="O23" s="208">
        <v>-0.11322770341445899</v>
      </c>
      <c r="P23" s="208">
        <v>0.41666666666666602</v>
      </c>
      <c r="Q23" s="209"/>
      <c r="R23" s="208">
        <v>5.8925565098878897E-2</v>
      </c>
      <c r="S23" s="208">
        <v>5.8925565098878897E-2</v>
      </c>
      <c r="T23" s="208"/>
      <c r="U23" s="208">
        <v>-0.16666666666666599</v>
      </c>
      <c r="V23" s="207">
        <v>0.19192236044781799</v>
      </c>
      <c r="W23" s="208">
        <v>1</v>
      </c>
      <c r="X23" s="208"/>
      <c r="Y23" s="208"/>
      <c r="Z23" s="210"/>
      <c r="AA23" s="210"/>
      <c r="AB23" s="210"/>
      <c r="AC23" s="210"/>
      <c r="AD23" s="16"/>
    </row>
    <row r="24" spans="1:40" x14ac:dyDescent="0.35">
      <c r="A24" s="227" t="s">
        <v>2249</v>
      </c>
      <c r="B24" s="207">
        <v>0.21766333307459901</v>
      </c>
      <c r="C24" s="208"/>
      <c r="D24" s="208">
        <v>0.72829052354987001</v>
      </c>
      <c r="E24" s="208">
        <v>0.25877795287652</v>
      </c>
      <c r="F24" s="208">
        <v>-0.11090483694708</v>
      </c>
      <c r="G24" s="208">
        <v>-0.18607687686625499</v>
      </c>
      <c r="H24" s="208"/>
      <c r="I24" s="208">
        <v>0.48058762677068101</v>
      </c>
      <c r="J24" s="209"/>
      <c r="K24" s="208">
        <v>0.48058762677068101</v>
      </c>
      <c r="L24" s="208">
        <v>0.89961953182988996</v>
      </c>
      <c r="M24" s="208">
        <v>0.25877795287652</v>
      </c>
      <c r="N24" s="208">
        <v>-0.19869852911119601</v>
      </c>
      <c r="O24" s="208">
        <v>-0.44361934778832102</v>
      </c>
      <c r="P24" s="208">
        <v>0.108831666537299</v>
      </c>
      <c r="Q24" s="209"/>
      <c r="R24" s="208">
        <v>-0.32706134001951898</v>
      </c>
      <c r="S24" s="208">
        <v>0.44249475414405498</v>
      </c>
      <c r="T24" s="208"/>
      <c r="U24" s="208">
        <v>-0.16324749980594899</v>
      </c>
      <c r="V24" s="207">
        <v>0.75705553208072995</v>
      </c>
      <c r="W24" s="208">
        <v>0.21766333307459901</v>
      </c>
      <c r="X24" s="208">
        <v>1</v>
      </c>
      <c r="Y24" s="208"/>
      <c r="Z24" s="210"/>
      <c r="AA24" s="210"/>
      <c r="AB24" s="210"/>
      <c r="AC24" s="210"/>
      <c r="AD24" s="16"/>
    </row>
    <row r="25" spans="1:40" x14ac:dyDescent="0.35">
      <c r="A25" s="125" t="s">
        <v>2228</v>
      </c>
      <c r="B25" s="211">
        <v>0.41666666666666602</v>
      </c>
      <c r="C25" s="210"/>
      <c r="D25" s="210">
        <v>5.3474078993312302E-2</v>
      </c>
      <c r="E25" s="210">
        <v>0.67936622048675699</v>
      </c>
      <c r="F25" s="210">
        <v>-0.11322770341445899</v>
      </c>
      <c r="G25" s="210">
        <v>-0.21182963643408001</v>
      </c>
      <c r="H25" s="210"/>
      <c r="I25" s="210">
        <v>-0.11322770341445899</v>
      </c>
      <c r="J25" s="209"/>
      <c r="K25" s="210">
        <v>-0.11322770341445899</v>
      </c>
      <c r="L25" s="210">
        <v>0.190697572185174</v>
      </c>
      <c r="M25" s="210">
        <v>-0.11322770341445899</v>
      </c>
      <c r="N25" s="210">
        <v>-0.30429030972509202</v>
      </c>
      <c r="O25" s="210">
        <v>-0.11322770341445899</v>
      </c>
      <c r="P25" s="210">
        <v>1</v>
      </c>
      <c r="Q25" s="209"/>
      <c r="R25" s="210">
        <v>5.8925565098878897E-2</v>
      </c>
      <c r="S25" s="210">
        <v>5.8925565098878897E-2</v>
      </c>
      <c r="T25" s="210"/>
      <c r="U25" s="210">
        <v>-0.16666666666666599</v>
      </c>
      <c r="V25" s="211">
        <v>2.7417480063974101E-2</v>
      </c>
      <c r="W25" s="210">
        <v>0.41666666666666602</v>
      </c>
      <c r="X25" s="210">
        <v>0.108831666537299</v>
      </c>
      <c r="Y25" s="210">
        <v>1</v>
      </c>
      <c r="Z25" s="210"/>
      <c r="AA25" s="210"/>
      <c r="AB25" s="210"/>
      <c r="AC25" s="210"/>
      <c r="AD25" s="16"/>
    </row>
    <row r="26" spans="1:40" x14ac:dyDescent="0.35">
      <c r="A26" s="125" t="s">
        <v>2169</v>
      </c>
      <c r="B26" s="211">
        <v>0.40555355282690603</v>
      </c>
      <c r="C26" s="210"/>
      <c r="D26" s="210">
        <v>0.85755023326628799</v>
      </c>
      <c r="E26" s="210">
        <v>0.33062326126678998</v>
      </c>
      <c r="F26" s="210">
        <v>-0.293887343348258</v>
      </c>
      <c r="G26" s="210">
        <v>-2.78179132961494E-2</v>
      </c>
      <c r="H26" s="210"/>
      <c r="I26" s="210">
        <v>0.44083101502238697</v>
      </c>
      <c r="J26" s="209"/>
      <c r="K26" s="210">
        <v>0.44083101502238697</v>
      </c>
      <c r="L26" s="210">
        <v>0.83335724773889797</v>
      </c>
      <c r="M26" s="210">
        <v>0.11020775375559599</v>
      </c>
      <c r="N26" s="210">
        <v>3.9489925183939401E-2</v>
      </c>
      <c r="O26" s="210">
        <v>-0.293887343348258</v>
      </c>
      <c r="P26" s="210">
        <v>0.32444284226152498</v>
      </c>
      <c r="Q26" s="209"/>
      <c r="R26" s="210">
        <v>-0.28676966733820197</v>
      </c>
      <c r="S26" s="210">
        <v>0.382359556450936</v>
      </c>
      <c r="T26" s="210"/>
      <c r="U26" s="210">
        <v>-0.13518451760896799</v>
      </c>
      <c r="V26" s="211">
        <v>0.85141735099071303</v>
      </c>
      <c r="W26" s="210">
        <v>0.40555355282690603</v>
      </c>
      <c r="X26" s="210">
        <v>0.82473266119645205</v>
      </c>
      <c r="Y26" s="210">
        <v>0.32444284226152498</v>
      </c>
      <c r="Z26" s="210">
        <v>1</v>
      </c>
      <c r="AA26" s="210"/>
      <c r="AB26" s="210"/>
      <c r="AC26" s="210"/>
      <c r="AD26" s="16"/>
    </row>
    <row r="27" spans="1:40" x14ac:dyDescent="0.35">
      <c r="A27" s="125" t="s">
        <v>2081</v>
      </c>
      <c r="B27" s="211">
        <v>0.53783159121868296</v>
      </c>
      <c r="C27" s="210"/>
      <c r="D27" s="210">
        <v>0.41258777052941398</v>
      </c>
      <c r="E27" s="210">
        <v>0.23076923076923</v>
      </c>
      <c r="F27" s="210">
        <v>-0.269230769230769</v>
      </c>
      <c r="G27" s="210">
        <v>0.14219668640212299</v>
      </c>
      <c r="H27" s="210"/>
      <c r="I27" s="210">
        <v>-0.269230769230769</v>
      </c>
      <c r="J27" s="209"/>
      <c r="K27" s="210">
        <v>-0.269230769230769</v>
      </c>
      <c r="L27" s="210">
        <v>0.52350185299072605</v>
      </c>
      <c r="M27" s="210">
        <v>0.23076923076923</v>
      </c>
      <c r="N27" s="210">
        <v>-4.13449115297361E-2</v>
      </c>
      <c r="O27" s="210">
        <v>-0.269230769230769</v>
      </c>
      <c r="P27" s="210">
        <v>0.33968311024337799</v>
      </c>
      <c r="Q27" s="209"/>
      <c r="R27" s="210">
        <v>0.200160192256358</v>
      </c>
      <c r="S27" s="210">
        <v>8.0064076902543496E-2</v>
      </c>
      <c r="T27" s="210"/>
      <c r="U27" s="210">
        <v>-0.39629696195060798</v>
      </c>
      <c r="V27" s="211">
        <v>0.37119973114049498</v>
      </c>
      <c r="W27" s="210">
        <v>0.53783159121868296</v>
      </c>
      <c r="X27" s="210">
        <v>0.49643117490597899</v>
      </c>
      <c r="Y27" s="210">
        <v>0.33968311024337799</v>
      </c>
      <c r="Z27" s="210">
        <v>0.53660680102427405</v>
      </c>
      <c r="AA27" s="210">
        <v>1</v>
      </c>
      <c r="AB27" s="210"/>
      <c r="AC27" s="210"/>
      <c r="AD27" s="16"/>
    </row>
    <row r="28" spans="1:40" x14ac:dyDescent="0.35">
      <c r="A28" s="125" t="s">
        <v>2061</v>
      </c>
      <c r="B28" s="211">
        <v>-0.11322770341445899</v>
      </c>
      <c r="C28" s="210"/>
      <c r="D28" s="210">
        <v>-0.43594179527636201</v>
      </c>
      <c r="E28" s="210">
        <v>-7.69230769230769E-2</v>
      </c>
      <c r="F28" s="210">
        <v>1</v>
      </c>
      <c r="G28" s="210">
        <v>-0.143909899491305</v>
      </c>
      <c r="H28" s="210"/>
      <c r="I28" s="210">
        <v>-7.69230769230769E-2</v>
      </c>
      <c r="J28" s="209"/>
      <c r="K28" s="210">
        <v>-7.69230769230769E-2</v>
      </c>
      <c r="L28" s="210">
        <v>-3.7015282534697803E-2</v>
      </c>
      <c r="M28" s="210">
        <v>-7.69230769230769E-2</v>
      </c>
      <c r="N28" s="210">
        <v>-0.20672455764868</v>
      </c>
      <c r="O28" s="210">
        <v>-7.69230769230769E-2</v>
      </c>
      <c r="P28" s="210">
        <v>-0.11322770341445899</v>
      </c>
      <c r="Q28" s="209"/>
      <c r="R28" s="210">
        <v>0.32025630761017398</v>
      </c>
      <c r="S28" s="210">
        <v>-0.24019223070762999</v>
      </c>
      <c r="T28" s="210"/>
      <c r="U28" s="210">
        <v>-0.11322770341445899</v>
      </c>
      <c r="V28" s="211">
        <v>-0.186265098063331</v>
      </c>
      <c r="W28" s="210">
        <v>-0.11322770341445899</v>
      </c>
      <c r="X28" s="210">
        <v>-0.11090483694708</v>
      </c>
      <c r="Y28" s="210">
        <v>-0.11322770341445899</v>
      </c>
      <c r="Z28" s="210">
        <v>-0.293887343348258</v>
      </c>
      <c r="AA28" s="210">
        <v>-0.269230769230769</v>
      </c>
      <c r="AB28" s="210">
        <v>1</v>
      </c>
      <c r="AC28" s="210"/>
      <c r="AD28" s="16"/>
    </row>
    <row r="29" spans="1:40" x14ac:dyDescent="0.35">
      <c r="A29" s="125" t="s">
        <v>2024</v>
      </c>
      <c r="B29" s="211">
        <v>-0.33133215178015302</v>
      </c>
      <c r="C29" s="210"/>
      <c r="D29" s="210">
        <v>-0.58877219045850304</v>
      </c>
      <c r="E29" s="210">
        <v>-0.17315067052355901</v>
      </c>
      <c r="F29" s="210">
        <v>0.27704107283769502</v>
      </c>
      <c r="G29" s="210">
        <v>-0.20361643826522</v>
      </c>
      <c r="H29" s="210"/>
      <c r="I29" s="210">
        <v>-0.31167120694240702</v>
      </c>
      <c r="J29" s="209"/>
      <c r="K29" s="210">
        <v>-0.31167120694240702</v>
      </c>
      <c r="L29" s="210">
        <v>-0.42731191946675001</v>
      </c>
      <c r="M29" s="210">
        <v>-0.41556160925654201</v>
      </c>
      <c r="N29" s="210">
        <v>-0.29781020481102</v>
      </c>
      <c r="O29" s="210">
        <v>0.27704107283769502</v>
      </c>
      <c r="P29" s="210">
        <v>-0.15292253159083899</v>
      </c>
      <c r="Q29" s="209"/>
      <c r="R29" s="210">
        <v>0.43253023633638699</v>
      </c>
      <c r="S29" s="210">
        <v>-0.57670698178184998</v>
      </c>
      <c r="T29" s="210"/>
      <c r="U29" s="210">
        <v>0.20389670878778601</v>
      </c>
      <c r="V29" s="211">
        <v>-0.55703684699122902</v>
      </c>
      <c r="W29" s="210">
        <v>-0.33133215178015302</v>
      </c>
      <c r="X29" s="210">
        <v>-0.581309716318678</v>
      </c>
      <c r="Y29" s="210">
        <v>-0.15292253159083899</v>
      </c>
      <c r="Z29" s="210">
        <v>-0.75248841539325895</v>
      </c>
      <c r="AA29" s="210">
        <v>-0.44153420983507602</v>
      </c>
      <c r="AB29" s="210">
        <v>0.27704107283769502</v>
      </c>
      <c r="AC29" s="210">
        <v>0.999999999999999</v>
      </c>
      <c r="AD29" s="16"/>
    </row>
    <row r="30" spans="1:40" ht="15" thickBot="1" x14ac:dyDescent="0.4">
      <c r="A30" s="224" t="s">
        <v>2250</v>
      </c>
      <c r="B30" s="212">
        <v>0.17920966734223301</v>
      </c>
      <c r="C30" s="213"/>
      <c r="D30" s="213">
        <v>0.22764685103483401</v>
      </c>
      <c r="E30" s="213">
        <v>3.4785426964851998E-2</v>
      </c>
      <c r="F30" s="213">
        <v>-0.243497988753964</v>
      </c>
      <c r="G30" s="213">
        <v>0.277354426263895</v>
      </c>
      <c r="H30" s="213"/>
      <c r="I30" s="213">
        <v>0.10435628089455599</v>
      </c>
      <c r="J30" s="214"/>
      <c r="K30" s="213">
        <v>0.10435628089455599</v>
      </c>
      <c r="L30" s="213">
        <v>0.20445128008517599</v>
      </c>
      <c r="M30" s="213">
        <v>0.34785426964852001</v>
      </c>
      <c r="N30" s="213">
        <v>5.6089815615050199E-2</v>
      </c>
      <c r="O30" s="213">
        <v>0.17392713482426</v>
      </c>
      <c r="P30" s="213">
        <v>-5.1202762097780803E-2</v>
      </c>
      <c r="Q30" s="214"/>
      <c r="R30" s="213">
        <v>-0.1629261913267</v>
      </c>
      <c r="S30" s="213">
        <v>0.144823281179289</v>
      </c>
      <c r="T30" s="213"/>
      <c r="U30" s="214">
        <v>2.5601381048890402E-2</v>
      </c>
      <c r="V30" s="213">
        <v>0.17808848994632101</v>
      </c>
      <c r="W30" s="213">
        <v>0.17920966734223301</v>
      </c>
      <c r="X30" s="213">
        <v>0.20060934949491699</v>
      </c>
      <c r="Y30" s="213">
        <v>-5.1202762097780803E-2</v>
      </c>
      <c r="Z30" s="213">
        <v>0.367845328332847</v>
      </c>
      <c r="AA30" s="213">
        <v>0.31306884268366802</v>
      </c>
      <c r="AB30" s="213">
        <v>-0.243497988753964</v>
      </c>
      <c r="AC30" s="213">
        <v>-0.66667333980627796</v>
      </c>
      <c r="AD30" s="214">
        <v>1</v>
      </c>
    </row>
    <row r="31" spans="1:40" x14ac:dyDescent="0.35">
      <c r="A31"/>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40" x14ac:dyDescent="0.35">
      <c r="A32"/>
      <c r="AN32" t="s">
        <v>1934</v>
      </c>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t="s">
        <v>2165</v>
      </c>
      <c r="AG34" s="202">
        <v>0.1</v>
      </c>
    </row>
    <row r="35" spans="1:53" x14ac:dyDescent="0.35">
      <c r="A35" s="123" t="s">
        <v>12</v>
      </c>
      <c r="B35" s="204"/>
      <c r="C35" s="116"/>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t="s">
        <v>2166</v>
      </c>
      <c r="AG35" s="203">
        <v>0.05</v>
      </c>
    </row>
    <row r="36" spans="1:53" x14ac:dyDescent="0.35">
      <c r="A36" s="123" t="s">
        <v>8</v>
      </c>
      <c r="B36" s="204">
        <v>0.46278192420849501</v>
      </c>
      <c r="C36" s="116"/>
      <c r="D36" s="116">
        <v>2.7036680948348001E-95</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v>0.69993860581156797</v>
      </c>
      <c r="C37" s="116"/>
      <c r="D37" s="116">
        <v>0.45409456289273298</v>
      </c>
      <c r="E37" s="116">
        <v>0</v>
      </c>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0.69993860581156797</v>
      </c>
      <c r="C38" s="116"/>
      <c r="D38" s="116">
        <v>0.119180444836606</v>
      </c>
      <c r="E38" s="116">
        <v>0.79380588835545296</v>
      </c>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0.46721879011859901</v>
      </c>
      <c r="C39" s="116"/>
      <c r="D39" s="116">
        <v>0.53520717744407598</v>
      </c>
      <c r="E39" s="116">
        <v>0.62354877937611197</v>
      </c>
      <c r="F39" s="116">
        <v>0.62354877937611197</v>
      </c>
      <c r="G39" s="116">
        <v>0</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c r="C40" s="116"/>
      <c r="D40" s="116"/>
      <c r="E40" s="116"/>
      <c r="F40" s="116"/>
      <c r="G40" s="116"/>
      <c r="H40" s="116"/>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v>0.69993860581156797</v>
      </c>
      <c r="C41" s="116"/>
      <c r="D41" s="116">
        <v>0.119180444836606</v>
      </c>
      <c r="E41" s="116">
        <v>0.79380588835545296</v>
      </c>
      <c r="F41" s="116">
        <v>0.79380588835545296</v>
      </c>
      <c r="G41" s="116">
        <v>0.62354877937611197</v>
      </c>
      <c r="H41" s="116"/>
      <c r="I41" s="116">
        <v>0</v>
      </c>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c r="C42" s="182"/>
      <c r="D42" s="182"/>
      <c r="E42" s="182"/>
      <c r="F42" s="182"/>
      <c r="G42" s="182"/>
      <c r="H42" s="182"/>
      <c r="I42" s="182"/>
      <c r="J42" s="183"/>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v>0.69993860581156797</v>
      </c>
      <c r="C43" s="116"/>
      <c r="D43" s="116">
        <v>0.119180444836606</v>
      </c>
      <c r="E43" s="116">
        <v>0.79380588835545296</v>
      </c>
      <c r="F43" s="116">
        <v>0.79380588835545296</v>
      </c>
      <c r="G43" s="116">
        <v>0.62354877937611197</v>
      </c>
      <c r="H43" s="116"/>
      <c r="I43" s="116">
        <v>0</v>
      </c>
      <c r="J43" s="184"/>
      <c r="K43" s="116">
        <v>0</v>
      </c>
      <c r="L43" s="181"/>
      <c r="M43" s="181"/>
      <c r="N43" s="181"/>
      <c r="O43" s="181"/>
      <c r="P43" s="181"/>
      <c r="Q43" s="186"/>
      <c r="R43" s="181"/>
      <c r="S43" s="181"/>
      <c r="T43" s="181"/>
      <c r="U43" s="181"/>
      <c r="V43" s="192"/>
      <c r="W43" s="116"/>
      <c r="X43" s="116"/>
      <c r="Y43" s="116"/>
      <c r="Z43" s="190"/>
      <c r="AA43" s="190"/>
      <c r="AB43" s="190"/>
      <c r="AC43" s="190"/>
      <c r="AD43" s="16"/>
    </row>
    <row r="44" spans="1:53" x14ac:dyDescent="0.35">
      <c r="A44" s="124" t="s">
        <v>2233</v>
      </c>
      <c r="B44" s="204">
        <v>0.29792924761061101</v>
      </c>
      <c r="C44" s="116"/>
      <c r="D44" s="116">
        <v>1.1540291736284499E-3</v>
      </c>
      <c r="E44" s="116">
        <v>0.30395984639378298</v>
      </c>
      <c r="F44" s="116">
        <v>0.900026912996997</v>
      </c>
      <c r="G44" s="116">
        <v>0.32583119316437997</v>
      </c>
      <c r="H44" s="116"/>
      <c r="I44" s="116">
        <v>0.111575031102114</v>
      </c>
      <c r="J44" s="184"/>
      <c r="K44" s="116">
        <v>0.111575031102114</v>
      </c>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0.69993860581156797</v>
      </c>
      <c r="C45" s="116"/>
      <c r="D45" s="116">
        <v>0.62012916329658496</v>
      </c>
      <c r="E45" s="116">
        <v>0.79380588835545296</v>
      </c>
      <c r="F45" s="116">
        <v>0.79380588835545296</v>
      </c>
      <c r="G45" s="116">
        <v>8.2597774270364799E-2</v>
      </c>
      <c r="H45" s="116"/>
      <c r="I45" s="116">
        <v>0.79380588835545296</v>
      </c>
      <c r="J45" s="184"/>
      <c r="K45" s="116">
        <v>0.79380588835545296</v>
      </c>
      <c r="L45" s="116">
        <v>0.900026912996997</v>
      </c>
      <c r="M45" s="116">
        <v>0</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0.67850307841685298</v>
      </c>
      <c r="C46" s="116"/>
      <c r="D46" s="116">
        <v>0.27682449162068001</v>
      </c>
      <c r="E46" s="116">
        <v>0.47826576387815101</v>
      </c>
      <c r="F46" s="116">
        <v>0.47826576387815101</v>
      </c>
      <c r="G46" s="116">
        <v>0.93028165864572898</v>
      </c>
      <c r="H46" s="116"/>
      <c r="I46" s="116">
        <v>0.47826576387815101</v>
      </c>
      <c r="J46" s="184"/>
      <c r="K46" s="116">
        <v>0.47826576387815101</v>
      </c>
      <c r="L46" s="116">
        <v>0.411081521359419</v>
      </c>
      <c r="M46" s="116">
        <v>0.47826576387815101</v>
      </c>
      <c r="N46" s="116">
        <v>0</v>
      </c>
      <c r="O46" s="181"/>
      <c r="P46" s="181"/>
      <c r="Q46" s="186"/>
      <c r="R46" s="181"/>
      <c r="S46" s="181"/>
      <c r="T46" s="181"/>
      <c r="U46" s="181"/>
      <c r="V46" s="192"/>
      <c r="W46" s="116"/>
      <c r="X46" s="116"/>
      <c r="Y46" s="116"/>
      <c r="Z46" s="190"/>
      <c r="AA46" s="190"/>
      <c r="AB46" s="190"/>
      <c r="AC46" s="190"/>
      <c r="AD46" s="16"/>
    </row>
    <row r="47" spans="1:53" x14ac:dyDescent="0.35">
      <c r="A47" s="124" t="s">
        <v>2236</v>
      </c>
      <c r="B47" s="204">
        <v>0.69993860581156797</v>
      </c>
      <c r="C47" s="116"/>
      <c r="D47" s="116">
        <v>0.119180444836606</v>
      </c>
      <c r="E47" s="116">
        <v>0.79380588835545296</v>
      </c>
      <c r="F47" s="116">
        <v>0.79380588835545296</v>
      </c>
      <c r="G47" s="116">
        <v>8.2597774270364799E-2</v>
      </c>
      <c r="H47" s="116"/>
      <c r="I47" s="116">
        <v>0.79380588835545296</v>
      </c>
      <c r="J47" s="184"/>
      <c r="K47" s="116">
        <v>0.79380588835545296</v>
      </c>
      <c r="L47" s="116">
        <v>0.14847253137496999</v>
      </c>
      <c r="M47" s="116">
        <v>0.79380588835545296</v>
      </c>
      <c r="N47" s="116">
        <v>0.47826576387815101</v>
      </c>
      <c r="O47" s="116">
        <v>0</v>
      </c>
      <c r="P47" s="181"/>
      <c r="Q47" s="186"/>
      <c r="R47" s="181"/>
      <c r="S47" s="181"/>
      <c r="T47" s="181"/>
      <c r="U47" s="181"/>
      <c r="V47" s="192"/>
      <c r="W47" s="116"/>
      <c r="X47" s="116"/>
      <c r="Y47" s="116"/>
      <c r="Z47" s="190"/>
      <c r="AA47" s="190"/>
      <c r="AB47" s="190"/>
      <c r="AC47" s="190"/>
      <c r="AD47" s="16"/>
    </row>
    <row r="48" spans="1:53" x14ac:dyDescent="0.35">
      <c r="A48" s="124" t="s">
        <v>1204</v>
      </c>
      <c r="B48" s="204">
        <v>0.138324037515764</v>
      </c>
      <c r="C48" s="116"/>
      <c r="D48" s="116">
        <v>0.85593151216798802</v>
      </c>
      <c r="E48" s="116">
        <v>7.5321471110567804E-3</v>
      </c>
      <c r="F48" s="116">
        <v>0.69993860581156797</v>
      </c>
      <c r="G48" s="116">
        <v>0.46721879011859901</v>
      </c>
      <c r="H48" s="116"/>
      <c r="I48" s="116">
        <v>0.69993860581156797</v>
      </c>
      <c r="J48" s="184"/>
      <c r="K48" s="116">
        <v>0.69993860581156797</v>
      </c>
      <c r="L48" s="116">
        <v>0.51373329310103899</v>
      </c>
      <c r="M48" s="116">
        <v>0.69993860581156797</v>
      </c>
      <c r="N48" s="116">
        <v>0.29017124025683899</v>
      </c>
      <c r="O48" s="116">
        <v>0.69993860581156797</v>
      </c>
      <c r="P48" s="116">
        <v>0</v>
      </c>
      <c r="Q48" s="194"/>
      <c r="R48" s="181"/>
      <c r="S48" s="181"/>
      <c r="T48" s="181"/>
      <c r="U48" s="181"/>
      <c r="V48" s="192"/>
      <c r="W48" s="116"/>
      <c r="X48" s="116"/>
      <c r="Y48" s="116"/>
      <c r="Z48" s="190"/>
      <c r="AA48" s="190"/>
      <c r="AB48" s="190"/>
      <c r="AC48" s="190"/>
      <c r="AD48" s="16"/>
    </row>
    <row r="49" spans="1:30" x14ac:dyDescent="0.35">
      <c r="A49" s="124" t="s">
        <v>1205</v>
      </c>
      <c r="B49" s="205"/>
      <c r="C49" s="182"/>
      <c r="D49" s="182"/>
      <c r="E49" s="182"/>
      <c r="F49" s="182"/>
      <c r="G49" s="182"/>
      <c r="H49" s="182"/>
      <c r="I49" s="182"/>
      <c r="J49" s="183"/>
      <c r="K49" s="182"/>
      <c r="L49" s="182"/>
      <c r="M49" s="182"/>
      <c r="N49" s="182"/>
      <c r="O49" s="182"/>
      <c r="P49" s="182"/>
      <c r="Q49" s="195"/>
      <c r="R49" s="182"/>
      <c r="S49" s="182"/>
      <c r="T49" s="182"/>
      <c r="U49" s="182"/>
      <c r="V49" s="182"/>
      <c r="W49" s="182"/>
      <c r="X49" s="182"/>
      <c r="Y49" s="182"/>
      <c r="Z49" s="182"/>
      <c r="AA49" s="182"/>
      <c r="AB49" s="182"/>
      <c r="AC49" s="182"/>
      <c r="AD49" s="115"/>
    </row>
    <row r="50" spans="1:30" x14ac:dyDescent="0.35">
      <c r="A50" s="125" t="s">
        <v>2096</v>
      </c>
      <c r="B50" s="204">
        <v>0.84140592673183801</v>
      </c>
      <c r="C50" s="116"/>
      <c r="D50" s="116">
        <v>0.18252349362333301</v>
      </c>
      <c r="E50" s="116">
        <v>0.40815820685542598</v>
      </c>
      <c r="F50" s="116">
        <v>0.26429606601072098</v>
      </c>
      <c r="G50" s="116">
        <v>0.34204424661003402</v>
      </c>
      <c r="H50" s="116"/>
      <c r="I50" s="116">
        <v>0.40815820685542598</v>
      </c>
      <c r="J50" s="184"/>
      <c r="K50" s="116">
        <v>0.40815820685542598</v>
      </c>
      <c r="L50" s="116">
        <v>0.64579802473447101</v>
      </c>
      <c r="M50" s="116">
        <v>0.40815820685542598</v>
      </c>
      <c r="N50" s="116">
        <v>0.22808469333779399</v>
      </c>
      <c r="O50" s="116">
        <v>0.26429606601072098</v>
      </c>
      <c r="P50" s="116">
        <v>0.84140592673183801</v>
      </c>
      <c r="Q50" s="194"/>
      <c r="R50" s="116">
        <v>0</v>
      </c>
      <c r="S50" s="181"/>
      <c r="T50" s="181"/>
      <c r="U50" s="181"/>
      <c r="V50" s="192"/>
      <c r="W50" s="116"/>
      <c r="X50" s="116"/>
      <c r="Y50" s="116"/>
      <c r="Z50" s="190"/>
      <c r="AA50" s="190"/>
      <c r="AB50" s="190"/>
      <c r="AC50" s="190"/>
      <c r="AD50" s="16"/>
    </row>
    <row r="51" spans="1:30" x14ac:dyDescent="0.35">
      <c r="A51" s="125" t="s">
        <v>2097</v>
      </c>
      <c r="B51" s="204">
        <v>0.84140592673183801</v>
      </c>
      <c r="C51" s="116"/>
      <c r="D51" s="116">
        <v>0.23383121792584599</v>
      </c>
      <c r="E51" s="116">
        <v>0.26429606601072098</v>
      </c>
      <c r="F51" s="116">
        <v>0.40815820685542598</v>
      </c>
      <c r="G51" s="116">
        <v>0.67071554328676897</v>
      </c>
      <c r="H51" s="116"/>
      <c r="I51" s="116">
        <v>0.26429606601072098</v>
      </c>
      <c r="J51" s="184"/>
      <c r="K51" s="116">
        <v>0.26429606601072098</v>
      </c>
      <c r="L51" s="116">
        <v>0.553361963464713</v>
      </c>
      <c r="M51" s="116">
        <v>0.26429606601072098</v>
      </c>
      <c r="N51" s="116">
        <v>0.37278427707119199</v>
      </c>
      <c r="O51" s="116">
        <v>0.40815820685542598</v>
      </c>
      <c r="P51" s="116">
        <v>0.84140592673183801</v>
      </c>
      <c r="Q51" s="194"/>
      <c r="R51" s="116">
        <v>2.0061926916241498E-3</v>
      </c>
      <c r="S51" s="116">
        <v>0</v>
      </c>
      <c r="T51" s="181"/>
      <c r="U51" s="181"/>
      <c r="V51" s="192"/>
      <c r="W51" s="116"/>
      <c r="X51" s="116"/>
      <c r="Y51" s="116"/>
      <c r="Z51" s="190"/>
      <c r="AA51" s="190"/>
      <c r="AB51" s="190"/>
      <c r="AC51" s="190"/>
      <c r="AD51" s="16"/>
    </row>
    <row r="52" spans="1:30" x14ac:dyDescent="0.35">
      <c r="A52" s="125" t="s">
        <v>2098</v>
      </c>
      <c r="B52" s="206"/>
      <c r="C52" s="122"/>
      <c r="D52" s="122"/>
      <c r="E52" s="122"/>
      <c r="F52" s="122"/>
      <c r="G52" s="122"/>
      <c r="H52" s="122"/>
      <c r="I52" s="122"/>
      <c r="J52" s="184"/>
      <c r="K52" s="122"/>
      <c r="L52" s="122"/>
      <c r="M52" s="122"/>
      <c r="N52" s="122"/>
      <c r="O52" s="122"/>
      <c r="P52" s="122"/>
      <c r="Q52" s="194"/>
      <c r="R52" s="122"/>
      <c r="S52" s="122"/>
      <c r="T52" s="122"/>
      <c r="U52" s="193"/>
      <c r="V52" s="193"/>
      <c r="W52" s="122"/>
      <c r="X52" s="122"/>
      <c r="Y52" s="122"/>
      <c r="Z52" s="190"/>
      <c r="AA52" s="190"/>
      <c r="AB52" s="190"/>
      <c r="AC52" s="190"/>
      <c r="AD52" s="16"/>
    </row>
    <row r="53" spans="1:30" x14ac:dyDescent="0.35">
      <c r="A53" s="125" t="s">
        <v>2099</v>
      </c>
      <c r="B53" s="206">
        <v>0.56903312490073898</v>
      </c>
      <c r="C53" s="122"/>
      <c r="D53" s="122">
        <v>0.85593151216798802</v>
      </c>
      <c r="E53" s="122">
        <v>0.69993860581156797</v>
      </c>
      <c r="F53" s="122">
        <v>0.69993860581156797</v>
      </c>
      <c r="G53" s="122">
        <v>0.46721879011859901</v>
      </c>
      <c r="H53" s="122"/>
      <c r="I53" s="122">
        <v>0.69993860581156797</v>
      </c>
      <c r="J53" s="184"/>
      <c r="K53" s="122">
        <v>0.69993860581156797</v>
      </c>
      <c r="L53" s="122">
        <v>0.85323450118534905</v>
      </c>
      <c r="M53" s="122">
        <v>0.69993860581156797</v>
      </c>
      <c r="N53" s="122">
        <v>0.67850307841685298</v>
      </c>
      <c r="O53" s="122">
        <v>0.69993860581156797</v>
      </c>
      <c r="P53" s="122">
        <v>0.56903312490073898</v>
      </c>
      <c r="Q53" s="194"/>
      <c r="R53" s="122">
        <v>0.21494612068098001</v>
      </c>
      <c r="S53" s="122">
        <v>0.21494612068098001</v>
      </c>
      <c r="T53" s="122"/>
      <c r="U53" s="122">
        <v>0</v>
      </c>
      <c r="V53" s="193"/>
      <c r="W53" s="122"/>
      <c r="X53" s="122"/>
      <c r="Y53" s="122"/>
      <c r="Z53" s="190"/>
      <c r="AA53" s="190"/>
      <c r="AB53" s="190"/>
      <c r="AC53" s="190"/>
      <c r="AD53" s="16"/>
    </row>
    <row r="54" spans="1:30" x14ac:dyDescent="0.35">
      <c r="A54" s="125" t="s">
        <v>2247</v>
      </c>
      <c r="B54" s="207">
        <v>0.51098167334711597</v>
      </c>
      <c r="C54" s="208"/>
      <c r="D54" s="208">
        <v>2.4077773297004899E-8</v>
      </c>
      <c r="E54" s="208">
        <v>0.44239718656308302</v>
      </c>
      <c r="F54" s="208">
        <v>0.52374691689571296</v>
      </c>
      <c r="G54" s="208">
        <v>0.43099768282131401</v>
      </c>
      <c r="H54" s="208"/>
      <c r="I54" s="208">
        <v>0.109021704610964</v>
      </c>
      <c r="J54" s="209"/>
      <c r="K54" s="208">
        <v>0.109021704610964</v>
      </c>
      <c r="L54" s="208">
        <v>2.2157608650863299E-4</v>
      </c>
      <c r="M54" s="208">
        <v>0.52374691689571296</v>
      </c>
      <c r="N54" s="208">
        <v>0.33168417165874298</v>
      </c>
      <c r="O54" s="208">
        <v>7.9285096921787604E-2</v>
      </c>
      <c r="P54" s="208">
        <v>0.92587292834715396</v>
      </c>
      <c r="Q54" s="209"/>
      <c r="R54" s="208">
        <v>0.28043799191017899</v>
      </c>
      <c r="S54" s="208">
        <v>0.31313296827280102</v>
      </c>
      <c r="T54" s="208"/>
      <c r="U54" s="208">
        <v>0.92587292834715396</v>
      </c>
      <c r="V54" s="215">
        <v>2.7036680948348001E-95</v>
      </c>
      <c r="W54" s="216"/>
      <c r="X54" s="216"/>
      <c r="Y54" s="216"/>
      <c r="Z54" s="217"/>
      <c r="AA54" s="217"/>
      <c r="AB54" s="217"/>
      <c r="AC54" s="217"/>
      <c r="AD54" s="99"/>
    </row>
    <row r="55" spans="1:30" x14ac:dyDescent="0.35">
      <c r="A55" s="125" t="s">
        <v>2248</v>
      </c>
      <c r="B55" s="207">
        <v>0</v>
      </c>
      <c r="C55" s="208"/>
      <c r="D55" s="208">
        <v>0.46278192420849501</v>
      </c>
      <c r="E55" s="208">
        <v>0.69993860581156797</v>
      </c>
      <c r="F55" s="208">
        <v>0.69993860581156797</v>
      </c>
      <c r="G55" s="208">
        <v>0.46721879011859901</v>
      </c>
      <c r="H55" s="208"/>
      <c r="I55" s="208">
        <v>0.69993860581156797</v>
      </c>
      <c r="J55" s="209"/>
      <c r="K55" s="208">
        <v>0.69993860581156797</v>
      </c>
      <c r="L55" s="208">
        <v>0.29792924761061101</v>
      </c>
      <c r="M55" s="208">
        <v>0.69993860581156797</v>
      </c>
      <c r="N55" s="208">
        <v>0.67850307841685298</v>
      </c>
      <c r="O55" s="208">
        <v>0.69993860581156797</v>
      </c>
      <c r="P55" s="208">
        <v>0.138324037515764</v>
      </c>
      <c r="Q55" s="209"/>
      <c r="R55" s="208">
        <v>0.84140592673183801</v>
      </c>
      <c r="S55" s="208">
        <v>0.84140592673183801</v>
      </c>
      <c r="T55" s="208"/>
      <c r="U55" s="208">
        <v>0.56903312490073898</v>
      </c>
      <c r="V55" s="207">
        <v>0.51098167334711597</v>
      </c>
      <c r="W55" s="208">
        <v>0</v>
      </c>
      <c r="X55" s="208"/>
      <c r="Y55" s="208"/>
      <c r="Z55" s="210"/>
      <c r="AA55" s="210"/>
      <c r="AB55" s="210"/>
      <c r="AC55" s="210"/>
      <c r="AD55" s="16"/>
    </row>
    <row r="56" spans="1:30" x14ac:dyDescent="0.35">
      <c r="A56" s="125" t="s">
        <v>2249</v>
      </c>
      <c r="B56" s="207">
        <v>0.45474751520651502</v>
      </c>
      <c r="C56" s="208"/>
      <c r="D56" s="208">
        <v>3.13972935999445E-3</v>
      </c>
      <c r="E56" s="208">
        <v>0.37167496188072502</v>
      </c>
      <c r="F56" s="208">
        <v>0.70584160518303396</v>
      </c>
      <c r="G56" s="208">
        <v>0.524174050876832</v>
      </c>
      <c r="H56" s="208"/>
      <c r="I56" s="208">
        <v>8.19494027654743E-2</v>
      </c>
      <c r="J56" s="209"/>
      <c r="K56" s="208">
        <v>8.19494027654743E-2</v>
      </c>
      <c r="L56" s="208">
        <v>1.1860022048789E-5</v>
      </c>
      <c r="M56" s="208">
        <v>0.37167496188072502</v>
      </c>
      <c r="N56" s="208">
        <v>0.49588028164287401</v>
      </c>
      <c r="O56" s="208">
        <v>0.1120846576412</v>
      </c>
      <c r="P56" s="208">
        <v>0.71112309149798303</v>
      </c>
      <c r="Q56" s="209"/>
      <c r="R56" s="208">
        <v>0.253702740763387</v>
      </c>
      <c r="S56" s="208">
        <v>0.11310550361914</v>
      </c>
      <c r="T56" s="208"/>
      <c r="U56" s="208">
        <v>0.57709628885953801</v>
      </c>
      <c r="V56" s="207">
        <v>1.7180388243931699E-3</v>
      </c>
      <c r="W56" s="208">
        <v>0.45474751520651502</v>
      </c>
      <c r="X56" s="208">
        <v>0</v>
      </c>
      <c r="Y56" s="208"/>
      <c r="Z56" s="210"/>
      <c r="AA56" s="210"/>
      <c r="AB56" s="210"/>
      <c r="AC56" s="210"/>
      <c r="AD56" s="16"/>
    </row>
    <row r="57" spans="1:30" x14ac:dyDescent="0.35">
      <c r="A57" s="125" t="s">
        <v>2228</v>
      </c>
      <c r="B57" s="211">
        <v>0.138324037515764</v>
      </c>
      <c r="C57" s="210"/>
      <c r="D57" s="210">
        <v>0.85593151216798802</v>
      </c>
      <c r="E57" s="210">
        <v>7.5321471110567804E-3</v>
      </c>
      <c r="F57" s="210">
        <v>0.69993860581156797</v>
      </c>
      <c r="G57" s="210">
        <v>0.46721879011859901</v>
      </c>
      <c r="H57" s="210"/>
      <c r="I57" s="210">
        <v>0.69993860581156797</v>
      </c>
      <c r="J57" s="209"/>
      <c r="K57" s="210">
        <v>0.69993860581156797</v>
      </c>
      <c r="L57" s="210">
        <v>0.51373329310103899</v>
      </c>
      <c r="M57" s="210">
        <v>0.69993860581156797</v>
      </c>
      <c r="N57" s="210">
        <v>0.29017124025683899</v>
      </c>
      <c r="O57" s="210">
        <v>0.69993860581156797</v>
      </c>
      <c r="P57" s="210">
        <v>0</v>
      </c>
      <c r="Q57" s="209"/>
      <c r="R57" s="210">
        <v>0.84140592673183801</v>
      </c>
      <c r="S57" s="210">
        <v>0.84140592673183801</v>
      </c>
      <c r="T57" s="210"/>
      <c r="U57" s="210">
        <v>0.56903312490073898</v>
      </c>
      <c r="V57" s="211">
        <v>0.92587292834715396</v>
      </c>
      <c r="W57" s="210">
        <v>0.138324037515764</v>
      </c>
      <c r="X57" s="210">
        <v>0.71112309149798303</v>
      </c>
      <c r="Y57" s="210">
        <v>0</v>
      </c>
      <c r="Z57" s="210"/>
      <c r="AA57" s="210"/>
      <c r="AB57" s="210"/>
      <c r="AC57" s="210"/>
      <c r="AD57" s="16"/>
    </row>
    <row r="58" spans="1:30" x14ac:dyDescent="0.35">
      <c r="A58" s="125" t="s">
        <v>2169</v>
      </c>
      <c r="B58" s="211">
        <v>0.150245263078886</v>
      </c>
      <c r="C58" s="210"/>
      <c r="D58" s="210">
        <v>8.8117470638923094E-5</v>
      </c>
      <c r="E58" s="210">
        <v>0.24826188001687499</v>
      </c>
      <c r="F58" s="210">
        <v>0.307797290900301</v>
      </c>
      <c r="G58" s="210">
        <v>0.92479307082370299</v>
      </c>
      <c r="H58" s="210"/>
      <c r="I58" s="210">
        <v>0.114627382756428</v>
      </c>
      <c r="J58" s="209"/>
      <c r="K58" s="210">
        <v>0.114627382756428</v>
      </c>
      <c r="L58" s="210">
        <v>2.13724234843107E-4</v>
      </c>
      <c r="M58" s="210">
        <v>0.70761609298998496</v>
      </c>
      <c r="N58" s="210">
        <v>0.89337686305842201</v>
      </c>
      <c r="O58" s="210">
        <v>0.307797290900301</v>
      </c>
      <c r="P58" s="210">
        <v>0.25774808096920998</v>
      </c>
      <c r="Q58" s="209"/>
      <c r="R58" s="210">
        <v>0.32020287194324198</v>
      </c>
      <c r="S58" s="210">
        <v>0.177265424592356</v>
      </c>
      <c r="T58" s="210"/>
      <c r="U58" s="210">
        <v>0.64495612113890799</v>
      </c>
      <c r="V58" s="211">
        <v>1.11905056475845E-4</v>
      </c>
      <c r="W58" s="210">
        <v>0.150245263078886</v>
      </c>
      <c r="X58" s="210">
        <v>2.83624118488361E-4</v>
      </c>
      <c r="Y58" s="210">
        <v>0.25774808096920998</v>
      </c>
      <c r="Z58" s="210">
        <v>0</v>
      </c>
      <c r="AA58" s="210"/>
      <c r="AB58" s="210"/>
      <c r="AC58" s="210"/>
      <c r="AD58" s="16"/>
    </row>
    <row r="59" spans="1:30" x14ac:dyDescent="0.35">
      <c r="A59" s="125" t="s">
        <v>2081</v>
      </c>
      <c r="B59" s="211">
        <v>4.7284682799313499E-2</v>
      </c>
      <c r="C59" s="210"/>
      <c r="D59" s="210">
        <v>0.142623468607223</v>
      </c>
      <c r="E59" s="210">
        <v>0.42733586167745002</v>
      </c>
      <c r="F59" s="210">
        <v>0.351958129624932</v>
      </c>
      <c r="G59" s="210">
        <v>0.62773098776194103</v>
      </c>
      <c r="H59" s="210"/>
      <c r="I59" s="210">
        <v>0.351958129624932</v>
      </c>
      <c r="J59" s="209"/>
      <c r="K59" s="210">
        <v>0.351958129624932</v>
      </c>
      <c r="L59" s="210">
        <v>5.4708921502083799E-2</v>
      </c>
      <c r="M59" s="210">
        <v>0.42733586167745002</v>
      </c>
      <c r="N59" s="210">
        <v>0.88839624517890003</v>
      </c>
      <c r="O59" s="210">
        <v>0.351958129624932</v>
      </c>
      <c r="P59" s="210">
        <v>0.23474495589378699</v>
      </c>
      <c r="Q59" s="209"/>
      <c r="R59" s="210">
        <v>0.492650211396299</v>
      </c>
      <c r="S59" s="210">
        <v>0.78556186632227798</v>
      </c>
      <c r="T59" s="210"/>
      <c r="U59" s="210">
        <v>0.160678859790995</v>
      </c>
      <c r="V59" s="211">
        <v>0.19131585073344401</v>
      </c>
      <c r="W59" s="210">
        <v>4.7284682799313499E-2</v>
      </c>
      <c r="X59" s="210">
        <v>7.0974976470288303E-2</v>
      </c>
      <c r="Y59" s="210">
        <v>0.23474495589378699</v>
      </c>
      <c r="Z59" s="210">
        <v>4.7888786509685498E-2</v>
      </c>
      <c r="AA59" s="210">
        <v>0</v>
      </c>
      <c r="AB59" s="210"/>
      <c r="AC59" s="210"/>
      <c r="AD59" s="16"/>
    </row>
    <row r="60" spans="1:30" x14ac:dyDescent="0.35">
      <c r="A60" s="125" t="s">
        <v>2061</v>
      </c>
      <c r="B60" s="211">
        <v>0.69993860581156797</v>
      </c>
      <c r="C60" s="210"/>
      <c r="D60" s="210">
        <v>0.119180444836606</v>
      </c>
      <c r="E60" s="210">
        <v>0.79380588835545296</v>
      </c>
      <c r="F60" s="210">
        <v>0</v>
      </c>
      <c r="G60" s="210">
        <v>0.62354877937611197</v>
      </c>
      <c r="H60" s="210"/>
      <c r="I60" s="210">
        <v>0.79380588835545296</v>
      </c>
      <c r="J60" s="209"/>
      <c r="K60" s="210">
        <v>0.79380588835545296</v>
      </c>
      <c r="L60" s="210">
        <v>0.900026912996997</v>
      </c>
      <c r="M60" s="210">
        <v>0.79380588835545296</v>
      </c>
      <c r="N60" s="210">
        <v>0.47826576387815101</v>
      </c>
      <c r="O60" s="210">
        <v>0.79380588835545296</v>
      </c>
      <c r="P60" s="210">
        <v>0.69993860581156797</v>
      </c>
      <c r="Q60" s="209"/>
      <c r="R60" s="210">
        <v>0.26429606601072098</v>
      </c>
      <c r="S60" s="210">
        <v>0.40815820685542598</v>
      </c>
      <c r="T60" s="210"/>
      <c r="U60" s="210">
        <v>0.69993860581156797</v>
      </c>
      <c r="V60" s="211">
        <v>0.52374691689571395</v>
      </c>
      <c r="W60" s="210">
        <v>0.69993860581156797</v>
      </c>
      <c r="X60" s="210">
        <v>0.70584160518303396</v>
      </c>
      <c r="Y60" s="210">
        <v>0.69993860581156797</v>
      </c>
      <c r="Z60" s="210">
        <v>0.307797290900301</v>
      </c>
      <c r="AA60" s="210">
        <v>0.351958129624932</v>
      </c>
      <c r="AB60" s="210">
        <v>0</v>
      </c>
      <c r="AC60" s="210"/>
      <c r="AD60" s="16"/>
    </row>
    <row r="61" spans="1:30" x14ac:dyDescent="0.35">
      <c r="A61" s="125" t="s">
        <v>2024</v>
      </c>
      <c r="B61" s="211">
        <v>0.24718757083583501</v>
      </c>
      <c r="C61" s="210"/>
      <c r="D61" s="210">
        <v>2.6747463613245901E-2</v>
      </c>
      <c r="E61" s="210">
        <v>0.55387240756800205</v>
      </c>
      <c r="F61" s="210">
        <v>0.33760994871937999</v>
      </c>
      <c r="G61" s="210">
        <v>0.485051580666985</v>
      </c>
      <c r="H61" s="210"/>
      <c r="I61" s="210">
        <v>0.27803181031740498</v>
      </c>
      <c r="J61" s="209"/>
      <c r="K61" s="210">
        <v>0.27803181031740498</v>
      </c>
      <c r="L61" s="210">
        <v>0.127513965455958</v>
      </c>
      <c r="M61" s="210">
        <v>0.13948017473333801</v>
      </c>
      <c r="N61" s="210">
        <v>0.30107995848918401</v>
      </c>
      <c r="O61" s="210">
        <v>0.33760994871937999</v>
      </c>
      <c r="P61" s="210">
        <v>0.60172318461221197</v>
      </c>
      <c r="Q61" s="209"/>
      <c r="R61" s="210">
        <v>0.12242928230358099</v>
      </c>
      <c r="S61" s="210">
        <v>3.08517297840913E-2</v>
      </c>
      <c r="T61" s="210"/>
      <c r="U61" s="210">
        <v>0.48443782807184999</v>
      </c>
      <c r="V61" s="211">
        <v>3.8522470384636902E-2</v>
      </c>
      <c r="W61" s="210">
        <v>0.24718757083583501</v>
      </c>
      <c r="X61" s="210">
        <v>2.9234334233841801E-2</v>
      </c>
      <c r="Y61" s="210">
        <v>0.60172318461221197</v>
      </c>
      <c r="Z61" s="210">
        <v>1.90050125435874E-3</v>
      </c>
      <c r="AA61" s="210">
        <v>0.113982451160637</v>
      </c>
      <c r="AB61" s="210">
        <v>0.33760994871937999</v>
      </c>
      <c r="AC61" s="210">
        <v>1.7303475806942399E-93</v>
      </c>
      <c r="AD61" s="16"/>
    </row>
    <row r="62" spans="1:30" ht="15" thickBot="1" x14ac:dyDescent="0.4">
      <c r="A62" s="224" t="s">
        <v>2250</v>
      </c>
      <c r="B62" s="212">
        <v>0.53986301294723205</v>
      </c>
      <c r="C62" s="213"/>
      <c r="D62" s="213">
        <v>0.43378929448739001</v>
      </c>
      <c r="E62" s="213">
        <v>0.90602439061897999</v>
      </c>
      <c r="F62" s="213">
        <v>0.40153771681191702</v>
      </c>
      <c r="G62" s="213">
        <v>0.337041205916424</v>
      </c>
      <c r="H62" s="213"/>
      <c r="I62" s="213">
        <v>0.72256520618815501</v>
      </c>
      <c r="J62" s="214"/>
      <c r="K62" s="213">
        <v>0.72256520618815501</v>
      </c>
      <c r="L62" s="213">
        <v>0.483224474221916</v>
      </c>
      <c r="M62" s="213">
        <v>0.22295030022694101</v>
      </c>
      <c r="N62" s="213">
        <v>0.848956265839093</v>
      </c>
      <c r="O62" s="213">
        <v>0.552068500291235</v>
      </c>
      <c r="P62" s="213">
        <v>0.86199627171071702</v>
      </c>
      <c r="Q62" s="214"/>
      <c r="R62" s="213">
        <v>0.57785640180809905</v>
      </c>
      <c r="S62" s="213">
        <v>0.62132336974930402</v>
      </c>
      <c r="T62" s="213"/>
      <c r="U62" s="214">
        <v>0.93077190827217604</v>
      </c>
      <c r="V62" s="213">
        <v>0.54244369070132803</v>
      </c>
      <c r="W62" s="213">
        <v>0.53986301294723205</v>
      </c>
      <c r="X62" s="213">
        <v>0.491659609131889</v>
      </c>
      <c r="Y62" s="213">
        <v>0.86199627171071702</v>
      </c>
      <c r="Z62" s="213">
        <v>0.195674007746996</v>
      </c>
      <c r="AA62" s="213">
        <v>0.275767464640923</v>
      </c>
      <c r="AB62" s="213">
        <v>0.40153771681191702</v>
      </c>
      <c r="AC62" s="213">
        <v>9.2166270981408893E-3</v>
      </c>
      <c r="AD62" s="214">
        <v>0</v>
      </c>
    </row>
    <row r="63" spans="1:30" x14ac:dyDescent="0.35">
      <c r="A63" s="80"/>
    </row>
    <row r="64" spans="1:30" ht="15" thickBot="1" x14ac:dyDescent="0.4">
      <c r="A64" s="81"/>
    </row>
  </sheetData>
  <conditionalFormatting sqref="B31:AC31">
    <cfRule type="expression" dxfId="26" priority="355">
      <formula>B62&gt;$AG$33</formula>
    </cfRule>
  </conditionalFormatting>
  <conditionalFormatting sqref="B31:AC31">
    <cfRule type="expression" dxfId="25" priority="359">
      <formula>AND(B62&lt;$AG$35,NOT(ISBLANK(B31)))</formula>
    </cfRule>
    <cfRule type="expression" dxfId="24" priority="360">
      <formula>AND(B62&lt;$AG$34,NOT(ISBLANK(B31)))</formula>
    </cfRule>
    <cfRule type="expression" dxfId="23" priority="361">
      <formula>AND(B62&lt;$AG$33,NOT(ISBLANK(B31)))</formula>
    </cfRule>
  </conditionalFormatting>
  <conditionalFormatting sqref="B54:AC57 B60:AC61 B62:U62">
    <cfRule type="expression" dxfId="22" priority="9">
      <formula>AND(B86&lt;$AG$35,NOT(ISBLANK(B54)))</formula>
    </cfRule>
    <cfRule type="expression" dxfId="21" priority="10">
      <formula>AND(B86&lt;$AG$34,NOT(ISBLANK(B54)))</formula>
    </cfRule>
    <cfRule type="expression" dxfId="20" priority="11">
      <formula>AND(B86&lt;$AG$33,NOT(ISBLANK(B54)))</formula>
    </cfRule>
  </conditionalFormatting>
  <conditionalFormatting sqref="B34:AC61 B62:U62">
    <cfRule type="expression" dxfId="19" priority="12">
      <formula>B66&gt;$AG$33</formula>
    </cfRule>
  </conditionalFormatting>
  <conditionalFormatting sqref="V62:AD62">
    <cfRule type="expression" dxfId="18" priority="5">
      <formula>AND(V94&lt;$AG$35,NOT(ISBLANK(V62)))</formula>
    </cfRule>
    <cfRule type="expression" dxfId="17" priority="6">
      <formula>AND(V94&lt;$AG$34,NOT(ISBLANK(V62)))</formula>
    </cfRule>
    <cfRule type="expression" dxfId="16" priority="7">
      <formula>AND(V94&lt;$AG$33,NOT(ISBLANK(V62)))</formula>
    </cfRule>
  </conditionalFormatting>
  <conditionalFormatting sqref="V62:AD62">
    <cfRule type="expression" dxfId="15" priority="8">
      <formula>V94&gt;$AG$33</formula>
    </cfRule>
  </conditionalFormatting>
  <conditionalFormatting sqref="B2:AC29 B30:U30">
    <cfRule type="expression" dxfId="14" priority="4">
      <formula>B34&gt;$AG$33</formula>
    </cfRule>
  </conditionalFormatting>
  <conditionalFormatting sqref="B28:AD30 AB2:AD27">
    <cfRule type="expression" dxfId="13" priority="1">
      <formula>AND(B34&lt;$AG$35,NOT(ISBLANK(B2)))</formula>
    </cfRule>
    <cfRule type="expression" dxfId="12" priority="2">
      <formula>AND(B34&lt;$AG$34,NOT(ISBLANK(B2)))</formula>
    </cfRule>
    <cfRule type="expression" dxfId="11" priority="3">
      <formula>AND(B34&lt;$AG$33,NOT(ISBLANK(B2)))</formula>
    </cfRule>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F46D6-D092-4A48-92D7-DCD182FAC831}">
  <sheetPr>
    <tabColor rgb="FFC00000"/>
  </sheetPr>
  <dimension ref="A2:BF53"/>
  <sheetViews>
    <sheetView topLeftCell="A2" zoomScale="40" zoomScaleNormal="40" workbookViewId="0">
      <selection activeCell="A2" sqref="A2"/>
    </sheetView>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2" spans="1:58" x14ac:dyDescent="0.35">
      <c r="B2" s="55"/>
      <c r="C2" s="55"/>
      <c r="D2" s="55"/>
      <c r="E2" s="55"/>
      <c r="F2" s="55"/>
      <c r="G2" s="55"/>
    </row>
    <row r="3" spans="1:58" s="45" customFormat="1" ht="135.5" customHeight="1" thickBot="1" x14ac:dyDescent="0.4">
      <c r="A3" s="83" t="s">
        <v>2086</v>
      </c>
      <c r="B3" s="83" t="s">
        <v>1943</v>
      </c>
      <c r="C3" s="83" t="s">
        <v>1990</v>
      </c>
      <c r="D3" s="83" t="s">
        <v>2169</v>
      </c>
      <c r="E3" s="83" t="s">
        <v>2157</v>
      </c>
      <c r="F3" s="83" t="s">
        <v>2081</v>
      </c>
      <c r="G3" s="83" t="s">
        <v>2310</v>
      </c>
      <c r="H3" s="84" t="s">
        <v>2314</v>
      </c>
      <c r="I3" s="84" t="s">
        <v>2311</v>
      </c>
      <c r="J3" s="84" t="s">
        <v>2315</v>
      </c>
      <c r="K3" s="85" t="s">
        <v>2312</v>
      </c>
      <c r="L3" s="85" t="s">
        <v>2313</v>
      </c>
      <c r="M3" s="84" t="s">
        <v>1946</v>
      </c>
      <c r="N3" s="86" t="s">
        <v>271</v>
      </c>
      <c r="O3" s="86" t="s">
        <v>15</v>
      </c>
      <c r="P3" s="86" t="s">
        <v>12</v>
      </c>
      <c r="Q3" s="87" t="s">
        <v>8</v>
      </c>
      <c r="R3" s="86" t="s">
        <v>1200</v>
      </c>
      <c r="S3" s="87" t="s">
        <v>24</v>
      </c>
      <c r="T3" s="87" t="s">
        <v>38</v>
      </c>
      <c r="U3" s="88" t="s">
        <v>49</v>
      </c>
      <c r="V3" s="88" t="s">
        <v>41</v>
      </c>
      <c r="W3" s="90" t="s">
        <v>1201</v>
      </c>
      <c r="X3" s="90" t="s">
        <v>1203</v>
      </c>
      <c r="Y3" s="90" t="s">
        <v>2233</v>
      </c>
      <c r="Z3" s="90" t="s">
        <v>2234</v>
      </c>
      <c r="AA3" s="90" t="s">
        <v>2235</v>
      </c>
      <c r="AB3" s="88" t="s">
        <v>2236</v>
      </c>
      <c r="AC3" s="85" t="s">
        <v>1204</v>
      </c>
      <c r="AD3" s="79" t="s">
        <v>1205</v>
      </c>
      <c r="AE3" s="88" t="s">
        <v>2096</v>
      </c>
      <c r="AF3" s="83" t="s">
        <v>2097</v>
      </c>
      <c r="AG3" s="83" t="s">
        <v>2098</v>
      </c>
      <c r="AH3" s="83" t="s">
        <v>2099</v>
      </c>
      <c r="AI3" s="83" t="s">
        <v>2247</v>
      </c>
      <c r="AJ3" s="83" t="s">
        <v>2248</v>
      </c>
      <c r="AK3" s="83" t="s">
        <v>2249</v>
      </c>
      <c r="AL3" s="83" t="s">
        <v>2228</v>
      </c>
      <c r="AM3" s="83" t="s">
        <v>2169</v>
      </c>
      <c r="AN3" s="83" t="s">
        <v>2081</v>
      </c>
      <c r="AO3" s="83" t="s">
        <v>2061</v>
      </c>
      <c r="AP3" s="83" t="s">
        <v>2024</v>
      </c>
      <c r="AQ3" s="83" t="s">
        <v>2054</v>
      </c>
      <c r="AR3" s="83"/>
      <c r="AS3" s="83"/>
      <c r="AT3" s="83"/>
      <c r="AU3" s="83"/>
      <c r="AV3" s="90"/>
      <c r="AW3" s="90"/>
      <c r="AX3" s="90"/>
      <c r="AY3" s="90"/>
      <c r="AZ3"/>
      <c r="BA3"/>
      <c r="BB3"/>
      <c r="BC3"/>
      <c r="BD3"/>
      <c r="BE3"/>
      <c r="BF3"/>
    </row>
    <row r="4" spans="1:58" x14ac:dyDescent="0.35">
      <c r="A4" t="s">
        <v>2172</v>
      </c>
      <c r="B4" t="s">
        <v>1937</v>
      </c>
      <c r="C4" t="s">
        <v>372</v>
      </c>
      <c r="D4">
        <v>5</v>
      </c>
      <c r="E4" t="s">
        <v>2282</v>
      </c>
      <c r="F4">
        <v>0</v>
      </c>
      <c r="G4" t="s">
        <v>398</v>
      </c>
      <c r="H4">
        <v>0.4</v>
      </c>
      <c r="I4" t="s">
        <v>481</v>
      </c>
      <c r="J4">
        <v>0.2</v>
      </c>
      <c r="K4" t="s">
        <v>481</v>
      </c>
      <c r="L4">
        <v>0.2</v>
      </c>
      <c r="M4" t="s">
        <v>309</v>
      </c>
      <c r="N4" t="s">
        <v>69</v>
      </c>
      <c r="O4">
        <v>1</v>
      </c>
      <c r="P4">
        <v>1</v>
      </c>
      <c r="Q4">
        <v>2</v>
      </c>
      <c r="R4">
        <v>1</v>
      </c>
      <c r="S4">
        <v>0</v>
      </c>
      <c r="T4">
        <v>0</v>
      </c>
      <c r="U4">
        <v>0</v>
      </c>
      <c r="V4">
        <v>0</v>
      </c>
      <c r="W4" s="89">
        <v>0</v>
      </c>
      <c r="X4">
        <v>0</v>
      </c>
      <c r="Y4">
        <v>0</v>
      </c>
      <c r="Z4">
        <v>2</v>
      </c>
      <c r="AA4">
        <v>0</v>
      </c>
      <c r="AB4">
        <v>1</v>
      </c>
      <c r="AC4">
        <v>1</v>
      </c>
      <c r="AD4">
        <v>1</v>
      </c>
      <c r="AE4">
        <v>0</v>
      </c>
      <c r="AF4">
        <v>1</v>
      </c>
      <c r="AG4">
        <v>0</v>
      </c>
      <c r="AH4">
        <v>0</v>
      </c>
      <c r="AI4">
        <v>2</v>
      </c>
      <c r="AJ4">
        <v>2</v>
      </c>
      <c r="AK4">
        <v>2</v>
      </c>
      <c r="AL4">
        <v>2</v>
      </c>
      <c r="AM4">
        <v>5</v>
      </c>
      <c r="AN4">
        <v>0</v>
      </c>
      <c r="AO4">
        <v>0</v>
      </c>
      <c r="AP4">
        <v>60</v>
      </c>
      <c r="AQ4" t="s">
        <v>69</v>
      </c>
      <c r="AV4" s="154"/>
      <c r="AW4" s="154"/>
      <c r="AX4" s="154"/>
      <c r="AY4" s="154"/>
      <c r="AZ4" s="154"/>
      <c r="BA4" s="154"/>
      <c r="BB4" s="154"/>
      <c r="BC4" s="118"/>
      <c r="BD4" s="118"/>
      <c r="BE4" s="118"/>
      <c r="BF4" s="118"/>
    </row>
    <row r="5" spans="1:58" x14ac:dyDescent="0.35">
      <c r="A5" t="s">
        <v>2173</v>
      </c>
      <c r="B5" t="s">
        <v>375</v>
      </c>
      <c r="C5" t="s">
        <v>372</v>
      </c>
      <c r="D5">
        <v>2</v>
      </c>
      <c r="E5" t="s">
        <v>2265</v>
      </c>
      <c r="F5">
        <v>0</v>
      </c>
      <c r="G5" t="s">
        <v>784</v>
      </c>
      <c r="H5">
        <v>1</v>
      </c>
      <c r="I5" t="s">
        <v>277</v>
      </c>
      <c r="J5" t="s">
        <v>277</v>
      </c>
      <c r="K5" t="s">
        <v>277</v>
      </c>
      <c r="L5" t="s">
        <v>277</v>
      </c>
      <c r="M5" t="s">
        <v>286</v>
      </c>
      <c r="N5" t="s">
        <v>69</v>
      </c>
      <c r="O5">
        <v>2</v>
      </c>
      <c r="P5">
        <v>0</v>
      </c>
      <c r="Q5">
        <v>0</v>
      </c>
      <c r="R5">
        <v>0</v>
      </c>
      <c r="S5">
        <v>0</v>
      </c>
      <c r="T5">
        <v>0</v>
      </c>
      <c r="U5">
        <v>0</v>
      </c>
      <c r="V5">
        <v>0</v>
      </c>
      <c r="W5" s="89">
        <v>0</v>
      </c>
      <c r="X5">
        <v>0</v>
      </c>
      <c r="Y5">
        <v>2</v>
      </c>
      <c r="Z5">
        <v>0</v>
      </c>
      <c r="AA5">
        <v>0</v>
      </c>
      <c r="AB5">
        <v>0</v>
      </c>
      <c r="AC5">
        <v>0</v>
      </c>
      <c r="AD5">
        <v>0</v>
      </c>
      <c r="AE5">
        <v>1</v>
      </c>
      <c r="AF5">
        <v>0</v>
      </c>
      <c r="AG5">
        <v>0</v>
      </c>
      <c r="AH5">
        <v>0</v>
      </c>
      <c r="AI5">
        <v>0</v>
      </c>
      <c r="AJ5">
        <v>2</v>
      </c>
      <c r="AK5">
        <v>2</v>
      </c>
      <c r="AL5">
        <v>0</v>
      </c>
      <c r="AM5">
        <v>2</v>
      </c>
      <c r="AN5">
        <v>0</v>
      </c>
      <c r="AO5">
        <v>0</v>
      </c>
      <c r="AP5">
        <v>75</v>
      </c>
      <c r="AQ5">
        <v>4.75</v>
      </c>
      <c r="AV5" s="154"/>
      <c r="AW5" s="154"/>
      <c r="AX5" s="154"/>
      <c r="AY5" s="154"/>
      <c r="AZ5" s="154"/>
      <c r="BA5" s="154"/>
      <c r="BB5" s="154"/>
      <c r="BC5" s="118"/>
      <c r="BD5" s="118"/>
      <c r="BE5" s="118"/>
      <c r="BF5" s="118"/>
    </row>
    <row r="6" spans="1:58" x14ac:dyDescent="0.35">
      <c r="A6" t="s">
        <v>2174</v>
      </c>
      <c r="B6" t="s">
        <v>431</v>
      </c>
      <c r="C6" t="s">
        <v>405</v>
      </c>
      <c r="D6">
        <v>4</v>
      </c>
      <c r="E6" t="s">
        <v>2279</v>
      </c>
      <c r="F6">
        <v>2</v>
      </c>
      <c r="G6" t="s">
        <v>306</v>
      </c>
      <c r="H6">
        <v>0.75</v>
      </c>
      <c r="I6" t="s">
        <v>481</v>
      </c>
      <c r="J6">
        <v>0.25</v>
      </c>
      <c r="K6" t="s">
        <v>277</v>
      </c>
      <c r="L6" t="s">
        <v>277</v>
      </c>
      <c r="M6" t="s">
        <v>286</v>
      </c>
      <c r="N6">
        <v>164</v>
      </c>
      <c r="O6">
        <v>1</v>
      </c>
      <c r="P6">
        <v>1</v>
      </c>
      <c r="Q6">
        <v>0</v>
      </c>
      <c r="R6">
        <v>0</v>
      </c>
      <c r="S6">
        <v>3</v>
      </c>
      <c r="T6">
        <v>0</v>
      </c>
      <c r="U6">
        <v>0</v>
      </c>
      <c r="V6">
        <v>0</v>
      </c>
      <c r="W6" s="89">
        <v>0</v>
      </c>
      <c r="X6">
        <v>0</v>
      </c>
      <c r="Y6">
        <v>3</v>
      </c>
      <c r="Z6">
        <v>0</v>
      </c>
      <c r="AA6">
        <v>1</v>
      </c>
      <c r="AB6">
        <v>0</v>
      </c>
      <c r="AC6">
        <v>0</v>
      </c>
      <c r="AD6">
        <v>0</v>
      </c>
      <c r="AE6">
        <v>1</v>
      </c>
      <c r="AF6">
        <v>0</v>
      </c>
      <c r="AG6">
        <v>0</v>
      </c>
      <c r="AH6">
        <v>0</v>
      </c>
      <c r="AI6">
        <v>3</v>
      </c>
      <c r="AJ6">
        <v>2</v>
      </c>
      <c r="AK6">
        <v>3</v>
      </c>
      <c r="AL6">
        <v>0</v>
      </c>
      <c r="AM6">
        <v>4</v>
      </c>
      <c r="AN6">
        <v>2</v>
      </c>
      <c r="AO6">
        <v>1</v>
      </c>
      <c r="AP6">
        <v>1700</v>
      </c>
      <c r="AQ6">
        <v>3710</v>
      </c>
      <c r="AV6" s="154"/>
      <c r="AW6" s="154"/>
      <c r="AX6" s="154"/>
      <c r="AY6" s="154"/>
      <c r="AZ6" s="154"/>
      <c r="BA6" s="154"/>
      <c r="BB6" s="154"/>
      <c r="BC6" s="118"/>
      <c r="BD6" s="118"/>
      <c r="BE6" s="118"/>
      <c r="BF6" s="118"/>
    </row>
    <row r="7" spans="1:58" x14ac:dyDescent="0.35">
      <c r="A7" t="s">
        <v>2175</v>
      </c>
      <c r="B7" t="s">
        <v>379</v>
      </c>
      <c r="C7" t="s">
        <v>372</v>
      </c>
      <c r="D7">
        <v>4</v>
      </c>
      <c r="E7" t="s">
        <v>2267</v>
      </c>
      <c r="F7">
        <v>0</v>
      </c>
      <c r="G7" t="s">
        <v>288</v>
      </c>
      <c r="H7">
        <v>0.5</v>
      </c>
      <c r="I7" t="s">
        <v>288</v>
      </c>
      <c r="J7">
        <v>0.5</v>
      </c>
      <c r="K7" t="s">
        <v>277</v>
      </c>
      <c r="L7" t="s">
        <v>277</v>
      </c>
      <c r="M7" t="s">
        <v>331</v>
      </c>
      <c r="N7" t="s">
        <v>69</v>
      </c>
      <c r="O7">
        <v>0</v>
      </c>
      <c r="P7">
        <v>0</v>
      </c>
      <c r="Q7">
        <v>4</v>
      </c>
      <c r="R7">
        <v>0</v>
      </c>
      <c r="S7">
        <v>0</v>
      </c>
      <c r="T7">
        <v>0</v>
      </c>
      <c r="U7">
        <v>0</v>
      </c>
      <c r="V7">
        <v>0</v>
      </c>
      <c r="W7" s="89">
        <v>0</v>
      </c>
      <c r="X7">
        <v>0</v>
      </c>
      <c r="Y7">
        <v>2</v>
      </c>
      <c r="Z7">
        <v>0</v>
      </c>
      <c r="AA7">
        <v>2</v>
      </c>
      <c r="AB7">
        <v>0</v>
      </c>
      <c r="AC7">
        <v>0</v>
      </c>
      <c r="AD7">
        <v>0</v>
      </c>
      <c r="AE7">
        <v>0</v>
      </c>
      <c r="AF7">
        <v>0</v>
      </c>
      <c r="AG7">
        <v>1</v>
      </c>
      <c r="AH7">
        <v>0</v>
      </c>
      <c r="AI7">
        <v>4</v>
      </c>
      <c r="AJ7">
        <v>0</v>
      </c>
      <c r="AK7">
        <v>2</v>
      </c>
      <c r="AL7">
        <v>0</v>
      </c>
      <c r="AM7">
        <v>4</v>
      </c>
      <c r="AN7">
        <v>0</v>
      </c>
      <c r="AO7">
        <v>0</v>
      </c>
      <c r="AP7">
        <v>50</v>
      </c>
      <c r="AQ7">
        <v>45</v>
      </c>
      <c r="AV7" s="154"/>
      <c r="AW7" s="154"/>
      <c r="AX7" s="154"/>
      <c r="AY7" s="154"/>
      <c r="AZ7" s="154"/>
      <c r="BA7" s="154"/>
      <c r="BB7" s="154"/>
      <c r="BC7" s="118"/>
      <c r="BD7" s="118"/>
      <c r="BE7" s="118"/>
      <c r="BF7" s="118"/>
    </row>
    <row r="8" spans="1:58" x14ac:dyDescent="0.35">
      <c r="A8" t="s">
        <v>2176</v>
      </c>
      <c r="B8" t="s">
        <v>340</v>
      </c>
      <c r="C8" t="s">
        <v>273</v>
      </c>
      <c r="D8">
        <v>1</v>
      </c>
      <c r="E8" t="s">
        <v>674</v>
      </c>
      <c r="F8">
        <v>0</v>
      </c>
      <c r="G8" t="s">
        <v>288</v>
      </c>
      <c r="H8">
        <v>1</v>
      </c>
      <c r="I8" t="s">
        <v>277</v>
      </c>
      <c r="J8" t="s">
        <v>277</v>
      </c>
      <c r="K8" t="s">
        <v>277</v>
      </c>
      <c r="L8" t="s">
        <v>277</v>
      </c>
      <c r="M8" t="s">
        <v>320</v>
      </c>
      <c r="N8">
        <v>3</v>
      </c>
      <c r="O8">
        <v>0</v>
      </c>
      <c r="P8">
        <v>0</v>
      </c>
      <c r="Q8">
        <v>1</v>
      </c>
      <c r="R8">
        <v>0</v>
      </c>
      <c r="S8">
        <v>0</v>
      </c>
      <c r="T8">
        <v>0</v>
      </c>
      <c r="U8">
        <v>0</v>
      </c>
      <c r="V8">
        <v>0</v>
      </c>
      <c r="W8" s="89">
        <v>0</v>
      </c>
      <c r="X8">
        <v>0</v>
      </c>
      <c r="Y8">
        <v>1</v>
      </c>
      <c r="Z8">
        <v>0</v>
      </c>
      <c r="AA8">
        <v>0</v>
      </c>
      <c r="AB8">
        <v>0</v>
      </c>
      <c r="AC8">
        <v>0</v>
      </c>
      <c r="AD8">
        <v>0</v>
      </c>
      <c r="AE8">
        <v>0</v>
      </c>
      <c r="AF8">
        <v>0</v>
      </c>
      <c r="AG8">
        <v>0</v>
      </c>
      <c r="AH8">
        <v>1</v>
      </c>
      <c r="AI8">
        <v>1</v>
      </c>
      <c r="AJ8">
        <v>0</v>
      </c>
      <c r="AK8">
        <v>1</v>
      </c>
      <c r="AL8">
        <v>0</v>
      </c>
      <c r="AM8">
        <v>1</v>
      </c>
      <c r="AN8">
        <v>0</v>
      </c>
      <c r="AO8">
        <v>0</v>
      </c>
      <c r="AP8">
        <v>4126</v>
      </c>
      <c r="AQ8">
        <v>2043.839702</v>
      </c>
      <c r="AV8" s="154"/>
      <c r="AW8" s="154"/>
      <c r="AX8" s="154"/>
      <c r="AY8" s="154"/>
      <c r="AZ8" s="154"/>
      <c r="BA8" s="154"/>
      <c r="BB8" s="154"/>
      <c r="BC8" s="118"/>
      <c r="BD8" s="118"/>
      <c r="BE8" s="118"/>
      <c r="BF8" s="118"/>
    </row>
    <row r="9" spans="1:58" x14ac:dyDescent="0.35">
      <c r="A9" t="s">
        <v>2177</v>
      </c>
      <c r="B9" t="s">
        <v>272</v>
      </c>
      <c r="C9" t="s">
        <v>273</v>
      </c>
      <c r="D9">
        <v>2</v>
      </c>
      <c r="E9" t="s">
        <v>2283</v>
      </c>
      <c r="F9">
        <v>1</v>
      </c>
      <c r="G9" t="s">
        <v>449</v>
      </c>
      <c r="H9">
        <v>0.5</v>
      </c>
      <c r="I9" t="s">
        <v>449</v>
      </c>
      <c r="J9">
        <v>0.5</v>
      </c>
      <c r="K9" t="s">
        <v>277</v>
      </c>
      <c r="L9" t="s">
        <v>277</v>
      </c>
      <c r="M9" t="s">
        <v>309</v>
      </c>
      <c r="N9">
        <v>1</v>
      </c>
      <c r="O9">
        <v>0</v>
      </c>
      <c r="P9">
        <v>0</v>
      </c>
      <c r="Q9">
        <v>1</v>
      </c>
      <c r="R9">
        <v>0</v>
      </c>
      <c r="S9">
        <v>0</v>
      </c>
      <c r="T9">
        <v>1</v>
      </c>
      <c r="U9">
        <v>0</v>
      </c>
      <c r="V9">
        <v>0</v>
      </c>
      <c r="W9" s="89">
        <v>0</v>
      </c>
      <c r="X9">
        <v>0</v>
      </c>
      <c r="Y9">
        <v>1</v>
      </c>
      <c r="Z9">
        <v>1</v>
      </c>
      <c r="AA9">
        <v>0</v>
      </c>
      <c r="AB9">
        <v>0</v>
      </c>
      <c r="AC9">
        <v>0</v>
      </c>
      <c r="AD9">
        <v>0</v>
      </c>
      <c r="AE9">
        <v>0</v>
      </c>
      <c r="AF9">
        <v>1</v>
      </c>
      <c r="AG9">
        <v>0</v>
      </c>
      <c r="AH9">
        <v>0</v>
      </c>
      <c r="AI9">
        <v>1</v>
      </c>
      <c r="AJ9">
        <v>0</v>
      </c>
      <c r="AK9">
        <v>2</v>
      </c>
      <c r="AL9">
        <v>0</v>
      </c>
      <c r="AM9">
        <v>2</v>
      </c>
      <c r="AN9">
        <v>1</v>
      </c>
      <c r="AO9">
        <v>0</v>
      </c>
      <c r="AP9">
        <v>30</v>
      </c>
      <c r="AQ9" t="s">
        <v>69</v>
      </c>
      <c r="AV9" s="154"/>
      <c r="AW9" s="154"/>
      <c r="AX9" s="154"/>
      <c r="AY9" s="154"/>
      <c r="AZ9" s="154"/>
      <c r="BA9" s="154"/>
      <c r="BB9" s="154"/>
      <c r="BC9" s="118"/>
      <c r="BD9" s="118"/>
      <c r="BE9" s="118"/>
      <c r="BF9" s="118"/>
    </row>
    <row r="10" spans="1:58" x14ac:dyDescent="0.35">
      <c r="A10" t="s">
        <v>2178</v>
      </c>
      <c r="B10" t="s">
        <v>349</v>
      </c>
      <c r="C10" t="s">
        <v>273</v>
      </c>
      <c r="D10">
        <v>2</v>
      </c>
      <c r="E10" t="s">
        <v>2281</v>
      </c>
      <c r="F10">
        <v>1</v>
      </c>
      <c r="G10" t="s">
        <v>516</v>
      </c>
      <c r="H10">
        <v>0.5</v>
      </c>
      <c r="I10" t="s">
        <v>516</v>
      </c>
      <c r="J10">
        <v>0.5</v>
      </c>
      <c r="K10" t="s">
        <v>277</v>
      </c>
      <c r="L10" t="s">
        <v>277</v>
      </c>
      <c r="M10" t="s">
        <v>286</v>
      </c>
      <c r="N10">
        <v>390</v>
      </c>
      <c r="O10">
        <v>0</v>
      </c>
      <c r="P10">
        <v>0</v>
      </c>
      <c r="Q10">
        <v>2</v>
      </c>
      <c r="R10">
        <v>0</v>
      </c>
      <c r="S10">
        <v>0</v>
      </c>
      <c r="T10">
        <v>0</v>
      </c>
      <c r="U10">
        <v>0</v>
      </c>
      <c r="V10">
        <v>0</v>
      </c>
      <c r="W10" s="89">
        <v>0</v>
      </c>
      <c r="X10">
        <v>0</v>
      </c>
      <c r="Y10">
        <v>2</v>
      </c>
      <c r="Z10">
        <v>0</v>
      </c>
      <c r="AA10">
        <v>0</v>
      </c>
      <c r="AB10">
        <v>0</v>
      </c>
      <c r="AC10">
        <v>0</v>
      </c>
      <c r="AD10">
        <v>0</v>
      </c>
      <c r="AE10">
        <v>1</v>
      </c>
      <c r="AF10">
        <v>0</v>
      </c>
      <c r="AG10">
        <v>0</v>
      </c>
      <c r="AH10">
        <v>0</v>
      </c>
      <c r="AI10">
        <v>2</v>
      </c>
      <c r="AJ10">
        <v>0</v>
      </c>
      <c r="AK10">
        <v>2</v>
      </c>
      <c r="AL10">
        <v>0</v>
      </c>
      <c r="AM10">
        <v>2</v>
      </c>
      <c r="AN10">
        <v>1</v>
      </c>
      <c r="AO10">
        <v>0</v>
      </c>
      <c r="AP10">
        <v>3750</v>
      </c>
      <c r="AQ10">
        <v>15118.8</v>
      </c>
      <c r="AV10" s="154"/>
      <c r="AW10" s="154"/>
      <c r="AX10" s="154"/>
      <c r="AY10" s="154"/>
      <c r="AZ10" s="154"/>
      <c r="BA10" s="154"/>
      <c r="BB10" s="154"/>
      <c r="BC10" s="118"/>
      <c r="BD10" s="118"/>
      <c r="BE10" s="118"/>
      <c r="BF10" s="118"/>
    </row>
    <row r="11" spans="1:58" x14ac:dyDescent="0.35">
      <c r="A11" t="s">
        <v>2179</v>
      </c>
      <c r="B11" t="s">
        <v>349</v>
      </c>
      <c r="C11" t="s">
        <v>341</v>
      </c>
      <c r="D11">
        <v>1</v>
      </c>
      <c r="E11" t="s">
        <v>2063</v>
      </c>
      <c r="F11">
        <v>0</v>
      </c>
      <c r="G11" t="s">
        <v>490</v>
      </c>
      <c r="H11">
        <v>0.5</v>
      </c>
      <c r="I11" t="s">
        <v>490</v>
      </c>
      <c r="J11">
        <v>0.5</v>
      </c>
      <c r="K11" t="s">
        <v>277</v>
      </c>
      <c r="L11" t="s">
        <v>277</v>
      </c>
      <c r="M11" t="s">
        <v>286</v>
      </c>
      <c r="N11">
        <v>390</v>
      </c>
      <c r="O11">
        <v>1</v>
      </c>
      <c r="P11">
        <v>0</v>
      </c>
      <c r="Q11">
        <v>0</v>
      </c>
      <c r="R11">
        <v>0</v>
      </c>
      <c r="S11">
        <v>0</v>
      </c>
      <c r="T11">
        <v>0</v>
      </c>
      <c r="U11">
        <v>0</v>
      </c>
      <c r="V11">
        <v>0</v>
      </c>
      <c r="W11" s="89">
        <v>0</v>
      </c>
      <c r="X11">
        <v>0</v>
      </c>
      <c r="Y11">
        <v>0</v>
      </c>
      <c r="Z11">
        <v>0</v>
      </c>
      <c r="AA11">
        <v>0</v>
      </c>
      <c r="AB11">
        <v>0</v>
      </c>
      <c r="AC11">
        <v>1</v>
      </c>
      <c r="AD11">
        <v>0</v>
      </c>
      <c r="AE11">
        <v>1</v>
      </c>
      <c r="AF11">
        <v>0</v>
      </c>
      <c r="AG11">
        <v>0</v>
      </c>
      <c r="AH11">
        <v>0</v>
      </c>
      <c r="AI11">
        <v>0</v>
      </c>
      <c r="AJ11">
        <v>1</v>
      </c>
      <c r="AK11">
        <v>0</v>
      </c>
      <c r="AL11">
        <v>1</v>
      </c>
      <c r="AM11">
        <v>1</v>
      </c>
      <c r="AN11">
        <v>0</v>
      </c>
      <c r="AO11">
        <v>0</v>
      </c>
      <c r="AP11">
        <v>3750</v>
      </c>
      <c r="AQ11">
        <v>15118.8</v>
      </c>
      <c r="AV11" s="154"/>
      <c r="AW11" s="154"/>
      <c r="AX11" s="154"/>
      <c r="AY11" s="154"/>
      <c r="AZ11" s="154"/>
      <c r="BA11" s="154"/>
      <c r="BB11" s="154"/>
      <c r="BC11" s="118"/>
      <c r="BD11" s="118"/>
      <c r="BE11" s="118"/>
      <c r="BF11" s="118"/>
    </row>
    <row r="12" spans="1:58" x14ac:dyDescent="0.35">
      <c r="A12" t="s">
        <v>2180</v>
      </c>
      <c r="B12" t="s">
        <v>56</v>
      </c>
      <c r="C12" t="s">
        <v>372</v>
      </c>
      <c r="D12">
        <v>6</v>
      </c>
      <c r="E12" t="s">
        <v>2343</v>
      </c>
      <c r="F12">
        <v>5</v>
      </c>
      <c r="G12" t="s">
        <v>481</v>
      </c>
      <c r="H12">
        <v>0.2857142857142857</v>
      </c>
      <c r="I12" t="s">
        <v>784</v>
      </c>
      <c r="J12">
        <v>0.14285714285714285</v>
      </c>
      <c r="K12" t="s">
        <v>784</v>
      </c>
      <c r="L12">
        <v>0.14285714285714285</v>
      </c>
      <c r="M12" t="s">
        <v>309</v>
      </c>
      <c r="N12">
        <v>3</v>
      </c>
      <c r="O12">
        <v>2</v>
      </c>
      <c r="P12">
        <v>0</v>
      </c>
      <c r="Q12">
        <v>0</v>
      </c>
      <c r="R12">
        <v>0</v>
      </c>
      <c r="S12">
        <v>0</v>
      </c>
      <c r="T12">
        <v>1</v>
      </c>
      <c r="U12">
        <v>1</v>
      </c>
      <c r="V12">
        <v>1</v>
      </c>
      <c r="W12" s="89">
        <v>1</v>
      </c>
      <c r="X12">
        <v>2</v>
      </c>
      <c r="Y12">
        <v>2</v>
      </c>
      <c r="Z12">
        <v>2</v>
      </c>
      <c r="AA12">
        <v>0</v>
      </c>
      <c r="AB12">
        <v>0</v>
      </c>
      <c r="AC12">
        <v>0</v>
      </c>
      <c r="AD12">
        <v>0</v>
      </c>
      <c r="AE12">
        <v>0</v>
      </c>
      <c r="AF12">
        <v>1</v>
      </c>
      <c r="AG12">
        <v>0</v>
      </c>
      <c r="AH12">
        <v>0</v>
      </c>
      <c r="AI12">
        <v>0</v>
      </c>
      <c r="AJ12">
        <v>3</v>
      </c>
      <c r="AK12">
        <v>6</v>
      </c>
      <c r="AL12">
        <v>0</v>
      </c>
      <c r="AM12">
        <v>6</v>
      </c>
      <c r="AN12">
        <v>5</v>
      </c>
      <c r="AO12">
        <v>0</v>
      </c>
      <c r="AP12">
        <v>250</v>
      </c>
      <c r="AQ12">
        <v>82.516926609999999</v>
      </c>
      <c r="AV12" s="154"/>
      <c r="AW12" s="154"/>
      <c r="AX12" s="154"/>
      <c r="AY12" s="154"/>
      <c r="AZ12" s="154"/>
      <c r="BA12" s="154"/>
      <c r="BB12" s="154"/>
      <c r="BC12" s="118"/>
      <c r="BD12" s="118"/>
      <c r="BE12" s="118"/>
      <c r="BF12" s="118"/>
    </row>
    <row r="13" spans="1:58" x14ac:dyDescent="0.35">
      <c r="A13" t="s">
        <v>2181</v>
      </c>
      <c r="B13" t="s">
        <v>404</v>
      </c>
      <c r="C13" t="s">
        <v>405</v>
      </c>
      <c r="D13">
        <v>14</v>
      </c>
      <c r="E13" t="s">
        <v>2344</v>
      </c>
      <c r="F13">
        <v>9</v>
      </c>
      <c r="G13" t="s">
        <v>606</v>
      </c>
      <c r="H13">
        <v>0.25</v>
      </c>
      <c r="I13" t="s">
        <v>653</v>
      </c>
      <c r="J13">
        <v>0.1875</v>
      </c>
      <c r="K13" t="s">
        <v>481</v>
      </c>
      <c r="L13">
        <v>0.125</v>
      </c>
      <c r="M13" t="s">
        <v>309</v>
      </c>
      <c r="N13">
        <v>9</v>
      </c>
      <c r="O13">
        <v>2</v>
      </c>
      <c r="P13">
        <v>0</v>
      </c>
      <c r="Q13">
        <v>0</v>
      </c>
      <c r="R13">
        <v>1</v>
      </c>
      <c r="S13">
        <v>10</v>
      </c>
      <c r="T13">
        <v>0</v>
      </c>
      <c r="U13">
        <v>0</v>
      </c>
      <c r="V13">
        <v>1</v>
      </c>
      <c r="W13" s="89">
        <v>1</v>
      </c>
      <c r="X13">
        <v>1</v>
      </c>
      <c r="Y13">
        <v>5</v>
      </c>
      <c r="Z13">
        <v>1</v>
      </c>
      <c r="AA13">
        <v>7</v>
      </c>
      <c r="AB13">
        <v>0</v>
      </c>
      <c r="AC13">
        <v>0</v>
      </c>
      <c r="AD13">
        <v>0</v>
      </c>
      <c r="AE13">
        <v>0</v>
      </c>
      <c r="AF13">
        <v>1</v>
      </c>
      <c r="AG13">
        <v>0</v>
      </c>
      <c r="AH13">
        <v>0</v>
      </c>
      <c r="AI13">
        <v>10</v>
      </c>
      <c r="AJ13">
        <v>3</v>
      </c>
      <c r="AK13">
        <v>7</v>
      </c>
      <c r="AL13">
        <v>0</v>
      </c>
      <c r="AM13">
        <v>14</v>
      </c>
      <c r="AN13">
        <v>9</v>
      </c>
      <c r="AO13">
        <v>0</v>
      </c>
      <c r="AP13">
        <v>375</v>
      </c>
      <c r="AQ13">
        <v>652.34307000000001</v>
      </c>
      <c r="AV13" s="154"/>
      <c r="AW13" s="154"/>
      <c r="AX13" s="154"/>
      <c r="AY13" s="154"/>
      <c r="AZ13" s="154"/>
      <c r="BA13" s="154"/>
      <c r="BB13" s="154"/>
      <c r="BC13" s="118"/>
      <c r="BD13" s="118"/>
      <c r="BE13" s="118"/>
      <c r="BF13" s="118"/>
    </row>
    <row r="14" spans="1:58" x14ac:dyDescent="0.35">
      <c r="A14" t="s">
        <v>2182</v>
      </c>
      <c r="B14" t="s">
        <v>285</v>
      </c>
      <c r="C14" t="s">
        <v>405</v>
      </c>
      <c r="D14">
        <v>7</v>
      </c>
      <c r="E14" t="s">
        <v>2269</v>
      </c>
      <c r="F14">
        <v>4</v>
      </c>
      <c r="G14" t="s">
        <v>306</v>
      </c>
      <c r="H14">
        <v>0.2857142857142857</v>
      </c>
      <c r="I14" t="s">
        <v>306</v>
      </c>
      <c r="J14">
        <v>0.2857142857142857</v>
      </c>
      <c r="K14" t="s">
        <v>784</v>
      </c>
      <c r="L14">
        <v>0.14285714285714285</v>
      </c>
      <c r="M14" t="s">
        <v>286</v>
      </c>
      <c r="N14">
        <v>27</v>
      </c>
      <c r="O14">
        <v>3</v>
      </c>
      <c r="P14">
        <v>0</v>
      </c>
      <c r="Q14">
        <v>2</v>
      </c>
      <c r="R14">
        <v>2</v>
      </c>
      <c r="S14">
        <v>1</v>
      </c>
      <c r="T14">
        <v>0</v>
      </c>
      <c r="U14">
        <v>0</v>
      </c>
      <c r="V14">
        <v>0</v>
      </c>
      <c r="W14" s="89">
        <v>2</v>
      </c>
      <c r="X14">
        <v>1</v>
      </c>
      <c r="Y14">
        <v>2</v>
      </c>
      <c r="Z14">
        <v>0</v>
      </c>
      <c r="AA14">
        <v>2</v>
      </c>
      <c r="AB14">
        <v>0</v>
      </c>
      <c r="AC14">
        <v>2</v>
      </c>
      <c r="AD14">
        <v>0</v>
      </c>
      <c r="AE14">
        <v>1</v>
      </c>
      <c r="AF14">
        <v>0</v>
      </c>
      <c r="AG14">
        <v>0</v>
      </c>
      <c r="AH14">
        <v>0</v>
      </c>
      <c r="AI14">
        <v>3</v>
      </c>
      <c r="AJ14">
        <v>5</v>
      </c>
      <c r="AK14">
        <v>3</v>
      </c>
      <c r="AL14">
        <v>2</v>
      </c>
      <c r="AM14">
        <v>7</v>
      </c>
      <c r="AN14">
        <v>4</v>
      </c>
      <c r="AO14">
        <v>0</v>
      </c>
      <c r="AP14">
        <v>120</v>
      </c>
      <c r="AQ14">
        <v>122.857843</v>
      </c>
      <c r="AV14" s="154"/>
      <c r="AW14" s="154"/>
      <c r="AX14" s="154"/>
      <c r="AY14" s="154"/>
      <c r="AZ14" s="154"/>
      <c r="BA14" s="154"/>
      <c r="BB14" s="154"/>
      <c r="BC14" s="118"/>
      <c r="BD14" s="118"/>
      <c r="BE14" s="118"/>
      <c r="BF14" s="118"/>
    </row>
    <row r="15" spans="1:58" x14ac:dyDescent="0.35">
      <c r="A15" t="s">
        <v>2183</v>
      </c>
      <c r="B15" t="s">
        <v>338</v>
      </c>
      <c r="C15" t="s">
        <v>372</v>
      </c>
      <c r="D15">
        <v>2</v>
      </c>
      <c r="E15" t="s">
        <v>2345</v>
      </c>
      <c r="F15">
        <v>0</v>
      </c>
      <c r="G15" t="s">
        <v>398</v>
      </c>
      <c r="H15">
        <v>0.66666666666666663</v>
      </c>
      <c r="I15" t="s">
        <v>473</v>
      </c>
      <c r="J15">
        <v>0.33333333333333331</v>
      </c>
      <c r="K15" t="s">
        <v>277</v>
      </c>
      <c r="L15" t="s">
        <v>277</v>
      </c>
      <c r="M15" t="s">
        <v>320</v>
      </c>
      <c r="N15" t="s">
        <v>69</v>
      </c>
      <c r="O15">
        <v>1</v>
      </c>
      <c r="P15">
        <v>0</v>
      </c>
      <c r="Q15">
        <v>1</v>
      </c>
      <c r="R15">
        <v>0</v>
      </c>
      <c r="S15">
        <v>0</v>
      </c>
      <c r="T15">
        <v>0</v>
      </c>
      <c r="U15">
        <v>0</v>
      </c>
      <c r="V15">
        <v>0</v>
      </c>
      <c r="W15" s="89">
        <v>0</v>
      </c>
      <c r="X15">
        <v>0</v>
      </c>
      <c r="Y15">
        <v>2</v>
      </c>
      <c r="Z15">
        <v>0</v>
      </c>
      <c r="AA15">
        <v>0</v>
      </c>
      <c r="AB15">
        <v>0</v>
      </c>
      <c r="AC15">
        <v>0</v>
      </c>
      <c r="AD15">
        <v>0</v>
      </c>
      <c r="AE15">
        <v>0</v>
      </c>
      <c r="AF15">
        <v>0</v>
      </c>
      <c r="AG15">
        <v>0</v>
      </c>
      <c r="AH15">
        <v>1</v>
      </c>
      <c r="AI15">
        <v>1</v>
      </c>
      <c r="AJ15">
        <v>1</v>
      </c>
      <c r="AK15">
        <v>2</v>
      </c>
      <c r="AL15">
        <v>0</v>
      </c>
      <c r="AM15">
        <v>2</v>
      </c>
      <c r="AN15">
        <v>0</v>
      </c>
      <c r="AO15">
        <v>0</v>
      </c>
      <c r="AP15">
        <v>180</v>
      </c>
      <c r="AQ15" t="s">
        <v>69</v>
      </c>
      <c r="AV15" s="154"/>
      <c r="AW15" s="154"/>
      <c r="AX15" s="154"/>
      <c r="AY15" s="154"/>
      <c r="AZ15" s="154"/>
      <c r="BA15" s="154"/>
      <c r="BB15" s="154"/>
      <c r="BC15" s="118"/>
      <c r="BD15" s="118"/>
      <c r="BE15" s="118"/>
      <c r="BF15" s="118"/>
    </row>
    <row r="16" spans="1:58" x14ac:dyDescent="0.35">
      <c r="A16" t="s">
        <v>2184</v>
      </c>
      <c r="B16" t="s">
        <v>293</v>
      </c>
      <c r="C16" t="s">
        <v>273</v>
      </c>
      <c r="D16">
        <v>3</v>
      </c>
      <c r="E16" t="s">
        <v>2266</v>
      </c>
      <c r="F16">
        <v>1</v>
      </c>
      <c r="G16" t="s">
        <v>449</v>
      </c>
      <c r="H16">
        <v>0.33333333333333331</v>
      </c>
      <c r="I16" t="s">
        <v>449</v>
      </c>
      <c r="J16">
        <v>0.33333333333333331</v>
      </c>
      <c r="K16" t="s">
        <v>449</v>
      </c>
      <c r="L16">
        <v>0.33333333333333331</v>
      </c>
      <c r="M16" t="s">
        <v>309</v>
      </c>
      <c r="N16" t="s">
        <v>69</v>
      </c>
      <c r="O16">
        <v>0</v>
      </c>
      <c r="P16">
        <v>0</v>
      </c>
      <c r="Q16">
        <v>2</v>
      </c>
      <c r="R16">
        <v>1</v>
      </c>
      <c r="S16">
        <v>0</v>
      </c>
      <c r="T16">
        <v>0</v>
      </c>
      <c r="U16">
        <v>0</v>
      </c>
      <c r="V16">
        <v>0</v>
      </c>
      <c r="W16" s="89">
        <v>0</v>
      </c>
      <c r="X16">
        <v>0</v>
      </c>
      <c r="Y16">
        <v>2</v>
      </c>
      <c r="Z16">
        <v>0</v>
      </c>
      <c r="AA16">
        <v>0</v>
      </c>
      <c r="AB16">
        <v>0</v>
      </c>
      <c r="AC16">
        <v>1</v>
      </c>
      <c r="AD16">
        <v>0</v>
      </c>
      <c r="AE16">
        <v>0</v>
      </c>
      <c r="AF16">
        <v>1</v>
      </c>
      <c r="AG16">
        <v>0</v>
      </c>
      <c r="AH16">
        <v>0</v>
      </c>
      <c r="AI16">
        <v>2</v>
      </c>
      <c r="AJ16">
        <v>0</v>
      </c>
      <c r="AK16">
        <v>2</v>
      </c>
      <c r="AL16">
        <v>1</v>
      </c>
      <c r="AM16">
        <v>3</v>
      </c>
      <c r="AN16">
        <v>1</v>
      </c>
      <c r="AO16">
        <v>0</v>
      </c>
      <c r="AP16">
        <v>175</v>
      </c>
      <c r="AQ16">
        <v>30.083497999999999</v>
      </c>
      <c r="AV16" s="154"/>
      <c r="AW16" s="154"/>
      <c r="AX16" s="154"/>
      <c r="AY16" s="154"/>
      <c r="AZ16" s="154"/>
      <c r="BA16" s="154"/>
      <c r="BB16" s="154"/>
      <c r="BC16" s="118"/>
      <c r="BD16" s="118"/>
      <c r="BE16" s="118"/>
      <c r="BF16" s="118"/>
    </row>
    <row r="17" spans="1:58" x14ac:dyDescent="0.35">
      <c r="A17" t="s">
        <v>2185</v>
      </c>
      <c r="B17" t="s">
        <v>408</v>
      </c>
      <c r="C17" t="s">
        <v>405</v>
      </c>
      <c r="D17">
        <v>2</v>
      </c>
      <c r="E17" t="s">
        <v>2273</v>
      </c>
      <c r="F17">
        <v>1</v>
      </c>
      <c r="G17" t="s">
        <v>306</v>
      </c>
      <c r="H17">
        <v>1</v>
      </c>
      <c r="I17" t="s">
        <v>277</v>
      </c>
      <c r="J17" t="s">
        <v>277</v>
      </c>
      <c r="K17" t="s">
        <v>277</v>
      </c>
      <c r="L17" t="s">
        <v>277</v>
      </c>
      <c r="M17" t="s">
        <v>286</v>
      </c>
      <c r="N17">
        <v>4</v>
      </c>
      <c r="O17">
        <v>1</v>
      </c>
      <c r="P17">
        <v>0</v>
      </c>
      <c r="Q17">
        <v>0</v>
      </c>
      <c r="R17">
        <v>0</v>
      </c>
      <c r="S17">
        <v>1</v>
      </c>
      <c r="T17">
        <v>0</v>
      </c>
      <c r="U17">
        <v>0</v>
      </c>
      <c r="V17">
        <v>0</v>
      </c>
      <c r="W17" s="89">
        <v>0</v>
      </c>
      <c r="X17">
        <v>0</v>
      </c>
      <c r="Y17">
        <v>2</v>
      </c>
      <c r="Z17">
        <v>0</v>
      </c>
      <c r="AA17">
        <v>0</v>
      </c>
      <c r="AB17">
        <v>0</v>
      </c>
      <c r="AC17">
        <v>0</v>
      </c>
      <c r="AD17">
        <v>0</v>
      </c>
      <c r="AE17">
        <v>1</v>
      </c>
      <c r="AF17">
        <v>0</v>
      </c>
      <c r="AG17">
        <v>0</v>
      </c>
      <c r="AH17">
        <v>0</v>
      </c>
      <c r="AI17">
        <v>1</v>
      </c>
      <c r="AJ17">
        <v>1</v>
      </c>
      <c r="AK17">
        <v>2</v>
      </c>
      <c r="AL17">
        <v>0</v>
      </c>
      <c r="AM17">
        <v>2</v>
      </c>
      <c r="AN17">
        <v>1</v>
      </c>
      <c r="AO17">
        <v>0</v>
      </c>
      <c r="AP17">
        <v>250</v>
      </c>
      <c r="AQ17">
        <v>319.89999999999998</v>
      </c>
      <c r="AV17" s="154"/>
      <c r="AW17" s="154"/>
      <c r="AX17" s="154"/>
      <c r="AY17" s="154"/>
      <c r="AZ17" s="154"/>
      <c r="BA17" s="154"/>
      <c r="BB17" s="154"/>
      <c r="BC17" s="118"/>
      <c r="BD17" s="118"/>
      <c r="BE17" s="118"/>
      <c r="BF17" s="118"/>
    </row>
    <row r="18" spans="1:58" x14ac:dyDescent="0.35">
      <c r="A18" t="s">
        <v>2186</v>
      </c>
      <c r="B18" t="s">
        <v>386</v>
      </c>
      <c r="C18" t="s">
        <v>341</v>
      </c>
      <c r="D18">
        <v>5</v>
      </c>
      <c r="E18" t="s">
        <v>2346</v>
      </c>
      <c r="F18">
        <v>2</v>
      </c>
      <c r="G18" t="s">
        <v>319</v>
      </c>
      <c r="H18">
        <v>0.4</v>
      </c>
      <c r="I18" t="s">
        <v>481</v>
      </c>
      <c r="J18">
        <v>0.2</v>
      </c>
      <c r="K18" t="s">
        <v>481</v>
      </c>
      <c r="L18">
        <v>0.2</v>
      </c>
      <c r="M18" t="s">
        <v>286</v>
      </c>
      <c r="N18">
        <v>32</v>
      </c>
      <c r="O18">
        <v>2</v>
      </c>
      <c r="P18">
        <v>0</v>
      </c>
      <c r="Q18">
        <v>3</v>
      </c>
      <c r="R18">
        <v>0</v>
      </c>
      <c r="S18">
        <v>0</v>
      </c>
      <c r="T18">
        <v>1</v>
      </c>
      <c r="U18">
        <v>0</v>
      </c>
      <c r="V18">
        <v>0</v>
      </c>
      <c r="W18" s="89">
        <v>0</v>
      </c>
      <c r="X18">
        <v>0</v>
      </c>
      <c r="Y18">
        <v>4</v>
      </c>
      <c r="Z18">
        <v>0</v>
      </c>
      <c r="AA18">
        <v>0</v>
      </c>
      <c r="AB18">
        <v>0</v>
      </c>
      <c r="AC18">
        <v>1</v>
      </c>
      <c r="AD18">
        <v>0</v>
      </c>
      <c r="AE18">
        <v>1</v>
      </c>
      <c r="AF18">
        <v>0</v>
      </c>
      <c r="AG18">
        <v>0</v>
      </c>
      <c r="AH18">
        <v>0</v>
      </c>
      <c r="AI18">
        <v>3</v>
      </c>
      <c r="AJ18">
        <v>2</v>
      </c>
      <c r="AK18">
        <v>4</v>
      </c>
      <c r="AL18">
        <v>1</v>
      </c>
      <c r="AM18">
        <v>5</v>
      </c>
      <c r="AN18">
        <v>2</v>
      </c>
      <c r="AO18">
        <v>0</v>
      </c>
      <c r="AP18">
        <v>250</v>
      </c>
      <c r="AQ18">
        <v>302.62</v>
      </c>
      <c r="AV18" s="154"/>
      <c r="AW18" s="154"/>
      <c r="AX18" s="154"/>
      <c r="AY18" s="154"/>
      <c r="AZ18" s="154"/>
      <c r="BA18" s="154"/>
      <c r="BB18" s="154"/>
      <c r="BC18" s="118"/>
      <c r="BD18" s="118"/>
      <c r="BE18" s="118"/>
      <c r="BF18" s="118"/>
    </row>
    <row r="19" spans="1:58" x14ac:dyDescent="0.35">
      <c r="A19" t="s">
        <v>2308</v>
      </c>
      <c r="B19" t="s">
        <v>386</v>
      </c>
      <c r="C19" t="s">
        <v>372</v>
      </c>
      <c r="D19">
        <v>1</v>
      </c>
      <c r="E19" t="s">
        <v>724</v>
      </c>
      <c r="F19">
        <v>0</v>
      </c>
      <c r="G19" t="s">
        <v>398</v>
      </c>
      <c r="H19">
        <v>1</v>
      </c>
      <c r="I19" t="s">
        <v>277</v>
      </c>
      <c r="J19" t="s">
        <v>277</v>
      </c>
      <c r="K19" t="s">
        <v>277</v>
      </c>
      <c r="L19" t="s">
        <v>277</v>
      </c>
      <c r="M19" t="s">
        <v>286</v>
      </c>
      <c r="N19">
        <v>32</v>
      </c>
      <c r="O19">
        <v>0</v>
      </c>
      <c r="P19">
        <v>0</v>
      </c>
      <c r="Q19">
        <v>1</v>
      </c>
      <c r="R19">
        <v>0</v>
      </c>
      <c r="S19">
        <v>0</v>
      </c>
      <c r="T19">
        <v>0</v>
      </c>
      <c r="U19">
        <v>0</v>
      </c>
      <c r="V19">
        <v>0</v>
      </c>
      <c r="W19">
        <v>0</v>
      </c>
      <c r="X19">
        <v>0</v>
      </c>
      <c r="Y19">
        <v>0</v>
      </c>
      <c r="Z19">
        <v>0</v>
      </c>
      <c r="AA19">
        <v>0</v>
      </c>
      <c r="AB19">
        <v>0</v>
      </c>
      <c r="AC19">
        <v>1</v>
      </c>
      <c r="AD19">
        <v>0</v>
      </c>
      <c r="AE19">
        <v>1</v>
      </c>
      <c r="AF19">
        <v>0</v>
      </c>
      <c r="AG19">
        <v>0</v>
      </c>
      <c r="AH19">
        <v>0</v>
      </c>
      <c r="AI19">
        <v>1</v>
      </c>
      <c r="AJ19">
        <v>0</v>
      </c>
      <c r="AK19">
        <v>0</v>
      </c>
      <c r="AL19">
        <v>0</v>
      </c>
      <c r="AM19">
        <v>1</v>
      </c>
      <c r="AN19">
        <v>0</v>
      </c>
      <c r="AO19">
        <v>0</v>
      </c>
      <c r="AP19">
        <v>250</v>
      </c>
      <c r="AQ19">
        <v>302.62</v>
      </c>
      <c r="AW19" s="154"/>
      <c r="AX19" s="154"/>
      <c r="AY19" s="154"/>
      <c r="AZ19" s="154"/>
      <c r="BA19" s="154"/>
      <c r="BB19" s="154"/>
      <c r="BC19" s="118"/>
      <c r="BD19" s="118"/>
      <c r="BE19" s="118"/>
      <c r="BF19" s="118"/>
    </row>
    <row r="20" spans="1:58" x14ac:dyDescent="0.35">
      <c r="A20" t="s">
        <v>2187</v>
      </c>
      <c r="B20" t="s">
        <v>141</v>
      </c>
      <c r="C20" t="s">
        <v>372</v>
      </c>
      <c r="D20">
        <v>16</v>
      </c>
      <c r="E20" t="s">
        <v>2357</v>
      </c>
      <c r="F20">
        <v>4</v>
      </c>
      <c r="G20" t="s">
        <v>784</v>
      </c>
      <c r="H20">
        <v>0.35294117647058826</v>
      </c>
      <c r="I20" t="s">
        <v>588</v>
      </c>
      <c r="J20">
        <v>0.17647058823529413</v>
      </c>
      <c r="K20" t="s">
        <v>902</v>
      </c>
      <c r="L20">
        <v>0.11764705882352941</v>
      </c>
      <c r="M20" t="s">
        <v>286</v>
      </c>
      <c r="N20">
        <v>7</v>
      </c>
      <c r="O20">
        <v>9</v>
      </c>
      <c r="P20">
        <v>0</v>
      </c>
      <c r="Q20">
        <v>1</v>
      </c>
      <c r="R20">
        <v>3</v>
      </c>
      <c r="S20">
        <v>0</v>
      </c>
      <c r="T20">
        <v>3</v>
      </c>
      <c r="U20">
        <v>1</v>
      </c>
      <c r="V20">
        <v>0</v>
      </c>
      <c r="W20">
        <v>0</v>
      </c>
      <c r="X20">
        <v>0</v>
      </c>
      <c r="Y20">
        <v>14</v>
      </c>
      <c r="Z20">
        <v>1</v>
      </c>
      <c r="AA20">
        <v>1</v>
      </c>
      <c r="AB20">
        <v>0</v>
      </c>
      <c r="AC20">
        <v>0</v>
      </c>
      <c r="AD20">
        <v>0</v>
      </c>
      <c r="AE20">
        <v>1</v>
      </c>
      <c r="AF20">
        <v>0</v>
      </c>
      <c r="AG20">
        <v>0</v>
      </c>
      <c r="AH20">
        <v>0</v>
      </c>
      <c r="AI20">
        <v>1</v>
      </c>
      <c r="AJ20">
        <v>9</v>
      </c>
      <c r="AK20">
        <v>15</v>
      </c>
      <c r="AL20">
        <v>0</v>
      </c>
      <c r="AM20">
        <v>16</v>
      </c>
      <c r="AN20">
        <v>4</v>
      </c>
      <c r="AO20">
        <v>0</v>
      </c>
      <c r="AP20">
        <v>30</v>
      </c>
      <c r="AQ20">
        <v>12.615</v>
      </c>
      <c r="AW20" s="154"/>
      <c r="AX20" s="154"/>
      <c r="AY20" s="154"/>
      <c r="AZ20" s="154"/>
      <c r="BA20" s="154"/>
      <c r="BB20" s="154"/>
      <c r="BC20" s="118"/>
      <c r="BD20" s="118"/>
      <c r="BE20" s="118"/>
      <c r="BF20" s="118"/>
    </row>
    <row r="21" spans="1:58" s="148" customFormat="1" ht="15" thickBot="1" x14ac:dyDescent="0.4">
      <c r="A21" t="s">
        <v>2188</v>
      </c>
      <c r="B21" t="s">
        <v>354</v>
      </c>
      <c r="C21" t="s">
        <v>273</v>
      </c>
      <c r="D21">
        <v>1</v>
      </c>
      <c r="E21" t="s">
        <v>519</v>
      </c>
      <c r="F21">
        <v>0</v>
      </c>
      <c r="G21" t="s">
        <v>520</v>
      </c>
      <c r="H21">
        <v>1</v>
      </c>
      <c r="I21" t="s">
        <v>277</v>
      </c>
      <c r="J21" t="s">
        <v>277</v>
      </c>
      <c r="K21" t="s">
        <v>277</v>
      </c>
      <c r="L21" t="s">
        <v>277</v>
      </c>
      <c r="M21" t="s">
        <v>286</v>
      </c>
      <c r="N21">
        <v>464</v>
      </c>
      <c r="O21">
        <v>0</v>
      </c>
      <c r="P21">
        <v>0</v>
      </c>
      <c r="Q21">
        <v>0</v>
      </c>
      <c r="R21">
        <v>0</v>
      </c>
      <c r="S21">
        <v>1</v>
      </c>
      <c r="T21">
        <v>0</v>
      </c>
      <c r="U21">
        <v>0</v>
      </c>
      <c r="V21">
        <v>0</v>
      </c>
      <c r="W21">
        <v>0</v>
      </c>
      <c r="X21">
        <v>0</v>
      </c>
      <c r="Y21">
        <v>1</v>
      </c>
      <c r="Z21">
        <v>0</v>
      </c>
      <c r="AA21">
        <v>0</v>
      </c>
      <c r="AB21">
        <v>0</v>
      </c>
      <c r="AC21">
        <v>0</v>
      </c>
      <c r="AD21">
        <v>0</v>
      </c>
      <c r="AE21">
        <v>1</v>
      </c>
      <c r="AF21">
        <v>0</v>
      </c>
      <c r="AG21">
        <v>0</v>
      </c>
      <c r="AH21">
        <v>0</v>
      </c>
      <c r="AI21">
        <v>1</v>
      </c>
      <c r="AJ21">
        <v>0</v>
      </c>
      <c r="AK21">
        <v>1</v>
      </c>
      <c r="AL21">
        <v>0</v>
      </c>
      <c r="AM21">
        <v>1</v>
      </c>
      <c r="AN21">
        <v>0</v>
      </c>
      <c r="AO21">
        <v>1</v>
      </c>
      <c r="AP21">
        <v>3000</v>
      </c>
      <c r="AQ21">
        <v>2132</v>
      </c>
      <c r="AR21"/>
      <c r="AS21"/>
      <c r="AT21"/>
      <c r="AU21"/>
      <c r="AV21"/>
      <c r="BA21" s="149"/>
      <c r="BB21" s="149"/>
      <c r="BC21" s="149"/>
      <c r="BD21" s="149"/>
      <c r="BE21" s="149"/>
      <c r="BF21" s="149"/>
    </row>
    <row r="22" spans="1:58" x14ac:dyDescent="0.35">
      <c r="A22" t="s">
        <v>2189</v>
      </c>
      <c r="B22" t="s">
        <v>354</v>
      </c>
      <c r="C22" t="s">
        <v>372</v>
      </c>
      <c r="D22">
        <v>2</v>
      </c>
      <c r="E22" t="s">
        <v>2278</v>
      </c>
      <c r="F22">
        <v>0</v>
      </c>
      <c r="G22" t="s">
        <v>784</v>
      </c>
      <c r="H22">
        <v>0.5</v>
      </c>
      <c r="I22" t="s">
        <v>784</v>
      </c>
      <c r="J22">
        <v>0.5</v>
      </c>
      <c r="K22" t="s">
        <v>277</v>
      </c>
      <c r="L22" t="s">
        <v>277</v>
      </c>
      <c r="M22" t="s">
        <v>286</v>
      </c>
      <c r="N22">
        <v>464</v>
      </c>
      <c r="O22">
        <v>1</v>
      </c>
      <c r="P22">
        <v>0</v>
      </c>
      <c r="Q22">
        <v>0</v>
      </c>
      <c r="R22">
        <v>0</v>
      </c>
      <c r="S22">
        <v>1</v>
      </c>
      <c r="T22">
        <v>0</v>
      </c>
      <c r="U22">
        <v>0</v>
      </c>
      <c r="V22">
        <v>0</v>
      </c>
      <c r="W22">
        <v>0</v>
      </c>
      <c r="X22">
        <v>0</v>
      </c>
      <c r="Y22">
        <v>1</v>
      </c>
      <c r="Z22">
        <v>0</v>
      </c>
      <c r="AA22">
        <v>1</v>
      </c>
      <c r="AB22">
        <v>0</v>
      </c>
      <c r="AC22">
        <v>0</v>
      </c>
      <c r="AD22">
        <v>0</v>
      </c>
      <c r="AE22">
        <v>1</v>
      </c>
      <c r="AF22">
        <v>0</v>
      </c>
      <c r="AG22">
        <v>0</v>
      </c>
      <c r="AH22">
        <v>0</v>
      </c>
      <c r="AI22">
        <v>1</v>
      </c>
      <c r="AJ22">
        <v>1</v>
      </c>
      <c r="AK22">
        <v>1</v>
      </c>
      <c r="AL22">
        <v>0</v>
      </c>
      <c r="AM22">
        <v>2</v>
      </c>
      <c r="AN22">
        <v>0</v>
      </c>
      <c r="AO22">
        <v>1</v>
      </c>
      <c r="AP22">
        <v>3000</v>
      </c>
      <c r="AQ22">
        <v>2132</v>
      </c>
      <c r="AR22" t="str">
        <f t="shared" ref="AR22:BF22" si="0">IF(ISNUMBER(AR20),SUM(AR3:AR20),"")</f>
        <v/>
      </c>
      <c r="AS22" t="str">
        <f t="shared" si="0"/>
        <v/>
      </c>
      <c r="AT22" t="str">
        <f t="shared" si="0"/>
        <v/>
      </c>
      <c r="AU22" t="str">
        <f t="shared" si="0"/>
        <v/>
      </c>
      <c r="AV22" t="str">
        <f t="shared" si="0"/>
        <v/>
      </c>
      <c r="AW22" s="126" t="str">
        <f t="shared" si="0"/>
        <v/>
      </c>
      <c r="AX22" s="126" t="str">
        <f t="shared" si="0"/>
        <v/>
      </c>
      <c r="AY22" s="126" t="str">
        <f t="shared" si="0"/>
        <v/>
      </c>
      <c r="AZ22" s="126" t="str">
        <f t="shared" si="0"/>
        <v/>
      </c>
      <c r="BA22" s="126" t="str">
        <f t="shared" si="0"/>
        <v/>
      </c>
      <c r="BB22" s="126" t="str">
        <f t="shared" si="0"/>
        <v/>
      </c>
      <c r="BC22" s="126" t="str">
        <f t="shared" si="0"/>
        <v/>
      </c>
      <c r="BD22" s="126" t="str">
        <f t="shared" si="0"/>
        <v/>
      </c>
      <c r="BE22" s="126" t="str">
        <f t="shared" si="0"/>
        <v/>
      </c>
      <c r="BF22" s="126" t="str">
        <f t="shared" si="0"/>
        <v/>
      </c>
    </row>
    <row r="23" spans="1:58" x14ac:dyDescent="0.35">
      <c r="A23" t="s">
        <v>2190</v>
      </c>
      <c r="B23" t="s">
        <v>354</v>
      </c>
      <c r="C23" t="s">
        <v>341</v>
      </c>
      <c r="D23">
        <v>1</v>
      </c>
      <c r="E23" t="s">
        <v>1963</v>
      </c>
      <c r="F23">
        <v>0</v>
      </c>
      <c r="G23" t="s">
        <v>330</v>
      </c>
      <c r="H23">
        <v>1</v>
      </c>
      <c r="I23" t="s">
        <v>277</v>
      </c>
      <c r="J23" t="s">
        <v>277</v>
      </c>
      <c r="K23" t="s">
        <v>277</v>
      </c>
      <c r="L23" t="s">
        <v>277</v>
      </c>
      <c r="M23" t="s">
        <v>286</v>
      </c>
      <c r="N23">
        <v>464</v>
      </c>
      <c r="O23">
        <v>0</v>
      </c>
      <c r="P23">
        <v>0</v>
      </c>
      <c r="Q23">
        <v>0</v>
      </c>
      <c r="R23">
        <v>0</v>
      </c>
      <c r="S23">
        <v>1</v>
      </c>
      <c r="T23">
        <v>0</v>
      </c>
      <c r="U23">
        <v>0</v>
      </c>
      <c r="V23">
        <v>0</v>
      </c>
      <c r="W23">
        <v>0</v>
      </c>
      <c r="X23">
        <v>0</v>
      </c>
      <c r="Y23">
        <v>0</v>
      </c>
      <c r="Z23">
        <v>0</v>
      </c>
      <c r="AA23">
        <v>1</v>
      </c>
      <c r="AB23">
        <v>0</v>
      </c>
      <c r="AC23">
        <v>0</v>
      </c>
      <c r="AD23">
        <v>0</v>
      </c>
      <c r="AE23">
        <v>1</v>
      </c>
      <c r="AF23">
        <v>0</v>
      </c>
      <c r="AG23">
        <v>0</v>
      </c>
      <c r="AH23">
        <v>0</v>
      </c>
      <c r="AI23">
        <v>1</v>
      </c>
      <c r="AJ23">
        <v>0</v>
      </c>
      <c r="AK23">
        <v>0</v>
      </c>
      <c r="AL23">
        <v>0</v>
      </c>
      <c r="AM23">
        <v>1</v>
      </c>
      <c r="AN23">
        <v>0</v>
      </c>
      <c r="AO23">
        <v>1</v>
      </c>
      <c r="AP23">
        <v>3000</v>
      </c>
      <c r="AQ23">
        <v>2132</v>
      </c>
      <c r="AR23" t="str">
        <f t="shared" ref="AR23:BF23" si="1">IF(ISNUMBER(AR20),AVERAGE(AR3:AR20),"")</f>
        <v/>
      </c>
      <c r="AS23" t="str">
        <f t="shared" si="1"/>
        <v/>
      </c>
      <c r="AT23" t="str">
        <f t="shared" si="1"/>
        <v/>
      </c>
      <c r="AU23" t="str">
        <f t="shared" si="1"/>
        <v/>
      </c>
      <c r="AV23" t="str">
        <f t="shared" si="1"/>
        <v/>
      </c>
      <c r="AW23" s="126" t="str">
        <f t="shared" si="1"/>
        <v/>
      </c>
      <c r="AX23" s="126" t="str">
        <f t="shared" si="1"/>
        <v/>
      </c>
      <c r="AY23" s="126" t="str">
        <f t="shared" si="1"/>
        <v/>
      </c>
      <c r="AZ23" s="126" t="str">
        <f t="shared" si="1"/>
        <v/>
      </c>
      <c r="BA23" s="126" t="str">
        <f t="shared" si="1"/>
        <v/>
      </c>
      <c r="BB23" s="126" t="str">
        <f t="shared" si="1"/>
        <v/>
      </c>
      <c r="BC23" s="126" t="str">
        <f t="shared" si="1"/>
        <v/>
      </c>
      <c r="BD23" s="126" t="str">
        <f t="shared" si="1"/>
        <v/>
      </c>
      <c r="BE23" s="126" t="str">
        <f t="shared" si="1"/>
        <v/>
      </c>
      <c r="BF23" s="126" t="str">
        <f t="shared" si="1"/>
        <v/>
      </c>
    </row>
    <row r="24" spans="1:58" x14ac:dyDescent="0.35">
      <c r="A24" t="s">
        <v>2191</v>
      </c>
      <c r="B24" t="s">
        <v>117</v>
      </c>
      <c r="C24" t="s">
        <v>372</v>
      </c>
      <c r="D24">
        <v>2</v>
      </c>
      <c r="E24" t="s">
        <v>2347</v>
      </c>
      <c r="F24">
        <v>0</v>
      </c>
      <c r="G24" t="s">
        <v>784</v>
      </c>
      <c r="H24">
        <v>0.5</v>
      </c>
      <c r="I24" t="s">
        <v>784</v>
      </c>
      <c r="J24">
        <v>0.5</v>
      </c>
      <c r="K24" t="s">
        <v>277</v>
      </c>
      <c r="L24" t="s">
        <v>277</v>
      </c>
      <c r="M24" t="s">
        <v>331</v>
      </c>
      <c r="N24">
        <v>0</v>
      </c>
      <c r="O24">
        <v>0</v>
      </c>
      <c r="P24">
        <v>0</v>
      </c>
      <c r="Q24">
        <v>1</v>
      </c>
      <c r="R24">
        <v>0</v>
      </c>
      <c r="S24">
        <v>0</v>
      </c>
      <c r="T24">
        <v>1</v>
      </c>
      <c r="U24">
        <v>1</v>
      </c>
      <c r="V24">
        <v>0</v>
      </c>
      <c r="W24">
        <v>0</v>
      </c>
      <c r="X24">
        <v>0</v>
      </c>
      <c r="Y24">
        <v>1</v>
      </c>
      <c r="Z24">
        <v>0</v>
      </c>
      <c r="AA24">
        <v>1</v>
      </c>
      <c r="AB24">
        <v>0</v>
      </c>
      <c r="AC24">
        <v>0</v>
      </c>
      <c r="AD24">
        <v>0</v>
      </c>
      <c r="AE24">
        <v>0</v>
      </c>
      <c r="AF24">
        <v>0</v>
      </c>
      <c r="AG24">
        <v>1</v>
      </c>
      <c r="AH24">
        <v>0</v>
      </c>
      <c r="AI24">
        <v>1</v>
      </c>
      <c r="AJ24">
        <v>0</v>
      </c>
      <c r="AK24">
        <v>1</v>
      </c>
      <c r="AL24">
        <v>0</v>
      </c>
      <c r="AM24">
        <v>2</v>
      </c>
      <c r="AN24">
        <v>0</v>
      </c>
      <c r="AO24">
        <v>0</v>
      </c>
      <c r="AP24">
        <v>250</v>
      </c>
      <c r="AQ24" t="s">
        <v>69</v>
      </c>
      <c r="AR24" t="str">
        <f t="shared" ref="AR24:BF24" si="2">IF(ISNUMBER(AR20),MEDIAN(AR3:AR20),"")</f>
        <v/>
      </c>
      <c r="AS24" t="str">
        <f t="shared" si="2"/>
        <v/>
      </c>
      <c r="AT24" t="str">
        <f t="shared" si="2"/>
        <v/>
      </c>
      <c r="AU24" t="str">
        <f t="shared" si="2"/>
        <v/>
      </c>
      <c r="AV24" t="str">
        <f t="shared" si="2"/>
        <v/>
      </c>
      <c r="AW24" s="126" t="str">
        <f t="shared" si="2"/>
        <v/>
      </c>
      <c r="AX24" s="126" t="str">
        <f t="shared" si="2"/>
        <v/>
      </c>
      <c r="AY24" s="126" t="str">
        <f t="shared" si="2"/>
        <v/>
      </c>
      <c r="AZ24" s="126" t="str">
        <f t="shared" si="2"/>
        <v/>
      </c>
      <c r="BA24" s="126" t="str">
        <f t="shared" si="2"/>
        <v/>
      </c>
      <c r="BB24" s="126" t="str">
        <f t="shared" si="2"/>
        <v/>
      </c>
      <c r="BC24" s="126" t="str">
        <f t="shared" si="2"/>
        <v/>
      </c>
      <c r="BD24" s="126" t="str">
        <f t="shared" si="2"/>
        <v/>
      </c>
      <c r="BE24" s="126" t="str">
        <f t="shared" si="2"/>
        <v/>
      </c>
      <c r="BF24" s="126" t="str">
        <f t="shared" si="2"/>
        <v/>
      </c>
    </row>
    <row r="25" spans="1:58" x14ac:dyDescent="0.35">
      <c r="A25" t="s">
        <v>2193</v>
      </c>
      <c r="B25" t="s">
        <v>359</v>
      </c>
      <c r="C25" t="s">
        <v>341</v>
      </c>
      <c r="D25">
        <v>3</v>
      </c>
      <c r="E25" t="s">
        <v>2284</v>
      </c>
      <c r="F25">
        <v>0</v>
      </c>
      <c r="G25" t="s">
        <v>398</v>
      </c>
      <c r="H25">
        <v>0.33333333333333331</v>
      </c>
      <c r="I25" t="s">
        <v>398</v>
      </c>
      <c r="J25">
        <v>0.33333333333333331</v>
      </c>
      <c r="K25" t="s">
        <v>398</v>
      </c>
      <c r="L25">
        <v>0.33333333333333331</v>
      </c>
      <c r="M25" t="s">
        <v>286</v>
      </c>
      <c r="N25">
        <v>262</v>
      </c>
      <c r="O25">
        <v>2</v>
      </c>
      <c r="P25">
        <v>0</v>
      </c>
      <c r="Q25">
        <v>0</v>
      </c>
      <c r="R25">
        <v>0</v>
      </c>
      <c r="S25">
        <v>0</v>
      </c>
      <c r="T25">
        <v>3</v>
      </c>
      <c r="U25">
        <v>0</v>
      </c>
      <c r="V25">
        <v>0</v>
      </c>
      <c r="W25">
        <v>0</v>
      </c>
      <c r="X25">
        <v>0</v>
      </c>
      <c r="Y25">
        <v>3</v>
      </c>
      <c r="Z25">
        <v>0</v>
      </c>
      <c r="AA25">
        <v>0</v>
      </c>
      <c r="AB25">
        <v>0</v>
      </c>
      <c r="AC25">
        <v>0</v>
      </c>
      <c r="AD25">
        <v>0</v>
      </c>
      <c r="AE25">
        <v>1</v>
      </c>
      <c r="AF25">
        <v>0</v>
      </c>
      <c r="AG25">
        <v>0</v>
      </c>
      <c r="AH25">
        <v>0</v>
      </c>
      <c r="AI25">
        <v>0</v>
      </c>
      <c r="AJ25">
        <v>2</v>
      </c>
      <c r="AK25">
        <v>3</v>
      </c>
      <c r="AL25">
        <v>0</v>
      </c>
      <c r="AM25">
        <v>3</v>
      </c>
      <c r="AN25">
        <v>0</v>
      </c>
      <c r="AO25">
        <v>0</v>
      </c>
      <c r="AP25">
        <v>750</v>
      </c>
      <c r="AQ25" t="s">
        <v>69</v>
      </c>
    </row>
    <row r="26" spans="1:58" x14ac:dyDescent="0.35">
      <c r="A26" t="s">
        <v>2192</v>
      </c>
      <c r="B26" t="s">
        <v>359</v>
      </c>
      <c r="C26" t="s">
        <v>273</v>
      </c>
      <c r="D26">
        <v>1</v>
      </c>
      <c r="E26" t="s">
        <v>318</v>
      </c>
      <c r="F26">
        <v>1</v>
      </c>
      <c r="G26" t="s">
        <v>319</v>
      </c>
      <c r="H26">
        <v>1</v>
      </c>
      <c r="I26" t="s">
        <v>277</v>
      </c>
      <c r="J26" t="s">
        <v>277</v>
      </c>
      <c r="K26" t="s">
        <v>277</v>
      </c>
      <c r="L26" t="s">
        <v>277</v>
      </c>
      <c r="M26" t="s">
        <v>286</v>
      </c>
      <c r="N26">
        <v>262</v>
      </c>
      <c r="O26">
        <v>0</v>
      </c>
      <c r="P26">
        <v>0</v>
      </c>
      <c r="Q26">
        <v>1</v>
      </c>
      <c r="R26">
        <v>0</v>
      </c>
      <c r="S26">
        <v>0</v>
      </c>
      <c r="T26">
        <v>0</v>
      </c>
      <c r="U26">
        <v>0</v>
      </c>
      <c r="V26">
        <v>0</v>
      </c>
      <c r="W26">
        <v>0</v>
      </c>
      <c r="X26">
        <v>0</v>
      </c>
      <c r="Y26">
        <v>1</v>
      </c>
      <c r="Z26">
        <v>0</v>
      </c>
      <c r="AA26">
        <v>0</v>
      </c>
      <c r="AB26">
        <v>0</v>
      </c>
      <c r="AC26">
        <v>0</v>
      </c>
      <c r="AD26">
        <v>0</v>
      </c>
      <c r="AE26">
        <v>1</v>
      </c>
      <c r="AF26">
        <v>0</v>
      </c>
      <c r="AG26">
        <v>0</v>
      </c>
      <c r="AH26">
        <v>0</v>
      </c>
      <c r="AI26">
        <v>1</v>
      </c>
      <c r="AJ26">
        <v>0</v>
      </c>
      <c r="AK26">
        <v>1</v>
      </c>
      <c r="AL26">
        <v>0</v>
      </c>
      <c r="AM26">
        <v>1</v>
      </c>
      <c r="AN26">
        <v>1</v>
      </c>
      <c r="AO26">
        <v>0</v>
      </c>
      <c r="AP26">
        <v>750</v>
      </c>
      <c r="AQ26" t="s">
        <v>69</v>
      </c>
    </row>
    <row r="27" spans="1:58" x14ac:dyDescent="0.35">
      <c r="A27" t="s">
        <v>2194</v>
      </c>
      <c r="B27" t="s">
        <v>1933</v>
      </c>
      <c r="C27" t="s">
        <v>372</v>
      </c>
      <c r="D27">
        <v>5</v>
      </c>
      <c r="E27" t="s">
        <v>2348</v>
      </c>
      <c r="F27">
        <v>3</v>
      </c>
      <c r="G27" t="s">
        <v>330</v>
      </c>
      <c r="H27">
        <v>0.33333333333333331</v>
      </c>
      <c r="I27" t="s">
        <v>330</v>
      </c>
      <c r="J27">
        <v>0.33333333333333331</v>
      </c>
      <c r="K27" t="s">
        <v>784</v>
      </c>
      <c r="L27">
        <v>0.16666666666666666</v>
      </c>
      <c r="M27" t="s">
        <v>309</v>
      </c>
      <c r="N27" t="s">
        <v>69</v>
      </c>
      <c r="O27">
        <v>1</v>
      </c>
      <c r="P27">
        <v>2</v>
      </c>
      <c r="Q27">
        <v>1</v>
      </c>
      <c r="R27">
        <v>0</v>
      </c>
      <c r="S27">
        <v>0</v>
      </c>
      <c r="T27">
        <v>3</v>
      </c>
      <c r="U27">
        <v>0</v>
      </c>
      <c r="V27">
        <v>1</v>
      </c>
      <c r="W27">
        <v>1</v>
      </c>
      <c r="X27">
        <v>0</v>
      </c>
      <c r="Y27">
        <v>1</v>
      </c>
      <c r="Z27">
        <v>3</v>
      </c>
      <c r="AA27">
        <v>1</v>
      </c>
      <c r="AB27">
        <v>0</v>
      </c>
      <c r="AC27">
        <v>0</v>
      </c>
      <c r="AD27">
        <v>0</v>
      </c>
      <c r="AE27">
        <v>0</v>
      </c>
      <c r="AF27">
        <v>1</v>
      </c>
      <c r="AG27">
        <v>0</v>
      </c>
      <c r="AH27">
        <v>0</v>
      </c>
      <c r="AI27">
        <v>1</v>
      </c>
      <c r="AJ27">
        <v>4</v>
      </c>
      <c r="AK27">
        <v>4</v>
      </c>
      <c r="AL27">
        <v>0</v>
      </c>
      <c r="AM27">
        <v>5</v>
      </c>
      <c r="AN27">
        <v>3</v>
      </c>
      <c r="AO27">
        <v>1</v>
      </c>
      <c r="AP27">
        <v>375</v>
      </c>
      <c r="AQ27">
        <v>108.44449893000001</v>
      </c>
    </row>
    <row r="28" spans="1:58" x14ac:dyDescent="0.35">
      <c r="A28" t="s">
        <v>2195</v>
      </c>
      <c r="B28" t="s">
        <v>300</v>
      </c>
      <c r="C28" t="s">
        <v>273</v>
      </c>
      <c r="D28">
        <v>1</v>
      </c>
      <c r="E28" t="s">
        <v>580</v>
      </c>
      <c r="F28">
        <v>0</v>
      </c>
      <c r="G28" t="s">
        <v>449</v>
      </c>
      <c r="H28">
        <v>1</v>
      </c>
      <c r="I28" t="s">
        <v>277</v>
      </c>
      <c r="J28" t="s">
        <v>277</v>
      </c>
      <c r="K28" t="s">
        <v>277</v>
      </c>
      <c r="L28" t="s">
        <v>277</v>
      </c>
      <c r="M28" t="s">
        <v>309</v>
      </c>
      <c r="N28">
        <v>98</v>
      </c>
      <c r="O28">
        <v>0</v>
      </c>
      <c r="P28">
        <v>0</v>
      </c>
      <c r="Q28">
        <v>1</v>
      </c>
      <c r="R28">
        <v>0</v>
      </c>
      <c r="S28">
        <v>0</v>
      </c>
      <c r="T28">
        <v>0</v>
      </c>
      <c r="U28">
        <v>0</v>
      </c>
      <c r="V28">
        <v>0</v>
      </c>
      <c r="W28">
        <v>0</v>
      </c>
      <c r="X28">
        <v>0</v>
      </c>
      <c r="Y28">
        <v>0</v>
      </c>
      <c r="Z28">
        <v>0</v>
      </c>
      <c r="AA28">
        <v>1</v>
      </c>
      <c r="AB28">
        <v>0</v>
      </c>
      <c r="AC28">
        <v>0</v>
      </c>
      <c r="AD28">
        <v>0</v>
      </c>
      <c r="AE28">
        <v>0</v>
      </c>
      <c r="AF28">
        <v>1</v>
      </c>
      <c r="AG28">
        <v>0</v>
      </c>
      <c r="AH28">
        <v>0</v>
      </c>
      <c r="AI28">
        <v>1</v>
      </c>
      <c r="AJ28">
        <v>0</v>
      </c>
      <c r="AK28">
        <v>0</v>
      </c>
      <c r="AL28">
        <v>0</v>
      </c>
      <c r="AM28">
        <v>1</v>
      </c>
      <c r="AN28">
        <v>0</v>
      </c>
      <c r="AO28">
        <v>0</v>
      </c>
      <c r="AP28">
        <v>1133</v>
      </c>
      <c r="AQ28">
        <v>2132.1488549999999</v>
      </c>
    </row>
    <row r="29" spans="1:58" x14ac:dyDescent="0.35">
      <c r="A29" t="s">
        <v>2196</v>
      </c>
      <c r="B29" t="s">
        <v>364</v>
      </c>
      <c r="C29" t="s">
        <v>372</v>
      </c>
      <c r="D29">
        <v>3</v>
      </c>
      <c r="E29" t="s">
        <v>2270</v>
      </c>
      <c r="F29">
        <v>0</v>
      </c>
      <c r="G29" t="s">
        <v>288</v>
      </c>
      <c r="H29">
        <v>0.33333333333333331</v>
      </c>
      <c r="I29" t="s">
        <v>288</v>
      </c>
      <c r="J29">
        <v>0.33333333333333331</v>
      </c>
      <c r="K29" t="s">
        <v>288</v>
      </c>
      <c r="L29">
        <v>0.33333333333333331</v>
      </c>
      <c r="M29" t="s">
        <v>286</v>
      </c>
      <c r="N29">
        <v>10</v>
      </c>
      <c r="O29">
        <v>2</v>
      </c>
      <c r="P29">
        <v>1</v>
      </c>
      <c r="Q29">
        <v>1</v>
      </c>
      <c r="R29">
        <v>0</v>
      </c>
      <c r="S29">
        <v>0</v>
      </c>
      <c r="T29">
        <v>0</v>
      </c>
      <c r="U29">
        <v>0</v>
      </c>
      <c r="V29">
        <v>0</v>
      </c>
      <c r="W29">
        <v>0</v>
      </c>
      <c r="X29">
        <v>0</v>
      </c>
      <c r="Y29">
        <v>0</v>
      </c>
      <c r="Z29">
        <v>0</v>
      </c>
      <c r="AA29">
        <v>3</v>
      </c>
      <c r="AB29">
        <v>0</v>
      </c>
      <c r="AC29">
        <v>0</v>
      </c>
      <c r="AD29">
        <v>0</v>
      </c>
      <c r="AE29">
        <v>1</v>
      </c>
      <c r="AF29">
        <v>0</v>
      </c>
      <c r="AG29">
        <v>0</v>
      </c>
      <c r="AH29">
        <v>0</v>
      </c>
      <c r="AI29">
        <v>1</v>
      </c>
      <c r="AJ29">
        <v>3</v>
      </c>
      <c r="AK29">
        <v>0</v>
      </c>
      <c r="AL29">
        <v>0</v>
      </c>
      <c r="AM29">
        <v>3</v>
      </c>
      <c r="AN29">
        <v>0</v>
      </c>
      <c r="AO29">
        <v>0</v>
      </c>
      <c r="AP29">
        <v>300</v>
      </c>
      <c r="AQ29">
        <v>228.816</v>
      </c>
    </row>
    <row r="30" spans="1:58" x14ac:dyDescent="0.35">
      <c r="A30" t="s">
        <v>2197</v>
      </c>
      <c r="B30" t="s">
        <v>364</v>
      </c>
      <c r="C30" t="s">
        <v>273</v>
      </c>
      <c r="D30">
        <v>2</v>
      </c>
      <c r="E30" t="s">
        <v>2271</v>
      </c>
      <c r="F30">
        <v>1</v>
      </c>
      <c r="G30" t="s">
        <v>516</v>
      </c>
      <c r="H30">
        <v>0.5</v>
      </c>
      <c r="I30" t="s">
        <v>516</v>
      </c>
      <c r="J30">
        <v>0.5</v>
      </c>
      <c r="K30" t="s">
        <v>277</v>
      </c>
      <c r="L30" t="s">
        <v>277</v>
      </c>
      <c r="M30" t="s">
        <v>286</v>
      </c>
      <c r="N30">
        <v>10</v>
      </c>
      <c r="O30">
        <v>1</v>
      </c>
      <c r="P30">
        <v>0</v>
      </c>
      <c r="Q30">
        <v>1</v>
      </c>
      <c r="R30">
        <v>0</v>
      </c>
      <c r="S30">
        <v>0</v>
      </c>
      <c r="T30">
        <v>0</v>
      </c>
      <c r="U30">
        <v>0</v>
      </c>
      <c r="V30">
        <v>0</v>
      </c>
      <c r="W30">
        <v>0</v>
      </c>
      <c r="X30">
        <v>0</v>
      </c>
      <c r="Y30">
        <v>1</v>
      </c>
      <c r="Z30">
        <v>0</v>
      </c>
      <c r="AA30">
        <v>0</v>
      </c>
      <c r="AB30">
        <v>0</v>
      </c>
      <c r="AC30">
        <v>1</v>
      </c>
      <c r="AD30">
        <v>0</v>
      </c>
      <c r="AE30">
        <v>1</v>
      </c>
      <c r="AF30">
        <v>0</v>
      </c>
      <c r="AG30">
        <v>0</v>
      </c>
      <c r="AH30">
        <v>0</v>
      </c>
      <c r="AI30">
        <v>1</v>
      </c>
      <c r="AJ30">
        <v>1</v>
      </c>
      <c r="AK30">
        <v>1</v>
      </c>
      <c r="AL30">
        <v>1</v>
      </c>
      <c r="AM30">
        <v>2</v>
      </c>
      <c r="AN30">
        <v>1</v>
      </c>
      <c r="AO30">
        <v>0</v>
      </c>
      <c r="AP30">
        <v>300</v>
      </c>
      <c r="AQ30">
        <v>228.816</v>
      </c>
    </row>
    <row r="31" spans="1:58" x14ac:dyDescent="0.35">
      <c r="A31" t="s">
        <v>2198</v>
      </c>
      <c r="B31" t="s">
        <v>411</v>
      </c>
      <c r="C31" t="s">
        <v>405</v>
      </c>
      <c r="D31">
        <v>7</v>
      </c>
      <c r="E31" t="s">
        <v>2274</v>
      </c>
      <c r="F31">
        <v>2</v>
      </c>
      <c r="G31" t="s">
        <v>481</v>
      </c>
      <c r="H31">
        <v>0.42857142857142855</v>
      </c>
      <c r="I31" t="s">
        <v>398</v>
      </c>
      <c r="J31">
        <v>0.2857142857142857</v>
      </c>
      <c r="K31" t="s">
        <v>784</v>
      </c>
      <c r="L31">
        <v>0.14285714285714285</v>
      </c>
      <c r="M31" t="s">
        <v>286</v>
      </c>
      <c r="N31">
        <v>106</v>
      </c>
      <c r="O31">
        <v>3</v>
      </c>
      <c r="P31">
        <v>0</v>
      </c>
      <c r="Q31">
        <v>0</v>
      </c>
      <c r="R31">
        <v>0</v>
      </c>
      <c r="S31">
        <v>0</v>
      </c>
      <c r="T31">
        <v>3</v>
      </c>
      <c r="U31">
        <v>0</v>
      </c>
      <c r="V31">
        <v>0</v>
      </c>
      <c r="W31">
        <v>2</v>
      </c>
      <c r="X31">
        <v>0</v>
      </c>
      <c r="Y31">
        <v>6</v>
      </c>
      <c r="Z31">
        <v>0</v>
      </c>
      <c r="AA31">
        <v>0</v>
      </c>
      <c r="AB31">
        <v>1</v>
      </c>
      <c r="AC31">
        <v>0</v>
      </c>
      <c r="AD31">
        <v>0</v>
      </c>
      <c r="AE31">
        <v>1</v>
      </c>
      <c r="AF31">
        <v>0</v>
      </c>
      <c r="AG31">
        <v>0</v>
      </c>
      <c r="AH31">
        <v>0</v>
      </c>
      <c r="AI31">
        <v>0</v>
      </c>
      <c r="AJ31">
        <v>5</v>
      </c>
      <c r="AK31">
        <v>6</v>
      </c>
      <c r="AL31">
        <v>0</v>
      </c>
      <c r="AM31">
        <v>7</v>
      </c>
      <c r="AN31">
        <v>2</v>
      </c>
      <c r="AO31">
        <v>0</v>
      </c>
      <c r="AP31">
        <v>250</v>
      </c>
      <c r="AQ31">
        <v>520.02510199999995</v>
      </c>
    </row>
    <row r="32" spans="1:58" x14ac:dyDescent="0.35">
      <c r="A32" t="s">
        <v>2199</v>
      </c>
      <c r="B32" t="s">
        <v>414</v>
      </c>
      <c r="C32" t="s">
        <v>341</v>
      </c>
      <c r="D32">
        <v>6</v>
      </c>
      <c r="E32" t="s">
        <v>2277</v>
      </c>
      <c r="F32">
        <v>3</v>
      </c>
      <c r="G32" t="s">
        <v>490</v>
      </c>
      <c r="H32">
        <v>0.33333333333333331</v>
      </c>
      <c r="I32" t="s">
        <v>288</v>
      </c>
      <c r="J32">
        <v>0.16666666666666666</v>
      </c>
      <c r="K32" t="s">
        <v>288</v>
      </c>
      <c r="L32">
        <v>0.16666666666666666</v>
      </c>
      <c r="M32" t="s">
        <v>286</v>
      </c>
      <c r="N32">
        <v>0</v>
      </c>
      <c r="O32">
        <v>4</v>
      </c>
      <c r="P32">
        <v>0</v>
      </c>
      <c r="Q32">
        <v>0</v>
      </c>
      <c r="R32">
        <v>0</v>
      </c>
      <c r="S32">
        <v>0</v>
      </c>
      <c r="T32">
        <v>1</v>
      </c>
      <c r="U32">
        <v>0</v>
      </c>
      <c r="V32">
        <v>0</v>
      </c>
      <c r="W32">
        <v>4</v>
      </c>
      <c r="X32">
        <v>0</v>
      </c>
      <c r="Y32">
        <v>3</v>
      </c>
      <c r="Z32">
        <v>0</v>
      </c>
      <c r="AA32">
        <v>1</v>
      </c>
      <c r="AB32">
        <v>0</v>
      </c>
      <c r="AC32">
        <v>0</v>
      </c>
      <c r="AD32">
        <v>2</v>
      </c>
      <c r="AE32">
        <v>1</v>
      </c>
      <c r="AF32">
        <v>0</v>
      </c>
      <c r="AG32">
        <v>0</v>
      </c>
      <c r="AH32">
        <v>0</v>
      </c>
      <c r="AI32">
        <v>0</v>
      </c>
      <c r="AJ32">
        <v>8</v>
      </c>
      <c r="AK32">
        <v>3</v>
      </c>
      <c r="AL32">
        <v>2</v>
      </c>
      <c r="AM32">
        <v>6</v>
      </c>
      <c r="AN32">
        <v>3</v>
      </c>
      <c r="AO32">
        <v>0</v>
      </c>
      <c r="AP32">
        <v>750</v>
      </c>
      <c r="AQ32">
        <v>1332</v>
      </c>
    </row>
    <row r="33" spans="1:43" x14ac:dyDescent="0.35">
      <c r="A33" t="s">
        <v>2200</v>
      </c>
      <c r="B33" t="s">
        <v>414</v>
      </c>
      <c r="C33" t="s">
        <v>405</v>
      </c>
      <c r="D33">
        <v>1</v>
      </c>
      <c r="E33" t="s">
        <v>1975</v>
      </c>
      <c r="F33">
        <v>1</v>
      </c>
      <c r="G33" t="s">
        <v>784</v>
      </c>
      <c r="H33">
        <v>1</v>
      </c>
      <c r="I33" t="s">
        <v>277</v>
      </c>
      <c r="J33" t="s">
        <v>277</v>
      </c>
      <c r="K33" t="s">
        <v>277</v>
      </c>
      <c r="L33" t="s">
        <v>277</v>
      </c>
      <c r="M33" t="s">
        <v>286</v>
      </c>
      <c r="N33">
        <v>0</v>
      </c>
      <c r="O33">
        <v>1</v>
      </c>
      <c r="P33">
        <v>0</v>
      </c>
      <c r="Q33">
        <v>0</v>
      </c>
      <c r="R33">
        <v>0</v>
      </c>
      <c r="S33">
        <v>0</v>
      </c>
      <c r="T33">
        <v>0</v>
      </c>
      <c r="U33">
        <v>0</v>
      </c>
      <c r="V33">
        <v>0</v>
      </c>
      <c r="W33">
        <v>0</v>
      </c>
      <c r="X33">
        <v>0</v>
      </c>
      <c r="Y33">
        <v>0</v>
      </c>
      <c r="Z33">
        <v>0</v>
      </c>
      <c r="AA33">
        <v>0</v>
      </c>
      <c r="AB33">
        <v>0</v>
      </c>
      <c r="AC33">
        <v>0</v>
      </c>
      <c r="AD33">
        <v>1</v>
      </c>
      <c r="AE33">
        <v>1</v>
      </c>
      <c r="AF33">
        <v>0</v>
      </c>
      <c r="AG33">
        <v>0</v>
      </c>
      <c r="AH33">
        <v>0</v>
      </c>
      <c r="AI33">
        <v>0</v>
      </c>
      <c r="AJ33">
        <v>1</v>
      </c>
      <c r="AK33">
        <v>0</v>
      </c>
      <c r="AL33">
        <v>1</v>
      </c>
      <c r="AM33">
        <v>1</v>
      </c>
      <c r="AN33">
        <v>1</v>
      </c>
      <c r="AO33">
        <v>0</v>
      </c>
      <c r="AP33">
        <v>750</v>
      </c>
      <c r="AQ33">
        <v>1332</v>
      </c>
    </row>
    <row r="34" spans="1:43" x14ac:dyDescent="0.35">
      <c r="A34" t="s">
        <v>2201</v>
      </c>
      <c r="B34" t="s">
        <v>1935</v>
      </c>
      <c r="C34" t="s">
        <v>273</v>
      </c>
      <c r="D34">
        <v>4</v>
      </c>
      <c r="E34" t="s">
        <v>2349</v>
      </c>
      <c r="F34">
        <v>0</v>
      </c>
      <c r="G34" t="s">
        <v>606</v>
      </c>
      <c r="H34">
        <v>0.4</v>
      </c>
      <c r="I34" t="s">
        <v>606</v>
      </c>
      <c r="J34">
        <v>0.4</v>
      </c>
      <c r="K34" t="s">
        <v>449</v>
      </c>
      <c r="L34">
        <v>0.2</v>
      </c>
      <c r="M34" t="s">
        <v>309</v>
      </c>
      <c r="N34" t="s">
        <v>69</v>
      </c>
      <c r="O34">
        <v>0</v>
      </c>
      <c r="P34">
        <v>0</v>
      </c>
      <c r="Q34">
        <v>3</v>
      </c>
      <c r="R34">
        <v>0</v>
      </c>
      <c r="S34">
        <v>0</v>
      </c>
      <c r="T34">
        <v>0</v>
      </c>
      <c r="U34">
        <v>0</v>
      </c>
      <c r="V34">
        <v>1</v>
      </c>
      <c r="W34">
        <v>0</v>
      </c>
      <c r="X34">
        <v>1</v>
      </c>
      <c r="Y34">
        <v>3</v>
      </c>
      <c r="Z34">
        <v>0</v>
      </c>
      <c r="AA34">
        <v>0</v>
      </c>
      <c r="AB34">
        <v>0</v>
      </c>
      <c r="AC34">
        <v>0</v>
      </c>
      <c r="AD34">
        <v>0</v>
      </c>
      <c r="AE34">
        <v>0</v>
      </c>
      <c r="AF34">
        <v>1</v>
      </c>
      <c r="AG34">
        <v>0</v>
      </c>
      <c r="AH34">
        <v>0</v>
      </c>
      <c r="AI34">
        <v>3</v>
      </c>
      <c r="AJ34">
        <v>0</v>
      </c>
      <c r="AK34">
        <v>4</v>
      </c>
      <c r="AL34">
        <v>0</v>
      </c>
      <c r="AM34">
        <v>4</v>
      </c>
      <c r="AN34">
        <v>0</v>
      </c>
      <c r="AO34">
        <v>0</v>
      </c>
      <c r="AP34">
        <v>75</v>
      </c>
      <c r="AQ34">
        <v>53</v>
      </c>
    </row>
    <row r="35" spans="1:43" x14ac:dyDescent="0.35">
      <c r="A35" t="s">
        <v>2202</v>
      </c>
      <c r="B35" t="s">
        <v>418</v>
      </c>
      <c r="C35" t="s">
        <v>405</v>
      </c>
      <c r="D35">
        <v>3</v>
      </c>
      <c r="E35" t="s">
        <v>2350</v>
      </c>
      <c r="F35">
        <v>0</v>
      </c>
      <c r="G35" t="s">
        <v>784</v>
      </c>
      <c r="H35">
        <v>0.5</v>
      </c>
      <c r="I35" t="s">
        <v>940</v>
      </c>
      <c r="J35">
        <v>0.25</v>
      </c>
      <c r="K35" t="s">
        <v>940</v>
      </c>
      <c r="L35">
        <v>0.25</v>
      </c>
      <c r="M35" t="s">
        <v>286</v>
      </c>
      <c r="N35">
        <v>1</v>
      </c>
      <c r="O35">
        <v>3</v>
      </c>
      <c r="P35">
        <v>0</v>
      </c>
      <c r="Q35">
        <v>0</v>
      </c>
      <c r="R35">
        <v>0</v>
      </c>
      <c r="S35">
        <v>0</v>
      </c>
      <c r="T35">
        <v>0</v>
      </c>
      <c r="U35">
        <v>0</v>
      </c>
      <c r="V35">
        <v>0</v>
      </c>
      <c r="W35">
        <v>0</v>
      </c>
      <c r="X35">
        <v>0</v>
      </c>
      <c r="Y35">
        <v>1</v>
      </c>
      <c r="Z35">
        <v>0</v>
      </c>
      <c r="AA35">
        <v>1</v>
      </c>
      <c r="AB35">
        <v>0</v>
      </c>
      <c r="AC35">
        <v>1</v>
      </c>
      <c r="AD35">
        <v>0</v>
      </c>
      <c r="AE35">
        <v>1</v>
      </c>
      <c r="AF35">
        <v>0</v>
      </c>
      <c r="AG35">
        <v>0</v>
      </c>
      <c r="AH35">
        <v>0</v>
      </c>
      <c r="AI35">
        <v>0</v>
      </c>
      <c r="AJ35">
        <v>3</v>
      </c>
      <c r="AK35">
        <v>1</v>
      </c>
      <c r="AL35">
        <v>1</v>
      </c>
      <c r="AM35">
        <v>3</v>
      </c>
      <c r="AN35">
        <v>0</v>
      </c>
      <c r="AO35">
        <v>0</v>
      </c>
      <c r="AP35">
        <v>175</v>
      </c>
      <c r="AQ35" t="s">
        <v>69</v>
      </c>
    </row>
    <row r="36" spans="1:43" x14ac:dyDescent="0.35">
      <c r="A36" t="s">
        <v>2203</v>
      </c>
      <c r="B36" t="s">
        <v>397</v>
      </c>
      <c r="C36" t="s">
        <v>372</v>
      </c>
      <c r="D36">
        <v>4</v>
      </c>
      <c r="E36" t="s">
        <v>2351</v>
      </c>
      <c r="F36">
        <v>1</v>
      </c>
      <c r="G36" t="s">
        <v>288</v>
      </c>
      <c r="H36">
        <v>0.4</v>
      </c>
      <c r="I36" t="s">
        <v>398</v>
      </c>
      <c r="J36">
        <v>0.2</v>
      </c>
      <c r="K36" t="s">
        <v>398</v>
      </c>
      <c r="L36">
        <v>0.2</v>
      </c>
      <c r="M36" t="s">
        <v>331</v>
      </c>
      <c r="N36">
        <v>0</v>
      </c>
      <c r="O36">
        <v>1</v>
      </c>
      <c r="P36">
        <v>0</v>
      </c>
      <c r="Q36">
        <v>2</v>
      </c>
      <c r="R36">
        <v>0</v>
      </c>
      <c r="S36">
        <v>0</v>
      </c>
      <c r="T36">
        <v>2</v>
      </c>
      <c r="U36">
        <v>0</v>
      </c>
      <c r="V36">
        <v>0</v>
      </c>
      <c r="W36">
        <v>0</v>
      </c>
      <c r="X36">
        <v>0</v>
      </c>
      <c r="Y36">
        <v>2</v>
      </c>
      <c r="Z36">
        <v>1</v>
      </c>
      <c r="AA36">
        <v>1</v>
      </c>
      <c r="AB36">
        <v>0</v>
      </c>
      <c r="AC36">
        <v>0</v>
      </c>
      <c r="AD36">
        <v>0</v>
      </c>
      <c r="AE36">
        <v>0</v>
      </c>
      <c r="AF36">
        <v>0</v>
      </c>
      <c r="AG36">
        <v>1</v>
      </c>
      <c r="AH36">
        <v>0</v>
      </c>
      <c r="AI36">
        <v>2</v>
      </c>
      <c r="AJ36">
        <v>1</v>
      </c>
      <c r="AK36">
        <v>3</v>
      </c>
      <c r="AL36">
        <v>0</v>
      </c>
      <c r="AM36">
        <v>4</v>
      </c>
      <c r="AN36">
        <v>1</v>
      </c>
      <c r="AO36">
        <v>0</v>
      </c>
      <c r="AP36">
        <v>74928</v>
      </c>
      <c r="AQ36" t="s">
        <v>69</v>
      </c>
    </row>
    <row r="37" spans="1:43" x14ac:dyDescent="0.35">
      <c r="A37" t="s">
        <v>2204</v>
      </c>
      <c r="B37" t="s">
        <v>420</v>
      </c>
      <c r="C37" t="s">
        <v>405</v>
      </c>
      <c r="D37">
        <v>9</v>
      </c>
      <c r="E37" t="s">
        <v>2275</v>
      </c>
      <c r="F37">
        <v>3</v>
      </c>
      <c r="G37" t="s">
        <v>306</v>
      </c>
      <c r="H37">
        <v>0.44444444444444442</v>
      </c>
      <c r="I37" t="s">
        <v>784</v>
      </c>
      <c r="J37">
        <v>0.22222222222222221</v>
      </c>
      <c r="K37" t="s">
        <v>288</v>
      </c>
      <c r="L37">
        <v>0.1111111111111111</v>
      </c>
      <c r="M37" t="s">
        <v>286</v>
      </c>
      <c r="N37">
        <v>222</v>
      </c>
      <c r="O37">
        <v>3</v>
      </c>
      <c r="P37">
        <v>1</v>
      </c>
      <c r="Q37">
        <v>1</v>
      </c>
      <c r="R37">
        <v>0</v>
      </c>
      <c r="S37">
        <v>3</v>
      </c>
      <c r="T37">
        <v>3</v>
      </c>
      <c r="U37">
        <v>0</v>
      </c>
      <c r="V37">
        <v>0</v>
      </c>
      <c r="W37">
        <v>2</v>
      </c>
      <c r="X37">
        <v>1</v>
      </c>
      <c r="Y37">
        <v>5</v>
      </c>
      <c r="Z37">
        <v>1</v>
      </c>
      <c r="AA37">
        <v>0</v>
      </c>
      <c r="AB37">
        <v>0</v>
      </c>
      <c r="AC37">
        <v>2</v>
      </c>
      <c r="AD37">
        <v>0</v>
      </c>
      <c r="AE37">
        <v>1</v>
      </c>
      <c r="AF37">
        <v>0</v>
      </c>
      <c r="AG37">
        <v>0</v>
      </c>
      <c r="AH37">
        <v>0</v>
      </c>
      <c r="AI37">
        <v>4</v>
      </c>
      <c r="AJ37">
        <v>6</v>
      </c>
      <c r="AK37">
        <v>7</v>
      </c>
      <c r="AL37">
        <v>2</v>
      </c>
      <c r="AM37">
        <v>9</v>
      </c>
      <c r="AN37">
        <v>3</v>
      </c>
      <c r="AO37">
        <v>1</v>
      </c>
      <c r="AP37">
        <v>700</v>
      </c>
      <c r="AQ37">
        <v>648.071101</v>
      </c>
    </row>
    <row r="38" spans="1:43" x14ac:dyDescent="0.35">
      <c r="A38" t="s">
        <v>2205</v>
      </c>
      <c r="B38" t="s">
        <v>318</v>
      </c>
      <c r="C38" t="s">
        <v>341</v>
      </c>
      <c r="D38">
        <v>1</v>
      </c>
      <c r="E38" t="s">
        <v>774</v>
      </c>
      <c r="F38">
        <v>0</v>
      </c>
      <c r="G38" t="s">
        <v>490</v>
      </c>
      <c r="H38">
        <v>1</v>
      </c>
      <c r="I38" t="s">
        <v>277</v>
      </c>
      <c r="J38" t="s">
        <v>277</v>
      </c>
      <c r="K38" t="s">
        <v>277</v>
      </c>
      <c r="L38" t="s">
        <v>277</v>
      </c>
      <c r="M38" t="s">
        <v>320</v>
      </c>
      <c r="N38">
        <v>1.0900000000000001</v>
      </c>
      <c r="O38">
        <v>0</v>
      </c>
      <c r="P38">
        <v>0</v>
      </c>
      <c r="Q38">
        <v>0</v>
      </c>
      <c r="R38">
        <v>0</v>
      </c>
      <c r="S38">
        <v>0</v>
      </c>
      <c r="T38">
        <v>0</v>
      </c>
      <c r="U38">
        <v>0</v>
      </c>
      <c r="V38">
        <v>0</v>
      </c>
      <c r="W38">
        <v>1</v>
      </c>
      <c r="X38">
        <v>0</v>
      </c>
      <c r="Y38">
        <v>0</v>
      </c>
      <c r="Z38">
        <v>1</v>
      </c>
      <c r="AA38">
        <v>0</v>
      </c>
      <c r="AB38">
        <v>0</v>
      </c>
      <c r="AC38">
        <v>0</v>
      </c>
      <c r="AD38">
        <v>0</v>
      </c>
      <c r="AE38">
        <v>0</v>
      </c>
      <c r="AF38">
        <v>0</v>
      </c>
      <c r="AG38">
        <v>0</v>
      </c>
      <c r="AH38">
        <v>1</v>
      </c>
      <c r="AI38">
        <v>0</v>
      </c>
      <c r="AJ38">
        <v>1</v>
      </c>
      <c r="AK38">
        <v>1</v>
      </c>
      <c r="AL38">
        <v>0</v>
      </c>
      <c r="AM38">
        <v>1</v>
      </c>
      <c r="AN38">
        <v>0</v>
      </c>
      <c r="AO38">
        <v>1</v>
      </c>
      <c r="AP38">
        <v>3000</v>
      </c>
      <c r="AQ38">
        <v>25212.45</v>
      </c>
    </row>
    <row r="39" spans="1:43" x14ac:dyDescent="0.35">
      <c r="A39" t="s">
        <v>2206</v>
      </c>
      <c r="B39" t="s">
        <v>424</v>
      </c>
      <c r="C39" t="s">
        <v>405</v>
      </c>
      <c r="D39">
        <v>3</v>
      </c>
      <c r="E39" t="s">
        <v>2276</v>
      </c>
      <c r="F39">
        <v>0</v>
      </c>
      <c r="G39" t="s">
        <v>288</v>
      </c>
      <c r="H39">
        <v>1</v>
      </c>
      <c r="I39" t="s">
        <v>277</v>
      </c>
      <c r="J39" t="s">
        <v>277</v>
      </c>
      <c r="K39" t="s">
        <v>277</v>
      </c>
      <c r="L39" t="s">
        <v>277</v>
      </c>
      <c r="M39" t="s">
        <v>320</v>
      </c>
      <c r="N39" t="s">
        <v>69</v>
      </c>
      <c r="O39">
        <v>0</v>
      </c>
      <c r="P39">
        <v>0</v>
      </c>
      <c r="Q39">
        <v>2</v>
      </c>
      <c r="R39">
        <v>0</v>
      </c>
      <c r="S39">
        <v>1</v>
      </c>
      <c r="T39">
        <v>0</v>
      </c>
      <c r="U39">
        <v>0</v>
      </c>
      <c r="V39">
        <v>0</v>
      </c>
      <c r="W39">
        <v>0</v>
      </c>
      <c r="X39">
        <v>0</v>
      </c>
      <c r="Y39">
        <v>1</v>
      </c>
      <c r="Z39">
        <v>0</v>
      </c>
      <c r="AA39">
        <v>2</v>
      </c>
      <c r="AB39">
        <v>0</v>
      </c>
      <c r="AC39">
        <v>0</v>
      </c>
      <c r="AD39">
        <v>0</v>
      </c>
      <c r="AE39">
        <v>0</v>
      </c>
      <c r="AF39">
        <v>0</v>
      </c>
      <c r="AG39">
        <v>0</v>
      </c>
      <c r="AH39">
        <v>1</v>
      </c>
      <c r="AI39">
        <v>3</v>
      </c>
      <c r="AJ39">
        <v>0</v>
      </c>
      <c r="AK39">
        <v>1</v>
      </c>
      <c r="AL39">
        <v>0</v>
      </c>
      <c r="AM39">
        <v>3</v>
      </c>
      <c r="AN39">
        <v>0</v>
      </c>
      <c r="AO39">
        <v>0</v>
      </c>
      <c r="AP39">
        <v>3000</v>
      </c>
      <c r="AQ39">
        <v>1050</v>
      </c>
    </row>
    <row r="40" spans="1:43" x14ac:dyDescent="0.35">
      <c r="A40" t="s">
        <v>2207</v>
      </c>
      <c r="B40" t="s">
        <v>1936</v>
      </c>
      <c r="C40" t="s">
        <v>273</v>
      </c>
      <c r="D40">
        <v>4</v>
      </c>
      <c r="E40" t="s">
        <v>2285</v>
      </c>
      <c r="F40">
        <v>2</v>
      </c>
      <c r="G40" t="s">
        <v>516</v>
      </c>
      <c r="H40">
        <v>0.5</v>
      </c>
      <c r="I40" t="s">
        <v>288</v>
      </c>
      <c r="J40">
        <v>0.25</v>
      </c>
      <c r="K40" t="s">
        <v>288</v>
      </c>
      <c r="L40">
        <v>0.25</v>
      </c>
      <c r="M40" t="s">
        <v>309</v>
      </c>
      <c r="N40">
        <v>10</v>
      </c>
      <c r="O40">
        <v>1</v>
      </c>
      <c r="P40">
        <v>0</v>
      </c>
      <c r="Q40">
        <v>3</v>
      </c>
      <c r="R40">
        <v>0</v>
      </c>
      <c r="S40">
        <v>0</v>
      </c>
      <c r="T40">
        <v>0</v>
      </c>
      <c r="U40">
        <v>0</v>
      </c>
      <c r="V40">
        <v>0</v>
      </c>
      <c r="W40">
        <v>0</v>
      </c>
      <c r="X40">
        <v>0</v>
      </c>
      <c r="Y40">
        <v>3</v>
      </c>
      <c r="Z40">
        <v>0</v>
      </c>
      <c r="AA40">
        <v>1</v>
      </c>
      <c r="AB40">
        <v>0</v>
      </c>
      <c r="AC40">
        <v>0</v>
      </c>
      <c r="AD40">
        <v>0</v>
      </c>
      <c r="AE40">
        <v>0</v>
      </c>
      <c r="AF40">
        <v>1</v>
      </c>
      <c r="AG40">
        <v>0</v>
      </c>
      <c r="AH40">
        <v>0</v>
      </c>
      <c r="AI40">
        <v>3</v>
      </c>
      <c r="AJ40">
        <v>1</v>
      </c>
      <c r="AK40">
        <v>3</v>
      </c>
      <c r="AL40">
        <v>0</v>
      </c>
      <c r="AM40">
        <v>4</v>
      </c>
      <c r="AN40">
        <v>2</v>
      </c>
      <c r="AO40">
        <v>0</v>
      </c>
      <c r="AP40">
        <v>30</v>
      </c>
      <c r="AQ40" t="s">
        <v>69</v>
      </c>
    </row>
    <row r="41" spans="1:43" x14ac:dyDescent="0.35">
      <c r="A41" t="s">
        <v>2208</v>
      </c>
      <c r="B41" t="s">
        <v>428</v>
      </c>
      <c r="C41" t="s">
        <v>405</v>
      </c>
      <c r="D41">
        <v>2</v>
      </c>
      <c r="E41" t="s">
        <v>2268</v>
      </c>
      <c r="F41">
        <v>0</v>
      </c>
      <c r="G41" t="s">
        <v>319</v>
      </c>
      <c r="H41">
        <v>0.5</v>
      </c>
      <c r="I41" t="s">
        <v>319</v>
      </c>
      <c r="J41">
        <v>0.5</v>
      </c>
      <c r="K41" t="s">
        <v>277</v>
      </c>
      <c r="L41" t="s">
        <v>277</v>
      </c>
      <c r="M41" t="s">
        <v>286</v>
      </c>
      <c r="N41">
        <v>1</v>
      </c>
      <c r="O41">
        <v>0</v>
      </c>
      <c r="P41">
        <v>0</v>
      </c>
      <c r="Q41">
        <v>1</v>
      </c>
      <c r="R41">
        <v>0</v>
      </c>
      <c r="S41">
        <v>0</v>
      </c>
      <c r="T41">
        <v>1</v>
      </c>
      <c r="U41">
        <v>0</v>
      </c>
      <c r="V41">
        <v>0</v>
      </c>
      <c r="W41">
        <v>0</v>
      </c>
      <c r="X41">
        <v>0</v>
      </c>
      <c r="Y41">
        <v>1</v>
      </c>
      <c r="Z41">
        <v>0</v>
      </c>
      <c r="AA41">
        <v>1</v>
      </c>
      <c r="AB41">
        <v>0</v>
      </c>
      <c r="AC41">
        <v>0</v>
      </c>
      <c r="AD41">
        <v>0</v>
      </c>
      <c r="AE41">
        <v>1</v>
      </c>
      <c r="AF41">
        <v>0</v>
      </c>
      <c r="AG41">
        <v>0</v>
      </c>
      <c r="AH41">
        <v>0</v>
      </c>
      <c r="AI41">
        <v>1</v>
      </c>
      <c r="AJ41">
        <v>0</v>
      </c>
      <c r="AK41">
        <v>1</v>
      </c>
      <c r="AL41">
        <v>0</v>
      </c>
      <c r="AM41">
        <v>2</v>
      </c>
      <c r="AN41">
        <v>0</v>
      </c>
      <c r="AO41">
        <v>0</v>
      </c>
      <c r="AP41">
        <v>110</v>
      </c>
      <c r="AQ41">
        <v>73</v>
      </c>
    </row>
    <row r="42" spans="1:43" x14ac:dyDescent="0.35">
      <c r="A42" t="s">
        <v>2209</v>
      </c>
      <c r="B42" t="s">
        <v>367</v>
      </c>
      <c r="C42" t="s">
        <v>341</v>
      </c>
      <c r="D42">
        <v>6</v>
      </c>
      <c r="E42" t="s">
        <v>2280</v>
      </c>
      <c r="F42">
        <v>2</v>
      </c>
      <c r="G42" t="s">
        <v>490</v>
      </c>
      <c r="H42">
        <v>0.33333333333333331</v>
      </c>
      <c r="I42" t="s">
        <v>398</v>
      </c>
      <c r="J42">
        <v>0.16666666666666666</v>
      </c>
      <c r="K42" t="s">
        <v>398</v>
      </c>
      <c r="L42">
        <v>0.16666666666666666</v>
      </c>
      <c r="M42" t="s">
        <v>286</v>
      </c>
      <c r="N42">
        <v>2.1379999999999999</v>
      </c>
      <c r="O42">
        <v>2</v>
      </c>
      <c r="P42">
        <v>0</v>
      </c>
      <c r="Q42">
        <v>1</v>
      </c>
      <c r="R42">
        <v>0</v>
      </c>
      <c r="S42">
        <v>1</v>
      </c>
      <c r="T42">
        <v>3</v>
      </c>
      <c r="U42">
        <v>0</v>
      </c>
      <c r="V42">
        <v>0</v>
      </c>
      <c r="W42">
        <v>0</v>
      </c>
      <c r="X42">
        <v>0</v>
      </c>
      <c r="Y42">
        <v>3</v>
      </c>
      <c r="Z42">
        <v>0</v>
      </c>
      <c r="AA42">
        <v>0</v>
      </c>
      <c r="AB42">
        <v>3</v>
      </c>
      <c r="AC42">
        <v>0</v>
      </c>
      <c r="AD42">
        <v>0</v>
      </c>
      <c r="AE42">
        <v>1</v>
      </c>
      <c r="AF42">
        <v>0</v>
      </c>
      <c r="AG42">
        <v>0</v>
      </c>
      <c r="AH42">
        <v>0</v>
      </c>
      <c r="AI42">
        <v>2</v>
      </c>
      <c r="AJ42">
        <v>2</v>
      </c>
      <c r="AK42">
        <v>3</v>
      </c>
      <c r="AL42">
        <v>0</v>
      </c>
      <c r="AM42">
        <v>6</v>
      </c>
      <c r="AN42">
        <v>2</v>
      </c>
      <c r="AO42">
        <v>0</v>
      </c>
      <c r="AP42">
        <v>3000</v>
      </c>
      <c r="AQ42">
        <v>5500</v>
      </c>
    </row>
    <row r="43" spans="1:43" x14ac:dyDescent="0.35">
      <c r="A43" t="s">
        <v>2210</v>
      </c>
      <c r="B43" t="s">
        <v>312</v>
      </c>
      <c r="C43" t="s">
        <v>273</v>
      </c>
      <c r="D43">
        <v>2</v>
      </c>
      <c r="E43" t="s">
        <v>2272</v>
      </c>
      <c r="F43">
        <v>1</v>
      </c>
      <c r="G43" t="s">
        <v>516</v>
      </c>
      <c r="H43">
        <v>1</v>
      </c>
      <c r="I43" t="s">
        <v>277</v>
      </c>
      <c r="J43" t="s">
        <v>277</v>
      </c>
      <c r="K43" t="s">
        <v>277</v>
      </c>
      <c r="L43" t="s">
        <v>277</v>
      </c>
      <c r="M43" t="s">
        <v>286</v>
      </c>
      <c r="N43">
        <v>0</v>
      </c>
      <c r="O43">
        <v>0</v>
      </c>
      <c r="P43">
        <v>0</v>
      </c>
      <c r="Q43">
        <v>2</v>
      </c>
      <c r="R43">
        <v>0</v>
      </c>
      <c r="S43">
        <v>0</v>
      </c>
      <c r="T43">
        <v>2</v>
      </c>
      <c r="U43">
        <v>0</v>
      </c>
      <c r="V43">
        <v>0</v>
      </c>
      <c r="W43">
        <v>0</v>
      </c>
      <c r="X43">
        <v>0</v>
      </c>
      <c r="Y43">
        <v>1</v>
      </c>
      <c r="Z43">
        <v>0</v>
      </c>
      <c r="AA43">
        <v>1</v>
      </c>
      <c r="AB43">
        <v>0</v>
      </c>
      <c r="AC43">
        <v>0</v>
      </c>
      <c r="AD43">
        <v>0</v>
      </c>
      <c r="AE43">
        <v>1</v>
      </c>
      <c r="AF43">
        <v>0</v>
      </c>
      <c r="AG43">
        <v>0</v>
      </c>
      <c r="AH43">
        <v>0</v>
      </c>
      <c r="AI43">
        <v>2</v>
      </c>
      <c r="AJ43">
        <v>0</v>
      </c>
      <c r="AK43">
        <v>1</v>
      </c>
      <c r="AL43">
        <v>0</v>
      </c>
      <c r="AM43">
        <v>2</v>
      </c>
      <c r="AN43">
        <v>1</v>
      </c>
      <c r="AO43">
        <v>0</v>
      </c>
      <c r="AP43">
        <v>175</v>
      </c>
      <c r="AQ43">
        <v>257.21844499999997</v>
      </c>
    </row>
    <row r="44" spans="1:43" x14ac:dyDescent="0.35">
      <c r="A44" t="s">
        <v>2211</v>
      </c>
      <c r="B44" t="s">
        <v>1932</v>
      </c>
      <c r="C44" t="s">
        <v>372</v>
      </c>
      <c r="D44">
        <v>4</v>
      </c>
      <c r="E44" t="s">
        <v>2352</v>
      </c>
      <c r="F44">
        <v>1</v>
      </c>
      <c r="G44" t="s">
        <v>398</v>
      </c>
      <c r="H44">
        <v>0.42857142857142855</v>
      </c>
      <c r="I44" t="s">
        <v>606</v>
      </c>
      <c r="J44">
        <v>0.14285714285714285</v>
      </c>
      <c r="K44" t="s">
        <v>606</v>
      </c>
      <c r="L44">
        <v>0.14285714285714285</v>
      </c>
      <c r="M44" t="s">
        <v>309</v>
      </c>
      <c r="N44">
        <v>5.7859999999999996</v>
      </c>
      <c r="O44">
        <v>1</v>
      </c>
      <c r="P44">
        <v>0</v>
      </c>
      <c r="Q44">
        <v>2</v>
      </c>
      <c r="R44">
        <v>0</v>
      </c>
      <c r="S44">
        <v>0</v>
      </c>
      <c r="T44">
        <v>1</v>
      </c>
      <c r="U44">
        <v>0</v>
      </c>
      <c r="V44">
        <v>0</v>
      </c>
      <c r="W44">
        <v>0</v>
      </c>
      <c r="X44">
        <v>0</v>
      </c>
      <c r="Y44">
        <v>2</v>
      </c>
      <c r="Z44">
        <v>0</v>
      </c>
      <c r="AA44">
        <v>2</v>
      </c>
      <c r="AB44">
        <v>0</v>
      </c>
      <c r="AC44">
        <v>0</v>
      </c>
      <c r="AD44">
        <v>0</v>
      </c>
      <c r="AE44">
        <v>0</v>
      </c>
      <c r="AF44">
        <v>1</v>
      </c>
      <c r="AG44">
        <v>0</v>
      </c>
      <c r="AH44">
        <v>0</v>
      </c>
      <c r="AI44">
        <v>2</v>
      </c>
      <c r="AJ44">
        <v>1</v>
      </c>
      <c r="AK44">
        <v>2</v>
      </c>
      <c r="AL44">
        <v>0</v>
      </c>
      <c r="AM44">
        <v>4</v>
      </c>
      <c r="AN44">
        <v>1</v>
      </c>
      <c r="AO44">
        <v>0</v>
      </c>
      <c r="AP44">
        <v>3000</v>
      </c>
      <c r="AQ44" t="s">
        <v>69</v>
      </c>
    </row>
    <row r="45" spans="1:43" x14ac:dyDescent="0.35">
      <c r="A45" t="s">
        <v>2212</v>
      </c>
      <c r="B45" t="s">
        <v>674</v>
      </c>
      <c r="C45" t="s">
        <v>273</v>
      </c>
      <c r="D45">
        <v>1</v>
      </c>
      <c r="E45" t="s">
        <v>340</v>
      </c>
      <c r="F45">
        <v>0</v>
      </c>
      <c r="G45" t="s">
        <v>319</v>
      </c>
      <c r="H45">
        <v>1</v>
      </c>
      <c r="I45" t="s">
        <v>277</v>
      </c>
      <c r="J45" t="s">
        <v>277</v>
      </c>
      <c r="K45" t="s">
        <v>277</v>
      </c>
      <c r="L45" t="s">
        <v>277</v>
      </c>
      <c r="M45" t="s">
        <v>309</v>
      </c>
      <c r="N45" t="s">
        <v>69</v>
      </c>
      <c r="O45">
        <v>0</v>
      </c>
      <c r="P45">
        <v>0</v>
      </c>
      <c r="Q45">
        <v>1</v>
      </c>
      <c r="R45">
        <v>0</v>
      </c>
      <c r="S45">
        <v>0</v>
      </c>
      <c r="T45">
        <v>0</v>
      </c>
      <c r="U45">
        <v>0</v>
      </c>
      <c r="V45">
        <v>0</v>
      </c>
      <c r="W45">
        <v>0</v>
      </c>
      <c r="X45">
        <v>0</v>
      </c>
      <c r="Y45">
        <v>0</v>
      </c>
      <c r="Z45">
        <v>0</v>
      </c>
      <c r="AA45">
        <v>1</v>
      </c>
      <c r="AB45">
        <v>0</v>
      </c>
      <c r="AC45">
        <v>0</v>
      </c>
      <c r="AD45">
        <v>0</v>
      </c>
      <c r="AE45">
        <v>0</v>
      </c>
      <c r="AF45">
        <v>1</v>
      </c>
      <c r="AG45">
        <v>0</v>
      </c>
      <c r="AH45">
        <v>0</v>
      </c>
      <c r="AI45">
        <v>1</v>
      </c>
      <c r="AJ45">
        <v>0</v>
      </c>
      <c r="AK45">
        <v>1</v>
      </c>
      <c r="AL45">
        <v>0</v>
      </c>
      <c r="AM45">
        <v>1</v>
      </c>
      <c r="AN45">
        <v>0</v>
      </c>
      <c r="AO45">
        <v>0</v>
      </c>
      <c r="AP45">
        <v>375</v>
      </c>
      <c r="AQ45">
        <v>197.715822</v>
      </c>
    </row>
    <row r="46" spans="1:43" x14ac:dyDescent="0.35">
      <c r="A46" t="s">
        <v>2309</v>
      </c>
      <c r="B46" t="s">
        <v>724</v>
      </c>
      <c r="C46" t="s">
        <v>372</v>
      </c>
      <c r="D46">
        <v>1</v>
      </c>
      <c r="E46" t="s">
        <v>386</v>
      </c>
      <c r="F46">
        <v>0</v>
      </c>
      <c r="G46" t="s">
        <v>288</v>
      </c>
      <c r="H46">
        <v>1</v>
      </c>
      <c r="I46" t="s">
        <v>277</v>
      </c>
      <c r="J46" t="s">
        <v>277</v>
      </c>
      <c r="K46" t="s">
        <v>277</v>
      </c>
      <c r="L46" t="s">
        <v>277</v>
      </c>
      <c r="M46" t="s">
        <v>331</v>
      </c>
      <c r="N46">
        <v>20</v>
      </c>
      <c r="O46">
        <v>0</v>
      </c>
      <c r="P46">
        <v>0</v>
      </c>
      <c r="Q46">
        <v>1</v>
      </c>
      <c r="R46">
        <v>0</v>
      </c>
      <c r="S46">
        <v>0</v>
      </c>
      <c r="T46">
        <v>0</v>
      </c>
      <c r="U46">
        <v>0</v>
      </c>
      <c r="V46">
        <v>0</v>
      </c>
      <c r="W46">
        <v>0</v>
      </c>
      <c r="X46">
        <v>0</v>
      </c>
      <c r="Y46">
        <v>0</v>
      </c>
      <c r="Z46">
        <v>0</v>
      </c>
      <c r="AA46">
        <v>1</v>
      </c>
      <c r="AB46">
        <v>0</v>
      </c>
      <c r="AC46">
        <v>0</v>
      </c>
      <c r="AD46">
        <v>0</v>
      </c>
      <c r="AE46">
        <v>0</v>
      </c>
      <c r="AF46">
        <v>0</v>
      </c>
      <c r="AG46">
        <v>1</v>
      </c>
      <c r="AH46">
        <v>0</v>
      </c>
      <c r="AI46">
        <v>1</v>
      </c>
      <c r="AJ46">
        <v>0</v>
      </c>
      <c r="AK46">
        <v>0</v>
      </c>
      <c r="AL46">
        <v>0</v>
      </c>
      <c r="AM46">
        <v>1</v>
      </c>
      <c r="AN46">
        <v>0</v>
      </c>
      <c r="AO46">
        <v>0</v>
      </c>
      <c r="AP46">
        <v>3000</v>
      </c>
      <c r="AQ46">
        <v>887.06411100000003</v>
      </c>
    </row>
    <row r="47" spans="1:43" x14ac:dyDescent="0.35">
      <c r="A47" t="s">
        <v>2213</v>
      </c>
      <c r="B47" t="s">
        <v>1951</v>
      </c>
      <c r="C47" t="s">
        <v>372</v>
      </c>
      <c r="D47">
        <v>1</v>
      </c>
      <c r="E47" t="s">
        <v>1933</v>
      </c>
      <c r="F47">
        <v>1</v>
      </c>
      <c r="G47" t="s">
        <v>288</v>
      </c>
      <c r="H47">
        <v>1</v>
      </c>
      <c r="I47" t="s">
        <v>277</v>
      </c>
      <c r="J47" t="s">
        <v>277</v>
      </c>
      <c r="K47" t="s">
        <v>277</v>
      </c>
      <c r="L47" t="s">
        <v>277</v>
      </c>
      <c r="M47" t="s">
        <v>309</v>
      </c>
      <c r="N47" t="s">
        <v>69</v>
      </c>
      <c r="O47">
        <v>0</v>
      </c>
      <c r="P47">
        <v>1</v>
      </c>
      <c r="Q47">
        <v>0</v>
      </c>
      <c r="R47">
        <v>0</v>
      </c>
      <c r="S47">
        <v>0</v>
      </c>
      <c r="T47">
        <v>0</v>
      </c>
      <c r="U47">
        <v>0</v>
      </c>
      <c r="V47">
        <v>0</v>
      </c>
      <c r="W47">
        <v>0</v>
      </c>
      <c r="X47">
        <v>0</v>
      </c>
      <c r="Y47">
        <v>1</v>
      </c>
      <c r="Z47">
        <v>0</v>
      </c>
      <c r="AA47">
        <v>0</v>
      </c>
      <c r="AB47">
        <v>0</v>
      </c>
      <c r="AC47">
        <v>0</v>
      </c>
      <c r="AD47">
        <v>0</v>
      </c>
      <c r="AE47">
        <v>0</v>
      </c>
      <c r="AF47">
        <v>1</v>
      </c>
      <c r="AG47">
        <v>0</v>
      </c>
      <c r="AH47">
        <v>0</v>
      </c>
      <c r="AI47">
        <v>0</v>
      </c>
      <c r="AJ47">
        <v>1</v>
      </c>
      <c r="AK47">
        <v>1</v>
      </c>
      <c r="AL47">
        <v>0</v>
      </c>
      <c r="AM47">
        <v>1</v>
      </c>
      <c r="AN47">
        <v>1</v>
      </c>
      <c r="AO47">
        <v>0</v>
      </c>
      <c r="AP47">
        <v>75</v>
      </c>
      <c r="AQ47" t="s">
        <v>69</v>
      </c>
    </row>
    <row r="48" spans="1:43" x14ac:dyDescent="0.35">
      <c r="A48" t="s">
        <v>2214</v>
      </c>
      <c r="B48" t="s">
        <v>580</v>
      </c>
      <c r="C48" t="s">
        <v>273</v>
      </c>
      <c r="D48">
        <v>2</v>
      </c>
      <c r="E48" t="s">
        <v>2286</v>
      </c>
      <c r="F48">
        <v>0</v>
      </c>
      <c r="G48" t="s">
        <v>288</v>
      </c>
      <c r="H48">
        <v>1</v>
      </c>
      <c r="I48" t="s">
        <v>277</v>
      </c>
      <c r="J48" t="s">
        <v>277</v>
      </c>
      <c r="K48" t="s">
        <v>277</v>
      </c>
      <c r="L48" t="s">
        <v>277</v>
      </c>
      <c r="M48" t="s">
        <v>320</v>
      </c>
      <c r="N48" t="s">
        <v>69</v>
      </c>
      <c r="O48">
        <v>0</v>
      </c>
      <c r="P48">
        <v>0</v>
      </c>
      <c r="Q48">
        <v>2</v>
      </c>
      <c r="R48">
        <v>0</v>
      </c>
      <c r="S48">
        <v>0</v>
      </c>
      <c r="T48">
        <v>0</v>
      </c>
      <c r="U48">
        <v>0</v>
      </c>
      <c r="V48">
        <v>0</v>
      </c>
      <c r="W48">
        <v>0</v>
      </c>
      <c r="X48">
        <v>0</v>
      </c>
      <c r="Y48">
        <v>1</v>
      </c>
      <c r="Z48">
        <v>0</v>
      </c>
      <c r="AA48">
        <v>1</v>
      </c>
      <c r="AB48">
        <v>0</v>
      </c>
      <c r="AC48">
        <v>0</v>
      </c>
      <c r="AD48">
        <v>0</v>
      </c>
      <c r="AE48">
        <v>0</v>
      </c>
      <c r="AF48">
        <v>0</v>
      </c>
      <c r="AG48">
        <v>0</v>
      </c>
      <c r="AH48">
        <v>1</v>
      </c>
      <c r="AI48">
        <v>2</v>
      </c>
      <c r="AJ48">
        <v>0</v>
      </c>
      <c r="AK48">
        <v>1</v>
      </c>
      <c r="AL48">
        <v>0</v>
      </c>
      <c r="AM48">
        <v>2</v>
      </c>
      <c r="AN48">
        <v>0</v>
      </c>
      <c r="AO48">
        <v>0</v>
      </c>
      <c r="AP48">
        <v>175</v>
      </c>
      <c r="AQ48" t="s">
        <v>69</v>
      </c>
    </row>
    <row r="49" spans="1:43" x14ac:dyDescent="0.35">
      <c r="A49" t="s">
        <v>2215</v>
      </c>
      <c r="B49" t="s">
        <v>418</v>
      </c>
      <c r="C49" t="s">
        <v>372</v>
      </c>
      <c r="D49">
        <v>1</v>
      </c>
      <c r="E49" t="s">
        <v>397</v>
      </c>
      <c r="F49">
        <v>0</v>
      </c>
      <c r="G49" t="s">
        <v>398</v>
      </c>
      <c r="H49">
        <v>1</v>
      </c>
      <c r="I49" t="s">
        <v>277</v>
      </c>
      <c r="J49" t="s">
        <v>277</v>
      </c>
      <c r="K49" t="s">
        <v>277</v>
      </c>
      <c r="L49" t="s">
        <v>277</v>
      </c>
      <c r="M49" t="s">
        <v>286</v>
      </c>
      <c r="N49">
        <v>1</v>
      </c>
      <c r="O49">
        <v>0</v>
      </c>
      <c r="P49">
        <v>0</v>
      </c>
      <c r="Q49">
        <v>1</v>
      </c>
      <c r="R49">
        <v>0</v>
      </c>
      <c r="S49">
        <v>0</v>
      </c>
      <c r="T49">
        <v>1</v>
      </c>
      <c r="U49">
        <v>0</v>
      </c>
      <c r="V49">
        <v>0</v>
      </c>
      <c r="W49">
        <v>0</v>
      </c>
      <c r="X49">
        <v>0</v>
      </c>
      <c r="Y49">
        <v>0</v>
      </c>
      <c r="Z49">
        <v>1</v>
      </c>
      <c r="AA49">
        <v>0</v>
      </c>
      <c r="AB49">
        <v>0</v>
      </c>
      <c r="AC49">
        <v>0</v>
      </c>
      <c r="AD49">
        <v>0</v>
      </c>
      <c r="AE49">
        <v>1</v>
      </c>
      <c r="AF49">
        <v>0</v>
      </c>
      <c r="AG49">
        <v>0</v>
      </c>
      <c r="AH49">
        <v>0</v>
      </c>
      <c r="AI49">
        <v>1</v>
      </c>
      <c r="AJ49">
        <v>0</v>
      </c>
      <c r="AK49">
        <v>1</v>
      </c>
      <c r="AL49">
        <v>0</v>
      </c>
      <c r="AM49">
        <v>1</v>
      </c>
      <c r="AN49">
        <v>0</v>
      </c>
      <c r="AO49">
        <v>0</v>
      </c>
      <c r="AP49">
        <v>175</v>
      </c>
      <c r="AQ49" t="s">
        <v>69</v>
      </c>
    </row>
    <row r="50" spans="1:43" x14ac:dyDescent="0.35">
      <c r="A50" t="s">
        <v>2216</v>
      </c>
      <c r="B50" t="s">
        <v>1932</v>
      </c>
      <c r="C50" t="s">
        <v>405</v>
      </c>
      <c r="D50">
        <v>1</v>
      </c>
      <c r="E50" t="s">
        <v>420</v>
      </c>
      <c r="F50">
        <v>1</v>
      </c>
      <c r="G50" t="s">
        <v>288</v>
      </c>
      <c r="H50">
        <v>1</v>
      </c>
      <c r="I50" t="s">
        <v>277</v>
      </c>
      <c r="J50" t="s">
        <v>277</v>
      </c>
      <c r="K50" t="s">
        <v>277</v>
      </c>
      <c r="L50" t="s">
        <v>277</v>
      </c>
      <c r="M50" t="s">
        <v>309</v>
      </c>
      <c r="N50">
        <v>5.7859999999999996</v>
      </c>
      <c r="O50">
        <v>1</v>
      </c>
      <c r="P50">
        <v>0</v>
      </c>
      <c r="Q50">
        <v>0</v>
      </c>
      <c r="R50">
        <v>0</v>
      </c>
      <c r="S50">
        <v>0</v>
      </c>
      <c r="T50">
        <v>0</v>
      </c>
      <c r="U50">
        <v>0</v>
      </c>
      <c r="V50">
        <v>0</v>
      </c>
      <c r="W50">
        <v>1</v>
      </c>
      <c r="X50">
        <v>0</v>
      </c>
      <c r="Y50">
        <v>1</v>
      </c>
      <c r="Z50">
        <v>0</v>
      </c>
      <c r="AA50">
        <v>0</v>
      </c>
      <c r="AB50">
        <v>0</v>
      </c>
      <c r="AC50">
        <v>0</v>
      </c>
      <c r="AD50">
        <v>0</v>
      </c>
      <c r="AE50">
        <v>0</v>
      </c>
      <c r="AF50">
        <v>1</v>
      </c>
      <c r="AG50">
        <v>0</v>
      </c>
      <c r="AH50">
        <v>0</v>
      </c>
      <c r="AI50">
        <v>0</v>
      </c>
      <c r="AJ50">
        <v>2</v>
      </c>
      <c r="AK50">
        <v>1</v>
      </c>
      <c r="AL50">
        <v>0</v>
      </c>
      <c r="AM50">
        <v>1</v>
      </c>
      <c r="AN50">
        <v>1</v>
      </c>
      <c r="AO50">
        <v>0</v>
      </c>
      <c r="AP50">
        <v>3000</v>
      </c>
      <c r="AQ50" t="s">
        <v>69</v>
      </c>
    </row>
    <row r="51" spans="1:43" x14ac:dyDescent="0.35">
      <c r="A51" t="s">
        <v>2217</v>
      </c>
      <c r="B51" t="s">
        <v>367</v>
      </c>
      <c r="C51" t="s">
        <v>405</v>
      </c>
      <c r="D51">
        <v>1</v>
      </c>
      <c r="E51" t="s">
        <v>424</v>
      </c>
      <c r="F51">
        <v>0</v>
      </c>
      <c r="G51" t="s">
        <v>319</v>
      </c>
      <c r="H51">
        <v>1</v>
      </c>
      <c r="I51" t="s">
        <v>277</v>
      </c>
      <c r="J51" t="s">
        <v>277</v>
      </c>
      <c r="K51" t="s">
        <v>277</v>
      </c>
      <c r="L51" t="s">
        <v>277</v>
      </c>
      <c r="M51" t="s">
        <v>286</v>
      </c>
      <c r="N51">
        <v>2.1379999999999999</v>
      </c>
      <c r="O51">
        <v>0</v>
      </c>
      <c r="P51">
        <v>0</v>
      </c>
      <c r="Q51">
        <v>1</v>
      </c>
      <c r="R51">
        <v>0</v>
      </c>
      <c r="S51">
        <v>0</v>
      </c>
      <c r="T51">
        <v>0</v>
      </c>
      <c r="U51">
        <v>0</v>
      </c>
      <c r="V51">
        <v>0</v>
      </c>
      <c r="W51">
        <v>0</v>
      </c>
      <c r="X51">
        <v>0</v>
      </c>
      <c r="Y51">
        <v>0</v>
      </c>
      <c r="Z51">
        <v>0</v>
      </c>
      <c r="AA51">
        <v>1</v>
      </c>
      <c r="AB51">
        <v>0</v>
      </c>
      <c r="AC51">
        <v>0</v>
      </c>
      <c r="AD51">
        <v>0</v>
      </c>
      <c r="AE51">
        <v>1</v>
      </c>
      <c r="AF51">
        <v>0</v>
      </c>
      <c r="AG51">
        <v>0</v>
      </c>
      <c r="AH51">
        <v>0</v>
      </c>
      <c r="AI51">
        <v>1</v>
      </c>
      <c r="AJ51">
        <v>0</v>
      </c>
      <c r="AK51">
        <v>0</v>
      </c>
      <c r="AL51">
        <v>0</v>
      </c>
      <c r="AM51">
        <v>1</v>
      </c>
      <c r="AN51">
        <v>0</v>
      </c>
      <c r="AO51">
        <v>0</v>
      </c>
      <c r="AP51">
        <v>3000</v>
      </c>
      <c r="AQ51">
        <v>5500</v>
      </c>
    </row>
    <row r="52" spans="1:43" x14ac:dyDescent="0.35">
      <c r="A52" t="s">
        <v>2218</v>
      </c>
      <c r="B52" t="s">
        <v>736</v>
      </c>
      <c r="C52" t="s">
        <v>341</v>
      </c>
      <c r="D52">
        <v>1</v>
      </c>
      <c r="E52" t="s">
        <v>367</v>
      </c>
      <c r="F52">
        <v>0</v>
      </c>
      <c r="G52" t="s">
        <v>288</v>
      </c>
      <c r="H52">
        <v>1</v>
      </c>
      <c r="I52" t="s">
        <v>277</v>
      </c>
      <c r="J52" t="s">
        <v>277</v>
      </c>
      <c r="K52" t="s">
        <v>277</v>
      </c>
      <c r="L52" t="s">
        <v>277</v>
      </c>
      <c r="M52" t="s">
        <v>320</v>
      </c>
      <c r="N52">
        <v>542</v>
      </c>
      <c r="O52">
        <v>0</v>
      </c>
      <c r="P52">
        <v>0</v>
      </c>
      <c r="Q52">
        <v>0</v>
      </c>
      <c r="R52">
        <v>0</v>
      </c>
      <c r="S52">
        <v>1</v>
      </c>
      <c r="T52">
        <v>0</v>
      </c>
      <c r="U52">
        <v>0</v>
      </c>
      <c r="V52">
        <v>0</v>
      </c>
      <c r="W52">
        <v>0</v>
      </c>
      <c r="X52">
        <v>0</v>
      </c>
      <c r="Y52">
        <v>1</v>
      </c>
      <c r="Z52">
        <v>0</v>
      </c>
      <c r="AA52">
        <v>0</v>
      </c>
      <c r="AB52">
        <v>0</v>
      </c>
      <c r="AC52">
        <v>0</v>
      </c>
      <c r="AD52">
        <v>0</v>
      </c>
      <c r="AE52">
        <v>0</v>
      </c>
      <c r="AF52">
        <v>0</v>
      </c>
      <c r="AG52">
        <v>0</v>
      </c>
      <c r="AH52">
        <v>1</v>
      </c>
      <c r="AI52">
        <v>1</v>
      </c>
      <c r="AJ52">
        <v>0</v>
      </c>
      <c r="AK52">
        <v>1</v>
      </c>
      <c r="AL52">
        <v>0</v>
      </c>
      <c r="AM52">
        <v>1</v>
      </c>
      <c r="AN52">
        <v>0</v>
      </c>
      <c r="AO52">
        <v>1</v>
      </c>
      <c r="AP52">
        <v>4419</v>
      </c>
      <c r="AQ52">
        <v>4913.6067780000003</v>
      </c>
    </row>
    <row r="53" spans="1:43" x14ac:dyDescent="0.35">
      <c r="A53" t="s">
        <v>2219</v>
      </c>
      <c r="B53" t="s">
        <v>367</v>
      </c>
      <c r="C53" t="s">
        <v>273</v>
      </c>
      <c r="D53">
        <v>1</v>
      </c>
      <c r="E53" t="s">
        <v>472</v>
      </c>
      <c r="F53">
        <v>0</v>
      </c>
      <c r="G53" t="s">
        <v>473</v>
      </c>
      <c r="H53">
        <v>1</v>
      </c>
      <c r="I53" t="s">
        <v>277</v>
      </c>
      <c r="J53" t="s">
        <v>277</v>
      </c>
      <c r="K53" t="s">
        <v>277</v>
      </c>
      <c r="L53" t="s">
        <v>277</v>
      </c>
      <c r="M53" t="s">
        <v>286</v>
      </c>
      <c r="N53">
        <v>2.1379999999999999</v>
      </c>
      <c r="O53">
        <v>0</v>
      </c>
      <c r="P53">
        <v>0</v>
      </c>
      <c r="Q53">
        <v>0</v>
      </c>
      <c r="R53">
        <v>0</v>
      </c>
      <c r="S53">
        <v>0</v>
      </c>
      <c r="T53">
        <v>1</v>
      </c>
      <c r="U53">
        <v>0</v>
      </c>
      <c r="V53">
        <v>0</v>
      </c>
      <c r="W53">
        <v>0</v>
      </c>
      <c r="X53">
        <v>0</v>
      </c>
      <c r="Y53">
        <v>0</v>
      </c>
      <c r="Z53">
        <v>0</v>
      </c>
      <c r="AA53">
        <v>0</v>
      </c>
      <c r="AB53">
        <v>1</v>
      </c>
      <c r="AC53">
        <v>0</v>
      </c>
      <c r="AD53">
        <v>0</v>
      </c>
      <c r="AE53">
        <v>1</v>
      </c>
      <c r="AF53">
        <v>0</v>
      </c>
      <c r="AG53">
        <v>0</v>
      </c>
      <c r="AH53">
        <v>0</v>
      </c>
      <c r="AI53">
        <v>0</v>
      </c>
      <c r="AJ53">
        <v>0</v>
      </c>
      <c r="AK53">
        <v>0</v>
      </c>
      <c r="AL53">
        <v>0</v>
      </c>
      <c r="AM53">
        <v>1</v>
      </c>
      <c r="AN53">
        <v>0</v>
      </c>
      <c r="AO53">
        <v>0</v>
      </c>
      <c r="AP53">
        <v>3000</v>
      </c>
      <c r="AQ53">
        <v>5500</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9BA8-14EB-4AD4-9803-159FD3D59856}">
  <sheetPr>
    <tabColor rgb="FFC00000"/>
  </sheetPr>
  <dimension ref="A1:BA64"/>
  <sheetViews>
    <sheetView workbookViewId="0"/>
  </sheetViews>
  <sheetFormatPr defaultRowHeight="14.5" x14ac:dyDescent="0.35"/>
  <cols>
    <col min="1" max="1" width="63.1796875" style="55" bestFit="1" customWidth="1"/>
    <col min="2" max="29" width="8.6328125" customWidth="1"/>
  </cols>
  <sheetData>
    <row r="1" spans="1:53" s="117" customFormat="1" ht="94.5" customHeight="1" x14ac:dyDescent="0.35">
      <c r="A1" s="180" t="s">
        <v>2220</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43">
        <v>1</v>
      </c>
      <c r="C2" s="244"/>
      <c r="D2" s="244"/>
      <c r="E2" s="244"/>
      <c r="F2" s="244"/>
      <c r="G2" s="244"/>
      <c r="H2" s="244"/>
      <c r="I2" s="244"/>
      <c r="J2" s="245"/>
      <c r="K2" s="244"/>
      <c r="L2" s="244"/>
      <c r="M2" s="244"/>
      <c r="N2" s="244"/>
      <c r="O2" s="244"/>
      <c r="P2" s="244"/>
      <c r="Q2" s="245"/>
      <c r="R2" s="244"/>
      <c r="S2" s="244"/>
      <c r="T2" s="244"/>
      <c r="U2" s="244"/>
      <c r="V2" s="246"/>
      <c r="W2" s="247"/>
      <c r="X2" s="248"/>
      <c r="Y2" s="248"/>
      <c r="Z2" s="247"/>
      <c r="AA2" s="247"/>
      <c r="AB2" s="247"/>
      <c r="AC2" s="247"/>
      <c r="AD2" s="249"/>
    </row>
    <row r="3" spans="1:53" x14ac:dyDescent="0.35">
      <c r="A3" s="123" t="s">
        <v>12</v>
      </c>
      <c r="B3" s="250">
        <v>0.18216422090849901</v>
      </c>
      <c r="C3" s="248">
        <v>1</v>
      </c>
      <c r="D3" s="244"/>
      <c r="E3" s="244"/>
      <c r="F3" s="244"/>
      <c r="G3" s="244"/>
      <c r="H3" s="244"/>
      <c r="I3" s="244"/>
      <c r="J3" s="251"/>
      <c r="K3" s="244"/>
      <c r="L3" s="244"/>
      <c r="M3" s="244"/>
      <c r="N3" s="244"/>
      <c r="O3" s="244"/>
      <c r="P3" s="244"/>
      <c r="Q3" s="251"/>
      <c r="R3" s="244"/>
      <c r="S3" s="244"/>
      <c r="T3" s="244"/>
      <c r="U3" s="244"/>
      <c r="V3" s="246"/>
      <c r="W3" s="247"/>
      <c r="X3" s="248"/>
      <c r="Y3" s="248"/>
      <c r="Z3" s="247"/>
      <c r="AA3" s="247"/>
      <c r="AB3" s="247"/>
      <c r="AC3" s="247"/>
      <c r="AD3" s="252"/>
    </row>
    <row r="4" spans="1:53" x14ac:dyDescent="0.35">
      <c r="A4" s="123" t="s">
        <v>8</v>
      </c>
      <c r="B4" s="250">
        <v>-0.22037075526642499</v>
      </c>
      <c r="C4" s="248">
        <v>-2.26782746066603E-2</v>
      </c>
      <c r="D4" s="248">
        <v>0.999999999999999</v>
      </c>
      <c r="E4" s="244"/>
      <c r="F4" s="244"/>
      <c r="G4" s="244"/>
      <c r="H4" s="244"/>
      <c r="I4" s="244"/>
      <c r="J4" s="251"/>
      <c r="K4" s="244"/>
      <c r="L4" s="244"/>
      <c r="M4" s="244"/>
      <c r="N4" s="244"/>
      <c r="O4" s="244"/>
      <c r="P4" s="244"/>
      <c r="Q4" s="251"/>
      <c r="R4" s="244"/>
      <c r="S4" s="244"/>
      <c r="T4" s="244"/>
      <c r="U4" s="244"/>
      <c r="V4" s="246"/>
      <c r="W4" s="247"/>
      <c r="X4" s="248"/>
      <c r="Y4" s="248"/>
      <c r="Z4" s="247"/>
      <c r="AA4" s="247"/>
      <c r="AB4" s="247"/>
      <c r="AC4" s="247"/>
      <c r="AD4" s="252"/>
    </row>
    <row r="5" spans="1:53" x14ac:dyDescent="0.35">
      <c r="A5" s="123" t="s">
        <v>1200</v>
      </c>
      <c r="B5" s="250">
        <v>0.27704196242935197</v>
      </c>
      <c r="C5" s="248">
        <v>6.9737540234040205E-2</v>
      </c>
      <c r="D5" s="248">
        <v>0.18162341571076501</v>
      </c>
      <c r="E5" s="248">
        <v>0.999999999999999</v>
      </c>
      <c r="F5" s="244"/>
      <c r="G5" s="244"/>
      <c r="H5" s="244"/>
      <c r="I5" s="244"/>
      <c r="J5" s="251"/>
      <c r="K5" s="244"/>
      <c r="L5" s="244"/>
      <c r="M5" s="244"/>
      <c r="N5" s="244"/>
      <c r="O5" s="244"/>
      <c r="P5" s="244"/>
      <c r="Q5" s="251"/>
      <c r="R5" s="244"/>
      <c r="S5" s="244"/>
      <c r="T5" s="244"/>
      <c r="U5" s="244"/>
      <c r="V5" s="246"/>
      <c r="W5" s="247"/>
      <c r="X5" s="248"/>
      <c r="Y5" s="248"/>
      <c r="Z5" s="247"/>
      <c r="AA5" s="247"/>
      <c r="AB5" s="247"/>
      <c r="AC5" s="247"/>
      <c r="AD5" s="252"/>
    </row>
    <row r="6" spans="1:53" x14ac:dyDescent="0.35">
      <c r="A6" s="123" t="s">
        <v>24</v>
      </c>
      <c r="B6" s="250">
        <v>0.15900686026736999</v>
      </c>
      <c r="C6" s="248">
        <v>0.13485479510484299</v>
      </c>
      <c r="D6" s="248">
        <v>-0.25285948508707101</v>
      </c>
      <c r="E6" s="248">
        <v>0.16443171423084901</v>
      </c>
      <c r="F6" s="248">
        <v>1</v>
      </c>
      <c r="G6" s="244"/>
      <c r="H6" s="244"/>
      <c r="I6" s="244"/>
      <c r="J6" s="251"/>
      <c r="K6" s="244"/>
      <c r="L6" s="244"/>
      <c r="M6" s="244"/>
      <c r="N6" s="244"/>
      <c r="O6" s="244"/>
      <c r="P6" s="244"/>
      <c r="Q6" s="251"/>
      <c r="R6" s="244"/>
      <c r="S6" s="244"/>
      <c r="T6" s="244"/>
      <c r="U6" s="244"/>
      <c r="V6" s="246"/>
      <c r="W6" s="247"/>
      <c r="X6" s="248"/>
      <c r="Y6" s="248"/>
      <c r="Z6" s="247"/>
      <c r="AA6" s="247"/>
      <c r="AB6" s="247"/>
      <c r="AC6" s="247"/>
      <c r="AD6" s="252"/>
    </row>
    <row r="7" spans="1:53" x14ac:dyDescent="0.35">
      <c r="A7" s="123" t="s">
        <v>38</v>
      </c>
      <c r="B7" s="250">
        <v>0.34816720320366001</v>
      </c>
      <c r="C7" s="248">
        <v>6.3108591150248999E-2</v>
      </c>
      <c r="D7" s="248">
        <v>4.7145193968745502E-2</v>
      </c>
      <c r="E7" s="248">
        <v>-5.2518567450018802E-2</v>
      </c>
      <c r="F7" s="248">
        <v>-0.119016477531216</v>
      </c>
      <c r="G7" s="248">
        <v>1</v>
      </c>
      <c r="H7" s="244"/>
      <c r="I7" s="244"/>
      <c r="J7" s="251"/>
      <c r="K7" s="244"/>
      <c r="L7" s="244"/>
      <c r="M7" s="244"/>
      <c r="N7" s="244"/>
      <c r="O7" s="244"/>
      <c r="P7" s="244"/>
      <c r="Q7" s="251"/>
      <c r="R7" s="244"/>
      <c r="S7" s="244"/>
      <c r="T7" s="244"/>
      <c r="U7" s="244"/>
      <c r="V7" s="246"/>
      <c r="W7" s="247"/>
      <c r="X7" s="248"/>
      <c r="Y7" s="248"/>
      <c r="Z7" s="247"/>
      <c r="AA7" s="247"/>
      <c r="AB7" s="247"/>
      <c r="AC7" s="247"/>
      <c r="AD7" s="252"/>
    </row>
    <row r="8" spans="1:53" x14ac:dyDescent="0.35">
      <c r="A8" s="123" t="s">
        <v>49</v>
      </c>
      <c r="B8" s="250">
        <v>0.16903432905410001</v>
      </c>
      <c r="C8" s="248">
        <v>-9.3189724721920303E-2</v>
      </c>
      <c r="D8" s="248">
        <v>-5.8674715651704498E-2</v>
      </c>
      <c r="E8" s="248">
        <v>0.21864875317989099</v>
      </c>
      <c r="F8" s="248">
        <v>-0.13333970048666199</v>
      </c>
      <c r="G8" s="248">
        <v>0.32662643154825799</v>
      </c>
      <c r="H8" s="248">
        <v>1</v>
      </c>
      <c r="I8" s="244"/>
      <c r="J8" s="251"/>
      <c r="K8" s="244"/>
      <c r="L8" s="244"/>
      <c r="M8" s="244"/>
      <c r="N8" s="244"/>
      <c r="O8" s="244"/>
      <c r="P8" s="244"/>
      <c r="Q8" s="251"/>
      <c r="R8" s="244"/>
      <c r="S8" s="244"/>
      <c r="T8" s="244"/>
      <c r="U8" s="244"/>
      <c r="V8" s="246"/>
      <c r="W8" s="248"/>
      <c r="X8" s="248"/>
      <c r="Y8" s="248"/>
      <c r="Z8" s="247"/>
      <c r="AA8" s="247"/>
      <c r="AB8" s="247"/>
      <c r="AC8" s="247"/>
      <c r="AD8" s="252"/>
    </row>
    <row r="9" spans="1:53" x14ac:dyDescent="0.35">
      <c r="A9" s="123" t="s">
        <v>41</v>
      </c>
      <c r="B9" s="250">
        <v>0.12878926273323299</v>
      </c>
      <c r="C9" s="248">
        <v>0.14049402747876899</v>
      </c>
      <c r="D9" s="248">
        <v>-2.9736559713784302E-2</v>
      </c>
      <c r="E9" s="248">
        <v>0.13741719340573399</v>
      </c>
      <c r="F9" s="248">
        <v>5.6593449093182403E-2</v>
      </c>
      <c r="G9" s="248">
        <v>0.106461397247717</v>
      </c>
      <c r="H9" s="248">
        <v>0.235920200581138</v>
      </c>
      <c r="I9" s="248">
        <v>0.999999999999999</v>
      </c>
      <c r="J9" s="251"/>
      <c r="K9" s="244"/>
      <c r="L9" s="244"/>
      <c r="M9" s="244"/>
      <c r="N9" s="244"/>
      <c r="O9" s="244"/>
      <c r="P9" s="244"/>
      <c r="Q9" s="251"/>
      <c r="R9" s="244"/>
      <c r="S9" s="244"/>
      <c r="T9" s="244"/>
      <c r="U9" s="244"/>
      <c r="V9" s="246"/>
      <c r="W9" s="248"/>
      <c r="X9" s="248"/>
      <c r="Y9" s="248"/>
      <c r="Z9" s="247"/>
      <c r="AA9" s="247"/>
      <c r="AB9" s="247"/>
      <c r="AC9" s="247"/>
      <c r="AD9" s="252"/>
    </row>
    <row r="10" spans="1:53" x14ac:dyDescent="0.35">
      <c r="A10" s="123" t="s">
        <v>1201</v>
      </c>
      <c r="B10" s="253">
        <v>0.46962162357508502</v>
      </c>
      <c r="C10" s="254">
        <v>0.157661068826454</v>
      </c>
      <c r="D10" s="254">
        <v>-0.25804843975483099</v>
      </c>
      <c r="E10" s="254">
        <v>0.19072730678896499</v>
      </c>
      <c r="F10" s="254">
        <v>0.170259438326092</v>
      </c>
      <c r="G10" s="254">
        <v>0.26120718597709602</v>
      </c>
      <c r="H10" s="254">
        <v>8.2867224854643998E-2</v>
      </c>
      <c r="I10" s="254">
        <v>0.38943054336910699</v>
      </c>
      <c r="J10" s="255">
        <v>1</v>
      </c>
      <c r="K10" s="256"/>
      <c r="L10" s="257"/>
      <c r="M10" s="257"/>
      <c r="N10" s="257"/>
      <c r="O10" s="257"/>
      <c r="P10" s="257"/>
      <c r="Q10" s="258"/>
      <c r="R10" s="254"/>
      <c r="S10" s="254"/>
      <c r="T10" s="254"/>
      <c r="U10" s="254"/>
      <c r="V10" s="254"/>
      <c r="W10" s="254"/>
      <c r="X10" s="254"/>
      <c r="Y10" s="254"/>
      <c r="Z10" s="254"/>
      <c r="AA10" s="254"/>
      <c r="AB10" s="254"/>
      <c r="AC10" s="254"/>
      <c r="AD10" s="255"/>
    </row>
    <row r="11" spans="1:53" x14ac:dyDescent="0.35">
      <c r="A11" s="124" t="s">
        <v>1203</v>
      </c>
      <c r="B11" s="250">
        <v>0.29882781881574899</v>
      </c>
      <c r="C11" s="248">
        <v>7.3787519476379598E-2</v>
      </c>
      <c r="D11" s="248">
        <v>4.5088074582197199E-2</v>
      </c>
      <c r="E11" s="248">
        <v>0.32369639204683098</v>
      </c>
      <c r="F11" s="248">
        <v>0.337858842868964</v>
      </c>
      <c r="G11" s="248">
        <v>5.5349734150869398E-2</v>
      </c>
      <c r="H11" s="248">
        <v>0.218765127934789</v>
      </c>
      <c r="I11" s="248">
        <v>0.64816871295376699</v>
      </c>
      <c r="J11" s="252">
        <v>0.53674917693112401</v>
      </c>
      <c r="K11" s="248">
        <v>1</v>
      </c>
      <c r="L11" s="244"/>
      <c r="M11" s="244"/>
      <c r="N11" s="244"/>
      <c r="O11" s="244"/>
      <c r="P11" s="244"/>
      <c r="Q11" s="251"/>
      <c r="R11" s="244"/>
      <c r="S11" s="244"/>
      <c r="T11" s="244"/>
      <c r="U11" s="244"/>
      <c r="V11" s="246"/>
      <c r="W11" s="248"/>
      <c r="X11" s="248"/>
      <c r="Y11" s="248"/>
      <c r="Z11" s="247"/>
      <c r="AA11" s="247"/>
      <c r="AB11" s="247"/>
      <c r="AC11" s="247"/>
      <c r="AD11" s="252"/>
    </row>
    <row r="12" spans="1:53" x14ac:dyDescent="0.35">
      <c r="A12" s="124" t="s">
        <v>2233</v>
      </c>
      <c r="B12" s="250">
        <v>0.57318597542252003</v>
      </c>
      <c r="C12" s="248">
        <v>-2.7941894720812401E-2</v>
      </c>
      <c r="D12" s="248">
        <v>0.13862969804425099</v>
      </c>
      <c r="E12" s="248">
        <v>0.22750721940326299</v>
      </c>
      <c r="F12" s="248">
        <v>0.24458001764713</v>
      </c>
      <c r="G12" s="248">
        <v>0.39146589242908397</v>
      </c>
      <c r="H12" s="248">
        <v>0.17754404732794399</v>
      </c>
      <c r="I12" s="248">
        <v>0.231812804554973</v>
      </c>
      <c r="J12" s="252">
        <v>0.30615611086813699</v>
      </c>
      <c r="K12" s="248">
        <v>0.37281156761988699</v>
      </c>
      <c r="L12" s="248">
        <v>1</v>
      </c>
      <c r="M12" s="244"/>
      <c r="N12" s="244"/>
      <c r="O12" s="244"/>
      <c r="P12" s="244"/>
      <c r="Q12" s="251"/>
      <c r="R12" s="244"/>
      <c r="S12" s="244"/>
      <c r="T12" s="244"/>
      <c r="U12" s="244"/>
      <c r="V12" s="246"/>
      <c r="W12" s="248"/>
      <c r="X12" s="248"/>
      <c r="Y12" s="248"/>
      <c r="Z12" s="247"/>
      <c r="AA12" s="247"/>
      <c r="AB12" s="247"/>
      <c r="AC12" s="247"/>
      <c r="AD12" s="252"/>
    </row>
    <row r="13" spans="1:53" x14ac:dyDescent="0.35">
      <c r="A13" s="124" t="s">
        <v>2234</v>
      </c>
      <c r="B13" s="250">
        <v>0.20651853013277299</v>
      </c>
      <c r="C13" s="248">
        <v>0.32358791892503902</v>
      </c>
      <c r="D13" s="248">
        <v>8.42531820668058E-3</v>
      </c>
      <c r="E13" s="248">
        <v>0.32988537417003</v>
      </c>
      <c r="F13" s="248">
        <v>-4.7722421812159598E-5</v>
      </c>
      <c r="G13" s="248">
        <v>0.39496264863263802</v>
      </c>
      <c r="H13" s="248">
        <v>0.30573889491963002</v>
      </c>
      <c r="I13" s="248">
        <v>0.447289091672322</v>
      </c>
      <c r="J13" s="252">
        <v>0.39416775614473398</v>
      </c>
      <c r="K13" s="248">
        <v>0.33986605669565201</v>
      </c>
      <c r="L13" s="248">
        <v>6.7350412236202195E-2</v>
      </c>
      <c r="M13" s="248">
        <v>0.999999999999999</v>
      </c>
      <c r="N13" s="244"/>
      <c r="O13" s="244"/>
      <c r="P13" s="244"/>
      <c r="Q13" s="251"/>
      <c r="R13" s="244"/>
      <c r="S13" s="244"/>
      <c r="T13" s="244"/>
      <c r="U13" s="244"/>
      <c r="V13" s="246"/>
      <c r="W13" s="248"/>
      <c r="X13" s="248"/>
      <c r="Y13" s="248"/>
      <c r="Z13" s="247"/>
      <c r="AA13" s="247"/>
      <c r="AB13" s="247"/>
      <c r="AC13" s="247"/>
      <c r="AD13" s="252"/>
    </row>
    <row r="14" spans="1:53" x14ac:dyDescent="0.35">
      <c r="A14" s="124" t="s">
        <v>2235</v>
      </c>
      <c r="B14" s="250">
        <v>7.6542877043347807E-2</v>
      </c>
      <c r="C14" s="248">
        <v>5.2577884998244E-2</v>
      </c>
      <c r="D14" s="248">
        <v>0.26757022652141998</v>
      </c>
      <c r="E14" s="248">
        <v>0.178222250382682</v>
      </c>
      <c r="F14" s="248">
        <v>0.164139503393256</v>
      </c>
      <c r="G14" s="248">
        <v>-3.9691390560310701E-2</v>
      </c>
      <c r="H14" s="248">
        <v>6.1866700416120503E-2</v>
      </c>
      <c r="I14" s="248">
        <v>6.84093146717943E-2</v>
      </c>
      <c r="J14" s="252">
        <v>4.1970383554525099E-2</v>
      </c>
      <c r="K14" s="248">
        <v>4.9601206041734403E-2</v>
      </c>
      <c r="L14" s="248">
        <v>1.1052653548797E-2</v>
      </c>
      <c r="M14" s="248">
        <v>-5.3225087362291097E-2</v>
      </c>
      <c r="N14" s="248">
        <v>1</v>
      </c>
      <c r="O14" s="244"/>
      <c r="P14" s="244"/>
      <c r="Q14" s="251"/>
      <c r="R14" s="244"/>
      <c r="S14" s="244"/>
      <c r="T14" s="244"/>
      <c r="U14" s="244"/>
      <c r="V14" s="246"/>
      <c r="W14" s="248"/>
      <c r="X14" s="248"/>
      <c r="Y14" s="248"/>
      <c r="Z14" s="247"/>
      <c r="AA14" s="247"/>
      <c r="AB14" s="247"/>
      <c r="AC14" s="247"/>
      <c r="AD14" s="252"/>
    </row>
    <row r="15" spans="1:53" x14ac:dyDescent="0.35">
      <c r="A15" s="124" t="s">
        <v>2236</v>
      </c>
      <c r="B15" s="250">
        <v>0.16244258445927201</v>
      </c>
      <c r="C15" s="248">
        <v>0.108789284556268</v>
      </c>
      <c r="D15" s="248">
        <v>-5.9596464250742699E-2</v>
      </c>
      <c r="E15" s="248">
        <v>0.13261928412236501</v>
      </c>
      <c r="F15" s="248">
        <v>2.0572454661586002E-2</v>
      </c>
      <c r="G15" s="248">
        <v>0.29668178554260899</v>
      </c>
      <c r="H15" s="248">
        <v>-7.4452575768485602E-2</v>
      </c>
      <c r="I15" s="248">
        <v>-8.6899866381781904E-2</v>
      </c>
      <c r="J15" s="252">
        <v>6.4557565801137806E-2</v>
      </c>
      <c r="K15" s="248">
        <v>-9.8143395046687898E-2</v>
      </c>
      <c r="L15" s="248">
        <v>2.5219542691494401E-2</v>
      </c>
      <c r="M15" s="248">
        <v>5.4519059646200602E-2</v>
      </c>
      <c r="N15" s="248">
        <v>-0.26206485007894098</v>
      </c>
      <c r="O15" s="248">
        <v>0.999999999999999</v>
      </c>
      <c r="P15" s="244"/>
      <c r="Q15" s="251"/>
      <c r="R15" s="244"/>
      <c r="S15" s="244"/>
      <c r="T15" s="244"/>
      <c r="U15" s="244"/>
      <c r="V15" s="246"/>
      <c r="W15" s="248"/>
      <c r="X15" s="248"/>
      <c r="Y15" s="248"/>
      <c r="Z15" s="247"/>
      <c r="AA15" s="247"/>
      <c r="AB15" s="247"/>
      <c r="AC15" s="247"/>
      <c r="AD15" s="252"/>
    </row>
    <row r="16" spans="1:53" x14ac:dyDescent="0.35">
      <c r="A16" s="124" t="s">
        <v>1204</v>
      </c>
      <c r="B16" s="250">
        <v>0.28463347111965898</v>
      </c>
      <c r="C16" s="248">
        <v>0.15596345240828799</v>
      </c>
      <c r="D16" s="248">
        <v>0.195991571640767</v>
      </c>
      <c r="E16" s="248">
        <v>0.36762557883587599</v>
      </c>
      <c r="F16" s="248">
        <v>4.86892229055031E-2</v>
      </c>
      <c r="G16" s="248">
        <v>-9.2346846731766796E-2</v>
      </c>
      <c r="H16" s="248">
        <v>-0.117967699098854</v>
      </c>
      <c r="I16" s="248">
        <v>-0.13769002862888</v>
      </c>
      <c r="J16" s="252">
        <v>0.113171224213909</v>
      </c>
      <c r="K16" s="248">
        <v>0.23056213377899601</v>
      </c>
      <c r="L16" s="248">
        <v>1.0010743213656199E-2</v>
      </c>
      <c r="M16" s="248">
        <v>4.4739938401913898E-2</v>
      </c>
      <c r="N16" s="248">
        <v>-0.18186014170279299</v>
      </c>
      <c r="O16" s="248">
        <v>4.2197431017235901E-2</v>
      </c>
      <c r="P16" s="248">
        <v>1</v>
      </c>
      <c r="Q16" s="259"/>
      <c r="R16" s="244"/>
      <c r="S16" s="244"/>
      <c r="T16" s="244"/>
      <c r="U16" s="244"/>
      <c r="V16" s="246"/>
      <c r="W16" s="248"/>
      <c r="X16" s="248"/>
      <c r="Y16" s="248"/>
      <c r="Z16" s="247"/>
      <c r="AA16" s="247"/>
      <c r="AB16" s="247"/>
      <c r="AC16" s="247"/>
      <c r="AD16" s="252"/>
    </row>
    <row r="17" spans="1:40" x14ac:dyDescent="0.35">
      <c r="A17" s="124" t="s">
        <v>1205</v>
      </c>
      <c r="B17" s="253">
        <v>0.220402123263893</v>
      </c>
      <c r="C17" s="254">
        <v>0.155353658128354</v>
      </c>
      <c r="D17" s="254">
        <v>-9.3469202221619294E-2</v>
      </c>
      <c r="E17" s="254">
        <v>0.17955197145996099</v>
      </c>
      <c r="F17" s="254">
        <v>-0.133282996380127</v>
      </c>
      <c r="G17" s="254">
        <v>-2.54243480988798E-2</v>
      </c>
      <c r="H17" s="254">
        <v>-6.3802642947365706E-2</v>
      </c>
      <c r="I17" s="254">
        <v>-7.4469433591812406E-2</v>
      </c>
      <c r="J17" s="255">
        <v>0.14526114369125001</v>
      </c>
      <c r="K17" s="254">
        <v>-8.4104652218850301E-2</v>
      </c>
      <c r="L17" s="254">
        <v>-0.11177510384688499</v>
      </c>
      <c r="M17" s="254">
        <v>0.104158203301709</v>
      </c>
      <c r="N17" s="254">
        <v>-7.5640562407417997E-2</v>
      </c>
      <c r="O17" s="254">
        <v>0.22338677694532999</v>
      </c>
      <c r="P17" s="254">
        <v>8.7521012712130405E-2</v>
      </c>
      <c r="Q17" s="260">
        <v>1</v>
      </c>
      <c r="R17" s="254"/>
      <c r="S17" s="254"/>
      <c r="T17" s="254"/>
      <c r="U17" s="254"/>
      <c r="V17" s="254"/>
      <c r="W17" s="254"/>
      <c r="X17" s="254"/>
      <c r="Y17" s="254"/>
      <c r="Z17" s="254"/>
      <c r="AA17" s="254"/>
      <c r="AB17" s="254"/>
      <c r="AC17" s="254"/>
      <c r="AD17" s="255"/>
    </row>
    <row r="18" spans="1:40" x14ac:dyDescent="0.35">
      <c r="A18" s="125" t="s">
        <v>2096</v>
      </c>
      <c r="B18" s="250">
        <v>0.335604231963471</v>
      </c>
      <c r="C18" s="248">
        <v>-3.7004159057155303E-2</v>
      </c>
      <c r="D18" s="248">
        <v>-0.29282909500828802</v>
      </c>
      <c r="E18" s="248">
        <v>-7.7471890207560096E-2</v>
      </c>
      <c r="F18" s="248">
        <v>0.19060947546089901</v>
      </c>
      <c r="G18" s="248">
        <v>0.18047361880070301</v>
      </c>
      <c r="H18" s="248">
        <v>-0.10476261669359201</v>
      </c>
      <c r="I18" s="248">
        <v>-0.319498662102153</v>
      </c>
      <c r="J18" s="252">
        <v>-4.7799217417667697E-2</v>
      </c>
      <c r="K18" s="248">
        <v>-9.8896055079140399E-2</v>
      </c>
      <c r="L18" s="248">
        <v>5.3054177321006903E-2</v>
      </c>
      <c r="M18" s="248">
        <v>-0.25744312464883501</v>
      </c>
      <c r="N18" s="248">
        <v>-0.139639928832822</v>
      </c>
      <c r="O18" s="248">
        <v>0.12712492011264301</v>
      </c>
      <c r="P18" s="248">
        <v>0.23109262174016099</v>
      </c>
      <c r="Q18" s="259">
        <v>6.7560042123710196E-2</v>
      </c>
      <c r="R18" s="248">
        <v>1</v>
      </c>
      <c r="S18" s="244"/>
      <c r="T18" s="244"/>
      <c r="U18" s="244"/>
      <c r="V18" s="246"/>
      <c r="W18" s="248"/>
      <c r="X18" s="248"/>
      <c r="Y18" s="248"/>
      <c r="Z18" s="247"/>
      <c r="AA18" s="247"/>
      <c r="AB18" s="247"/>
      <c r="AC18" s="247"/>
      <c r="AD18" s="252"/>
    </row>
    <row r="19" spans="1:40" x14ac:dyDescent="0.35">
      <c r="A19" s="125" t="s">
        <v>2097</v>
      </c>
      <c r="B19" s="250">
        <v>-6.6097156943912397E-2</v>
      </c>
      <c r="C19" s="248">
        <v>0.21022957158283201</v>
      </c>
      <c r="D19" s="248">
        <v>0.14880736189406699</v>
      </c>
      <c r="E19" s="248">
        <v>0.239798525082736</v>
      </c>
      <c r="F19" s="248">
        <v>-0.181576920333511</v>
      </c>
      <c r="G19" s="248">
        <v>-6.3964558668234903E-2</v>
      </c>
      <c r="H19" s="248">
        <v>4.2238704609479802E-2</v>
      </c>
      <c r="I19" s="248">
        <v>0.49748531515612199</v>
      </c>
      <c r="J19" s="252">
        <v>0.15821258078414199</v>
      </c>
      <c r="K19" s="248">
        <v>0.26422247636884699</v>
      </c>
      <c r="L19" s="248">
        <v>3.7473042741667198E-2</v>
      </c>
      <c r="M19" s="248">
        <v>0.306124873042461</v>
      </c>
      <c r="N19" s="248">
        <v>2.4681321371743298E-2</v>
      </c>
      <c r="O19" s="248">
        <v>-1.00775915931203E-2</v>
      </c>
      <c r="P19" s="248">
        <v>-4.9677033932853103E-2</v>
      </c>
      <c r="Q19" s="259">
        <v>3.8382492870188099E-2</v>
      </c>
      <c r="R19" s="248">
        <v>-0.64222732283441797</v>
      </c>
      <c r="S19" s="248">
        <v>1</v>
      </c>
      <c r="T19" s="244"/>
      <c r="U19" s="244"/>
      <c r="V19" s="246"/>
      <c r="W19" s="248"/>
      <c r="X19" s="248"/>
      <c r="Y19" s="248"/>
      <c r="Z19" s="247"/>
      <c r="AA19" s="247"/>
      <c r="AB19" s="247"/>
      <c r="AC19" s="247"/>
      <c r="AD19" s="252"/>
    </row>
    <row r="20" spans="1:40" x14ac:dyDescent="0.35">
      <c r="A20" s="125" t="s">
        <v>2098</v>
      </c>
      <c r="B20" s="261">
        <v>-0.18359320432184301</v>
      </c>
      <c r="C20" s="262">
        <v>-0.108769569660983</v>
      </c>
      <c r="D20" s="262">
        <v>0.25411241937233903</v>
      </c>
      <c r="E20" s="262">
        <v>-9.81551381469533E-2</v>
      </c>
      <c r="F20" s="262">
        <v>-0.155631985006251</v>
      </c>
      <c r="G20" s="262">
        <v>8.2127363591096195E-2</v>
      </c>
      <c r="H20" s="262">
        <v>0.235920200581138</v>
      </c>
      <c r="I20" s="262">
        <v>-8.6956521739130405E-2</v>
      </c>
      <c r="J20" s="252">
        <v>-0.13744607413027299</v>
      </c>
      <c r="K20" s="262">
        <v>-9.82073807505707E-2</v>
      </c>
      <c r="L20" s="262">
        <v>-2.3708127738576799E-2</v>
      </c>
      <c r="M20" s="262">
        <v>2.5664128210706998E-2</v>
      </c>
      <c r="N20" s="262">
        <v>0.29929075168910002</v>
      </c>
      <c r="O20" s="262">
        <v>-8.6899866381781904E-2</v>
      </c>
      <c r="P20" s="262">
        <v>-0.13769002862888</v>
      </c>
      <c r="Q20" s="259">
        <v>-7.4469433591812406E-2</v>
      </c>
      <c r="R20" s="262">
        <v>-0.319498662102153</v>
      </c>
      <c r="S20" s="262">
        <v>-0.174792137757556</v>
      </c>
      <c r="T20" s="262">
        <v>0.999999999999999</v>
      </c>
      <c r="U20" s="263"/>
      <c r="V20" s="263"/>
      <c r="W20" s="262"/>
      <c r="X20" s="262"/>
      <c r="Y20" s="262"/>
      <c r="Z20" s="247"/>
      <c r="AA20" s="247"/>
      <c r="AB20" s="247"/>
      <c r="AC20" s="247"/>
      <c r="AD20" s="252"/>
    </row>
    <row r="21" spans="1:40" x14ac:dyDescent="0.35">
      <c r="A21" s="125" t="s">
        <v>2099</v>
      </c>
      <c r="B21" s="261">
        <v>-0.27222982787793198</v>
      </c>
      <c r="C21" s="262">
        <v>-0.136208941320798</v>
      </c>
      <c r="D21" s="262">
        <v>3.6109790453110698E-2</v>
      </c>
      <c r="E21" s="262">
        <v>-0.122916800111135</v>
      </c>
      <c r="F21" s="262">
        <v>8.2682035479390098E-2</v>
      </c>
      <c r="G21" s="262">
        <v>-0.25901877030949599</v>
      </c>
      <c r="H21" s="262">
        <v>-9.3295562035668397E-2</v>
      </c>
      <c r="I21" s="262">
        <v>-0.108893101296094</v>
      </c>
      <c r="J21" s="252">
        <v>-2.5499212835512701E-2</v>
      </c>
      <c r="K21" s="262">
        <v>-0.12298222199110299</v>
      </c>
      <c r="L21" s="262">
        <v>-0.112158417572515</v>
      </c>
      <c r="M21" s="262">
        <v>-3.9790443207829297E-2</v>
      </c>
      <c r="N21" s="262">
        <v>-6.9009510031186605E-2</v>
      </c>
      <c r="O21" s="262">
        <v>-0.108822153454076</v>
      </c>
      <c r="P21" s="262">
        <v>-0.172425183701888</v>
      </c>
      <c r="Q21" s="259">
        <v>-9.3255887119123804E-2</v>
      </c>
      <c r="R21" s="262">
        <v>-0.40009880202694798</v>
      </c>
      <c r="S21" s="262">
        <v>-0.218887066569836</v>
      </c>
      <c r="T21" s="262">
        <v>-0.108893101296094</v>
      </c>
      <c r="U21" s="262">
        <v>0.999999999999999</v>
      </c>
      <c r="V21" s="263"/>
      <c r="W21" s="262"/>
      <c r="X21" s="262"/>
      <c r="Y21" s="262"/>
      <c r="Z21" s="247"/>
      <c r="AA21" s="247"/>
      <c r="AB21" s="247"/>
      <c r="AC21" s="247"/>
      <c r="AD21" s="252"/>
    </row>
    <row r="22" spans="1:40" x14ac:dyDescent="0.35">
      <c r="A22" s="125" t="s">
        <v>2247</v>
      </c>
      <c r="B22" s="264">
        <v>-7.3798168430909694E-2</v>
      </c>
      <c r="C22" s="265">
        <v>0.130199277970247</v>
      </c>
      <c r="D22" s="265">
        <v>0.73632433904580197</v>
      </c>
      <c r="E22" s="265">
        <v>0.30824506055505502</v>
      </c>
      <c r="F22" s="265">
        <v>0.392946945618798</v>
      </c>
      <c r="G22" s="265">
        <v>-4.3722492371462002E-2</v>
      </c>
      <c r="H22" s="265">
        <v>-0.14709983722366199</v>
      </c>
      <c r="I22" s="265">
        <v>0.118038661476217</v>
      </c>
      <c r="J22" s="266">
        <v>-0.110814499052525</v>
      </c>
      <c r="K22" s="265">
        <v>0.30671243605211002</v>
      </c>
      <c r="L22" s="265">
        <v>0.37310860533498102</v>
      </c>
      <c r="M22" s="265">
        <v>7.3222369257870304E-2</v>
      </c>
      <c r="N22" s="265">
        <v>0.38371644195060001</v>
      </c>
      <c r="O22" s="265">
        <v>-6.8417817880818396E-2</v>
      </c>
      <c r="P22" s="265">
        <v>0.18078964395609401</v>
      </c>
      <c r="Q22" s="266">
        <v>-0.163088851368931</v>
      </c>
      <c r="R22" s="265">
        <v>-0.19275632702523299</v>
      </c>
      <c r="S22" s="265">
        <v>0.104531822508223</v>
      </c>
      <c r="T22" s="265">
        <v>0.16096181110393201</v>
      </c>
      <c r="U22" s="265">
        <v>2.0156775421544801E-2</v>
      </c>
      <c r="V22" s="267">
        <v>1</v>
      </c>
      <c r="W22" s="268"/>
      <c r="X22" s="268"/>
      <c r="Y22" s="268"/>
      <c r="Z22" s="269"/>
      <c r="AA22" s="269"/>
      <c r="AB22" s="269"/>
      <c r="AC22" s="269"/>
      <c r="AD22" s="249"/>
    </row>
    <row r="23" spans="1:40" x14ac:dyDescent="0.35">
      <c r="A23" s="227" t="s">
        <v>2248</v>
      </c>
      <c r="B23" s="264">
        <v>0.94717601459425305</v>
      </c>
      <c r="C23" s="265">
        <v>0.38211343301738998</v>
      </c>
      <c r="D23" s="265">
        <v>-0.27827602609443403</v>
      </c>
      <c r="E23" s="265">
        <v>0.30236013755574198</v>
      </c>
      <c r="F23" s="265">
        <v>0.146292526382788</v>
      </c>
      <c r="G23" s="265">
        <v>0.33010048016481702</v>
      </c>
      <c r="H23" s="265">
        <v>0.16905410097623</v>
      </c>
      <c r="I23" s="265">
        <v>0.21256451056713899</v>
      </c>
      <c r="J23" s="266">
        <v>0.60116414810338203</v>
      </c>
      <c r="K23" s="265">
        <v>0.31083529142055699</v>
      </c>
      <c r="L23" s="265">
        <v>0.51024585826387503</v>
      </c>
      <c r="M23" s="265">
        <v>0.33932214476894801</v>
      </c>
      <c r="N23" s="265">
        <v>6.38704588849906E-2</v>
      </c>
      <c r="O23" s="265">
        <v>0.163057135079514</v>
      </c>
      <c r="P23" s="265">
        <v>0.24961046286351399</v>
      </c>
      <c r="Q23" s="266">
        <v>0.234485857941342</v>
      </c>
      <c r="R23" s="265">
        <v>0.22408779750220001</v>
      </c>
      <c r="S23" s="265">
        <v>4.65970121858654E-2</v>
      </c>
      <c r="T23" s="265">
        <v>-0.21256451056713899</v>
      </c>
      <c r="U23" s="265">
        <v>-0.229124107175357</v>
      </c>
      <c r="V23" s="264">
        <v>-0.120172661673825</v>
      </c>
      <c r="W23" s="265">
        <v>0.999999999999999</v>
      </c>
      <c r="X23" s="265"/>
      <c r="Y23" s="265"/>
      <c r="Z23" s="270"/>
      <c r="AA23" s="270"/>
      <c r="AB23" s="270"/>
      <c r="AC23" s="270"/>
      <c r="AD23" s="252"/>
    </row>
    <row r="24" spans="1:40" x14ac:dyDescent="0.35">
      <c r="A24" s="227" t="s">
        <v>2249</v>
      </c>
      <c r="B24" s="264">
        <v>0.58870544632574096</v>
      </c>
      <c r="C24" s="265">
        <v>0.149199358330774</v>
      </c>
      <c r="D24" s="265">
        <v>0.18742114902835399</v>
      </c>
      <c r="E24" s="265">
        <v>0.34684596950499502</v>
      </c>
      <c r="F24" s="265">
        <v>0.17871601633363099</v>
      </c>
      <c r="G24" s="265">
        <v>0.47931770739413299</v>
      </c>
      <c r="H24" s="265">
        <v>0.22796269467783301</v>
      </c>
      <c r="I24" s="265">
        <v>0.42536901256690601</v>
      </c>
      <c r="J24" s="266">
        <v>0.448086406320504</v>
      </c>
      <c r="K24" s="265">
        <v>0.47029902589821798</v>
      </c>
      <c r="L24" s="265">
        <v>0.89365905880271801</v>
      </c>
      <c r="M24" s="265">
        <v>0.43057257215000699</v>
      </c>
      <c r="N24" s="265">
        <v>-1.78475109478228E-2</v>
      </c>
      <c r="O24" s="265">
        <v>0.10595808440467901</v>
      </c>
      <c r="P24" s="265">
        <v>5.9759734947393298E-2</v>
      </c>
      <c r="Q24" s="266">
        <v>-3.9576683094526399E-3</v>
      </c>
      <c r="R24" s="265">
        <v>-9.2902478952988907E-2</v>
      </c>
      <c r="S24" s="265">
        <v>0.238728650258615</v>
      </c>
      <c r="T24" s="265">
        <v>-4.7263223618545097E-2</v>
      </c>
      <c r="U24" s="265">
        <v>-0.14029356673505899</v>
      </c>
      <c r="V24" s="264">
        <v>0.376000122090975</v>
      </c>
      <c r="W24" s="265">
        <v>0.59821880801469796</v>
      </c>
      <c r="X24" s="265">
        <v>1</v>
      </c>
      <c r="Y24" s="265"/>
      <c r="Z24" s="270"/>
      <c r="AA24" s="270"/>
      <c r="AB24" s="270"/>
      <c r="AC24" s="270"/>
      <c r="AD24" s="252"/>
    </row>
    <row r="25" spans="1:40" x14ac:dyDescent="0.35">
      <c r="A25" s="125" t="s">
        <v>2228</v>
      </c>
      <c r="B25" s="271">
        <v>0.429788556541426</v>
      </c>
      <c r="C25" s="270">
        <v>0.15204256926432</v>
      </c>
      <c r="D25" s="270">
        <v>6.8601926492664597E-2</v>
      </c>
      <c r="E25" s="270">
        <v>0.35126316683041298</v>
      </c>
      <c r="F25" s="270">
        <v>1.5452894715952299E-2</v>
      </c>
      <c r="G25" s="270">
        <v>-3.2812004288939697E-2</v>
      </c>
      <c r="H25" s="270">
        <v>-0.125571605355871</v>
      </c>
      <c r="I25" s="270">
        <v>-0.146565187492009</v>
      </c>
      <c r="J25" s="266">
        <v>0.24690374001203699</v>
      </c>
      <c r="K25" s="270">
        <v>0.19783967095359101</v>
      </c>
      <c r="L25" s="270">
        <v>6.6706628695610198E-2</v>
      </c>
      <c r="M25" s="270">
        <v>3.7967180894861202E-2</v>
      </c>
      <c r="N25" s="270">
        <v>-0.12960155702562801</v>
      </c>
      <c r="O25" s="270">
        <v>5.4486726505284397E-2</v>
      </c>
      <c r="P25" s="270">
        <v>0.80515072314507197</v>
      </c>
      <c r="Q25" s="266">
        <v>0.536381128141453</v>
      </c>
      <c r="R25" s="270">
        <v>0.255295945536547</v>
      </c>
      <c r="S25" s="270">
        <v>-6.3454911280815707E-2</v>
      </c>
      <c r="T25" s="270">
        <v>-0.146565187492009</v>
      </c>
      <c r="U25" s="270">
        <v>-0.18353928479255599</v>
      </c>
      <c r="V25" s="271">
        <v>4.6953173106240399E-2</v>
      </c>
      <c r="W25" s="270">
        <v>0.39241807198508499</v>
      </c>
      <c r="X25" s="270">
        <v>0.115846464667073</v>
      </c>
      <c r="Y25" s="270">
        <v>0.999999999999999</v>
      </c>
      <c r="Z25" s="270"/>
      <c r="AA25" s="270"/>
      <c r="AB25" s="270"/>
      <c r="AC25" s="270"/>
      <c r="AD25" s="252"/>
    </row>
    <row r="26" spans="1:40" x14ac:dyDescent="0.35">
      <c r="A26" s="125" t="s">
        <v>2169</v>
      </c>
      <c r="B26" s="271">
        <v>0.70599709398656296</v>
      </c>
      <c r="C26" s="270">
        <v>0.23763828845362001</v>
      </c>
      <c r="D26" s="270">
        <v>0.28991981318468801</v>
      </c>
      <c r="E26" s="270">
        <v>0.43143987326140398</v>
      </c>
      <c r="F26" s="270">
        <v>0.19629634239148899</v>
      </c>
      <c r="G26" s="270">
        <v>0.46852282145859497</v>
      </c>
      <c r="H26" s="270">
        <v>0.24284935869490301</v>
      </c>
      <c r="I26" s="270">
        <v>0.35956147559326901</v>
      </c>
      <c r="J26" s="266">
        <v>0.41911952777427403</v>
      </c>
      <c r="K26" s="270">
        <v>0.45727942956746198</v>
      </c>
      <c r="L26" s="270">
        <v>0.77835410708548003</v>
      </c>
      <c r="M26" s="270">
        <v>0.352721409968072</v>
      </c>
      <c r="N26" s="270">
        <v>0.29278033121214803</v>
      </c>
      <c r="O26" s="270">
        <v>0.205682041324387</v>
      </c>
      <c r="P26" s="270">
        <v>0.20623768393693301</v>
      </c>
      <c r="Q26" s="266">
        <v>0.10944551857260899</v>
      </c>
      <c r="R26" s="270">
        <v>8.5716997213206598E-3</v>
      </c>
      <c r="S26" s="270">
        <v>0.139600640686115</v>
      </c>
      <c r="T26" s="270">
        <v>1.57472179091942E-2</v>
      </c>
      <c r="U26" s="270">
        <v>-0.214726482896899</v>
      </c>
      <c r="V26" s="271">
        <v>0.458145464347604</v>
      </c>
      <c r="W26" s="270">
        <v>0.68393834633962702</v>
      </c>
      <c r="X26" s="270">
        <v>0.85942897978355803</v>
      </c>
      <c r="Y26" s="270">
        <v>0.277876316368244</v>
      </c>
      <c r="Z26" s="270">
        <v>0.999999999999999</v>
      </c>
      <c r="AA26" s="270"/>
      <c r="AB26" s="270"/>
      <c r="AC26" s="270"/>
      <c r="AD26" s="252"/>
    </row>
    <row r="27" spans="1:40" x14ac:dyDescent="0.35">
      <c r="A27" s="125" t="s">
        <v>2081</v>
      </c>
      <c r="B27" s="271">
        <v>0.57347992066932696</v>
      </c>
      <c r="C27" s="270">
        <v>0.18119665499109699</v>
      </c>
      <c r="D27" s="270">
        <v>3.0497334764777801E-2</v>
      </c>
      <c r="E27" s="270">
        <v>0.32808277038223299</v>
      </c>
      <c r="F27" s="270">
        <v>0.197997617937995</v>
      </c>
      <c r="G27" s="270">
        <v>0.41383707703306499</v>
      </c>
      <c r="H27" s="270">
        <v>0.21272311123722101</v>
      </c>
      <c r="I27" s="270">
        <v>0.30850591639645403</v>
      </c>
      <c r="J27" s="266">
        <v>0.55325675362314697</v>
      </c>
      <c r="K27" s="270">
        <v>0.39324592572127198</v>
      </c>
      <c r="L27" s="270">
        <v>0.64921424524219495</v>
      </c>
      <c r="M27" s="270">
        <v>0.33197645076268301</v>
      </c>
      <c r="N27" s="270">
        <v>3.69084698567149E-2</v>
      </c>
      <c r="O27" s="270">
        <v>4.49958522402008E-2</v>
      </c>
      <c r="P27" s="270">
        <v>0.11559679994949899</v>
      </c>
      <c r="Q27" s="266">
        <v>9.7620601013952396E-2</v>
      </c>
      <c r="R27" s="270">
        <v>9.3798376023352295E-2</v>
      </c>
      <c r="S27" s="270">
        <v>0.24066056245832901</v>
      </c>
      <c r="T27" s="270">
        <v>-0.16120128964859701</v>
      </c>
      <c r="U27" s="270">
        <v>-0.33412575918092102</v>
      </c>
      <c r="V27" s="271">
        <v>0.22719055550157799</v>
      </c>
      <c r="W27" s="270">
        <v>0.61675579457017904</v>
      </c>
      <c r="X27" s="270">
        <v>0.69680231576179097</v>
      </c>
      <c r="Y27" s="270">
        <v>0.24876909240126199</v>
      </c>
      <c r="Z27" s="270">
        <v>0.64314605708815797</v>
      </c>
      <c r="AA27" s="270">
        <v>0.999999999999999</v>
      </c>
      <c r="AB27" s="270"/>
      <c r="AC27" s="270"/>
      <c r="AD27" s="252"/>
    </row>
    <row r="28" spans="1:40" x14ac:dyDescent="0.35">
      <c r="A28" s="125" t="s">
        <v>2061</v>
      </c>
      <c r="B28" s="271">
        <v>-5.8805652040463702E-2</v>
      </c>
      <c r="C28" s="270">
        <v>0.35214760613688101</v>
      </c>
      <c r="D28" s="270">
        <v>-0.34808600179013499</v>
      </c>
      <c r="E28" s="270">
        <v>-0.14527213095130301</v>
      </c>
      <c r="F28" s="270">
        <v>0.56014340410890295</v>
      </c>
      <c r="G28" s="270">
        <v>-3.1513121644379499E-2</v>
      </c>
      <c r="H28" s="270">
        <v>-0.110263569283994</v>
      </c>
      <c r="I28" s="270">
        <v>7.2392563359875997E-2</v>
      </c>
      <c r="J28" s="266">
        <v>0.20907438664606801</v>
      </c>
      <c r="K28" s="270">
        <v>3.2703626553608499E-2</v>
      </c>
      <c r="L28" s="270">
        <v>-5.4582327793163903E-2</v>
      </c>
      <c r="M28" s="270">
        <v>0.19805718820884699</v>
      </c>
      <c r="N28" s="270">
        <v>-1.6874591092744001E-2</v>
      </c>
      <c r="O28" s="270">
        <v>-0.12861403903038299</v>
      </c>
      <c r="P28" s="270">
        <v>-4.24551638510011E-2</v>
      </c>
      <c r="Q28" s="266">
        <v>-0.11021667854435099</v>
      </c>
      <c r="R28" s="270">
        <v>7.44326494781372E-2</v>
      </c>
      <c r="S28" s="270">
        <v>-0.134323371171096</v>
      </c>
      <c r="T28" s="270">
        <v>-0.128697890417557</v>
      </c>
      <c r="U28" s="270">
        <v>0.17459497553883199</v>
      </c>
      <c r="V28" s="271">
        <v>4.16898341228168E-2</v>
      </c>
      <c r="W28" s="270">
        <v>6.5707792729469194E-2</v>
      </c>
      <c r="X28" s="270">
        <v>1.7487696875365E-2</v>
      </c>
      <c r="Y28" s="270">
        <v>-6.5076075014119897E-2</v>
      </c>
      <c r="Z28" s="270">
        <v>-7.57454354666008E-2</v>
      </c>
      <c r="AA28" s="270">
        <v>-2.26241606694919E-2</v>
      </c>
      <c r="AB28" s="270">
        <v>0.999999999999999</v>
      </c>
      <c r="AC28" s="270"/>
      <c r="AD28" s="252"/>
    </row>
    <row r="29" spans="1:40" x14ac:dyDescent="0.35">
      <c r="A29" s="125" t="s">
        <v>2024</v>
      </c>
      <c r="B29" s="271">
        <v>-0.140954275404195</v>
      </c>
      <c r="C29" s="270">
        <v>-0.12379375466251701</v>
      </c>
      <c r="D29" s="270">
        <v>-0.30844509841844298</v>
      </c>
      <c r="E29" s="270">
        <v>-0.337811323449557</v>
      </c>
      <c r="F29" s="270">
        <v>0.278528493978417</v>
      </c>
      <c r="G29" s="270">
        <v>-7.6260359347917195E-2</v>
      </c>
      <c r="H29" s="270">
        <v>-0.20867318003407401</v>
      </c>
      <c r="I29" s="270">
        <v>-0.120922408424833</v>
      </c>
      <c r="J29" s="266">
        <v>2.6605069784190399E-2</v>
      </c>
      <c r="K29" s="270">
        <v>-0.171366612843634</v>
      </c>
      <c r="L29" s="270">
        <v>-0.24202614654650401</v>
      </c>
      <c r="M29" s="270">
        <v>-0.15808048209564199</v>
      </c>
      <c r="N29" s="270">
        <v>-3.9617475931125502E-2</v>
      </c>
      <c r="O29" s="270">
        <v>1.8563637413033698E-2</v>
      </c>
      <c r="P29" s="270">
        <v>-0.187507561002105</v>
      </c>
      <c r="Q29" s="266">
        <v>-5.8697423981814899E-2</v>
      </c>
      <c r="R29" s="270">
        <v>5.7419036233947902E-2</v>
      </c>
      <c r="S29" s="270">
        <v>-0.27051678992161299</v>
      </c>
      <c r="T29" s="270">
        <v>5.9174795612152602E-2</v>
      </c>
      <c r="U29" s="270">
        <v>0.22767835445119899</v>
      </c>
      <c r="V29" s="271">
        <v>-0.142187442577869</v>
      </c>
      <c r="W29" s="270">
        <v>-0.150432030306555</v>
      </c>
      <c r="X29" s="270">
        <v>-0.329946827407397</v>
      </c>
      <c r="Y29" s="270">
        <v>-0.13307797517015801</v>
      </c>
      <c r="Z29" s="270">
        <v>-0.35959022678119601</v>
      </c>
      <c r="AA29" s="270">
        <v>-0.15073020051945399</v>
      </c>
      <c r="AB29" s="270">
        <v>0.35412871829459902</v>
      </c>
      <c r="AC29" s="270">
        <v>0.999999999999999</v>
      </c>
      <c r="AD29" s="252"/>
    </row>
    <row r="30" spans="1:40" ht="15" thickBot="1" x14ac:dyDescent="0.4">
      <c r="A30" s="224" t="s">
        <v>2250</v>
      </c>
      <c r="B30" s="272">
        <v>-4.6969818535585503E-2</v>
      </c>
      <c r="C30" s="273">
        <v>1.52955774738414E-2</v>
      </c>
      <c r="D30" s="273">
        <v>5.7774434180036201E-2</v>
      </c>
      <c r="E30" s="273">
        <v>-0.132601511045457</v>
      </c>
      <c r="F30" s="273">
        <v>-0.22308121638220199</v>
      </c>
      <c r="G30" s="273">
        <v>0.14632414351895701</v>
      </c>
      <c r="H30" s="273">
        <v>2.9511609320389001E-2</v>
      </c>
      <c r="I30" s="273">
        <v>-2.0667289588162399E-2</v>
      </c>
      <c r="J30" s="274">
        <v>-0.12711222977360401</v>
      </c>
      <c r="K30" s="273">
        <v>2.50218996958784E-2</v>
      </c>
      <c r="L30" s="273">
        <v>9.1834743125432203E-2</v>
      </c>
      <c r="M30" s="273">
        <v>0.13192761659233801</v>
      </c>
      <c r="N30" s="273">
        <v>-0.15080318815098101</v>
      </c>
      <c r="O30" s="273">
        <v>0.14607417089333199</v>
      </c>
      <c r="P30" s="273">
        <v>-9.1849054958052095E-2</v>
      </c>
      <c r="Q30" s="274">
        <v>-0.134279717473444</v>
      </c>
      <c r="R30" s="273">
        <v>-0.291089804679667</v>
      </c>
      <c r="S30" s="273">
        <v>0.222098032555303</v>
      </c>
      <c r="T30" s="273">
        <v>0.23767383026386699</v>
      </c>
      <c r="U30" s="274">
        <v>-5.17620809487081E-2</v>
      </c>
      <c r="V30" s="273">
        <v>-3.1115213605975101E-3</v>
      </c>
      <c r="W30" s="273">
        <v>-5.69672479332506E-2</v>
      </c>
      <c r="X30" s="273">
        <v>9.5407578589063693E-2</v>
      </c>
      <c r="Y30" s="273">
        <v>-0.19932420772791601</v>
      </c>
      <c r="Z30" s="273">
        <v>6.7119115296838498E-3</v>
      </c>
      <c r="AA30" s="273">
        <v>-8.3417363001097006E-2</v>
      </c>
      <c r="AB30" s="273">
        <v>-0.25999902478057302</v>
      </c>
      <c r="AC30" s="273">
        <v>-0.247849661262385</v>
      </c>
      <c r="AD30" s="274">
        <v>1</v>
      </c>
    </row>
    <row r="31" spans="1:40" x14ac:dyDescent="0.35">
      <c r="A31"/>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40" x14ac:dyDescent="0.35">
      <c r="A32"/>
      <c r="AN32" t="s">
        <v>1934</v>
      </c>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t="s">
        <v>2165</v>
      </c>
      <c r="AG34" s="202">
        <v>0.1</v>
      </c>
    </row>
    <row r="35" spans="1:53" x14ac:dyDescent="0.35">
      <c r="A35" s="123" t="s">
        <v>12</v>
      </c>
      <c r="B35" s="204">
        <v>0.205462623845964</v>
      </c>
      <c r="C35" s="116">
        <v>0</v>
      </c>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t="s">
        <v>2166</v>
      </c>
      <c r="AG35" s="203">
        <v>0.05</v>
      </c>
    </row>
    <row r="36" spans="1:53" x14ac:dyDescent="0.35">
      <c r="A36" s="123" t="s">
        <v>8</v>
      </c>
      <c r="B36" s="204">
        <v>0.124093181439103</v>
      </c>
      <c r="C36" s="116">
        <v>0.87577788583611604</v>
      </c>
      <c r="D36" s="116">
        <v>0</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v>5.1445358389417301E-2</v>
      </c>
      <c r="C37" s="116">
        <v>0.63035084163020505</v>
      </c>
      <c r="D37" s="116">
        <v>0.20683434864987599</v>
      </c>
      <c r="E37" s="116">
        <v>0</v>
      </c>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0.27005086768410103</v>
      </c>
      <c r="C38" s="116">
        <v>0.350446475542813</v>
      </c>
      <c r="D38" s="116">
        <v>7.6447882921163099E-2</v>
      </c>
      <c r="E38" s="116">
        <v>0.25383362529465497</v>
      </c>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1.32229067837133E-2</v>
      </c>
      <c r="C39" s="116">
        <v>0.66327735843937397</v>
      </c>
      <c r="D39" s="116">
        <v>0.74509334429233598</v>
      </c>
      <c r="E39" s="116">
        <v>0.71718787478646995</v>
      </c>
      <c r="F39" s="116">
        <v>0.41038309170441201</v>
      </c>
      <c r="G39" s="116">
        <v>0</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v>0.24059970805516601</v>
      </c>
      <c r="C40" s="116">
        <v>0.51977832370461796</v>
      </c>
      <c r="D40" s="116">
        <v>0.68566268904767502</v>
      </c>
      <c r="E40" s="116">
        <v>0.12713441089077901</v>
      </c>
      <c r="F40" s="116">
        <v>0.355935369629723</v>
      </c>
      <c r="G40" s="116">
        <v>2.0608755098034299E-2</v>
      </c>
      <c r="H40" s="116">
        <v>0</v>
      </c>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v>0.37273389075136698</v>
      </c>
      <c r="C41" s="116">
        <v>0.33047694290534602</v>
      </c>
      <c r="D41" s="116">
        <v>0.83757511043411703</v>
      </c>
      <c r="E41" s="116">
        <v>0.34128246372903698</v>
      </c>
      <c r="F41" s="116">
        <v>0.696264711059569</v>
      </c>
      <c r="G41" s="116">
        <v>0.46182168157195902</v>
      </c>
      <c r="H41" s="116">
        <v>9.9068113026284099E-2</v>
      </c>
      <c r="I41" s="116">
        <v>0</v>
      </c>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v>5.8024073704466205E-4</v>
      </c>
      <c r="C42" s="182">
        <v>0.27417820054400199</v>
      </c>
      <c r="D42" s="182">
        <v>7.0403493275079707E-2</v>
      </c>
      <c r="E42" s="182">
        <v>0.18459094575045201</v>
      </c>
      <c r="F42" s="182">
        <v>0.23715796349877899</v>
      </c>
      <c r="G42" s="182">
        <v>6.6914044744713505E-2</v>
      </c>
      <c r="H42" s="182">
        <v>0.56723753594913595</v>
      </c>
      <c r="I42" s="182">
        <v>5.1847388051013401E-3</v>
      </c>
      <c r="J42" s="183">
        <v>0</v>
      </c>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v>3.50293793986481E-2</v>
      </c>
      <c r="C43" s="116">
        <v>0.61057352394273001</v>
      </c>
      <c r="D43" s="116">
        <v>0.75586516228503897</v>
      </c>
      <c r="E43" s="116">
        <v>2.1841819602443399E-2</v>
      </c>
      <c r="F43" s="116">
        <v>1.6411703179438599E-2</v>
      </c>
      <c r="G43" s="116">
        <v>0.70262792453370104</v>
      </c>
      <c r="H43" s="116">
        <v>0.126927128478413</v>
      </c>
      <c r="I43" s="116">
        <v>3.5987571187622501E-7</v>
      </c>
      <c r="J43" s="184">
        <v>5.8610608063798101E-5</v>
      </c>
      <c r="K43" s="116">
        <v>0</v>
      </c>
      <c r="L43" s="181"/>
      <c r="M43" s="181"/>
      <c r="N43" s="181"/>
      <c r="O43" s="181"/>
      <c r="P43" s="181"/>
      <c r="Q43" s="186"/>
      <c r="R43" s="181"/>
      <c r="S43" s="181"/>
      <c r="T43" s="181"/>
      <c r="U43" s="181"/>
      <c r="V43" s="192"/>
      <c r="W43" s="116"/>
      <c r="X43" s="116"/>
      <c r="Y43" s="116"/>
      <c r="Z43" s="190"/>
      <c r="AA43" s="190"/>
      <c r="AB43" s="190"/>
      <c r="AC43" s="190"/>
      <c r="AD43" s="16"/>
    </row>
    <row r="44" spans="1:53" x14ac:dyDescent="0.35">
      <c r="A44" s="124" t="s">
        <v>2233</v>
      </c>
      <c r="B44" s="204">
        <v>1.35810565440187E-5</v>
      </c>
      <c r="C44" s="116">
        <v>0.84725718828391305</v>
      </c>
      <c r="D44" s="116">
        <v>0.33699840551547899</v>
      </c>
      <c r="E44" s="116">
        <v>0.112072734184421</v>
      </c>
      <c r="F44" s="116">
        <v>8.6932602485210397E-2</v>
      </c>
      <c r="G44" s="116">
        <v>4.9354110062404203E-3</v>
      </c>
      <c r="H44" s="116">
        <v>0.217389108699166</v>
      </c>
      <c r="I44" s="116">
        <v>0.10526336272756601</v>
      </c>
      <c r="J44" s="184">
        <v>3.0594021907658898E-2</v>
      </c>
      <c r="K44" s="116">
        <v>7.6673212700763098E-3</v>
      </c>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0.150168850078361</v>
      </c>
      <c r="C45" s="116">
        <v>2.1888636741827401E-2</v>
      </c>
      <c r="D45" s="116">
        <v>0.95369275992939795</v>
      </c>
      <c r="E45" s="116">
        <v>1.9306825635777E-2</v>
      </c>
      <c r="F45" s="116">
        <v>0.99973756523811597</v>
      </c>
      <c r="G45" s="116">
        <v>4.5315105363094004E-3</v>
      </c>
      <c r="H45" s="116">
        <v>3.0833339866729498E-2</v>
      </c>
      <c r="I45" s="116">
        <v>1.1272186953694299E-3</v>
      </c>
      <c r="J45" s="184">
        <v>4.62068784976883E-3</v>
      </c>
      <c r="K45" s="116">
        <v>1.5744052281410799E-2</v>
      </c>
      <c r="L45" s="116">
        <v>0.64213043266082903</v>
      </c>
      <c r="M45" s="116">
        <v>0</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0.59727273424385396</v>
      </c>
      <c r="C46" s="116">
        <v>0.71688177588485003</v>
      </c>
      <c r="D46" s="116">
        <v>6.03038527725583E-2</v>
      </c>
      <c r="E46" s="116">
        <v>0.21560885760673501</v>
      </c>
      <c r="F46" s="116">
        <v>0.254690062773889</v>
      </c>
      <c r="G46" s="116">
        <v>0.78433851811048005</v>
      </c>
      <c r="H46" s="116">
        <v>0.66951904054259004</v>
      </c>
      <c r="I46" s="116">
        <v>0.63689415455878295</v>
      </c>
      <c r="J46" s="184">
        <v>0.77227785801882498</v>
      </c>
      <c r="K46" s="116">
        <v>0.73229587506781502</v>
      </c>
      <c r="L46" s="116">
        <v>0.93927621399344896</v>
      </c>
      <c r="M46" s="116">
        <v>0.71354486015166996</v>
      </c>
      <c r="N46" s="116">
        <v>0</v>
      </c>
      <c r="O46" s="181"/>
      <c r="P46" s="181"/>
      <c r="Q46" s="186"/>
      <c r="R46" s="181"/>
      <c r="S46" s="181"/>
      <c r="T46" s="181"/>
      <c r="U46" s="181"/>
      <c r="V46" s="192"/>
      <c r="W46" s="116"/>
      <c r="X46" s="116"/>
      <c r="Y46" s="116"/>
      <c r="Z46" s="190"/>
      <c r="AA46" s="190"/>
      <c r="AB46" s="190"/>
      <c r="AC46" s="190"/>
      <c r="AD46" s="16"/>
    </row>
    <row r="47" spans="1:53" x14ac:dyDescent="0.35">
      <c r="A47" s="124" t="s">
        <v>2236</v>
      </c>
      <c r="B47" s="204">
        <v>0.25970199217252099</v>
      </c>
      <c r="C47" s="116">
        <v>0.45202946031100799</v>
      </c>
      <c r="D47" s="116">
        <v>0.68098621379656898</v>
      </c>
      <c r="E47" s="116">
        <v>0.35856360954063199</v>
      </c>
      <c r="F47" s="116">
        <v>0.887234178637342</v>
      </c>
      <c r="G47" s="116">
        <v>3.6424532485228298E-2</v>
      </c>
      <c r="H47" s="116">
        <v>0.607351493864971</v>
      </c>
      <c r="I47" s="116">
        <v>0.54845961859755099</v>
      </c>
      <c r="J47" s="184">
        <v>0.656023414049418</v>
      </c>
      <c r="K47" s="116">
        <v>0.49773004469224502</v>
      </c>
      <c r="L47" s="116">
        <v>0.861986324791851</v>
      </c>
      <c r="M47" s="116">
        <v>0.70688920088698604</v>
      </c>
      <c r="N47" s="116">
        <v>6.5990786941431498E-2</v>
      </c>
      <c r="O47" s="116">
        <v>0</v>
      </c>
      <c r="P47" s="181"/>
      <c r="Q47" s="186"/>
      <c r="R47" s="181"/>
      <c r="S47" s="181"/>
      <c r="T47" s="181"/>
      <c r="U47" s="181"/>
      <c r="V47" s="192"/>
      <c r="W47" s="116"/>
      <c r="X47" s="116"/>
      <c r="Y47" s="116"/>
      <c r="Z47" s="190"/>
      <c r="AA47" s="190"/>
      <c r="AB47" s="190"/>
      <c r="AC47" s="190"/>
      <c r="AD47" s="16"/>
    </row>
    <row r="48" spans="1:53" x14ac:dyDescent="0.35">
      <c r="A48" s="124" t="s">
        <v>1204</v>
      </c>
      <c r="B48" s="204">
        <v>4.5133542624419397E-2</v>
      </c>
      <c r="C48" s="116">
        <v>0.27944374813960199</v>
      </c>
      <c r="D48" s="116">
        <v>0.17253963811558001</v>
      </c>
      <c r="E48" s="116">
        <v>8.6285325686976094E-3</v>
      </c>
      <c r="F48" s="116">
        <v>0.73703972010905905</v>
      </c>
      <c r="G48" s="116">
        <v>0.52357783968460803</v>
      </c>
      <c r="H48" s="116">
        <v>0.414549312731889</v>
      </c>
      <c r="I48" s="116">
        <v>0.34031554294261301</v>
      </c>
      <c r="J48" s="184">
        <v>0.43390912754858701</v>
      </c>
      <c r="K48" s="116">
        <v>0.107207695764268</v>
      </c>
      <c r="L48" s="116">
        <v>0.94499126824056501</v>
      </c>
      <c r="M48" s="116">
        <v>0.75769274725465996</v>
      </c>
      <c r="N48" s="116">
        <v>0.20623311523901899</v>
      </c>
      <c r="O48" s="116">
        <v>0.77107916175006597</v>
      </c>
      <c r="P48" s="116">
        <v>0</v>
      </c>
      <c r="Q48" s="194"/>
      <c r="R48" s="181"/>
      <c r="S48" s="181"/>
      <c r="T48" s="181"/>
      <c r="U48" s="181"/>
      <c r="V48" s="192"/>
      <c r="W48" s="116"/>
      <c r="X48" s="116"/>
      <c r="Y48" s="116"/>
      <c r="Z48" s="190"/>
      <c r="AA48" s="190"/>
      <c r="AB48" s="190"/>
      <c r="AC48" s="190"/>
      <c r="AD48" s="16"/>
    </row>
    <row r="49" spans="1:30" x14ac:dyDescent="0.35">
      <c r="A49" s="124" t="s">
        <v>1205</v>
      </c>
      <c r="B49" s="205">
        <v>0.124038296761163</v>
      </c>
      <c r="C49" s="182">
        <v>0.28135130778324502</v>
      </c>
      <c r="D49" s="182">
        <v>0.51852154601568401</v>
      </c>
      <c r="E49" s="182">
        <v>0.21214797251676301</v>
      </c>
      <c r="F49" s="182">
        <v>0.35614181131613898</v>
      </c>
      <c r="G49" s="182">
        <v>0.86087655368534599</v>
      </c>
      <c r="H49" s="182">
        <v>0.65979888810944798</v>
      </c>
      <c r="I49" s="182">
        <v>0.60726991754223203</v>
      </c>
      <c r="J49" s="183">
        <v>0.31416400868449801</v>
      </c>
      <c r="K49" s="182">
        <v>0.56144387341962398</v>
      </c>
      <c r="L49" s="182">
        <v>0.43963781185071399</v>
      </c>
      <c r="M49" s="182">
        <v>0.47162179862140502</v>
      </c>
      <c r="N49" s="182">
        <v>0.60161437429424902</v>
      </c>
      <c r="O49" s="182">
        <v>0.118899475285882</v>
      </c>
      <c r="P49" s="182">
        <v>0.54559391674714597</v>
      </c>
      <c r="Q49" s="195">
        <v>0</v>
      </c>
      <c r="R49" s="182"/>
      <c r="S49" s="182"/>
      <c r="T49" s="182"/>
      <c r="U49" s="182"/>
      <c r="V49" s="182"/>
      <c r="W49" s="182"/>
      <c r="X49" s="182"/>
      <c r="Y49" s="182"/>
      <c r="Z49" s="182"/>
      <c r="AA49" s="182"/>
      <c r="AB49" s="182"/>
      <c r="AC49" s="182"/>
      <c r="AD49" s="115"/>
    </row>
    <row r="50" spans="1:30" x14ac:dyDescent="0.35">
      <c r="A50" s="125" t="s">
        <v>2096</v>
      </c>
      <c r="B50" s="204">
        <v>1.71902129172062E-2</v>
      </c>
      <c r="C50" s="116">
        <v>0.79862411944526601</v>
      </c>
      <c r="D50" s="116">
        <v>3.9044153007097002E-2</v>
      </c>
      <c r="E50" s="116">
        <v>0.59281710442811397</v>
      </c>
      <c r="F50" s="116">
        <v>0.184867422229824</v>
      </c>
      <c r="G50" s="116">
        <v>0.20977211039688601</v>
      </c>
      <c r="H50" s="116">
        <v>0.46903932140302301</v>
      </c>
      <c r="I50" s="116">
        <v>2.3716264904460799E-2</v>
      </c>
      <c r="J50" s="184">
        <v>0.74167861967162996</v>
      </c>
      <c r="K50" s="116">
        <v>0.49442276060318602</v>
      </c>
      <c r="L50" s="116">
        <v>0.71442554403425595</v>
      </c>
      <c r="M50" s="116">
        <v>7.1088395547890898E-2</v>
      </c>
      <c r="N50" s="116">
        <v>0.33345471661385601</v>
      </c>
      <c r="O50" s="116">
        <v>0.378994851441603</v>
      </c>
      <c r="P50" s="116">
        <v>0.106379644931928</v>
      </c>
      <c r="Q50" s="194">
        <v>0.64109243266254701</v>
      </c>
      <c r="R50" s="116">
        <v>0</v>
      </c>
      <c r="S50" s="181"/>
      <c r="T50" s="181"/>
      <c r="U50" s="181"/>
      <c r="V50" s="192"/>
      <c r="W50" s="116"/>
      <c r="X50" s="116"/>
      <c r="Y50" s="116"/>
      <c r="Z50" s="190"/>
      <c r="AA50" s="190"/>
      <c r="AB50" s="190"/>
      <c r="AC50" s="190"/>
      <c r="AD50" s="16"/>
    </row>
    <row r="51" spans="1:30" x14ac:dyDescent="0.35">
      <c r="A51" s="125" t="s">
        <v>2097</v>
      </c>
      <c r="B51" s="204">
        <v>0.64835010414612904</v>
      </c>
      <c r="C51" s="116">
        <v>0.14281695789944099</v>
      </c>
      <c r="D51" s="116">
        <v>0.30236766124731801</v>
      </c>
      <c r="E51" s="116">
        <v>9.3480677178846699E-2</v>
      </c>
      <c r="F51" s="116">
        <v>0.206952581568076</v>
      </c>
      <c r="G51" s="116">
        <v>0.65898841398141295</v>
      </c>
      <c r="H51" s="116">
        <v>0.77086131472473896</v>
      </c>
      <c r="I51" s="116">
        <v>2.37243268301353E-4</v>
      </c>
      <c r="J51" s="184">
        <v>0.27248178086598501</v>
      </c>
      <c r="K51" s="116">
        <v>6.3713054525350296E-2</v>
      </c>
      <c r="L51" s="116">
        <v>0.79612663573694098</v>
      </c>
      <c r="M51" s="116">
        <v>3.0611886485122902E-2</v>
      </c>
      <c r="N51" s="116">
        <v>0.86490401627437397</v>
      </c>
      <c r="O51" s="116">
        <v>0.94462450820855204</v>
      </c>
      <c r="P51" s="116">
        <v>0.73190188548897495</v>
      </c>
      <c r="Q51" s="194">
        <v>0.79128828012017804</v>
      </c>
      <c r="R51" s="116">
        <v>4.9741018804002898E-7</v>
      </c>
      <c r="S51" s="116">
        <v>0</v>
      </c>
      <c r="T51" s="181"/>
      <c r="U51" s="181"/>
      <c r="V51" s="192"/>
      <c r="W51" s="116"/>
      <c r="X51" s="116"/>
      <c r="Y51" s="116"/>
      <c r="Z51" s="190"/>
      <c r="AA51" s="190"/>
      <c r="AB51" s="190"/>
      <c r="AC51" s="190"/>
      <c r="AD51" s="16"/>
    </row>
    <row r="52" spans="1:30" x14ac:dyDescent="0.35">
      <c r="A52" s="125" t="s">
        <v>2098</v>
      </c>
      <c r="B52" s="206">
        <v>0.20186892201004</v>
      </c>
      <c r="C52" s="122">
        <v>0.45211191050896699</v>
      </c>
      <c r="D52" s="122">
        <v>7.4952158814716799E-2</v>
      </c>
      <c r="E52" s="122">
        <v>0.49767835659425902</v>
      </c>
      <c r="F52" s="122">
        <v>0.28047958622859198</v>
      </c>
      <c r="G52" s="122">
        <v>0.57071477737976495</v>
      </c>
      <c r="H52" s="122">
        <v>9.9068113026284099E-2</v>
      </c>
      <c r="I52" s="122">
        <v>0.54819793712612797</v>
      </c>
      <c r="J52" s="184">
        <v>0.341180030691418</v>
      </c>
      <c r="K52" s="122">
        <v>0.49744844056937898</v>
      </c>
      <c r="L52" s="122">
        <v>0.87018419225024601</v>
      </c>
      <c r="M52" s="122">
        <v>0.85957760461800103</v>
      </c>
      <c r="N52" s="122">
        <v>3.4734290064801401E-2</v>
      </c>
      <c r="O52" s="122">
        <v>0.54845961859755099</v>
      </c>
      <c r="P52" s="122">
        <v>0.34031554294261301</v>
      </c>
      <c r="Q52" s="194">
        <v>0.60726991754223203</v>
      </c>
      <c r="R52" s="122">
        <v>2.3716264904460799E-2</v>
      </c>
      <c r="S52" s="122">
        <v>0.22471768745707299</v>
      </c>
      <c r="T52" s="122">
        <v>0</v>
      </c>
      <c r="U52" s="193"/>
      <c r="V52" s="193"/>
      <c r="W52" s="122"/>
      <c r="X52" s="122"/>
      <c r="Y52" s="122"/>
      <c r="Z52" s="190"/>
      <c r="AA52" s="190"/>
      <c r="AB52" s="190"/>
      <c r="AC52" s="190"/>
      <c r="AD52" s="16"/>
    </row>
    <row r="53" spans="1:30" x14ac:dyDescent="0.35">
      <c r="A53" s="125" t="s">
        <v>2099</v>
      </c>
      <c r="B53" s="206">
        <v>5.5804102243806997E-2</v>
      </c>
      <c r="C53" s="122">
        <v>0.34558491810928699</v>
      </c>
      <c r="D53" s="122">
        <v>0.80339344274364999</v>
      </c>
      <c r="E53" s="122">
        <v>0.39510215373060897</v>
      </c>
      <c r="F53" s="122">
        <v>0.56810697657796505</v>
      </c>
      <c r="G53" s="122">
        <v>6.9316529540796507E-2</v>
      </c>
      <c r="H53" s="122">
        <v>0.51930220671764804</v>
      </c>
      <c r="I53" s="122">
        <v>0.45159542132775199</v>
      </c>
      <c r="J53" s="184">
        <v>0.86047095331242296</v>
      </c>
      <c r="K53" s="122">
        <v>0.39484871505177999</v>
      </c>
      <c r="L53" s="122">
        <v>0.438060793181761</v>
      </c>
      <c r="M53" s="122">
        <v>0.7838132550868</v>
      </c>
      <c r="N53" s="122">
        <v>0.63393394271547199</v>
      </c>
      <c r="O53" s="122">
        <v>0.45189201670484203</v>
      </c>
      <c r="P53" s="122">
        <v>0.23115639845622099</v>
      </c>
      <c r="Q53" s="194">
        <v>0.51948066171777096</v>
      </c>
      <c r="R53" s="122">
        <v>3.9908305291636104E-3</v>
      </c>
      <c r="S53" s="122">
        <v>0.12671020924283999</v>
      </c>
      <c r="T53" s="122">
        <v>0.45159542132775199</v>
      </c>
      <c r="U53" s="122">
        <v>0</v>
      </c>
      <c r="V53" s="193"/>
      <c r="W53" s="122"/>
      <c r="X53" s="122"/>
      <c r="Y53" s="122"/>
      <c r="Z53" s="190"/>
      <c r="AA53" s="190"/>
      <c r="AB53" s="190"/>
      <c r="AC53" s="190"/>
      <c r="AD53" s="16"/>
    </row>
    <row r="54" spans="1:30" x14ac:dyDescent="0.35">
      <c r="A54" s="125" t="s">
        <v>2247</v>
      </c>
      <c r="B54" s="207">
        <v>0.61052187463223995</v>
      </c>
      <c r="C54" s="208">
        <v>0.36747852918182899</v>
      </c>
      <c r="D54" s="208">
        <v>1.1009062330044699E-9</v>
      </c>
      <c r="E54" s="208">
        <v>2.9418893292903502E-2</v>
      </c>
      <c r="F54" s="208">
        <v>4.7606443037121297E-3</v>
      </c>
      <c r="G54" s="208">
        <v>0.76304144806263696</v>
      </c>
      <c r="H54" s="208">
        <v>0.30801157265488299</v>
      </c>
      <c r="I54" s="208">
        <v>0.414266656617161</v>
      </c>
      <c r="J54" s="209">
        <v>0.44360373571100298</v>
      </c>
      <c r="K54" s="208">
        <v>3.0277314680090199E-2</v>
      </c>
      <c r="L54" s="208">
        <v>7.61519792622829E-3</v>
      </c>
      <c r="M54" s="208">
        <v>0.613317290483959</v>
      </c>
      <c r="N54" s="208">
        <v>5.9445169540928398E-3</v>
      </c>
      <c r="O54" s="208">
        <v>0.63685217669023697</v>
      </c>
      <c r="P54" s="208">
        <v>0.20896175861605401</v>
      </c>
      <c r="Q54" s="209">
        <v>0.257785473799723</v>
      </c>
      <c r="R54" s="208">
        <v>0.179876503384511</v>
      </c>
      <c r="S54" s="208">
        <v>0.470024540704997</v>
      </c>
      <c r="T54" s="208">
        <v>0.26412920103329002</v>
      </c>
      <c r="U54" s="208">
        <v>0.88949837302074097</v>
      </c>
      <c r="V54" s="215">
        <v>0</v>
      </c>
      <c r="W54" s="216"/>
      <c r="X54" s="216"/>
      <c r="Y54" s="216"/>
      <c r="Z54" s="217"/>
      <c r="AA54" s="217"/>
      <c r="AB54" s="217"/>
      <c r="AC54" s="217"/>
      <c r="AD54" s="99"/>
    </row>
    <row r="55" spans="1:30" x14ac:dyDescent="0.35">
      <c r="A55" s="125" t="s">
        <v>2248</v>
      </c>
      <c r="B55" s="207">
        <v>2.3730644151183498E-25</v>
      </c>
      <c r="C55" s="208">
        <v>6.17438722676394E-3</v>
      </c>
      <c r="D55" s="208">
        <v>5.0373206453627098E-2</v>
      </c>
      <c r="E55" s="208">
        <v>3.2829328637367997E-2</v>
      </c>
      <c r="F55" s="208">
        <v>0.31070333636019598</v>
      </c>
      <c r="G55" s="208">
        <v>1.92233975792559E-2</v>
      </c>
      <c r="H55" s="208">
        <v>0.240543892994729</v>
      </c>
      <c r="I55" s="208">
        <v>0.13833040900522001</v>
      </c>
      <c r="J55" s="209">
        <v>3.90265761548948E-6</v>
      </c>
      <c r="K55" s="208">
        <v>2.8014216161616898E-2</v>
      </c>
      <c r="L55" s="208">
        <v>1.5343366230056299E-4</v>
      </c>
      <c r="M55" s="208">
        <v>1.59226453966624E-2</v>
      </c>
      <c r="N55" s="208">
        <v>0.65945938622114597</v>
      </c>
      <c r="O55" s="208">
        <v>0.25787930688627703</v>
      </c>
      <c r="P55" s="208">
        <v>8.0436403097840004E-2</v>
      </c>
      <c r="Q55" s="209">
        <v>0.10119869537819599</v>
      </c>
      <c r="R55" s="208">
        <v>0.117716272053852</v>
      </c>
      <c r="S55" s="208">
        <v>0.74795920307994102</v>
      </c>
      <c r="T55" s="208">
        <v>0.13833040900522001</v>
      </c>
      <c r="U55" s="208">
        <v>0.10947721311661</v>
      </c>
      <c r="V55" s="207">
        <v>0.405818248116872</v>
      </c>
      <c r="W55" s="208">
        <v>0</v>
      </c>
      <c r="X55" s="208"/>
      <c r="Y55" s="208"/>
      <c r="Z55" s="210"/>
      <c r="AA55" s="210"/>
      <c r="AB55" s="210"/>
      <c r="AC55" s="210"/>
      <c r="AD55" s="16"/>
    </row>
    <row r="56" spans="1:30" x14ac:dyDescent="0.35">
      <c r="A56" s="125" t="s">
        <v>2249</v>
      </c>
      <c r="B56" s="207">
        <v>6.8986375087179998E-6</v>
      </c>
      <c r="C56" s="208">
        <v>0.301081452896103</v>
      </c>
      <c r="D56" s="208">
        <v>0.19246140393375399</v>
      </c>
      <c r="E56" s="208">
        <v>1.35993925251279E-2</v>
      </c>
      <c r="F56" s="208">
        <v>0.21431915860269801</v>
      </c>
      <c r="G56" s="208">
        <v>4.2872503636136501E-4</v>
      </c>
      <c r="H56" s="208">
        <v>0.111336871269915</v>
      </c>
      <c r="I56" s="208">
        <v>2.0738275250590001E-3</v>
      </c>
      <c r="J56" s="209">
        <v>1.10165017973002E-3</v>
      </c>
      <c r="K56" s="208">
        <v>5.6826580602238196E-4</v>
      </c>
      <c r="L56" s="208">
        <v>2.52218160311756E-18</v>
      </c>
      <c r="M56" s="208">
        <v>1.8009252396726399E-3</v>
      </c>
      <c r="N56" s="208">
        <v>0.90209228883036396</v>
      </c>
      <c r="O56" s="208">
        <v>0.46395383277142099</v>
      </c>
      <c r="P56" s="208">
        <v>0.68015909317467105</v>
      </c>
      <c r="Q56" s="209">
        <v>0.97823863481529505</v>
      </c>
      <c r="R56" s="208">
        <v>0.52107161810137403</v>
      </c>
      <c r="S56" s="208">
        <v>9.4996977055058995E-2</v>
      </c>
      <c r="T56" s="208">
        <v>0.74447673820192095</v>
      </c>
      <c r="U56" s="208">
        <v>0.33117433838768501</v>
      </c>
      <c r="V56" s="207">
        <v>7.1236579425163803E-3</v>
      </c>
      <c r="W56" s="208">
        <v>4.4749476679734496E-6</v>
      </c>
      <c r="X56" s="208">
        <v>0</v>
      </c>
      <c r="Y56" s="208"/>
      <c r="Z56" s="210"/>
      <c r="AA56" s="210"/>
      <c r="AB56" s="210"/>
      <c r="AC56" s="210"/>
      <c r="AD56" s="16"/>
    </row>
    <row r="57" spans="1:30" x14ac:dyDescent="0.35">
      <c r="A57" s="125" t="s">
        <v>2228</v>
      </c>
      <c r="B57" s="211">
        <v>1.8398814085336199E-3</v>
      </c>
      <c r="C57" s="210">
        <v>0.29185816029537498</v>
      </c>
      <c r="D57" s="210">
        <v>0.63594356300909405</v>
      </c>
      <c r="E57" s="210">
        <v>1.23754968356556E-2</v>
      </c>
      <c r="F57" s="210">
        <v>0.91517689137450797</v>
      </c>
      <c r="G57" s="210">
        <v>0.82103933181172695</v>
      </c>
      <c r="H57" s="210">
        <v>0.384894303280858</v>
      </c>
      <c r="I57" s="210">
        <v>0.30979254424959901</v>
      </c>
      <c r="J57" s="209">
        <v>8.3882620702370195E-2</v>
      </c>
      <c r="K57" s="210">
        <v>0.168447079591837</v>
      </c>
      <c r="L57" s="210">
        <v>0.64532240840595501</v>
      </c>
      <c r="M57" s="210">
        <v>0.79349682269087995</v>
      </c>
      <c r="N57" s="210">
        <v>0.369700852632944</v>
      </c>
      <c r="O57" s="210">
        <v>0.70705524761611904</v>
      </c>
      <c r="P57" s="210">
        <v>1.80999972596041E-12</v>
      </c>
      <c r="Q57" s="209">
        <v>5.9432130216070798E-5</v>
      </c>
      <c r="R57" s="210">
        <v>7.3560637061786296E-2</v>
      </c>
      <c r="S57" s="210">
        <v>0.66154077602705696</v>
      </c>
      <c r="T57" s="210">
        <v>0.30979254424959901</v>
      </c>
      <c r="U57" s="210">
        <v>0.20200371149455801</v>
      </c>
      <c r="V57" s="211">
        <v>0.74609683040756103</v>
      </c>
      <c r="W57" s="210">
        <v>4.8224195781653798E-3</v>
      </c>
      <c r="X57" s="210">
        <v>0.42304943850307802</v>
      </c>
      <c r="Y57" s="210">
        <v>0</v>
      </c>
      <c r="Z57" s="210"/>
      <c r="AA57" s="210"/>
      <c r="AB57" s="210"/>
      <c r="AC57" s="210"/>
      <c r="AD57" s="16"/>
    </row>
    <row r="58" spans="1:30" x14ac:dyDescent="0.35">
      <c r="A58" s="125" t="s">
        <v>2169</v>
      </c>
      <c r="B58" s="211">
        <v>1.0228630811645399E-8</v>
      </c>
      <c r="C58" s="210">
        <v>9.6561872428470599E-2</v>
      </c>
      <c r="D58" s="210">
        <v>4.1123348439652499E-2</v>
      </c>
      <c r="E58" s="210">
        <v>1.7586872104396801E-3</v>
      </c>
      <c r="F58" s="210">
        <v>0.171859821049824</v>
      </c>
      <c r="G58" s="210">
        <v>6.0014933908314298E-4</v>
      </c>
      <c r="H58" s="210">
        <v>8.9259959301307104E-2</v>
      </c>
      <c r="I58" s="210">
        <v>1.0330140528944501E-2</v>
      </c>
      <c r="J58" s="209">
        <v>2.44966977378818E-3</v>
      </c>
      <c r="K58" s="210">
        <v>8.4217393430841198E-4</v>
      </c>
      <c r="L58" s="210">
        <v>2.8751823512940601E-11</v>
      </c>
      <c r="M58" s="210">
        <v>1.19927687569418E-2</v>
      </c>
      <c r="N58" s="210">
        <v>3.90782769296509E-2</v>
      </c>
      <c r="O58" s="210">
        <v>0.15186392197985901</v>
      </c>
      <c r="P58" s="210">
        <v>0.150736395343781</v>
      </c>
      <c r="Q58" s="209">
        <v>0.449289707689974</v>
      </c>
      <c r="R58" s="210">
        <v>0.952889116033522</v>
      </c>
      <c r="S58" s="210">
        <v>0.33359209490449299</v>
      </c>
      <c r="T58" s="210">
        <v>0.91356738712591401</v>
      </c>
      <c r="U58" s="210">
        <v>0.13427075755437001</v>
      </c>
      <c r="V58" s="211">
        <v>8.2081512144970101E-4</v>
      </c>
      <c r="W58" s="210">
        <v>4.3751968447344103E-8</v>
      </c>
      <c r="X58" s="210">
        <v>1.3690950436467701E-15</v>
      </c>
      <c r="Y58" s="210">
        <v>5.0718469928060103E-2</v>
      </c>
      <c r="Z58" s="210">
        <v>0</v>
      </c>
      <c r="AA58" s="210"/>
      <c r="AB58" s="210"/>
      <c r="AC58" s="210"/>
      <c r="AD58" s="16"/>
    </row>
    <row r="59" spans="1:30" x14ac:dyDescent="0.35">
      <c r="A59" s="125" t="s">
        <v>2081</v>
      </c>
      <c r="B59" s="211">
        <v>1.34122101990996E-5</v>
      </c>
      <c r="C59" s="210">
        <v>0.207921339932745</v>
      </c>
      <c r="D59" s="210">
        <v>0.83347787935062301</v>
      </c>
      <c r="E59" s="210">
        <v>2.0018075590421701E-2</v>
      </c>
      <c r="F59" s="210">
        <v>0.16810061217545599</v>
      </c>
      <c r="G59" s="210">
        <v>2.8131704332989001E-3</v>
      </c>
      <c r="H59" s="210">
        <v>0.13802951922315501</v>
      </c>
      <c r="I59" s="210">
        <v>2.92748266188315E-2</v>
      </c>
      <c r="J59" s="209">
        <v>3.0864226877367501E-5</v>
      </c>
      <c r="K59" s="210">
        <v>4.7260295066392502E-3</v>
      </c>
      <c r="L59" s="210">
        <v>3.39704557108262E-7</v>
      </c>
      <c r="M59" s="210">
        <v>1.85086548296962E-2</v>
      </c>
      <c r="N59" s="210">
        <v>0.79913404893546902</v>
      </c>
      <c r="O59" s="210">
        <v>0.75634916683197295</v>
      </c>
      <c r="P59" s="210">
        <v>0.42405634164619299</v>
      </c>
      <c r="Q59" s="209">
        <v>0.50003396095625396</v>
      </c>
      <c r="R59" s="210">
        <v>0.51704324283200798</v>
      </c>
      <c r="S59" s="210">
        <v>9.22726713898845E-2</v>
      </c>
      <c r="T59" s="210">
        <v>0.26340981447989198</v>
      </c>
      <c r="U59" s="210">
        <v>1.7717571466473899E-2</v>
      </c>
      <c r="V59" s="211">
        <v>0.112586519075248</v>
      </c>
      <c r="W59" s="210">
        <v>1.8477377005411999E-6</v>
      </c>
      <c r="X59" s="210">
        <v>1.90432584582136E-8</v>
      </c>
      <c r="Y59" s="210">
        <v>8.1495498602414104E-2</v>
      </c>
      <c r="Z59" s="210">
        <v>4.7334356738833798E-7</v>
      </c>
      <c r="AA59" s="210">
        <v>0</v>
      </c>
      <c r="AB59" s="210"/>
      <c r="AC59" s="210"/>
      <c r="AD59" s="16"/>
    </row>
    <row r="60" spans="1:30" x14ac:dyDescent="0.35">
      <c r="A60" s="125" t="s">
        <v>2061</v>
      </c>
      <c r="B60" s="211">
        <v>0.68499766968779496</v>
      </c>
      <c r="C60" s="210">
        <v>1.21421384959522E-2</v>
      </c>
      <c r="D60" s="210">
        <v>1.32457850474135E-2</v>
      </c>
      <c r="E60" s="210">
        <v>0.31412701348236599</v>
      </c>
      <c r="F60" s="210">
        <v>2.3380134412961599E-5</v>
      </c>
      <c r="G60" s="210">
        <v>0.828014094352166</v>
      </c>
      <c r="H60" s="210">
        <v>0.44588718630012603</v>
      </c>
      <c r="I60" s="210">
        <v>0.61735545837958505</v>
      </c>
      <c r="J60" s="209">
        <v>0.14507620762892001</v>
      </c>
      <c r="K60" s="210">
        <v>0.82162078466123101</v>
      </c>
      <c r="L60" s="210">
        <v>0.706564326616271</v>
      </c>
      <c r="M60" s="210">
        <v>0.16797007538494499</v>
      </c>
      <c r="N60" s="210">
        <v>0.90740558532371096</v>
      </c>
      <c r="O60" s="210">
        <v>0.37339011295805902</v>
      </c>
      <c r="P60" s="210">
        <v>0.76971910352582695</v>
      </c>
      <c r="Q60" s="209">
        <v>0.44608183427992298</v>
      </c>
      <c r="R60" s="210">
        <v>0.60744792484682497</v>
      </c>
      <c r="S60" s="210">
        <v>0.35236577290198001</v>
      </c>
      <c r="T60" s="210">
        <v>0.37307599862893498</v>
      </c>
      <c r="U60" s="210">
        <v>0.22524923059633101</v>
      </c>
      <c r="V60" s="211">
        <v>0.77375974465463304</v>
      </c>
      <c r="W60" s="210">
        <v>0.65028731878001</v>
      </c>
      <c r="X60" s="210">
        <v>0.904056818115195</v>
      </c>
      <c r="Y60" s="210">
        <v>0.65343519069</v>
      </c>
      <c r="Z60" s="210">
        <v>0.60110905222069</v>
      </c>
      <c r="AA60" s="210">
        <v>0.87607197680788995</v>
      </c>
      <c r="AB60" s="210">
        <v>0</v>
      </c>
      <c r="AC60" s="210"/>
      <c r="AD60" s="16"/>
    </row>
    <row r="61" spans="1:30" x14ac:dyDescent="0.35">
      <c r="A61" s="125" t="s">
        <v>2024</v>
      </c>
      <c r="B61" s="211">
        <v>0.32887924275290198</v>
      </c>
      <c r="C61" s="210">
        <v>0.39171282977083199</v>
      </c>
      <c r="D61" s="210">
        <v>2.9308362804429802E-2</v>
      </c>
      <c r="E61" s="210">
        <v>1.64277967061362E-2</v>
      </c>
      <c r="F61" s="210">
        <v>5.0156112787800897E-2</v>
      </c>
      <c r="G61" s="210">
        <v>0.59863063215753998</v>
      </c>
      <c r="H61" s="210">
        <v>0.145867035631843</v>
      </c>
      <c r="I61" s="210">
        <v>0.40287386454592899</v>
      </c>
      <c r="J61" s="209">
        <v>0.854483873691956</v>
      </c>
      <c r="K61" s="210">
        <v>0.23407665135102701</v>
      </c>
      <c r="L61" s="210">
        <v>9.0383916732611896E-2</v>
      </c>
      <c r="M61" s="210">
        <v>0.27288747411316999</v>
      </c>
      <c r="N61" s="210">
        <v>0.78473053957099104</v>
      </c>
      <c r="O61" s="210">
        <v>0.89818408740025601</v>
      </c>
      <c r="P61" s="210">
        <v>0.192252704190604</v>
      </c>
      <c r="Q61" s="209">
        <v>0.68554733765754094</v>
      </c>
      <c r="R61" s="210">
        <v>0.69205213423291201</v>
      </c>
      <c r="S61" s="210">
        <v>5.7425801369540098E-2</v>
      </c>
      <c r="T61" s="210">
        <v>0.68312408171247396</v>
      </c>
      <c r="U61" s="210">
        <v>0.111795815148893</v>
      </c>
      <c r="V61" s="211">
        <v>0.32462238419358602</v>
      </c>
      <c r="W61" s="210">
        <v>0.29705987306071702</v>
      </c>
      <c r="X61" s="210">
        <v>1.9282960028505099E-2</v>
      </c>
      <c r="Y61" s="210">
        <v>0.356888838343974</v>
      </c>
      <c r="Z61" s="210">
        <v>1.0323594303595401E-2</v>
      </c>
      <c r="AA61" s="210">
        <v>0.29609234473727802</v>
      </c>
      <c r="AB61" s="210">
        <v>1.16330865566402E-2</v>
      </c>
      <c r="AC61" s="210">
        <v>0</v>
      </c>
      <c r="AD61" s="16"/>
    </row>
    <row r="62" spans="1:30" ht="15" thickBot="1" x14ac:dyDescent="0.4">
      <c r="A62" s="224" t="s">
        <v>2250</v>
      </c>
      <c r="B62" s="212">
        <v>0.74600982614978695</v>
      </c>
      <c r="C62" s="213">
        <v>0.91603731811782996</v>
      </c>
      <c r="D62" s="213">
        <v>0.69024153623205098</v>
      </c>
      <c r="E62" s="213">
        <v>0.35862859869757802</v>
      </c>
      <c r="F62" s="213">
        <v>0.11941802524443899</v>
      </c>
      <c r="G62" s="213">
        <v>0.31059763545007202</v>
      </c>
      <c r="H62" s="213">
        <v>0.83878742619077695</v>
      </c>
      <c r="I62" s="213">
        <v>0.88671773934507803</v>
      </c>
      <c r="J62" s="214">
        <v>0.37904282963282798</v>
      </c>
      <c r="K62" s="213">
        <v>0.86305753543271402</v>
      </c>
      <c r="L62" s="213">
        <v>0.52589301244811304</v>
      </c>
      <c r="M62" s="213">
        <v>0.361098055397017</v>
      </c>
      <c r="N62" s="213">
        <v>0.29585581970265701</v>
      </c>
      <c r="O62" s="213">
        <v>0.31143395955422198</v>
      </c>
      <c r="P62" s="213">
        <v>0.52582824121822702</v>
      </c>
      <c r="Q62" s="214">
        <v>0.35252371894510698</v>
      </c>
      <c r="R62" s="213">
        <v>4.0276522175820402E-2</v>
      </c>
      <c r="S62" s="213">
        <v>0.12109817733568801</v>
      </c>
      <c r="T62" s="213">
        <v>9.6510549702292905E-2</v>
      </c>
      <c r="U62" s="214">
        <v>0.72109544745754295</v>
      </c>
      <c r="V62" s="213">
        <v>0.98289041619837503</v>
      </c>
      <c r="W62" s="213">
        <v>0.69435626085031199</v>
      </c>
      <c r="X62" s="213">
        <v>0.50984694544229303</v>
      </c>
      <c r="Y62" s="213">
        <v>0.165211075574836</v>
      </c>
      <c r="Z62" s="213">
        <v>0.963102653208885</v>
      </c>
      <c r="AA62" s="213">
        <v>0.56465835439539502</v>
      </c>
      <c r="AB62" s="213">
        <v>6.8232042086454295E-2</v>
      </c>
      <c r="AC62" s="213">
        <v>8.2665350615942601E-2</v>
      </c>
      <c r="AD62" s="214">
        <v>0</v>
      </c>
    </row>
    <row r="63" spans="1:30" x14ac:dyDescent="0.35">
      <c r="A63" s="80"/>
    </row>
    <row r="64" spans="1:30" ht="15" thickBot="1" x14ac:dyDescent="0.4">
      <c r="A64" s="81"/>
    </row>
  </sheetData>
  <conditionalFormatting sqref="B31:AC31">
    <cfRule type="expression" dxfId="10" priority="9">
      <formula>B62&gt;$AG$33</formula>
    </cfRule>
  </conditionalFormatting>
  <conditionalFormatting sqref="B31:AC31">
    <cfRule type="expression" dxfId="9" priority="10">
      <formula>AND(B62&lt;$AG$35,NOT(ISBLANK(B31)))</formula>
    </cfRule>
    <cfRule type="expression" dxfId="8" priority="11">
      <formula>AND(B62&lt;$AG$34,NOT(ISBLANK(B31)))</formula>
    </cfRule>
    <cfRule type="expression" dxfId="7" priority="12">
      <formula>AND(B62&lt;$AG$33,NOT(ISBLANK(B31)))</formula>
    </cfRule>
  </conditionalFormatting>
  <conditionalFormatting sqref="B18:AD21 R2:U30">
    <cfRule type="expression" dxfId="6" priority="7">
      <formula>AND(B34&lt;$AG$33,NOT(ISBLANK(B2)))</formula>
    </cfRule>
  </conditionalFormatting>
  <conditionalFormatting sqref="B2:AC29 B30:U30 B34:AC61 B62:U62">
    <cfRule type="expression" dxfId="5" priority="8">
      <formula>B34&gt;$AG$33</formula>
    </cfRule>
  </conditionalFormatting>
  <conditionalFormatting sqref="B18:AD21 R2:U17 R22:U30">
    <cfRule type="expression" dxfId="4" priority="5">
      <formula>AND(B34&lt;$AG$35,NOT(ISBLANK(B2)))</formula>
    </cfRule>
  </conditionalFormatting>
  <conditionalFormatting sqref="B18:AD21 R2:U17 R22:U30">
    <cfRule type="expression" dxfId="3" priority="6">
      <formula>AND(B34&lt;$AG$34,NOT(ISBLANK(B2)))</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99"/>
  <sheetViews>
    <sheetView workbookViewId="0"/>
  </sheetViews>
  <sheetFormatPr defaultColWidth="14.453125" defaultRowHeight="15" customHeight="1" x14ac:dyDescent="0.35"/>
  <cols>
    <col min="1" max="1" width="27.26953125" customWidth="1"/>
    <col min="2" max="4" width="8.7265625" customWidth="1"/>
    <col min="5" max="5" width="28.81640625" customWidth="1"/>
    <col min="6" max="7" width="18.08984375" customWidth="1"/>
    <col min="8" max="8" width="45.36328125" customWidth="1"/>
    <col min="9" max="11" width="8.7265625" customWidth="1"/>
    <col min="12" max="12" width="37.08984375" customWidth="1"/>
    <col min="13" max="14" width="8.7265625" customWidth="1"/>
    <col min="15" max="15" width="19.6328125" customWidth="1"/>
    <col min="16" max="16" width="8.7265625" customWidth="1"/>
    <col min="17" max="17" width="28.81640625" bestFit="1" customWidth="1"/>
    <col min="18" max="24" width="8.7265625" customWidth="1"/>
    <col min="25" max="25" width="21.54296875" customWidth="1"/>
    <col min="26" max="27" width="8.7265625" customWidth="1"/>
    <col min="28" max="28" width="21.54296875" bestFit="1" customWidth="1"/>
    <col min="29" max="31" width="8.7265625" customWidth="1"/>
  </cols>
  <sheetData>
    <row r="1" spans="1:30" ht="15" customHeight="1" x14ac:dyDescent="0.35">
      <c r="A1" s="120" t="s">
        <v>2091</v>
      </c>
      <c r="B1" s="119"/>
      <c r="C1" s="119"/>
      <c r="D1" s="119"/>
      <c r="E1" s="119"/>
      <c r="F1" s="119"/>
      <c r="G1" s="119"/>
      <c r="H1" s="119"/>
      <c r="I1" s="119"/>
      <c r="J1" s="119"/>
      <c r="K1" s="119"/>
      <c r="L1" s="119"/>
      <c r="M1" s="119"/>
      <c r="Q1" s="120" t="s">
        <v>2090</v>
      </c>
      <c r="R1" s="119"/>
      <c r="S1" s="119"/>
      <c r="T1" s="119"/>
      <c r="U1" s="119"/>
      <c r="V1" s="119"/>
      <c r="W1" s="119"/>
      <c r="X1" s="119"/>
      <c r="Y1" s="119"/>
      <c r="Z1" s="119"/>
      <c r="AA1" s="119"/>
      <c r="AB1" s="119"/>
      <c r="AC1" s="119"/>
    </row>
    <row r="2" spans="1:30" s="59" customFormat="1" ht="14.25" customHeight="1" x14ac:dyDescent="0.35">
      <c r="A2" s="1" t="s">
        <v>2093</v>
      </c>
      <c r="B2" s="59" t="s">
        <v>2094</v>
      </c>
      <c r="C2" s="59" t="s">
        <v>2095</v>
      </c>
      <c r="E2" s="59" t="s">
        <v>2087</v>
      </c>
      <c r="H2"/>
      <c r="I2"/>
      <c r="L2" s="59" t="s">
        <v>2092</v>
      </c>
      <c r="M2" s="59" t="s">
        <v>2094</v>
      </c>
      <c r="N2"/>
      <c r="O2"/>
      <c r="Q2" s="1" t="s">
        <v>243</v>
      </c>
      <c r="R2" s="59" t="s">
        <v>2094</v>
      </c>
      <c r="S2" s="59" t="s">
        <v>2095</v>
      </c>
      <c r="T2" s="59" t="s">
        <v>2088</v>
      </c>
      <c r="X2" s="59" t="s">
        <v>2089</v>
      </c>
      <c r="AB2" s="59" t="s">
        <v>2092</v>
      </c>
      <c r="AC2" s="59" t="s">
        <v>2094</v>
      </c>
    </row>
    <row r="3" spans="1:30" ht="14.25" customHeight="1" x14ac:dyDescent="0.35">
      <c r="A3" s="114" t="str" cm="1">
        <f t="array" ref="A3:B39">_xlfn._xlws.SORT(E3:F39,2,-1)</f>
        <v>Logistics</v>
      </c>
      <c r="B3">
        <v>13</v>
      </c>
      <c r="C3" s="58">
        <f>B3/SUM($B$3:$B$39)</f>
        <v>9.9236641221374045E-2</v>
      </c>
      <c r="D3" s="58"/>
      <c r="E3" s="2" t="str" cm="1">
        <f t="array" ref="E3:E39">_xlfn.UNIQUE(CBIMPORT!B41:B180)</f>
        <v>Logistics</v>
      </c>
      <c r="F3" s="2">
        <f>COUNTIF(CBIMPORT!$B$41:$B$171,E3)</f>
        <v>13</v>
      </c>
      <c r="G3" s="2"/>
      <c r="H3" s="59" t="str" cm="1">
        <f t="array" ref="H3:H134">_xlfn.UNIQUE(CBIMPORT!A41:A180)</f>
        <v>Ten Roads Express</v>
      </c>
      <c r="I3" s="59">
        <f>COUNTIF(ANNOUNCEMENTS!$L$2:$N$178,H3)+COUNTIF(ANNOUNCEMENTS!$E$2:$E$178,H3)</f>
        <v>1</v>
      </c>
      <c r="L3" s="59" t="str" cm="1">
        <f t="array" ref="L3:M39">_xlfn._xlws.SORT(H3:I39,2,-1)</f>
        <v>Bridgestone</v>
      </c>
      <c r="M3" s="59">
        <v>3</v>
      </c>
      <c r="N3" s="59"/>
      <c r="O3" s="145" t="str">
        <f>VLOOKUP(L3,CBIMPORT!A1:B171,2,FALSE)</f>
        <v>Automotive Supplier</v>
      </c>
      <c r="Q3" s="114" t="str" cm="1">
        <f t="array" ref="Q3:R39">_xlfn._xlws.SORT(T3:U39,2,-1)</f>
        <v>Autonomous Vehicles</v>
      </c>
      <c r="R3">
        <v>31</v>
      </c>
      <c r="S3" s="58">
        <f>R3/SUM($R$3:$R$39)</f>
        <v>0.18235294117647058</v>
      </c>
      <c r="T3" t="str" cm="1">
        <f t="array" ref="T3:T38">_xlfn.UNIQUE(CBIMPORT!B2:B171)</f>
        <v>Autonomous Vehicles</v>
      </c>
      <c r="U3">
        <f>COUNTIF(CBIMPORT!$B$2:$B$171,T3)</f>
        <v>31</v>
      </c>
      <c r="X3" t="str" cm="1">
        <f t="array" ref="X3:X172">_xlfn.UNIQUE(CBIMPORT!A2:A171)</f>
        <v>ADASTEC</v>
      </c>
      <c r="Y3">
        <f>COUNTIF(ANNOUNCEMENTS!$L$2:$N$180,X3)+COUNTIF(ANNOUNCEMENTS!$E$2:$E$180,X3)</f>
        <v>2</v>
      </c>
      <c r="Z3" s="59"/>
      <c r="AA3" s="59"/>
      <c r="AB3" t="str" cm="1">
        <f t="array" ref="AB3:AC173">_xlfn._xlws.SORT(X3:Y173,2,-1)</f>
        <v>Perrone Robotics</v>
      </c>
      <c r="AC3">
        <v>16</v>
      </c>
      <c r="AD3" s="59"/>
    </row>
    <row r="4" spans="1:30" ht="14.25" customHeight="1" x14ac:dyDescent="0.35">
      <c r="A4" t="str">
        <v>OEM Commercial Vehicles</v>
      </c>
      <c r="B4">
        <v>13</v>
      </c>
      <c r="C4" s="58">
        <f t="shared" ref="C4:C39" si="0">B4/SUM($B$3:$B$39)</f>
        <v>9.9236641221374045E-2</v>
      </c>
      <c r="D4" s="58"/>
      <c r="E4" s="2" t="str">
        <v>Insurance</v>
      </c>
      <c r="F4" s="2">
        <f>COUNTIF(CBIMPORT!$B$41:$B$171,E4)</f>
        <v>3</v>
      </c>
      <c r="G4" s="2"/>
      <c r="H4" t="str">
        <v>AAA Northern California, Nevada &amp; Utah</v>
      </c>
      <c r="I4" s="59">
        <f>COUNTIF(ANNOUNCEMENTS!$L$2:$N$178,H4)+COUNTIF(ANNOUNCEMENTS!$E$2:$E$178,H4)</f>
        <v>1</v>
      </c>
      <c r="L4" t="str">
        <v>Continental</v>
      </c>
      <c r="M4">
        <v>3</v>
      </c>
      <c r="O4" s="145" t="str">
        <f>VLOOKUP(L4,CBIMPORT!A2:B172,2,FALSE)</f>
        <v>Automotive Supplier</v>
      </c>
      <c r="Q4" t="str">
        <v>OEM Commercial Vehicles</v>
      </c>
      <c r="R4">
        <v>14</v>
      </c>
      <c r="S4" s="58">
        <f t="shared" ref="S4:S39" si="1">R4/SUM($R$3:$R$39)</f>
        <v>8.2352941176470587E-2</v>
      </c>
      <c r="T4" t="str">
        <v>OEM Commercial Vehicles</v>
      </c>
      <c r="U4">
        <f>COUNTIF(CBIMPORT!$B$2:$B$171,T4)</f>
        <v>14</v>
      </c>
      <c r="X4" t="str">
        <v>Aurora</v>
      </c>
      <c r="Y4">
        <f>COUNTIF(ANNOUNCEMENTS!$L$2:$N$180,X4)+COUNTIF(ANNOUNCEMENTS!$E$2:$E$180,X4)</f>
        <v>4</v>
      </c>
      <c r="AA4" s="114"/>
      <c r="AB4" t="str">
        <v>Einride</v>
      </c>
      <c r="AC4">
        <v>14</v>
      </c>
    </row>
    <row r="5" spans="1:30" ht="14.25" customHeight="1" x14ac:dyDescent="0.35">
      <c r="A5" t="str">
        <v>OEM</v>
      </c>
      <c r="B5">
        <v>12</v>
      </c>
      <c r="C5" s="58">
        <f t="shared" si="0"/>
        <v>9.1603053435114504E-2</v>
      </c>
      <c r="D5" s="58"/>
      <c r="E5" s="2" t="str">
        <v>Mobility Project</v>
      </c>
      <c r="F5" s="2">
        <f>COUNTIF(CBIMPORT!$B$41:$B$171,E5)</f>
        <v>3</v>
      </c>
      <c r="G5" s="2"/>
      <c r="H5" t="str">
        <v>Alliance Ventures (Renault, Nissan, Mitsubishi)</v>
      </c>
      <c r="I5" s="59">
        <f>COUNTIF(ANNOUNCEMENTS!$L$2:$N$178,H5)+COUNTIF(ANNOUNCEMENTS!$E$2:$E$178,H5)</f>
        <v>1</v>
      </c>
      <c r="L5" t="str">
        <v>Bosch</v>
      </c>
      <c r="M5">
        <v>2</v>
      </c>
      <c r="O5" s="145" t="str">
        <f>VLOOKUP(L5,CBIMPORT!A3:B173,2,FALSE)</f>
        <v>Automotive Supplier</v>
      </c>
      <c r="Q5" t="str">
        <v>Transport Operator</v>
      </c>
      <c r="R5">
        <v>13</v>
      </c>
      <c r="S5" s="58">
        <f t="shared" si="1"/>
        <v>7.6470588235294124E-2</v>
      </c>
      <c r="T5" t="str">
        <v>Transport Operator</v>
      </c>
      <c r="U5">
        <f>COUNTIF(CBIMPORT!$B$2:$B$171,T5)</f>
        <v>13</v>
      </c>
      <c r="X5" t="str">
        <v>Cruise</v>
      </c>
      <c r="Y5">
        <f>COUNTIF(ANNOUNCEMENTS!$L$2:$N$180,X5)+COUNTIF(ANNOUNCEMENTS!$E$2:$E$180,X5)</f>
        <v>4</v>
      </c>
      <c r="AB5" t="str">
        <v>Mobileye</v>
      </c>
      <c r="AC5">
        <v>13</v>
      </c>
    </row>
    <row r="6" spans="1:30" ht="14.25" customHeight="1" x14ac:dyDescent="0.35">
      <c r="A6" t="str">
        <v>Transport Operator</v>
      </c>
      <c r="B6">
        <v>10</v>
      </c>
      <c r="C6" s="58">
        <f t="shared" si="0"/>
        <v>7.6335877862595422E-2</v>
      </c>
      <c r="D6" s="58"/>
      <c r="E6" s="2" t="str">
        <v>Food &amp; Beverage</v>
      </c>
      <c r="F6" s="2">
        <f>COUNTIF(CBIMPORT!$B$41:$B$171,E6)</f>
        <v>6</v>
      </c>
      <c r="G6" s="2"/>
      <c r="H6" t="str">
        <v>Anheuser - Busch InBev</v>
      </c>
      <c r="I6" s="59">
        <f>COUNTIF(ANNOUNCEMENTS!$L$2:$N$178,H6)+COUNTIF(ANNOUNCEMENTS!$E$2:$E$178,H6)</f>
        <v>1</v>
      </c>
      <c r="L6" t="str">
        <v>Daimler Truck</v>
      </c>
      <c r="M6">
        <v>2</v>
      </c>
      <c r="O6" s="145" t="str">
        <f>VLOOKUP(L6,CBIMPORT!A4:B174,2,FALSE)</f>
        <v>OEM Commercial Vehicles</v>
      </c>
      <c r="Q6" t="str">
        <v>Logistics</v>
      </c>
      <c r="R6">
        <v>13</v>
      </c>
      <c r="S6" s="58">
        <f t="shared" si="1"/>
        <v>7.6470588235294124E-2</v>
      </c>
      <c r="T6" t="str">
        <v>Mobility Services</v>
      </c>
      <c r="U6">
        <f>COUNTIF(CBIMPORT!$B$2:$B$171,T6)</f>
        <v>6</v>
      </c>
      <c r="X6" t="str">
        <v>Gatik</v>
      </c>
      <c r="Y6">
        <f>COUNTIF(ANNOUNCEMENTS!$L$2:$N$180,X6)+COUNTIF(ANNOUNCEMENTS!$E$2:$E$180,X6)</f>
        <v>7</v>
      </c>
      <c r="AB6" t="str">
        <v>Waymo</v>
      </c>
      <c r="AC6">
        <v>13</v>
      </c>
    </row>
    <row r="7" spans="1:30" ht="14.25" customHeight="1" x14ac:dyDescent="0.35">
      <c r="A7" t="str">
        <v>Automotive Supplier</v>
      </c>
      <c r="B7">
        <v>9</v>
      </c>
      <c r="C7" s="58">
        <f t="shared" si="0"/>
        <v>6.8702290076335881E-2</v>
      </c>
      <c r="D7" s="58"/>
      <c r="E7" s="2" t="str">
        <v>V&amp;V</v>
      </c>
      <c r="F7" s="2">
        <f>COUNTIF(CBIMPORT!$B$41:$B$171,E7)</f>
        <v>1</v>
      </c>
      <c r="G7" s="2"/>
      <c r="H7" t="str">
        <v>Applied Intuition</v>
      </c>
      <c r="I7" s="59">
        <f>COUNTIF(ANNOUNCEMENTS!$L$2:$N$178,H7)+COUNTIF(ANNOUNCEMENTS!$E$2:$E$178,H7)</f>
        <v>1</v>
      </c>
      <c r="L7" t="str">
        <v>e.GO</v>
      </c>
      <c r="M7">
        <v>2</v>
      </c>
      <c r="O7" s="145" t="str">
        <f>VLOOKUP(L7,CBIMPORT!A5:B175,2,FALSE)</f>
        <v>OEM</v>
      </c>
      <c r="Q7" t="str">
        <v>OEM</v>
      </c>
      <c r="R7">
        <v>12</v>
      </c>
      <c r="S7" s="58">
        <f t="shared" si="1"/>
        <v>7.0588235294117646E-2</v>
      </c>
      <c r="T7" t="str">
        <v>Mobility Services Booking</v>
      </c>
      <c r="U7">
        <f>COUNTIF(CBIMPORT!$B$2:$B$171,T7)</f>
        <v>6</v>
      </c>
      <c r="X7" t="str">
        <v>Kodiak</v>
      </c>
      <c r="Y7">
        <f>COUNTIF(ANNOUNCEMENTS!$L$2:$N$180,X7)+COUNTIF(ANNOUNCEMENTS!$E$2:$E$180,X7)</f>
        <v>2</v>
      </c>
      <c r="AB7" t="str">
        <v>TuSimple</v>
      </c>
      <c r="AC7">
        <v>10</v>
      </c>
    </row>
    <row r="8" spans="1:30" ht="14.25" customHeight="1" x14ac:dyDescent="0.35">
      <c r="A8" t="str">
        <v>Food &amp; Beverage</v>
      </c>
      <c r="B8">
        <v>6</v>
      </c>
      <c r="C8" s="58">
        <f t="shared" si="0"/>
        <v>4.5801526717557252E-2</v>
      </c>
      <c r="D8" s="58"/>
      <c r="E8" s="2" t="str">
        <v>Retail</v>
      </c>
      <c r="F8" s="2">
        <f>COUNTIF(CBIMPORT!$B$41:$B$171,E8)</f>
        <v>6</v>
      </c>
      <c r="G8" s="2"/>
      <c r="H8" t="str">
        <v>Aramex</v>
      </c>
      <c r="I8" s="59">
        <f>COUNTIF(ANNOUNCEMENTS!$L$2:$N$178,H8)+COUNTIF(ANNOUNCEMENTS!$E$2:$E$178,H8)</f>
        <v>1</v>
      </c>
      <c r="L8" t="str">
        <v>Ericsson</v>
      </c>
      <c r="M8">
        <v>2</v>
      </c>
      <c r="O8" s="145" t="str">
        <f>VLOOKUP(L8,CBIMPORT!A6:B176,2,FALSE)</f>
        <v>Telecommunications</v>
      </c>
      <c r="Q8" t="str">
        <v>Automotive Supplier</v>
      </c>
      <c r="R8">
        <v>9</v>
      </c>
      <c r="S8" s="58">
        <f t="shared" si="1"/>
        <v>5.2941176470588235E-2</v>
      </c>
      <c r="T8" t="str">
        <v>Delivery Service</v>
      </c>
      <c r="U8">
        <f>COUNTIF(CBIMPORT!$B$2:$B$171,T8)</f>
        <v>3</v>
      </c>
      <c r="X8" t="str">
        <v>May Mobility</v>
      </c>
      <c r="Y8">
        <f>COUNTIF(ANNOUNCEMENTS!$L$2:$N$180,X8)+COUNTIF(ANNOUNCEMENTS!$E$2:$E$180,X8)</f>
        <v>7</v>
      </c>
      <c r="AB8" t="str">
        <v>ZF</v>
      </c>
      <c r="AC8">
        <v>9</v>
      </c>
    </row>
    <row r="9" spans="1:30" ht="14.25" customHeight="1" x14ac:dyDescent="0.35">
      <c r="A9" t="str">
        <v>Retail</v>
      </c>
      <c r="B9">
        <v>6</v>
      </c>
      <c r="C9" s="58">
        <f t="shared" si="0"/>
        <v>4.5801526717557252E-2</v>
      </c>
      <c r="D9" s="58"/>
      <c r="E9" s="2" t="str">
        <v>Rental Services</v>
      </c>
      <c r="F9" s="2">
        <f>COUNTIF(CBIMPORT!$B$41:$B$171,E9)</f>
        <v>1</v>
      </c>
      <c r="G9" s="2"/>
      <c r="H9" t="str">
        <v>Asda</v>
      </c>
      <c r="I9" s="59">
        <f>COUNTIF(ANNOUNCEMENTS!$L$2:$N$178,H9)+COUNTIF(ANNOUNCEMENTS!$E$2:$E$178,H9)</f>
        <v>1</v>
      </c>
      <c r="L9" t="str">
        <v>Ten Roads Express</v>
      </c>
      <c r="M9">
        <v>1</v>
      </c>
      <c r="N9" s="58">
        <f>COUNTA(M9:M39)/COUNTA(M3:M39)</f>
        <v>0.83783783783783783</v>
      </c>
      <c r="Q9" t="str">
        <v>Mobility Services</v>
      </c>
      <c r="R9">
        <v>6</v>
      </c>
      <c r="S9" s="58">
        <f t="shared" si="1"/>
        <v>3.5294117647058823E-2</v>
      </c>
      <c r="T9" t="str">
        <v>Logistics</v>
      </c>
      <c r="U9">
        <f>COUNTIF(CBIMPORT!$B$2:$B$171,T9)</f>
        <v>13</v>
      </c>
      <c r="X9" t="str">
        <v>Mobileye</v>
      </c>
      <c r="Y9">
        <f>COUNTIF(ANNOUNCEMENTS!$L$2:$N$180,X9)+COUNTIF(ANNOUNCEMENTS!$E$2:$E$180,X9)</f>
        <v>13</v>
      </c>
      <c r="AB9" t="str">
        <v>Gatik</v>
      </c>
      <c r="AC9">
        <v>7</v>
      </c>
    </row>
    <row r="10" spans="1:30" ht="14.25" customHeight="1" x14ac:dyDescent="0.35">
      <c r="A10" t="str">
        <v>Transportation Authority</v>
      </c>
      <c r="B10">
        <v>5</v>
      </c>
      <c r="C10" s="58">
        <f t="shared" si="0"/>
        <v>3.8167938931297711E-2</v>
      </c>
      <c r="D10" s="58"/>
      <c r="E10" s="2" t="str">
        <v>Automotive Supplier</v>
      </c>
      <c r="F10" s="2">
        <f>COUNTIF(CBIMPORT!$B$41:$B$171,E10)</f>
        <v>9</v>
      </c>
      <c r="G10" s="2"/>
      <c r="H10" t="str">
        <v>Avis</v>
      </c>
      <c r="I10" s="59">
        <f>COUNTIF(ANNOUNCEMENTS!$L$2:$N$178,H10)+COUNTIF(ANNOUNCEMENTS!$E$2:$E$178,H10)</f>
        <v>1</v>
      </c>
      <c r="L10" t="str">
        <v>AAA Northern California, Nevada &amp; Utah</v>
      </c>
      <c r="M10">
        <v>1</v>
      </c>
      <c r="Q10" t="str">
        <v>Mobility Services Booking</v>
      </c>
      <c r="R10">
        <v>6</v>
      </c>
      <c r="S10" s="58">
        <f t="shared" si="1"/>
        <v>3.5294117647058823E-2</v>
      </c>
      <c r="T10" t="str">
        <v>Insurance</v>
      </c>
      <c r="U10">
        <f>COUNTIF(CBIMPORT!$B$2:$B$171,T10)</f>
        <v>3</v>
      </c>
      <c r="X10" t="str">
        <v>Motional</v>
      </c>
      <c r="Y10">
        <f>COUNTIF(ANNOUNCEMENTS!$L$2:$N$180,X10)+COUNTIF(ANNOUNCEMENTS!$E$2:$E$180,X10)</f>
        <v>4</v>
      </c>
      <c r="AB10" t="str">
        <v>May Mobility</v>
      </c>
      <c r="AC10">
        <v>7</v>
      </c>
    </row>
    <row r="11" spans="1:30" ht="14.25" customHeight="1" x14ac:dyDescent="0.35">
      <c r="A11" t="str">
        <v>Mobility Services</v>
      </c>
      <c r="B11">
        <v>4</v>
      </c>
      <c r="C11" s="58">
        <f t="shared" si="0"/>
        <v>3.0534351145038167E-2</v>
      </c>
      <c r="D11" s="58"/>
      <c r="E11" s="2" t="str">
        <v>Transport Operator</v>
      </c>
      <c r="F11" s="2">
        <f>COUNTIF(CBIMPORT!$B$41:$B$171,E11)</f>
        <v>10</v>
      </c>
      <c r="G11" s="2"/>
      <c r="H11" t="str">
        <v>Benteler</v>
      </c>
      <c r="I11" s="59">
        <f>COUNTIF(ANNOUNCEMENTS!$L$2:$N$178,H11)+COUNTIF(ANNOUNCEMENTS!$E$2:$E$178,H11)</f>
        <v>1</v>
      </c>
      <c r="L11" t="str">
        <v>Alliance Ventures (Renault, Nissan, Mitsubishi)</v>
      </c>
      <c r="M11">
        <v>1</v>
      </c>
      <c r="Q11" t="str">
        <v>Food &amp; Beverage</v>
      </c>
      <c r="R11">
        <v>6</v>
      </c>
      <c r="S11" s="58">
        <f t="shared" si="1"/>
        <v>3.5294117647058823E-2</v>
      </c>
      <c r="T11" t="str">
        <v>Mobility Project</v>
      </c>
      <c r="U11">
        <f>COUNTIF(CBIMPORT!$B$2:$B$171,T11)</f>
        <v>3</v>
      </c>
      <c r="X11" t="str">
        <v>Oxa</v>
      </c>
      <c r="Y11">
        <f>COUNTIF(ANNOUNCEMENTS!$L$2:$N$180,X11)+COUNTIF(ANNOUNCEMENTS!$E$2:$E$180,X11)</f>
        <v>7</v>
      </c>
      <c r="AB11" t="str">
        <v>Oxa</v>
      </c>
      <c r="AC11">
        <v>7</v>
      </c>
    </row>
    <row r="12" spans="1:30" ht="14.25" customHeight="1" x14ac:dyDescent="0.35">
      <c r="A12" t="str">
        <v>Financial Services</v>
      </c>
      <c r="B12">
        <v>4</v>
      </c>
      <c r="C12" s="58">
        <f t="shared" si="0"/>
        <v>3.0534351145038167E-2</v>
      </c>
      <c r="D12" s="58"/>
      <c r="E12" s="2" t="str">
        <v>Mobility Services</v>
      </c>
      <c r="F12" s="2">
        <f>COUNTIF(CBIMPORT!$B$41:$B$171,E12)</f>
        <v>4</v>
      </c>
      <c r="G12" s="2"/>
      <c r="H12" t="str">
        <v>Berliner Verkehrsbetriebe</v>
      </c>
      <c r="I12" s="59">
        <f>COUNTIF(ANNOUNCEMENTS!$L$2:$N$178,H12)+COUNTIF(ANNOUNCEMENTS!$E$2:$E$178,H12)</f>
        <v>1</v>
      </c>
      <c r="L12" t="str">
        <v>Anheuser - Busch InBev</v>
      </c>
      <c r="M12">
        <v>1</v>
      </c>
      <c r="Q12" t="str">
        <v>Retail</v>
      </c>
      <c r="R12">
        <v>6</v>
      </c>
      <c r="S12" s="58">
        <f t="shared" si="1"/>
        <v>3.5294117647058823E-2</v>
      </c>
      <c r="T12" t="str">
        <v>Food &amp; Beverage</v>
      </c>
      <c r="U12">
        <f>COUNTIF(CBIMPORT!$B$2:$B$171,T12)</f>
        <v>6</v>
      </c>
      <c r="X12" t="str">
        <v>Perrone Robotics</v>
      </c>
      <c r="Y12">
        <f>COUNTIF(ANNOUNCEMENTS!$L$2:$N$180,X12)+COUNTIF(ANNOUNCEMENTS!$E$2:$E$180,X12)</f>
        <v>16</v>
      </c>
      <c r="AB12" t="str">
        <v>Plus.ai</v>
      </c>
      <c r="AC12">
        <v>7</v>
      </c>
    </row>
    <row r="13" spans="1:30" ht="14.25" customHeight="1" x14ac:dyDescent="0.35">
      <c r="A13" t="str">
        <v>Sensor</v>
      </c>
      <c r="B13">
        <v>4</v>
      </c>
      <c r="C13" s="58">
        <f t="shared" si="0"/>
        <v>3.0534351145038167E-2</v>
      </c>
      <c r="D13" s="58"/>
      <c r="E13" s="2" t="str">
        <v>University</v>
      </c>
      <c r="F13" s="2">
        <f>COUNTIF(CBIMPORT!$B$41:$B$171,E13)</f>
        <v>2</v>
      </c>
      <c r="G13" s="2"/>
      <c r="H13" t="str">
        <v>Beti</v>
      </c>
      <c r="I13" s="59">
        <f>COUNTIF(ANNOUNCEMENTS!$L$2:$N$178,H13)+COUNTIF(ANNOUNCEMENTS!$E$2:$E$178,H13)</f>
        <v>1</v>
      </c>
      <c r="L13" t="str">
        <v>Applied Intuition</v>
      </c>
      <c r="M13">
        <v>1</v>
      </c>
      <c r="Q13" t="str">
        <v>Transportation Authority</v>
      </c>
      <c r="R13">
        <v>5</v>
      </c>
      <c r="S13" s="58">
        <f t="shared" si="1"/>
        <v>2.9411764705882353E-2</v>
      </c>
      <c r="T13" t="str">
        <v>V&amp;V</v>
      </c>
      <c r="U13">
        <f>COUNTIF(CBIMPORT!$B$2:$B$171,T13)</f>
        <v>1</v>
      </c>
      <c r="X13" t="str">
        <v>Plus.ai</v>
      </c>
      <c r="Y13">
        <f>COUNTIF(ANNOUNCEMENTS!$L$2:$N$180,X13)+COUNTIF(ANNOUNCEMENTS!$E$2:$E$180,X13)</f>
        <v>7</v>
      </c>
      <c r="AB13" t="str">
        <v>Pony.ai</v>
      </c>
      <c r="AC13">
        <v>7</v>
      </c>
    </row>
    <row r="14" spans="1:30" ht="14.25" customHeight="1" x14ac:dyDescent="0.35">
      <c r="A14" t="str">
        <v>Insurance</v>
      </c>
      <c r="B14">
        <v>3</v>
      </c>
      <c r="C14" s="58">
        <f t="shared" si="0"/>
        <v>2.2900763358778626E-2</v>
      </c>
      <c r="D14" s="58"/>
      <c r="E14" s="2" t="str">
        <v>Charging System</v>
      </c>
      <c r="F14" s="2">
        <f>COUNTIF(CBIMPORT!$B$41:$B$171,E14)</f>
        <v>2</v>
      </c>
      <c r="G14" s="2"/>
      <c r="H14" t="str">
        <v>Beyond Meat</v>
      </c>
      <c r="I14" s="59">
        <f>COUNTIF(ANNOUNCEMENTS!$L$2:$N$178,H14)+COUNTIF(ANNOUNCEMENTS!$E$2:$E$178,H14)</f>
        <v>1</v>
      </c>
      <c r="L14" t="str">
        <v>Aramex</v>
      </c>
      <c r="M14">
        <v>1</v>
      </c>
      <c r="Q14" t="str">
        <v>Financial Services</v>
      </c>
      <c r="R14">
        <v>4</v>
      </c>
      <c r="S14" s="58">
        <f t="shared" si="1"/>
        <v>2.3529411764705882E-2</v>
      </c>
      <c r="T14" t="str">
        <v>Retail</v>
      </c>
      <c r="U14">
        <f>COUNTIF(CBIMPORT!$B$2:$B$171,T14)</f>
        <v>6</v>
      </c>
      <c r="X14" t="str">
        <v>Pony.ai</v>
      </c>
      <c r="Y14">
        <f>COUNTIF(ANNOUNCEMENTS!$L$2:$N$180,X14)+COUNTIF(ANNOUNCEMENTS!$E$2:$E$180,X14)</f>
        <v>7</v>
      </c>
      <c r="AB14" t="str">
        <v>EasyMile</v>
      </c>
      <c r="AC14">
        <v>7</v>
      </c>
    </row>
    <row r="15" spans="1:30" ht="14.25" customHeight="1" x14ac:dyDescent="0.35">
      <c r="A15" t="str">
        <v>Mobility Project</v>
      </c>
      <c r="B15">
        <v>3</v>
      </c>
      <c r="C15" s="58">
        <f t="shared" si="0"/>
        <v>2.2900763358778626E-2</v>
      </c>
      <c r="D15" s="58"/>
      <c r="E15" s="2" t="str">
        <v>Transportation Authority</v>
      </c>
      <c r="F15" s="2">
        <f>COUNTIF(CBIMPORT!$B$41:$B$171,E15)</f>
        <v>5</v>
      </c>
      <c r="G15" s="2"/>
      <c r="H15" t="str">
        <v>Bosch</v>
      </c>
      <c r="I15" s="59">
        <f>COUNTIF(ANNOUNCEMENTS!$L$2:$N$178,H15)+COUNTIF(ANNOUNCEMENTS!$E$2:$E$178,H15)</f>
        <v>2</v>
      </c>
      <c r="L15" t="str">
        <v>Asda</v>
      </c>
      <c r="M15">
        <v>1</v>
      </c>
      <c r="Q15" t="str">
        <v>Sensor</v>
      </c>
      <c r="R15">
        <v>4</v>
      </c>
      <c r="S15" s="58">
        <f t="shared" si="1"/>
        <v>2.3529411764705882E-2</v>
      </c>
      <c r="T15" t="str">
        <v>Rental Services</v>
      </c>
      <c r="U15">
        <f>COUNTIF(CBIMPORT!$B$2:$B$171,T15)</f>
        <v>1</v>
      </c>
      <c r="X15" t="str">
        <v>TuSimple</v>
      </c>
      <c r="Y15">
        <f>COUNTIF(ANNOUNCEMENTS!$L$2:$N$180,X15)+COUNTIF(ANNOUNCEMENTS!$E$2:$E$180,X15)</f>
        <v>10</v>
      </c>
      <c r="AB15" t="str">
        <v>Navya</v>
      </c>
      <c r="AC15">
        <v>6</v>
      </c>
    </row>
    <row r="16" spans="1:30" ht="14.25" customHeight="1" x14ac:dyDescent="0.35">
      <c r="A16" t="str">
        <v>Autonomous Vehicles</v>
      </c>
      <c r="B16">
        <v>3</v>
      </c>
      <c r="C16" s="58">
        <f t="shared" si="0"/>
        <v>2.2900763358778626E-2</v>
      </c>
      <c r="D16" s="58"/>
      <c r="E16" s="2" t="str">
        <v>OEM Commercial Vehicles</v>
      </c>
      <c r="F16" s="2">
        <f>COUNTIF(CBIMPORT!$B$41:$B$171,E16)</f>
        <v>13</v>
      </c>
      <c r="G16" s="2"/>
      <c r="H16" t="str">
        <v>Boston University</v>
      </c>
      <c r="I16" s="59">
        <f>COUNTIF(ANNOUNCEMENTS!$L$2:$N$178,H16)+COUNTIF(ANNOUNCEMENTS!$E$2:$E$178,H16)</f>
        <v>1</v>
      </c>
      <c r="L16" t="str">
        <v>Avis</v>
      </c>
      <c r="M16">
        <v>1</v>
      </c>
      <c r="Q16" t="str">
        <v>Delivery Service</v>
      </c>
      <c r="R16">
        <v>3</v>
      </c>
      <c r="S16" s="58">
        <f t="shared" si="1"/>
        <v>1.7647058823529412E-2</v>
      </c>
      <c r="T16" t="str">
        <v>Automotive Supplier</v>
      </c>
      <c r="U16">
        <f>COUNTIF(CBIMPORT!$B$2:$B$171,T16)</f>
        <v>9</v>
      </c>
      <c r="X16" t="str">
        <v>Waabi</v>
      </c>
      <c r="Y16">
        <f>COUNTIF(ANNOUNCEMENTS!$L$2:$N$180,X16)+COUNTIF(ANNOUNCEMENTS!$E$2:$E$180,X16)</f>
        <v>3</v>
      </c>
      <c r="AB16" t="str">
        <v>Beep</v>
      </c>
      <c r="AC16">
        <v>6</v>
      </c>
    </row>
    <row r="17" spans="1:29" ht="14.25" customHeight="1" x14ac:dyDescent="0.35">
      <c r="A17" t="str">
        <v>NPO</v>
      </c>
      <c r="B17">
        <v>3</v>
      </c>
      <c r="C17" s="58">
        <f t="shared" si="0"/>
        <v>2.2900763358778626E-2</v>
      </c>
      <c r="D17" s="58"/>
      <c r="E17" s="2" t="str">
        <v>Artificial Intelligence (AI)</v>
      </c>
      <c r="F17" s="2">
        <f>COUNTIF(CBIMPORT!$B$41:$B$171,E17)</f>
        <v>2</v>
      </c>
      <c r="G17" s="2"/>
      <c r="H17" t="str">
        <v>Bridgestone</v>
      </c>
      <c r="I17" s="59">
        <f>COUNTIF(ANNOUNCEMENTS!$L$2:$N$178,H17)+COUNTIF(ANNOUNCEMENTS!$E$2:$E$178,H17)</f>
        <v>3</v>
      </c>
      <c r="L17" t="str">
        <v>Benteler</v>
      </c>
      <c r="M17">
        <v>1</v>
      </c>
      <c r="Q17" t="str">
        <v>Insurance</v>
      </c>
      <c r="R17">
        <v>3</v>
      </c>
      <c r="S17" s="58">
        <f t="shared" si="1"/>
        <v>1.7647058823529412E-2</v>
      </c>
      <c r="T17" t="str">
        <v>University</v>
      </c>
      <c r="U17">
        <f>COUNTIF(CBIMPORT!$B$2:$B$171,T17)</f>
        <v>2</v>
      </c>
      <c r="X17" t="str">
        <v>Waymo</v>
      </c>
      <c r="Y17">
        <f>COUNTIF(ANNOUNCEMENTS!$L$2:$N$180,X17)+COUNTIF(ANNOUNCEMENTS!$E$2:$E$180,X17)</f>
        <v>13</v>
      </c>
      <c r="AB17" t="str">
        <v>Transdev</v>
      </c>
      <c r="AC17">
        <v>6</v>
      </c>
    </row>
    <row r="18" spans="1:29" ht="14.25" customHeight="1" x14ac:dyDescent="0.35">
      <c r="A18" t="str">
        <v>University</v>
      </c>
      <c r="B18">
        <v>2</v>
      </c>
      <c r="C18" s="58">
        <f t="shared" si="0"/>
        <v>1.5267175572519083E-2</v>
      </c>
      <c r="D18" s="58"/>
      <c r="E18" s="2" t="str">
        <v>OEM</v>
      </c>
      <c r="F18" s="2">
        <f>COUNTIF(CBIMPORT!$B$41:$B$171,E18)</f>
        <v>12</v>
      </c>
      <c r="G18" s="2"/>
      <c r="H18" t="str">
        <v>ChargePoint</v>
      </c>
      <c r="I18" s="59">
        <f>COUNTIF(ANNOUNCEMENTS!$L$2:$N$178,H18)+COUNTIF(ANNOUNCEMENTS!$E$2:$E$178,H18)</f>
        <v>1</v>
      </c>
      <c r="L18" t="str">
        <v>Berliner Verkehrsbetriebe</v>
      </c>
      <c r="M18">
        <v>1</v>
      </c>
      <c r="Q18" t="str">
        <v>Mobility Project</v>
      </c>
      <c r="R18">
        <v>3</v>
      </c>
      <c r="S18" s="58">
        <f t="shared" si="1"/>
        <v>1.7647058823529412E-2</v>
      </c>
      <c r="T18" t="str">
        <v>Charging System</v>
      </c>
      <c r="U18">
        <f>COUNTIF(CBIMPORT!$B$2:$B$171,T18)</f>
        <v>2</v>
      </c>
      <c r="X18" t="str">
        <v>Wayve</v>
      </c>
      <c r="Y18">
        <f>COUNTIF(ANNOUNCEMENTS!$L$2:$N$180,X18)+COUNTIF(ANNOUNCEMENTS!$E$2:$E$180,X18)</f>
        <v>2</v>
      </c>
      <c r="AB18" t="str">
        <v>2getthere</v>
      </c>
      <c r="AC18">
        <v>5</v>
      </c>
    </row>
    <row r="19" spans="1:29" ht="14.25" customHeight="1" x14ac:dyDescent="0.35">
      <c r="A19" t="str">
        <v>Charging System</v>
      </c>
      <c r="B19">
        <v>2</v>
      </c>
      <c r="C19" s="58">
        <f t="shared" si="0"/>
        <v>1.5267175572519083E-2</v>
      </c>
      <c r="D19" s="58"/>
      <c r="E19" s="2" t="str">
        <v>Consumer Electronics</v>
      </c>
      <c r="F19" s="2">
        <f>COUNTIF(CBIMPORT!$B$41:$B$171,E19)</f>
        <v>2</v>
      </c>
      <c r="G19" s="2"/>
      <c r="H19" t="str">
        <v>Coca - Cola</v>
      </c>
      <c r="I19" s="59">
        <f>COUNTIF(ANNOUNCEMENTS!$L$2:$N$178,H19)+COUNTIF(ANNOUNCEMENTS!$E$2:$E$178,H19)</f>
        <v>1</v>
      </c>
      <c r="L19" t="str">
        <v>Beti</v>
      </c>
      <c r="M19">
        <v>1</v>
      </c>
      <c r="Q19" t="str">
        <v>NPO</v>
      </c>
      <c r="R19">
        <v>3</v>
      </c>
      <c r="S19" s="58">
        <f t="shared" si="1"/>
        <v>1.7647058823529412E-2</v>
      </c>
      <c r="T19" t="str">
        <v>Transportation Authority</v>
      </c>
      <c r="U19">
        <f>COUNTIF(CBIMPORT!$B$2:$B$171,T19)</f>
        <v>5</v>
      </c>
      <c r="X19" t="str">
        <v>2getthere</v>
      </c>
      <c r="Y19">
        <f>COUNTIF(ANNOUNCEMENTS!$L$2:$N$180,X19)+COUNTIF(ANNOUNCEMENTS!$E$2:$E$180,X19)</f>
        <v>5</v>
      </c>
      <c r="AB19" t="str">
        <v>ServeRobotics</v>
      </c>
      <c r="AC19">
        <v>5</v>
      </c>
    </row>
    <row r="20" spans="1:29" ht="14.25" customHeight="1" x14ac:dyDescent="0.35">
      <c r="A20" t="str">
        <v>Artificial Intelligence (AI)</v>
      </c>
      <c r="B20">
        <v>2</v>
      </c>
      <c r="C20" s="58">
        <f t="shared" si="0"/>
        <v>1.5267175572519083E-2</v>
      </c>
      <c r="D20" s="58"/>
      <c r="E20" s="2" t="str">
        <v>Telecommunications</v>
      </c>
      <c r="F20" s="2">
        <f>COUNTIF(CBIMPORT!$B$41:$B$171,E20)</f>
        <v>2</v>
      </c>
      <c r="G20" s="2"/>
      <c r="H20" t="str">
        <v>Continental</v>
      </c>
      <c r="I20" s="59">
        <f>COUNTIF(ANNOUNCEMENTS!$L$2:$N$178,H20)+COUNTIF(ANNOUNCEMENTS!$E$2:$E$178,H20)</f>
        <v>3</v>
      </c>
      <c r="L20" t="str">
        <v>Beyond Meat</v>
      </c>
      <c r="M20">
        <v>1</v>
      </c>
      <c r="Q20" t="str">
        <v>University</v>
      </c>
      <c r="R20">
        <v>2</v>
      </c>
      <c r="S20" s="58">
        <f t="shared" si="1"/>
        <v>1.1764705882352941E-2</v>
      </c>
      <c r="T20" t="str">
        <v>Artificial Intelligence (AI)</v>
      </c>
      <c r="U20">
        <f>COUNTIF(CBIMPORT!$B$2:$B$171,T20)</f>
        <v>2</v>
      </c>
      <c r="X20" t="str">
        <v>Cartken</v>
      </c>
      <c r="Y20">
        <f>COUNTIF(ANNOUNCEMENTS!$L$2:$N$180,X20)+COUNTIF(ANNOUNCEMENTS!$E$2:$E$180,X20)</f>
        <v>2</v>
      </c>
      <c r="AB20" t="str">
        <v>Torc</v>
      </c>
      <c r="AC20">
        <v>5</v>
      </c>
    </row>
    <row r="21" spans="1:29" ht="14.25" customHeight="1" x14ac:dyDescent="0.35">
      <c r="A21" t="str">
        <v>Consumer Electronics</v>
      </c>
      <c r="B21">
        <v>2</v>
      </c>
      <c r="C21" s="58">
        <f t="shared" si="0"/>
        <v>1.5267175572519083E-2</v>
      </c>
      <c r="D21" s="58"/>
      <c r="E21" s="2" t="str">
        <v>Autonomous Vehicles</v>
      </c>
      <c r="F21" s="2">
        <f>COUNTIF(CBIMPORT!$B$41:$B$171,E21)</f>
        <v>3</v>
      </c>
      <c r="G21" s="2"/>
      <c r="H21" t="str">
        <v>Contra Costa Transportation Authority</v>
      </c>
      <c r="I21" s="59">
        <f>COUNTIF(ANNOUNCEMENTS!$L$2:$N$178,H21)+COUNTIF(ANNOUNCEMENTS!$E$2:$E$178,H21)</f>
        <v>1</v>
      </c>
      <c r="L21" t="str">
        <v>Boston University</v>
      </c>
      <c r="M21">
        <v>1</v>
      </c>
      <c r="Q21" t="str">
        <v>Charging System</v>
      </c>
      <c r="R21">
        <v>2</v>
      </c>
      <c r="S21" s="58">
        <f t="shared" si="1"/>
        <v>1.1764705882352941E-2</v>
      </c>
      <c r="T21" t="str">
        <v>OEM</v>
      </c>
      <c r="U21">
        <f>COUNTIF(CBIMPORT!$B$2:$B$171,T21)</f>
        <v>12</v>
      </c>
      <c r="X21" t="str">
        <v>EasyMile</v>
      </c>
      <c r="Y21">
        <f>COUNTIF(ANNOUNCEMENTS!$L$2:$N$180,X21)+COUNTIF(ANNOUNCEMENTS!$E$2:$E$180,X21)</f>
        <v>7</v>
      </c>
      <c r="AB21" t="str">
        <v>Uber Freight</v>
      </c>
      <c r="AC21">
        <v>5</v>
      </c>
    </row>
    <row r="22" spans="1:29" ht="14.25" customHeight="1" x14ac:dyDescent="0.35">
      <c r="A22" t="str">
        <v>Telecommunications</v>
      </c>
      <c r="B22">
        <v>2</v>
      </c>
      <c r="C22" s="58">
        <f t="shared" si="0"/>
        <v>1.5267175572519083E-2</v>
      </c>
      <c r="D22" s="58"/>
      <c r="E22" s="2" t="str">
        <v>Delivery Service</v>
      </c>
      <c r="F22" s="2">
        <f>COUNTIF(CBIMPORT!$B$41:$B$171,E22)</f>
        <v>2</v>
      </c>
      <c r="G22" s="2"/>
      <c r="H22" t="str">
        <v>Covenant</v>
      </c>
      <c r="I22" s="59">
        <f>COUNTIF(ANNOUNCEMENTS!$L$2:$N$178,H22)+COUNTIF(ANNOUNCEMENTS!$E$2:$E$178,H22)</f>
        <v>1</v>
      </c>
      <c r="L22" t="str">
        <v>ChargePoint</v>
      </c>
      <c r="M22">
        <v>1</v>
      </c>
      <c r="Q22" t="str">
        <v>Artificial Intelligence (AI)</v>
      </c>
      <c r="R22">
        <v>2</v>
      </c>
      <c r="S22" s="58">
        <f t="shared" si="1"/>
        <v>1.1764705882352941E-2</v>
      </c>
      <c r="T22" t="str">
        <v>Consumer Electronics</v>
      </c>
      <c r="U22">
        <f>COUNTIF(CBIMPORT!$B$2:$B$171,T22)</f>
        <v>2</v>
      </c>
      <c r="X22" t="str">
        <v>Einride</v>
      </c>
      <c r="Y22">
        <f>COUNTIF(ANNOUNCEMENTS!$L$2:$N$180,X22)+COUNTIF(ANNOUNCEMENTS!$E$2:$E$180,X22)</f>
        <v>14</v>
      </c>
      <c r="AB22" t="str">
        <v>Aurora</v>
      </c>
      <c r="AC22">
        <v>4</v>
      </c>
    </row>
    <row r="23" spans="1:29" ht="14.25" customHeight="1" x14ac:dyDescent="0.35">
      <c r="A23" t="str">
        <v>Delivery Service</v>
      </c>
      <c r="B23">
        <v>2</v>
      </c>
      <c r="C23" s="58">
        <f t="shared" si="0"/>
        <v>1.5267175572519083E-2</v>
      </c>
      <c r="D23" s="58"/>
      <c r="E23" s="2" t="str">
        <v>Financial Services</v>
      </c>
      <c r="F23" s="2">
        <f>COUNTIF(CBIMPORT!$B$41:$B$171,E23)</f>
        <v>4</v>
      </c>
      <c r="G23" s="2"/>
      <c r="H23" t="str">
        <v>Cummins</v>
      </c>
      <c r="I23" s="59">
        <f>COUNTIF(ANNOUNCEMENTS!$L$2:$N$178,H23)+COUNTIF(ANNOUNCEMENTS!$E$2:$E$178,H23)</f>
        <v>1</v>
      </c>
      <c r="L23" t="str">
        <v>Coca - Cola</v>
      </c>
      <c r="M23">
        <v>1</v>
      </c>
      <c r="Q23" t="str">
        <v>Consumer Electronics</v>
      </c>
      <c r="R23">
        <v>2</v>
      </c>
      <c r="S23" s="58">
        <f t="shared" si="1"/>
        <v>1.1764705882352941E-2</v>
      </c>
      <c r="T23" t="str">
        <v>Telecommunications</v>
      </c>
      <c r="U23">
        <f>COUNTIF(CBIMPORT!$B$2:$B$171,T23)</f>
        <v>2</v>
      </c>
      <c r="X23" t="str">
        <v>Kiwibot</v>
      </c>
      <c r="Y23">
        <f>COUNTIF(ANNOUNCEMENTS!$L$2:$N$180,X23)+COUNTIF(ANNOUNCEMENTS!$E$2:$E$180,X23)</f>
        <v>3</v>
      </c>
      <c r="AB23" t="str">
        <v>Cruise</v>
      </c>
      <c r="AC23">
        <v>4</v>
      </c>
    </row>
    <row r="24" spans="1:29" ht="14.25" customHeight="1" x14ac:dyDescent="0.35">
      <c r="A24" t="str">
        <v>Semiconductor</v>
      </c>
      <c r="B24">
        <v>2</v>
      </c>
      <c r="C24" s="58">
        <f t="shared" si="0"/>
        <v>1.5267175572519083E-2</v>
      </c>
      <c r="D24" s="58"/>
      <c r="E24" s="2" t="str">
        <v>Autonomous mobility network</v>
      </c>
      <c r="F24" s="2">
        <f>COUNTIF(CBIMPORT!$B$41:$B$171,E24)</f>
        <v>1</v>
      </c>
      <c r="G24" s="2"/>
      <c r="H24" t="str">
        <v>Daimler Truck</v>
      </c>
      <c r="I24" s="59">
        <f>COUNTIF(ANNOUNCEMENTS!$L$2:$N$178,H24)+COUNTIF(ANNOUNCEMENTS!$E$2:$E$178,H24)</f>
        <v>2</v>
      </c>
      <c r="L24" t="str">
        <v>Contra Costa Transportation Authority</v>
      </c>
      <c r="M24">
        <v>1</v>
      </c>
      <c r="Q24" t="str">
        <v>Telecommunications</v>
      </c>
      <c r="R24">
        <v>2</v>
      </c>
      <c r="S24" s="58">
        <f t="shared" si="1"/>
        <v>1.1764705882352941E-2</v>
      </c>
      <c r="T24" t="str">
        <v>Financial Services</v>
      </c>
      <c r="U24">
        <f>COUNTIF(CBIMPORT!$B$2:$B$171,T24)</f>
        <v>4</v>
      </c>
      <c r="X24" t="str">
        <v>Lohr</v>
      </c>
      <c r="Y24">
        <f>COUNTIF(ANNOUNCEMENTS!$L$2:$N$180,X24)+COUNTIF(ANNOUNCEMENTS!$E$2:$E$180,X24)</f>
        <v>2</v>
      </c>
      <c r="AB24" t="str">
        <v>Motional</v>
      </c>
      <c r="AC24">
        <v>4</v>
      </c>
    </row>
    <row r="25" spans="1:29" ht="14.25" customHeight="1" x14ac:dyDescent="0.35">
      <c r="A25" t="str">
        <v>Mobility Services Booking</v>
      </c>
      <c r="B25">
        <v>2</v>
      </c>
      <c r="C25" s="58">
        <f t="shared" si="0"/>
        <v>1.5267175572519083E-2</v>
      </c>
      <c r="D25" s="58"/>
      <c r="E25" s="2" t="str">
        <v>Semiconductor</v>
      </c>
      <c r="F25" s="2">
        <f>COUNTIF(CBIMPORT!$B$41:$B$171,E25)</f>
        <v>2</v>
      </c>
      <c r="G25" s="2"/>
      <c r="H25" t="str">
        <v>DB Regio</v>
      </c>
      <c r="I25" s="59">
        <f>COUNTIF(ANNOUNCEMENTS!$L$2:$N$178,H25)+COUNTIF(ANNOUNCEMENTS!$E$2:$E$178,H25)</f>
        <v>1</v>
      </c>
      <c r="L25" t="str">
        <v>Covenant</v>
      </c>
      <c r="M25">
        <v>1</v>
      </c>
      <c r="Q25" t="str">
        <v>Semiconductor</v>
      </c>
      <c r="R25">
        <v>2</v>
      </c>
      <c r="S25" s="58">
        <f t="shared" si="1"/>
        <v>1.1764705882352941E-2</v>
      </c>
      <c r="T25" t="str">
        <v>Autonomous mobility network</v>
      </c>
      <c r="U25">
        <f>COUNTIF(CBIMPORT!$B$2:$B$171,T25)</f>
        <v>1</v>
      </c>
      <c r="X25" t="str">
        <v>Navya</v>
      </c>
      <c r="Y25">
        <f>COUNTIF(ANNOUNCEMENTS!$L$2:$N$180,X25)+COUNTIF(ANNOUNCEMENTS!$E$2:$E$180,X25)</f>
        <v>6</v>
      </c>
      <c r="AB25" t="str">
        <v>Udelv</v>
      </c>
      <c r="AC25">
        <v>4</v>
      </c>
    </row>
    <row r="26" spans="1:29" ht="14.25" customHeight="1" x14ac:dyDescent="0.35">
      <c r="A26" t="str">
        <v>Software Company</v>
      </c>
      <c r="B26">
        <v>2</v>
      </c>
      <c r="C26" s="58">
        <f t="shared" si="0"/>
        <v>1.5267175572519083E-2</v>
      </c>
      <c r="D26" s="58"/>
      <c r="E26" s="2" t="str">
        <v>Mobility Services Booking</v>
      </c>
      <c r="F26" s="2">
        <f>COUNTIF(CBIMPORT!$B$41:$B$171,E26)</f>
        <v>2</v>
      </c>
      <c r="G26" s="2"/>
      <c r="H26" t="str">
        <v>Delphi</v>
      </c>
      <c r="I26" s="59">
        <f>COUNTIF(ANNOUNCEMENTS!$L$2:$N$178,H26)+COUNTIF(ANNOUNCEMENTS!$E$2:$E$178,H26)</f>
        <v>1</v>
      </c>
      <c r="L26" t="str">
        <v>Cummins</v>
      </c>
      <c r="M26">
        <v>1</v>
      </c>
      <c r="Q26" t="str">
        <v>Software Company</v>
      </c>
      <c r="R26">
        <v>2</v>
      </c>
      <c r="S26" s="58">
        <f t="shared" si="1"/>
        <v>1.1764705882352941E-2</v>
      </c>
      <c r="T26" t="str">
        <v>Semiconductor</v>
      </c>
      <c r="U26">
        <f>COUNTIF(CBIMPORT!$B$2:$B$171,T26)</f>
        <v>2</v>
      </c>
      <c r="X26" t="str">
        <v>Nuro</v>
      </c>
      <c r="Y26">
        <f>COUNTIF(ANNOUNCEMENTS!$L$2:$N$180,X26)+COUNTIF(ANNOUNCEMENTS!$E$2:$E$180,X26)</f>
        <v>2</v>
      </c>
      <c r="AB26" t="str">
        <v>Uber Eats</v>
      </c>
      <c r="AC26">
        <v>4</v>
      </c>
    </row>
    <row r="27" spans="1:29" ht="14.25" customHeight="1" x14ac:dyDescent="0.35">
      <c r="A27" t="str">
        <v>Cyber Security</v>
      </c>
      <c r="B27">
        <v>2</v>
      </c>
      <c r="C27" s="58">
        <f t="shared" si="0"/>
        <v>1.5267175572519083E-2</v>
      </c>
      <c r="D27" s="58"/>
      <c r="E27" s="2" t="str">
        <v>Environmental Engineering</v>
      </c>
      <c r="F27" s="2">
        <f>COUNTIF(CBIMPORT!$B$41:$B$171,E27)</f>
        <v>1</v>
      </c>
      <c r="G27" s="2"/>
      <c r="H27" t="str">
        <v>Derq</v>
      </c>
      <c r="I27" s="59">
        <f>COUNTIF(ANNOUNCEMENTS!$L$2:$N$178,H27)+COUNTIF(ANNOUNCEMENTS!$E$2:$E$178,H27)</f>
        <v>1</v>
      </c>
      <c r="L27" t="str">
        <v>DB Regio</v>
      </c>
      <c r="M27">
        <v>1</v>
      </c>
      <c r="Q27" t="str">
        <v>Cyber Security</v>
      </c>
      <c r="R27">
        <v>2</v>
      </c>
      <c r="S27" s="58">
        <f t="shared" si="1"/>
        <v>1.1764705882352941E-2</v>
      </c>
      <c r="T27" t="str">
        <v>Environmental Engineering</v>
      </c>
      <c r="U27">
        <f>COUNTIF(CBIMPORT!$B$2:$B$171,T27)</f>
        <v>1</v>
      </c>
      <c r="X27" t="str">
        <v>ServeRobotics</v>
      </c>
      <c r="Y27">
        <f>COUNTIF(ANNOUNCEMENTS!$L$2:$N$180,X27)+COUNTIF(ANNOUNCEMENTS!$E$2:$E$180,X27)</f>
        <v>5</v>
      </c>
      <c r="AB27" t="str">
        <v>Waabi</v>
      </c>
      <c r="AC27">
        <v>3</v>
      </c>
    </row>
    <row r="28" spans="1:29" ht="14.25" customHeight="1" x14ac:dyDescent="0.35">
      <c r="A28" t="str">
        <v>Advertising</v>
      </c>
      <c r="B28">
        <v>2</v>
      </c>
      <c r="C28" s="58">
        <f t="shared" si="0"/>
        <v>1.5267175572519083E-2</v>
      </c>
      <c r="D28" s="58"/>
      <c r="E28" s="2" t="str">
        <v>Sensor</v>
      </c>
      <c r="F28" s="2">
        <f>COUNTIF(CBIMPORT!$B$41:$B$171,E28)</f>
        <v>4</v>
      </c>
      <c r="G28" s="2"/>
      <c r="H28" t="str">
        <v>Deutsche Bahn</v>
      </c>
      <c r="I28" s="59">
        <f>COUNTIF(ANNOUNCEMENTS!$L$2:$N$178,H28)+COUNTIF(ANNOUNCEMENTS!$E$2:$E$178,H28)</f>
        <v>1</v>
      </c>
      <c r="L28" t="str">
        <v>Delphi</v>
      </c>
      <c r="M28">
        <v>1</v>
      </c>
      <c r="Q28" t="str">
        <v>Advertising</v>
      </c>
      <c r="R28">
        <v>2</v>
      </c>
      <c r="S28" s="58">
        <f t="shared" si="1"/>
        <v>1.1764705882352941E-2</v>
      </c>
      <c r="T28" t="str">
        <v>Sensor</v>
      </c>
      <c r="U28">
        <f>COUNTIF(CBIMPORT!$B$2:$B$171,T28)</f>
        <v>4</v>
      </c>
      <c r="X28" t="str">
        <v>Starship Technologies</v>
      </c>
      <c r="Y28">
        <f>COUNTIF(ANNOUNCEMENTS!$L$2:$N$180,X28)+COUNTIF(ANNOUNCEMENTS!$E$2:$E$180,X28)</f>
        <v>2</v>
      </c>
      <c r="AB28" t="str">
        <v>Kiwibot</v>
      </c>
      <c r="AC28">
        <v>3</v>
      </c>
    </row>
    <row r="29" spans="1:29" ht="14.25" customHeight="1" x14ac:dyDescent="0.35">
      <c r="A29" t="str">
        <v>Industrial</v>
      </c>
      <c r="B29">
        <v>2</v>
      </c>
      <c r="C29" s="58">
        <f t="shared" si="0"/>
        <v>1.5267175572519083E-2</v>
      </c>
      <c r="D29" s="58"/>
      <c r="E29" s="2" t="str">
        <v>Software Company</v>
      </c>
      <c r="F29" s="2">
        <f>COUNTIF(CBIMPORT!$B$41:$B$171,E29)</f>
        <v>2</v>
      </c>
      <c r="G29" s="2"/>
      <c r="H29" t="str">
        <v>DHL</v>
      </c>
      <c r="I29" s="59">
        <f>COUNTIF(ANNOUNCEMENTS!$L$2:$N$178,H29)+COUNTIF(ANNOUNCEMENTS!$E$2:$E$178,H29)</f>
        <v>1</v>
      </c>
      <c r="L29" t="str">
        <v>Derq</v>
      </c>
      <c r="M29">
        <v>1</v>
      </c>
      <c r="Q29" t="str">
        <v>Industrial</v>
      </c>
      <c r="R29">
        <v>2</v>
      </c>
      <c r="S29" s="58">
        <f t="shared" si="1"/>
        <v>1.1764705882352941E-2</v>
      </c>
      <c r="T29" t="str">
        <v>Software Company</v>
      </c>
      <c r="U29">
        <f>COUNTIF(CBIMPORT!$B$2:$B$171,T29)</f>
        <v>2</v>
      </c>
      <c r="X29" t="str">
        <v>Torc</v>
      </c>
      <c r="Y29">
        <f>COUNTIF(ANNOUNCEMENTS!$L$2:$N$180,X29)+COUNTIF(ANNOUNCEMENTS!$E$2:$E$180,X29)</f>
        <v>5</v>
      </c>
      <c r="AB29" t="str">
        <v>Bridgestone</v>
      </c>
      <c r="AC29">
        <v>3</v>
      </c>
    </row>
    <row r="30" spans="1:29" ht="14.25" customHeight="1" x14ac:dyDescent="0.35">
      <c r="A30" t="str">
        <v>V&amp;V</v>
      </c>
      <c r="B30">
        <v>1</v>
      </c>
      <c r="C30" s="58">
        <f t="shared" si="0"/>
        <v>7.6335877862595417E-3</v>
      </c>
      <c r="D30" s="58"/>
      <c r="E30" s="2" t="str">
        <v>Cyber Security</v>
      </c>
      <c r="F30" s="2">
        <f>COUNTIF(CBIMPORT!$B$41:$B$171,E30)</f>
        <v>2</v>
      </c>
      <c r="G30" s="2"/>
      <c r="H30" t="str">
        <v>E Charger Systems</v>
      </c>
      <c r="I30" s="59">
        <f>COUNTIF(ANNOUNCEMENTS!$L$2:$N$178,H30)+COUNTIF(ANNOUNCEMENTS!$E$2:$E$178,H30)</f>
        <v>1</v>
      </c>
      <c r="L30" t="str">
        <v>Deutsche Bahn</v>
      </c>
      <c r="M30">
        <v>1</v>
      </c>
      <c r="Q30" t="str">
        <v>V&amp;V</v>
      </c>
      <c r="R30">
        <v>1</v>
      </c>
      <c r="S30" s="58">
        <f t="shared" si="1"/>
        <v>5.8823529411764705E-3</v>
      </c>
      <c r="T30" t="str">
        <v>Cyber Security</v>
      </c>
      <c r="U30">
        <f>COUNTIF(CBIMPORT!$B$2:$B$171,T30)</f>
        <v>2</v>
      </c>
      <c r="X30" t="str">
        <v>Udelv</v>
      </c>
      <c r="Y30">
        <f>COUNTIF(ANNOUNCEMENTS!$L$2:$N$180,X30)+COUNTIF(ANNOUNCEMENTS!$E$2:$E$180,X30)</f>
        <v>4</v>
      </c>
      <c r="AB30" t="str">
        <v>Continental</v>
      </c>
      <c r="AC30">
        <v>3</v>
      </c>
    </row>
    <row r="31" spans="1:29" ht="14.25" customHeight="1" x14ac:dyDescent="0.35">
      <c r="A31" t="str">
        <v>Rental Services</v>
      </c>
      <c r="B31">
        <v>1</v>
      </c>
      <c r="C31" s="58">
        <f t="shared" si="0"/>
        <v>7.6335877862595417E-3</v>
      </c>
      <c r="D31" s="58"/>
      <c r="E31" s="2" t="str">
        <v>NPO</v>
      </c>
      <c r="F31" s="2">
        <f>COUNTIF(CBIMPORT!$B$41:$B$171,E31)</f>
        <v>3</v>
      </c>
      <c r="G31" s="2"/>
      <c r="H31" t="str">
        <v>e.GO</v>
      </c>
      <c r="I31" s="59">
        <f>COUNTIF(ANNOUNCEMENTS!$L$2:$N$178,H31)+COUNTIF(ANNOUNCEMENTS!$E$2:$E$178,H31)</f>
        <v>2</v>
      </c>
      <c r="L31" t="str">
        <v>DHL</v>
      </c>
      <c r="M31">
        <v>1</v>
      </c>
      <c r="Q31" t="str">
        <v>Rental Services</v>
      </c>
      <c r="R31">
        <v>1</v>
      </c>
      <c r="S31" s="58">
        <f t="shared" si="1"/>
        <v>5.8823529411764705E-3</v>
      </c>
      <c r="T31" t="str">
        <v>NPO</v>
      </c>
      <c r="U31">
        <f>COUNTIF(CBIMPORT!$B$2:$B$171,T31)</f>
        <v>3</v>
      </c>
      <c r="X31" t="str">
        <v>ZF</v>
      </c>
      <c r="Y31">
        <f>COUNTIF(ANNOUNCEMENTS!$L$2:$N$180,X31)+COUNTIF(ANNOUNCEMENTS!$E$2:$E$180,X31)</f>
        <v>9</v>
      </c>
      <c r="AB31" t="str">
        <v>Goodyear</v>
      </c>
      <c r="AC31">
        <v>3</v>
      </c>
    </row>
    <row r="32" spans="1:29" ht="14.25" customHeight="1" x14ac:dyDescent="0.35">
      <c r="A32" t="str">
        <v>Autonomous mobility network</v>
      </c>
      <c r="B32">
        <v>1</v>
      </c>
      <c r="C32" s="58">
        <f t="shared" si="0"/>
        <v>7.6335877862595417E-3</v>
      </c>
      <c r="D32" s="58"/>
      <c r="E32" s="2" t="str">
        <v>Advertising</v>
      </c>
      <c r="F32" s="2">
        <f>COUNTIF(CBIMPORT!$B$41:$B$171,E32)</f>
        <v>2</v>
      </c>
      <c r="G32" s="2"/>
      <c r="H32" t="str">
        <v>Ecarx</v>
      </c>
      <c r="I32" s="59">
        <f>COUNTIF(ANNOUNCEMENTS!$L$2:$N$178,H32)+COUNTIF(ANNOUNCEMENTS!$E$2:$E$178,H32)</f>
        <v>1</v>
      </c>
      <c r="L32" t="str">
        <v>E Charger Systems</v>
      </c>
      <c r="M32">
        <v>1</v>
      </c>
      <c r="Q32" t="str">
        <v>Autonomous mobility network</v>
      </c>
      <c r="R32">
        <v>1</v>
      </c>
      <c r="S32" s="58">
        <f t="shared" si="1"/>
        <v>5.8823529411764705E-3</v>
      </c>
      <c r="T32" t="str">
        <v>Advertising</v>
      </c>
      <c r="U32">
        <f>COUNTIF(CBIMPORT!$B$2:$B$171,T32)</f>
        <v>2</v>
      </c>
      <c r="X32" t="str">
        <v>Beep</v>
      </c>
      <c r="Y32">
        <f>COUNTIF(ANNOUNCEMENTS!$L$2:$N$180,X32)+COUNTIF(ANNOUNCEMENTS!$E$2:$E$180,X32)</f>
        <v>6</v>
      </c>
      <c r="AB32" t="str">
        <v>Greenpower</v>
      </c>
      <c r="AC32">
        <v>3</v>
      </c>
    </row>
    <row r="33" spans="1:29" ht="14.25" customHeight="1" x14ac:dyDescent="0.35">
      <c r="A33" t="str">
        <v>Environmental Engineering</v>
      </c>
      <c r="B33">
        <v>1</v>
      </c>
      <c r="C33" s="58">
        <f t="shared" si="0"/>
        <v>7.6335877862595417E-3</v>
      </c>
      <c r="D33" s="58"/>
      <c r="E33" s="2" t="str">
        <v>Real estate</v>
      </c>
      <c r="F33" s="2">
        <f>COUNTIF(CBIMPORT!$B$41:$B$171,E33)</f>
        <v>1</v>
      </c>
      <c r="G33" s="2"/>
      <c r="H33" t="str">
        <v>Electrolux</v>
      </c>
      <c r="I33" s="59">
        <f>COUNTIF(ANNOUNCEMENTS!$L$2:$N$178,H33)+COUNTIF(ANNOUNCEMENTS!$E$2:$E$178,H33)</f>
        <v>1</v>
      </c>
      <c r="L33" t="str">
        <v>Ecarx</v>
      </c>
      <c r="M33">
        <v>1</v>
      </c>
      <c r="Q33" t="str">
        <v>Environmental Engineering</v>
      </c>
      <c r="R33">
        <v>1</v>
      </c>
      <c r="S33" s="58">
        <f t="shared" si="1"/>
        <v>5.8823529411764705E-3</v>
      </c>
      <c r="T33" t="str">
        <v>Real estate</v>
      </c>
      <c r="U33">
        <f>COUNTIF(CBIMPORT!$B$2:$B$171,T33)</f>
        <v>1</v>
      </c>
      <c r="X33" t="str">
        <v>MOIA</v>
      </c>
      <c r="Y33">
        <f>COUNTIF(ANNOUNCEMENTS!$L$2:$N$180,X33)+COUNTIF(ANNOUNCEMENTS!$E$2:$E$180,X33)</f>
        <v>2</v>
      </c>
      <c r="AB33" t="str">
        <v>Luminar</v>
      </c>
      <c r="AC33">
        <v>3</v>
      </c>
    </row>
    <row r="34" spans="1:29" ht="14.25" customHeight="1" x14ac:dyDescent="0.35">
      <c r="A34" t="str">
        <v>Real estate</v>
      </c>
      <c r="B34">
        <v>1</v>
      </c>
      <c r="C34" s="58">
        <f t="shared" si="0"/>
        <v>7.6335877862595417E-3</v>
      </c>
      <c r="D34" s="58"/>
      <c r="E34" s="2" t="str">
        <v>Construction</v>
      </c>
      <c r="F34" s="2">
        <f>COUNTIF(CBIMPORT!$B$41:$B$171,E34)</f>
        <v>1</v>
      </c>
      <c r="G34" s="2"/>
      <c r="H34" t="str">
        <v>Ericsson</v>
      </c>
      <c r="I34" s="59">
        <f>COUNTIF(ANNOUNCEMENTS!$L$2:$N$178,H34)+COUNTIF(ANNOUNCEMENTS!$E$2:$E$178,H34)</f>
        <v>2</v>
      </c>
      <c r="L34" t="str">
        <v>Electrolux</v>
      </c>
      <c r="M34">
        <v>1</v>
      </c>
      <c r="Q34" t="str">
        <v>Real estate</v>
      </c>
      <c r="R34">
        <v>1</v>
      </c>
      <c r="S34" s="58">
        <f t="shared" si="1"/>
        <v>5.8823529411764705E-3</v>
      </c>
      <c r="T34" t="str">
        <v>Construction</v>
      </c>
      <c r="U34">
        <f>COUNTIF(CBIMPORT!$B$2:$B$171,T34)</f>
        <v>1</v>
      </c>
      <c r="X34" t="str">
        <v>Transdev</v>
      </c>
      <c r="Y34">
        <f>COUNTIF(ANNOUNCEMENTS!$L$2:$N$180,X34)+COUNTIF(ANNOUNCEMENTS!$E$2:$E$180,X34)</f>
        <v>6</v>
      </c>
      <c r="AB34" t="str">
        <v>Toyota</v>
      </c>
      <c r="AC34">
        <v>3</v>
      </c>
    </row>
    <row r="35" spans="1:29" ht="14.25" customHeight="1" x14ac:dyDescent="0.35">
      <c r="A35" t="str">
        <v>Construction</v>
      </c>
      <c r="B35">
        <v>1</v>
      </c>
      <c r="C35" s="58">
        <f t="shared" si="0"/>
        <v>7.6335877862595417E-3</v>
      </c>
      <c r="D35" s="58"/>
      <c r="E35" s="2" t="str">
        <v>Industrial</v>
      </c>
      <c r="F35" s="2">
        <f>COUNTIF(CBIMPORT!$B$41:$B$171,E35)</f>
        <v>2</v>
      </c>
      <c r="G35" s="2"/>
      <c r="H35" t="str">
        <v>eVersum</v>
      </c>
      <c r="I35" s="59">
        <f>COUNTIF(ANNOUNCEMENTS!$L$2:$N$178,H35)+COUNTIF(ANNOUNCEMENTS!$E$2:$E$178,H35)</f>
        <v>1</v>
      </c>
      <c r="L35" t="str">
        <v>eVersum</v>
      </c>
      <c r="M35">
        <v>1</v>
      </c>
      <c r="Q35" t="str">
        <v>Construction</v>
      </c>
      <c r="R35">
        <v>1</v>
      </c>
      <c r="S35" s="58">
        <f t="shared" si="1"/>
        <v>5.8823529411764705E-3</v>
      </c>
      <c r="T35" t="str">
        <v>Industrial</v>
      </c>
      <c r="U35">
        <f>COUNTIF(CBIMPORT!$B$2:$B$171,T35)</f>
        <v>2</v>
      </c>
      <c r="X35" t="str">
        <v>Via</v>
      </c>
      <c r="Y35">
        <f>COUNTIF(ANNOUNCEMENTS!$L$2:$N$180,X35)+COUNTIF(ANNOUNCEMENTS!$E$2:$E$180,X35)</f>
        <v>2</v>
      </c>
      <c r="AB35" t="str">
        <v>Tropos Technologies</v>
      </c>
      <c r="AC35">
        <v>3</v>
      </c>
    </row>
    <row r="36" spans="1:29" ht="14.25" customHeight="1" x14ac:dyDescent="0.35">
      <c r="A36" t="str">
        <v>Mobility Analytics</v>
      </c>
      <c r="B36">
        <v>1</v>
      </c>
      <c r="C36" s="58">
        <f t="shared" si="0"/>
        <v>7.6335877862595417E-3</v>
      </c>
      <c r="D36" s="58"/>
      <c r="E36" s="2" t="str">
        <v>Mobility Analytics</v>
      </c>
      <c r="F36" s="2">
        <f>COUNTIF(CBIMPORT!$B$41:$B$171,E36)</f>
        <v>1</v>
      </c>
      <c r="G36" s="2"/>
      <c r="H36" t="str">
        <v>Farmstead</v>
      </c>
      <c r="I36" s="59">
        <f>COUNTIF(ANNOUNCEMENTS!$L$2:$N$178,H36)+COUNTIF(ANNOUNCEMENTS!$E$2:$E$178,H36)</f>
        <v>1</v>
      </c>
      <c r="L36" t="str">
        <v>Farmstead</v>
      </c>
      <c r="M36">
        <v>1</v>
      </c>
      <c r="Q36" t="str">
        <v>Mobility Analytics</v>
      </c>
      <c r="R36">
        <v>1</v>
      </c>
      <c r="S36" s="58">
        <f t="shared" si="1"/>
        <v>5.8823529411764705E-3</v>
      </c>
      <c r="T36" t="str">
        <v>Mobility Analytics</v>
      </c>
      <c r="U36">
        <f>COUNTIF(CBIMPORT!$B$2:$B$171,T36)</f>
        <v>1</v>
      </c>
      <c r="X36" t="str">
        <v>Bolt</v>
      </c>
      <c r="Y36">
        <f>COUNTIF(ANNOUNCEMENTS!$L$2:$N$180,X36)+COUNTIF(ANNOUNCEMENTS!$E$2:$E$180,X36)</f>
        <v>2</v>
      </c>
      <c r="AB36" t="str">
        <v>Valeo</v>
      </c>
      <c r="AC36">
        <v>3</v>
      </c>
    </row>
    <row r="37" spans="1:29" ht="14.25" customHeight="1" x14ac:dyDescent="0.35">
      <c r="A37" t="str">
        <v>City Architecture</v>
      </c>
      <c r="B37">
        <v>1</v>
      </c>
      <c r="C37" s="58">
        <f t="shared" si="0"/>
        <v>7.6335877862595417E-3</v>
      </c>
      <c r="D37" s="58"/>
      <c r="E37" s="2" t="str">
        <v>City Architecture</v>
      </c>
      <c r="F37" s="2">
        <f>COUNTIF(CBIMPORT!$B$41:$B$171,E37)</f>
        <v>1</v>
      </c>
      <c r="G37" s="2"/>
      <c r="H37" t="str">
        <v>FAW Group</v>
      </c>
      <c r="I37" s="59">
        <f>COUNTIF(ANNOUNCEMENTS!$L$2:$N$178,H37)+COUNTIF(ANNOUNCEMENTS!$E$2:$E$178,H37)</f>
        <v>1</v>
      </c>
      <c r="L37" t="str">
        <v>FAW Group</v>
      </c>
      <c r="M37">
        <v>1</v>
      </c>
      <c r="Q37" t="str">
        <v>City Architecture</v>
      </c>
      <c r="R37">
        <v>1</v>
      </c>
      <c r="S37" s="58">
        <f t="shared" si="1"/>
        <v>5.8823529411764705E-3</v>
      </c>
      <c r="T37" t="str">
        <v>City Architecture</v>
      </c>
      <c r="U37">
        <f>COUNTIF(CBIMPORT!$B$2:$B$171,T37)</f>
        <v>1</v>
      </c>
      <c r="X37" t="str">
        <v>Ioki</v>
      </c>
      <c r="Y37">
        <f>COUNTIF(ANNOUNCEMENTS!$L$2:$N$180,X37)+COUNTIF(ANNOUNCEMENTS!$E$2:$E$180,X37)</f>
        <v>2</v>
      </c>
      <c r="AB37" t="str">
        <v>Walmart</v>
      </c>
      <c r="AC37">
        <v>3</v>
      </c>
    </row>
    <row r="38" spans="1:29" ht="14.25" customHeight="1" x14ac:dyDescent="0.35">
      <c r="A38" t="str">
        <v>Health Care Analytics</v>
      </c>
      <c r="B38">
        <v>1</v>
      </c>
      <c r="C38" s="58">
        <f t="shared" si="0"/>
        <v>7.6335877862595417E-3</v>
      </c>
      <c r="D38" s="58"/>
      <c r="E38" s="2" t="str">
        <v>Health Care Analytics</v>
      </c>
      <c r="F38" s="2">
        <f>COUNTIF(CBIMPORT!$B$41:$B$171,E38)</f>
        <v>1</v>
      </c>
      <c r="G38" s="2"/>
      <c r="H38" t="str">
        <v>Fiat Chrysler Automobiles</v>
      </c>
      <c r="I38" s="59">
        <f>COUNTIF(ANNOUNCEMENTS!$L$2:$N$178,H38)+COUNTIF(ANNOUNCEMENTS!$E$2:$E$178,H38)</f>
        <v>1</v>
      </c>
      <c r="L38" t="str">
        <v>Fiat Chrysler Automobiles</v>
      </c>
      <c r="M38">
        <v>1</v>
      </c>
      <c r="Q38" t="str">
        <v>Health Care Analytics</v>
      </c>
      <c r="R38">
        <v>1</v>
      </c>
      <c r="S38" s="58">
        <f t="shared" si="1"/>
        <v>5.8823529411764705E-3</v>
      </c>
      <c r="T38" t="str">
        <v>Health Care Analytics</v>
      </c>
      <c r="U38">
        <f>COUNTIF(CBIMPORT!$B$2:$B$171,T38)</f>
        <v>1</v>
      </c>
      <c r="X38" t="str">
        <v>Lyft</v>
      </c>
      <c r="Y38">
        <f>COUNTIF(ANNOUNCEMENTS!$L$2:$N$180,X38)+COUNTIF(ANNOUNCEMENTS!$E$2:$E$180,X38)</f>
        <v>2</v>
      </c>
      <c r="AB38" t="str">
        <v>ADASTEC</v>
      </c>
      <c r="AC38">
        <v>2</v>
      </c>
    </row>
    <row r="39" spans="1:29" ht="14.25" customHeight="1" x14ac:dyDescent="0.35">
      <c r="A39">
        <v>0</v>
      </c>
      <c r="B39">
        <v>0</v>
      </c>
      <c r="C39" s="58">
        <f t="shared" si="0"/>
        <v>0</v>
      </c>
      <c r="D39" s="58"/>
      <c r="E39" s="2">
        <v>0</v>
      </c>
      <c r="F39" s="2">
        <f>COUNTIF(CBIMPORT!$B$41:$B$171,E39)</f>
        <v>0</v>
      </c>
      <c r="G39" s="2"/>
      <c r="H39" t="str">
        <v>GE Appliances</v>
      </c>
      <c r="I39" s="59">
        <f>COUNTIF(ANNOUNCEMENTS!$L$2:$N$178,H39)+COUNTIF(ANNOUNCEMENTS!$E$2:$E$178,H39)</f>
        <v>1</v>
      </c>
      <c r="L39" t="str">
        <v>GE Appliances</v>
      </c>
      <c r="M39">
        <v>1</v>
      </c>
      <c r="Q39">
        <v>0</v>
      </c>
      <c r="R39">
        <v>0</v>
      </c>
      <c r="S39" s="58">
        <f t="shared" si="1"/>
        <v>0</v>
      </c>
      <c r="U39">
        <f>COUNTIF(CBIMPORT!$B$2:$B$171,T39)</f>
        <v>0</v>
      </c>
      <c r="X39" t="str">
        <v>Uber</v>
      </c>
      <c r="Y39">
        <f>COUNTIF(ANNOUNCEMENTS!$L$2:$N$180,X39)+COUNTIF(ANNOUNCEMENTS!$E$2:$E$180,X39)</f>
        <v>2</v>
      </c>
      <c r="AB39" t="str">
        <v>Kodiak</v>
      </c>
      <c r="AC39">
        <v>2</v>
      </c>
    </row>
    <row r="40" spans="1:29" ht="14.25" customHeight="1" x14ac:dyDescent="0.35">
      <c r="H40" t="str">
        <v>Geely</v>
      </c>
      <c r="I40" s="59">
        <f>COUNTIF(ANNOUNCEMENTS!$L$2:$N$178,H40)+COUNTIF(ANNOUNCEMENTS!$E$2:$E$178,H40)</f>
        <v>1</v>
      </c>
      <c r="X40" t="str">
        <v>Uber Eats</v>
      </c>
      <c r="Y40">
        <f>COUNTIF(ANNOUNCEMENTS!$L$2:$N$180,X40)+COUNTIF(ANNOUNCEMENTS!$E$2:$E$180,X40)</f>
        <v>4</v>
      </c>
      <c r="AB40" t="str">
        <v>Wayve</v>
      </c>
      <c r="AC40">
        <v>2</v>
      </c>
    </row>
    <row r="41" spans="1:29" ht="14.25" customHeight="1" x14ac:dyDescent="0.35">
      <c r="H41" t="str">
        <v>Global Finance Group</v>
      </c>
      <c r="I41" s="59">
        <f>COUNTIF(ANNOUNCEMENTS!$L$2:$N$178,H41)+COUNTIF(ANNOUNCEMENTS!$E$2:$E$178,H41)</f>
        <v>1</v>
      </c>
      <c r="X41" t="str">
        <v>Uber Freight</v>
      </c>
      <c r="Y41">
        <f>COUNTIF(ANNOUNCEMENTS!$L$2:$N$180,X41)+COUNTIF(ANNOUNCEMENTS!$E$2:$E$180,X41)</f>
        <v>5</v>
      </c>
      <c r="AB41" t="str">
        <v>Cartken</v>
      </c>
      <c r="AC41">
        <v>2</v>
      </c>
    </row>
    <row r="42" spans="1:29" ht="14.25" customHeight="1" x14ac:dyDescent="0.35">
      <c r="H42" t="str">
        <v>GM</v>
      </c>
      <c r="I42" s="59">
        <f>COUNTIF(ANNOUNCEMENTS!$L$2:$N$178,H42)+COUNTIF(ANNOUNCEMENTS!$E$2:$E$178,H42)</f>
        <v>1</v>
      </c>
      <c r="X42" t="str">
        <v>Ten Roads Express</v>
      </c>
      <c r="Y42">
        <f>COUNTIF(ANNOUNCEMENTS!$L$2:$N$180,X42)+COUNTIF(ANNOUNCEMENTS!$E$2:$E$180,X42)</f>
        <v>1</v>
      </c>
      <c r="AB42" t="str">
        <v>Lohr</v>
      </c>
      <c r="AC42">
        <v>2</v>
      </c>
    </row>
    <row r="43" spans="1:29" ht="14.25" customHeight="1" x14ac:dyDescent="0.35">
      <c r="H43" t="str">
        <v>Goggo Network</v>
      </c>
      <c r="I43" s="59">
        <f>COUNTIF(ANNOUNCEMENTS!$L$2:$N$178,H43)+COUNTIF(ANNOUNCEMENTS!$E$2:$E$178,H43)</f>
        <v>2</v>
      </c>
      <c r="X43" t="str">
        <v>AAA Northern California, Nevada &amp; Utah</v>
      </c>
      <c r="Y43">
        <f>COUNTIF(ANNOUNCEMENTS!$L$2:$N$180,X43)+COUNTIF(ANNOUNCEMENTS!$E$2:$E$180,X43)</f>
        <v>1</v>
      </c>
      <c r="AB43" t="str">
        <v>Nuro</v>
      </c>
      <c r="AC43">
        <v>2</v>
      </c>
    </row>
    <row r="44" spans="1:29" ht="14.25" customHeight="1" x14ac:dyDescent="0.35">
      <c r="H44" t="str">
        <v>Goodyear</v>
      </c>
      <c r="I44" s="59">
        <f>COUNTIF(ANNOUNCEMENTS!$L$2:$N$178,H44)+COUNTIF(ANNOUNCEMENTS!$E$2:$E$178,H44)</f>
        <v>3</v>
      </c>
      <c r="X44" t="str">
        <v>Alliance Ventures (Renault, Nissan, Mitsubishi)</v>
      </c>
      <c r="Y44">
        <f>COUNTIF(ANNOUNCEMENTS!$L$2:$N$180,X44)+COUNTIF(ANNOUNCEMENTS!$E$2:$E$180,X44)</f>
        <v>2</v>
      </c>
      <c r="AB44" t="str">
        <v>Starship Technologies</v>
      </c>
      <c r="AC44">
        <v>2</v>
      </c>
    </row>
    <row r="45" spans="1:29" ht="14.25" customHeight="1" x14ac:dyDescent="0.35">
      <c r="H45" t="str">
        <v>Greenpower</v>
      </c>
      <c r="I45" s="59">
        <f>COUNTIF(ANNOUNCEMENTS!$L$2:$N$178,H45)+COUNTIF(ANNOUNCEMENTS!$E$2:$E$178,H45)</f>
        <v>3</v>
      </c>
      <c r="X45" t="str">
        <v>Anheuser - Busch InBev</v>
      </c>
      <c r="Y45">
        <f>COUNTIF(ANNOUNCEMENTS!$L$2:$N$180,X45)+COUNTIF(ANNOUNCEMENTS!$E$2:$E$180,X45)</f>
        <v>1</v>
      </c>
      <c r="AB45" t="str">
        <v>MOIA</v>
      </c>
      <c r="AC45">
        <v>2</v>
      </c>
    </row>
    <row r="46" spans="1:29" ht="14.25" customHeight="1" x14ac:dyDescent="0.35">
      <c r="H46" t="str">
        <v>Grubhub</v>
      </c>
      <c r="I46" s="59">
        <f>COUNTIF(ANNOUNCEMENTS!$L$2:$N$178,H46)+COUNTIF(ANNOUNCEMENTS!$E$2:$E$178,H46)</f>
        <v>2</v>
      </c>
      <c r="X46" t="str">
        <v>Applied Intuition</v>
      </c>
      <c r="Y46">
        <f>COUNTIF(ANNOUNCEMENTS!$L$2:$N$180,X46)+COUNTIF(ANNOUNCEMENTS!$E$2:$E$180,X46)</f>
        <v>1</v>
      </c>
      <c r="AB46" t="str">
        <v>Via</v>
      </c>
      <c r="AC46">
        <v>2</v>
      </c>
    </row>
    <row r="47" spans="1:29" ht="14.25" customHeight="1" x14ac:dyDescent="0.35">
      <c r="H47" t="str">
        <v>Guident</v>
      </c>
      <c r="I47" s="59">
        <f>COUNTIF(ANNOUNCEMENTS!$L$2:$N$178,H47)+COUNTIF(ANNOUNCEMENTS!$E$2:$E$178,H47)</f>
        <v>1</v>
      </c>
      <c r="X47" t="str">
        <v>Aramex</v>
      </c>
      <c r="Y47">
        <f>COUNTIF(ANNOUNCEMENTS!$L$2:$N$180,X47)+COUNTIF(ANNOUNCEMENTS!$E$2:$E$180,X47)</f>
        <v>1</v>
      </c>
      <c r="AB47" t="str">
        <v>Bolt</v>
      </c>
      <c r="AC47">
        <v>2</v>
      </c>
    </row>
    <row r="48" spans="1:29" ht="14.25" customHeight="1" x14ac:dyDescent="0.35">
      <c r="H48" t="str">
        <v>H-E-B</v>
      </c>
      <c r="I48" s="59">
        <f>COUNTIF(ANNOUNCEMENTS!$L$2:$N$178,H48)+COUNTIF(ANNOUNCEMENTS!$E$2:$E$178,H48)</f>
        <v>1</v>
      </c>
      <c r="X48" t="str">
        <v>Asda</v>
      </c>
      <c r="Y48">
        <f>COUNTIF(ANNOUNCEMENTS!$L$2:$N$180,X48)+COUNTIF(ANNOUNCEMENTS!$E$2:$E$180,X48)</f>
        <v>1</v>
      </c>
      <c r="AB48" t="str">
        <v>Ioki</v>
      </c>
      <c r="AC48">
        <v>2</v>
      </c>
    </row>
    <row r="49" spans="8:29" ht="14.25" customHeight="1" x14ac:dyDescent="0.35">
      <c r="H49" t="str">
        <v>Hegelmann Group</v>
      </c>
      <c r="I49" s="59">
        <f>COUNTIF(ANNOUNCEMENTS!$L$2:$N$178,H49)+COUNTIF(ANNOUNCEMENTS!$E$2:$E$178,H49)</f>
        <v>1</v>
      </c>
      <c r="X49" t="str">
        <v>Avis</v>
      </c>
      <c r="Y49">
        <f>COUNTIF(ANNOUNCEMENTS!$L$2:$N$180,X49)+COUNTIF(ANNOUNCEMENTS!$E$2:$E$180,X49)</f>
        <v>1</v>
      </c>
      <c r="AB49" t="str">
        <v>Lyft</v>
      </c>
      <c r="AC49">
        <v>2</v>
      </c>
    </row>
    <row r="50" spans="8:29" ht="14.25" customHeight="1" x14ac:dyDescent="0.35">
      <c r="H50" t="str">
        <v>Hirschbach</v>
      </c>
      <c r="I50" s="59">
        <f>COUNTIF(ANNOUNCEMENTS!$L$2:$N$178,H50)+COUNTIF(ANNOUNCEMENTS!$E$2:$E$178,H50)</f>
        <v>1</v>
      </c>
      <c r="X50" t="str">
        <v>Benteler</v>
      </c>
      <c r="Y50">
        <f>COUNTIF(ANNOUNCEMENTS!$L$2:$N$180,X50)+COUNTIF(ANNOUNCEMENTS!$E$2:$E$180,X50)</f>
        <v>1</v>
      </c>
      <c r="AB50" t="str">
        <v>Uber</v>
      </c>
      <c r="AC50">
        <v>2</v>
      </c>
    </row>
    <row r="51" spans="8:29" ht="14.25" customHeight="1" x14ac:dyDescent="0.35">
      <c r="H51" t="str">
        <v>HOCHBAHN</v>
      </c>
      <c r="I51" s="59">
        <f>COUNTIF(ANNOUNCEMENTS!$L$2:$N$178,H51)+COUNTIF(ANNOUNCEMENTS!$E$2:$E$178,H51)</f>
        <v>1</v>
      </c>
      <c r="X51" t="str">
        <v>Berliner Verkehrsbetriebe</v>
      </c>
      <c r="Y51">
        <f>COUNTIF(ANNOUNCEMENTS!$L$2:$N$180,X51)+COUNTIF(ANNOUNCEMENTS!$E$2:$E$180,X51)</f>
        <v>1</v>
      </c>
      <c r="AB51" t="str">
        <v>Alliance Ventures (Renault, Nissan, Mitsubishi)</v>
      </c>
      <c r="AC51">
        <v>2</v>
      </c>
    </row>
    <row r="52" spans="8:29" ht="14.25" customHeight="1" x14ac:dyDescent="0.35">
      <c r="H52" t="str">
        <v>Horizon Robotics</v>
      </c>
      <c r="I52" s="59">
        <f>COUNTIF(ANNOUNCEMENTS!$L$2:$N$178,H52)+COUNTIF(ANNOUNCEMENTS!$E$2:$E$178,H52)</f>
        <v>1</v>
      </c>
      <c r="X52" t="str">
        <v>Beti</v>
      </c>
      <c r="Y52">
        <f>COUNTIF(ANNOUNCEMENTS!$L$2:$N$180,X52)+COUNTIF(ANNOUNCEMENTS!$E$2:$E$180,X52)</f>
        <v>1</v>
      </c>
      <c r="AB52" t="str">
        <v>Bosch</v>
      </c>
      <c r="AC52">
        <v>2</v>
      </c>
    </row>
    <row r="53" spans="8:29" ht="14.25" customHeight="1" x14ac:dyDescent="0.35">
      <c r="H53" t="str">
        <v>Ion</v>
      </c>
      <c r="I53" s="59">
        <f>COUNTIF(ANNOUNCEMENTS!$L$2:$N$178,H53)+COUNTIF(ANNOUNCEMENTS!$E$2:$E$178,H53)</f>
        <v>1</v>
      </c>
      <c r="X53" t="str">
        <v>Beyond Meat</v>
      </c>
      <c r="Y53">
        <f>COUNTIF(ANNOUNCEMENTS!$L$2:$N$180,X53)+COUNTIF(ANNOUNCEMENTS!$E$2:$E$180,X53)</f>
        <v>1</v>
      </c>
      <c r="AB53" t="str">
        <v>Daimler Truck</v>
      </c>
      <c r="AC53">
        <v>2</v>
      </c>
    </row>
    <row r="54" spans="8:29" ht="14.25" customHeight="1" x14ac:dyDescent="0.35">
      <c r="H54" t="str">
        <v>Isuzu North America</v>
      </c>
      <c r="I54" s="59">
        <f>COUNTIF(ANNOUNCEMENTS!$L$2:$N$178,H54)+COUNTIF(ANNOUNCEMENTS!$E$2:$E$178,H54)</f>
        <v>1</v>
      </c>
      <c r="X54" t="str">
        <v>Bosch</v>
      </c>
      <c r="Y54">
        <f>COUNTIF(ANNOUNCEMENTS!$L$2:$N$180,X54)+COUNTIF(ANNOUNCEMENTS!$E$2:$E$180,X54)</f>
        <v>2</v>
      </c>
      <c r="AB54" t="str">
        <v>e.GO</v>
      </c>
      <c r="AC54">
        <v>2</v>
      </c>
    </row>
    <row r="55" spans="8:29" ht="14.25" customHeight="1" x14ac:dyDescent="0.35">
      <c r="H55" t="str">
        <v>IVECO</v>
      </c>
      <c r="I55" s="59">
        <f>COUNTIF(ANNOUNCEMENTS!$L$2:$N$178,H55)+COUNTIF(ANNOUNCEMENTS!$E$2:$E$178,H55)</f>
        <v>1</v>
      </c>
      <c r="X55" t="str">
        <v>Boston University</v>
      </c>
      <c r="Y55">
        <f>COUNTIF(ANNOUNCEMENTS!$L$2:$N$180,X55)+COUNTIF(ANNOUNCEMENTS!$E$2:$E$180,X55)</f>
        <v>1</v>
      </c>
      <c r="AB55" t="str">
        <v>Ericsson</v>
      </c>
      <c r="AC55">
        <v>2</v>
      </c>
    </row>
    <row r="56" spans="8:29" ht="14.25" customHeight="1" x14ac:dyDescent="0.35">
      <c r="H56" t="str">
        <v>JTA</v>
      </c>
      <c r="I56" s="59">
        <f>COUNTIF(ANNOUNCEMENTS!$L$2:$N$178,H56)+COUNTIF(ANNOUNCEMENTS!$E$2:$E$178,H56)</f>
        <v>1</v>
      </c>
      <c r="X56" t="str">
        <v>Bridgestone</v>
      </c>
      <c r="Y56">
        <f>COUNTIF(ANNOUNCEMENTS!$L$2:$N$180,X56)+COUNTIF(ANNOUNCEMENTS!$E$2:$E$180,X56)</f>
        <v>3</v>
      </c>
      <c r="AB56" t="str">
        <v>Goggo Network</v>
      </c>
      <c r="AC56">
        <v>2</v>
      </c>
    </row>
    <row r="57" spans="8:29" ht="14.25" customHeight="1" x14ac:dyDescent="0.35">
      <c r="H57" t="str">
        <v>Kalray</v>
      </c>
      <c r="I57" s="59">
        <f>COUNTIF(ANNOUNCEMENTS!$L$2:$N$178,H57)+COUNTIF(ANNOUNCEMENTS!$E$2:$E$178,H57)</f>
        <v>1</v>
      </c>
      <c r="X57" t="str">
        <v>ChargePoint</v>
      </c>
      <c r="Y57">
        <f>COUNTIF(ANNOUNCEMENTS!$L$2:$N$180,X57)+COUNTIF(ANNOUNCEMENTS!$E$2:$E$180,X57)</f>
        <v>1</v>
      </c>
      <c r="AB57" t="str">
        <v>Grubhub</v>
      </c>
      <c r="AC57">
        <v>2</v>
      </c>
    </row>
    <row r="58" spans="8:29" ht="14.25" customHeight="1" x14ac:dyDescent="0.35">
      <c r="H58" t="str">
        <v>kineo</v>
      </c>
      <c r="I58" s="59">
        <f>COUNTIF(ANNOUNCEMENTS!$L$2:$N$178,H58)+COUNTIF(ANNOUNCEMENTS!$E$2:$E$178,H58)</f>
        <v>1</v>
      </c>
      <c r="X58" t="str">
        <v>Coca - Cola</v>
      </c>
      <c r="Y58">
        <f>COUNTIF(ANNOUNCEMENTS!$L$2:$N$180,X58)+COUNTIF(ANNOUNCEMENTS!$E$2:$E$180,X58)</f>
        <v>1</v>
      </c>
      <c r="AB58" t="str">
        <v>Microsoft</v>
      </c>
      <c r="AC58">
        <v>2</v>
      </c>
    </row>
    <row r="59" spans="8:29" ht="14.25" customHeight="1" x14ac:dyDescent="0.35">
      <c r="H59" t="str">
        <v>Kroger</v>
      </c>
      <c r="I59" s="59">
        <f>COUNTIF(ANNOUNCEMENTS!$L$2:$N$178,H59)+COUNTIF(ANNOUNCEMENTS!$E$2:$E$178,H59)</f>
        <v>1</v>
      </c>
      <c r="X59" t="str">
        <v>Continental</v>
      </c>
      <c r="Y59">
        <f>COUNTIF(ANNOUNCEMENTS!$L$2:$N$180,X59)+COUNTIF(ANNOUNCEMENTS!$E$2:$E$180,X59)</f>
        <v>3</v>
      </c>
      <c r="AB59" t="str">
        <v>Oatly</v>
      </c>
      <c r="AC59">
        <v>2</v>
      </c>
    </row>
    <row r="60" spans="8:29" ht="14.25" customHeight="1" x14ac:dyDescent="0.35">
      <c r="H60" t="str">
        <v>LAVTA</v>
      </c>
      <c r="I60" s="59">
        <f>COUNTIF(ANNOUNCEMENTS!$L$2:$N$178,H60)+COUNTIF(ANNOUNCEMENTS!$E$2:$E$178,H60)</f>
        <v>1</v>
      </c>
      <c r="X60" t="str">
        <v>Contra Costa Transportation Authority</v>
      </c>
      <c r="Y60">
        <f>COUNTIF(ANNOUNCEMENTS!$L$2:$N$180,X60)+COUNTIF(ANNOUNCEMENTS!$E$2:$E$180,X60)</f>
        <v>1</v>
      </c>
      <c r="AB60" t="str">
        <v>Ocado Group</v>
      </c>
      <c r="AC60">
        <v>2</v>
      </c>
    </row>
    <row r="61" spans="8:29" ht="14.25" customHeight="1" x14ac:dyDescent="0.35">
      <c r="H61" t="str">
        <v>Liberty Mutual Insurance</v>
      </c>
      <c r="I61" s="59">
        <f>COUNTIF(ANNOUNCEMENTS!$L$2:$N$178,H61)+COUNTIF(ANNOUNCEMENTS!$E$2:$E$178,H61)</f>
        <v>1</v>
      </c>
      <c r="X61" t="str">
        <v>Covenant</v>
      </c>
      <c r="Y61">
        <f>COUNTIF(ANNOUNCEMENTS!$L$2:$N$180,X61)+COUNTIF(ANNOUNCEMENTS!$E$2:$E$180,X61)</f>
        <v>1</v>
      </c>
      <c r="AB61" t="str">
        <v>Ryder</v>
      </c>
      <c r="AC61">
        <v>2</v>
      </c>
    </row>
    <row r="62" spans="8:29" ht="14.25" customHeight="1" x14ac:dyDescent="0.35">
      <c r="H62" t="str">
        <v>Lidl</v>
      </c>
      <c r="I62" s="59">
        <f>COUNTIF(ANNOUNCEMENTS!$L$2:$N$178,H62)+COUNTIF(ANNOUNCEMENTS!$E$2:$E$178,H62)</f>
        <v>1</v>
      </c>
      <c r="X62" t="str">
        <v>Cummins</v>
      </c>
      <c r="Y62">
        <f>COUNTIF(ANNOUNCEMENTS!$L$2:$N$180,X62)+COUNTIF(ANNOUNCEMENTS!$E$2:$E$180,X62)</f>
        <v>1</v>
      </c>
      <c r="AB62" t="str">
        <v>SMRT</v>
      </c>
      <c r="AC62">
        <v>2</v>
      </c>
    </row>
    <row r="63" spans="8:29" ht="14.25" customHeight="1" x14ac:dyDescent="0.35">
      <c r="H63" t="str">
        <v>Liftango</v>
      </c>
      <c r="I63" s="59">
        <f>COUNTIF(ANNOUNCEMENTS!$L$2:$N$178,H63)+COUNTIF(ANNOUNCEMENTS!$E$2:$E$178,H63)</f>
        <v>1</v>
      </c>
      <c r="X63" t="str">
        <v>Daimler Truck</v>
      </c>
      <c r="Y63">
        <f>COUNTIF(ANNOUNCEMENTS!$L$2:$N$180,X63)+COUNTIF(ANNOUNCEMENTS!$E$2:$E$180,X63)</f>
        <v>2</v>
      </c>
      <c r="AB63" t="str">
        <v>Vicinity Motor Corp.</v>
      </c>
      <c r="AC63">
        <v>2</v>
      </c>
    </row>
    <row r="64" spans="8:29" ht="14.25" customHeight="1" x14ac:dyDescent="0.35">
      <c r="H64" t="str">
        <v>Lightning eMotors</v>
      </c>
      <c r="I64" s="59">
        <f>COUNTIF(ANNOUNCEMENTS!$L$2:$N$178,H64)+COUNTIF(ANNOUNCEMENTS!$E$2:$E$178,H64)</f>
        <v>1</v>
      </c>
      <c r="X64" t="str">
        <v>DB Regio</v>
      </c>
      <c r="Y64">
        <f>COUNTIF(ANNOUNCEMENTS!$L$2:$N$180,X64)+COUNTIF(ANNOUNCEMENTS!$E$2:$E$180,X64)</f>
        <v>1</v>
      </c>
      <c r="AB64" t="str">
        <v>WILLER</v>
      </c>
      <c r="AC64">
        <v>2</v>
      </c>
    </row>
    <row r="65" spans="5:29" ht="14.25" customHeight="1" x14ac:dyDescent="0.35">
      <c r="H65" t="str">
        <v>Loadsmith</v>
      </c>
      <c r="I65" s="59">
        <f>COUNTIF(ANNOUNCEMENTS!$L$2:$N$178,H65)+COUNTIF(ANNOUNCEMENTS!$E$2:$E$178,H65)</f>
        <v>1</v>
      </c>
      <c r="X65" t="str">
        <v>Delphi</v>
      </c>
      <c r="Y65">
        <f>COUNTIF(ANNOUNCEMENTS!$L$2:$N$180,X65)+COUNTIF(ANNOUNCEMENTS!$E$2:$E$180,X65)</f>
        <v>1</v>
      </c>
      <c r="AB65" t="str">
        <v>Zeekr</v>
      </c>
      <c r="AC65">
        <v>2</v>
      </c>
    </row>
    <row r="66" spans="5:29" ht="14.25" customHeight="1" x14ac:dyDescent="0.35">
      <c r="H66" t="str">
        <v>Luminar</v>
      </c>
      <c r="I66" s="59">
        <f>COUNTIF(ANNOUNCEMENTS!$L$2:$N$178,H66)+COUNTIF(ANNOUNCEMENTS!$E$2:$E$178,H66)</f>
        <v>3</v>
      </c>
      <c r="X66" t="str">
        <v>Derq</v>
      </c>
      <c r="Y66">
        <f>COUNTIF(ANNOUNCEMENTS!$L$2:$N$180,X66)+COUNTIF(ANNOUNCEMENTS!$E$2:$E$180,X66)</f>
        <v>1</v>
      </c>
      <c r="AB66" t="str">
        <v>Ten Roads Express</v>
      </c>
      <c r="AC66">
        <v>1</v>
      </c>
    </row>
    <row r="67" spans="5:29" ht="14.25" customHeight="1" x14ac:dyDescent="0.35">
      <c r="H67" t="str">
        <v>MAN Truck &amp; Bus</v>
      </c>
      <c r="I67" s="59">
        <f>COUNTIF(ANNOUNCEMENTS!$L$2:$N$178,H67)+COUNTIF(ANNOUNCEMENTS!$E$2:$E$178,H67)</f>
        <v>1</v>
      </c>
      <c r="X67" t="str">
        <v>Deutsche Bahn</v>
      </c>
      <c r="Y67">
        <f>COUNTIF(ANNOUNCEMENTS!$L$2:$N$180,X67)+COUNTIF(ANNOUNCEMENTS!$E$2:$E$180,X67)</f>
        <v>1</v>
      </c>
      <c r="AB67" t="str">
        <v>AAA Northern California, Nevada &amp; Utah</v>
      </c>
      <c r="AC67">
        <v>1</v>
      </c>
    </row>
    <row r="68" spans="5:29" ht="14.25" customHeight="1" x14ac:dyDescent="0.35">
      <c r="E68" t="s">
        <v>1938</v>
      </c>
      <c r="H68" t="str">
        <v>Michelin</v>
      </c>
      <c r="I68" s="59">
        <f>COUNTIF(ANNOUNCEMENTS!$L$2:$N$178,H68)+COUNTIF(ANNOUNCEMENTS!$E$2:$E$178,H68)</f>
        <v>1</v>
      </c>
      <c r="X68" t="str">
        <v>DHL</v>
      </c>
      <c r="Y68">
        <f>COUNTIF(ANNOUNCEMENTS!$L$2:$N$180,X68)+COUNTIF(ANNOUNCEMENTS!$E$2:$E$180,X68)</f>
        <v>1</v>
      </c>
      <c r="AB68" t="str">
        <v>Anheuser - Busch InBev</v>
      </c>
      <c r="AC68">
        <v>1</v>
      </c>
    </row>
    <row r="69" spans="5:29" ht="14.25" customHeight="1" x14ac:dyDescent="0.35">
      <c r="E69" t="s">
        <v>1938</v>
      </c>
      <c r="H69" t="str">
        <v>Microsoft</v>
      </c>
      <c r="I69" s="59">
        <f>COUNTIF(ANNOUNCEMENTS!$L$2:$N$178,H69)+COUNTIF(ANNOUNCEMENTS!$E$2:$E$178,H69)</f>
        <v>2</v>
      </c>
      <c r="X69" t="str">
        <v>E Charger Systems</v>
      </c>
      <c r="Y69">
        <f>COUNTIF(ANNOUNCEMENTS!$L$2:$N$180,X69)+COUNTIF(ANNOUNCEMENTS!$E$2:$E$180,X69)</f>
        <v>1</v>
      </c>
      <c r="AB69" t="str">
        <v>Applied Intuition</v>
      </c>
      <c r="AC69">
        <v>1</v>
      </c>
    </row>
    <row r="70" spans="5:29" ht="14.25" customHeight="1" x14ac:dyDescent="0.35">
      <c r="E70" t="s">
        <v>1938</v>
      </c>
      <c r="H70" t="str">
        <v>MINGA</v>
      </c>
      <c r="I70" s="59">
        <f>COUNTIF(ANNOUNCEMENTS!$L$2:$N$178,H70)+COUNTIF(ANNOUNCEMENTS!$E$2:$E$178,H70)</f>
        <v>1</v>
      </c>
      <c r="X70" t="str">
        <v>e.GO</v>
      </c>
      <c r="Y70">
        <f>COUNTIF(ANNOUNCEMENTS!$L$2:$N$180,X70)+COUNTIF(ANNOUNCEMENTS!$E$2:$E$180,X70)</f>
        <v>2</v>
      </c>
      <c r="AB70" t="str">
        <v>Aramex</v>
      </c>
      <c r="AC70">
        <v>1</v>
      </c>
    </row>
    <row r="71" spans="5:29" ht="14.25" customHeight="1" x14ac:dyDescent="0.35">
      <c r="E71" t="s">
        <v>1938</v>
      </c>
      <c r="H71" t="str">
        <v>Minnesota Department of Transportation</v>
      </c>
      <c r="I71" s="59">
        <f>COUNTIF(ANNOUNCEMENTS!$L$2:$N$178,H71)+COUNTIF(ANNOUNCEMENTS!$E$2:$E$178,H71)</f>
        <v>1</v>
      </c>
      <c r="X71" t="str">
        <v>Ecarx</v>
      </c>
      <c r="Y71">
        <f>COUNTIF(ANNOUNCEMENTS!$L$2:$N$180,X71)+COUNTIF(ANNOUNCEMENTS!$E$2:$E$180,X71)</f>
        <v>1</v>
      </c>
      <c r="AB71" t="str">
        <v>Asda</v>
      </c>
      <c r="AC71">
        <v>1</v>
      </c>
    </row>
    <row r="72" spans="5:29" ht="14.25" customHeight="1" x14ac:dyDescent="0.35">
      <c r="E72" t="s">
        <v>1938</v>
      </c>
      <c r="H72" t="str">
        <v>Mission Secure</v>
      </c>
      <c r="I72" s="59">
        <f>COUNTIF(ANNOUNCEMENTS!$L$2:$N$178,H72)+COUNTIF(ANNOUNCEMENTS!$E$2:$E$178,H72)</f>
        <v>1</v>
      </c>
      <c r="X72" t="str">
        <v>Electrolux</v>
      </c>
      <c r="Y72">
        <f>COUNTIF(ANNOUNCEMENTS!$L$2:$N$180,X72)+COUNTIF(ANNOUNCEMENTS!$E$2:$E$180,X72)</f>
        <v>1</v>
      </c>
      <c r="AB72" t="str">
        <v>Avis</v>
      </c>
      <c r="AC72">
        <v>1</v>
      </c>
    </row>
    <row r="73" spans="5:29" ht="14.25" customHeight="1" x14ac:dyDescent="0.35">
      <c r="E73" t="s">
        <v>1938</v>
      </c>
      <c r="H73" t="str">
        <v>MIT Center for Transportation &amp; Logistics</v>
      </c>
      <c r="I73" s="59">
        <f>COUNTIF(ANNOUNCEMENTS!$L$2:$N$178,H73)+COUNTIF(ANNOUNCEMENTS!$E$2:$E$178,H73)</f>
        <v>1</v>
      </c>
      <c r="X73" t="str">
        <v>Ericsson</v>
      </c>
      <c r="Y73">
        <f>COUNTIF(ANNOUNCEMENTS!$L$2:$N$180,X73)+COUNTIF(ANNOUNCEMENTS!$E$2:$E$180,X73)</f>
        <v>2</v>
      </c>
      <c r="AB73" t="str">
        <v>Benteler</v>
      </c>
      <c r="AC73">
        <v>1</v>
      </c>
    </row>
    <row r="74" spans="5:29" ht="14.25" customHeight="1" x14ac:dyDescent="0.35">
      <c r="E74" t="s">
        <v>1938</v>
      </c>
      <c r="H74" t="str">
        <v>Mitsubishi</v>
      </c>
      <c r="I74" s="59">
        <f>COUNTIF(ANNOUNCEMENTS!$L$2:$N$178,H74)+COUNTIF(ANNOUNCEMENTS!$E$2:$E$178,H74)</f>
        <v>1</v>
      </c>
      <c r="X74" t="str">
        <v>eVersum</v>
      </c>
      <c r="Y74">
        <f>COUNTIF(ANNOUNCEMENTS!$L$2:$N$180,X74)+COUNTIF(ANNOUNCEMENTS!$E$2:$E$180,X74)</f>
        <v>1</v>
      </c>
      <c r="AB74" t="str">
        <v>Berliner Verkehrsbetriebe</v>
      </c>
      <c r="AC74">
        <v>1</v>
      </c>
    </row>
    <row r="75" spans="5:29" ht="14.25" customHeight="1" x14ac:dyDescent="0.35">
      <c r="E75" t="s">
        <v>1938</v>
      </c>
      <c r="H75" t="str">
        <v>Moovit</v>
      </c>
      <c r="I75" s="59">
        <f>COUNTIF(ANNOUNCEMENTS!$L$2:$N$178,H75)+COUNTIF(ANNOUNCEMENTS!$E$2:$E$178,H75)</f>
        <v>1</v>
      </c>
      <c r="X75" t="str">
        <v>Farmstead</v>
      </c>
      <c r="Y75">
        <f>COUNTIF(ANNOUNCEMENTS!$L$2:$N$180,X75)+COUNTIF(ANNOUNCEMENTS!$E$2:$E$180,X75)</f>
        <v>1</v>
      </c>
      <c r="AB75" t="str">
        <v>Beti</v>
      </c>
      <c r="AC75">
        <v>1</v>
      </c>
    </row>
    <row r="76" spans="5:29" ht="14.25" customHeight="1" x14ac:dyDescent="0.35">
      <c r="E76" t="s">
        <v>1938</v>
      </c>
      <c r="H76" t="str">
        <v>Mothers-Against-Drunk-Driving</v>
      </c>
      <c r="I76" s="59">
        <f>COUNTIF(ANNOUNCEMENTS!$L$2:$N$178,H76)+COUNTIF(ANNOUNCEMENTS!$E$2:$E$178,H76)</f>
        <v>1</v>
      </c>
      <c r="X76" t="str">
        <v>FAW Group</v>
      </c>
      <c r="Y76">
        <f>COUNTIF(ANNOUNCEMENTS!$L$2:$N$180,X76)+COUNTIF(ANNOUNCEMENTS!$E$2:$E$180,X76)</f>
        <v>1</v>
      </c>
      <c r="AB76" t="str">
        <v>Beyond Meat</v>
      </c>
      <c r="AC76">
        <v>1</v>
      </c>
    </row>
    <row r="77" spans="5:29" ht="14.25" customHeight="1" x14ac:dyDescent="0.35">
      <c r="E77" t="s">
        <v>1938</v>
      </c>
      <c r="H77" t="str">
        <v>Navistar</v>
      </c>
      <c r="I77" s="59">
        <f>COUNTIF(ANNOUNCEMENTS!$L$2:$N$178,H77)+COUNTIF(ANNOUNCEMENTS!$E$2:$E$178,H77)</f>
        <v>1</v>
      </c>
      <c r="X77" t="str">
        <v>Fiat Chrysler Automobiles</v>
      </c>
      <c r="Y77">
        <f>COUNTIF(ANNOUNCEMENTS!$L$2:$N$180,X77)+COUNTIF(ANNOUNCEMENTS!$E$2:$E$180,X77)</f>
        <v>1</v>
      </c>
      <c r="AB77" t="str">
        <v>Boston University</v>
      </c>
      <c r="AC77">
        <v>1</v>
      </c>
    </row>
    <row r="78" spans="5:29" ht="14.25" customHeight="1" x14ac:dyDescent="0.35">
      <c r="E78" t="s">
        <v>1938</v>
      </c>
      <c r="H78" t="str">
        <v>Navtech Radar</v>
      </c>
      <c r="I78" s="59">
        <f>COUNTIF(ANNOUNCEMENTS!$L$2:$N$178,H78)+COUNTIF(ANNOUNCEMENTS!$E$2:$E$178,H78)</f>
        <v>1</v>
      </c>
      <c r="X78" t="str">
        <v>GE Appliances</v>
      </c>
      <c r="Y78">
        <f>COUNTIF(ANNOUNCEMENTS!$L$2:$N$180,X78)+COUNTIF(ANNOUNCEMENTS!$E$2:$E$180,X78)</f>
        <v>1</v>
      </c>
      <c r="AB78" t="str">
        <v>ChargePoint</v>
      </c>
      <c r="AC78">
        <v>1</v>
      </c>
    </row>
    <row r="79" spans="5:29" ht="14.25" customHeight="1" x14ac:dyDescent="0.35">
      <c r="E79" t="s">
        <v>1938</v>
      </c>
      <c r="H79" t="str">
        <v>NEVS</v>
      </c>
      <c r="I79" s="59">
        <f>COUNTIF(ANNOUNCEMENTS!$L$2:$N$178,H79)+COUNTIF(ANNOUNCEMENTS!$E$2:$E$178,H79)</f>
        <v>1</v>
      </c>
      <c r="X79" t="str">
        <v>Geely</v>
      </c>
      <c r="Y79">
        <f>COUNTIF(ANNOUNCEMENTS!$L$2:$N$180,X79)+COUNTIF(ANNOUNCEMENTS!$E$2:$E$180,X79)</f>
        <v>1</v>
      </c>
      <c r="AB79" t="str">
        <v>Coca - Cola</v>
      </c>
      <c r="AC79">
        <v>1</v>
      </c>
    </row>
    <row r="80" spans="5:29" ht="14.25" customHeight="1" x14ac:dyDescent="0.35">
      <c r="E80" t="s">
        <v>1938</v>
      </c>
      <c r="H80" t="str">
        <v>Nickelytics</v>
      </c>
      <c r="I80" s="59">
        <f>COUNTIF(ANNOUNCEMENTS!$L$2:$N$178,H80)+COUNTIF(ANNOUNCEMENTS!$E$2:$E$178,H80)</f>
        <v>1</v>
      </c>
      <c r="X80" t="str">
        <v>Global Finance Group</v>
      </c>
      <c r="Y80">
        <f>COUNTIF(ANNOUNCEMENTS!$L$2:$N$180,X80)+COUNTIF(ANNOUNCEMENTS!$E$2:$E$180,X80)</f>
        <v>1</v>
      </c>
      <c r="AB80" t="str">
        <v>Contra Costa Transportation Authority</v>
      </c>
      <c r="AC80">
        <v>1</v>
      </c>
    </row>
    <row r="81" spans="5:29" ht="14.25" customHeight="1" x14ac:dyDescent="0.35">
      <c r="E81" t="s">
        <v>1938</v>
      </c>
      <c r="H81" t="str">
        <v>NIO</v>
      </c>
      <c r="I81" s="59">
        <f>COUNTIF(ANNOUNCEMENTS!$L$2:$N$178,H81)+COUNTIF(ANNOUNCEMENTS!$E$2:$E$178,H81)</f>
        <v>1</v>
      </c>
      <c r="X81" t="str">
        <v>GM</v>
      </c>
      <c r="Y81">
        <f>COUNTIF(ANNOUNCEMENTS!$L$2:$N$180,X81)+COUNTIF(ANNOUNCEMENTS!$E$2:$E$180,X81)</f>
        <v>1</v>
      </c>
      <c r="AB81" t="str">
        <v>Covenant</v>
      </c>
      <c r="AC81">
        <v>1</v>
      </c>
    </row>
    <row r="82" spans="5:29" ht="14.25" customHeight="1" x14ac:dyDescent="0.35">
      <c r="E82" t="s">
        <v>1938</v>
      </c>
      <c r="H82" t="str">
        <v>North Carolina Department of Transportation</v>
      </c>
      <c r="I82" s="59">
        <f>COUNTIF(ANNOUNCEMENTS!$L$2:$N$178,H82)+COUNTIF(ANNOUNCEMENTS!$E$2:$E$178,H82)</f>
        <v>1</v>
      </c>
      <c r="X82" t="str">
        <v>Goggo Network</v>
      </c>
      <c r="Y82">
        <f>COUNTIF(ANNOUNCEMENTS!$L$2:$N$180,X82)+COUNTIF(ANNOUNCEMENTS!$E$2:$E$180,X82)</f>
        <v>2</v>
      </c>
      <c r="AB82" t="str">
        <v>Cummins</v>
      </c>
      <c r="AC82">
        <v>1</v>
      </c>
    </row>
    <row r="83" spans="5:29" ht="14.25" customHeight="1" x14ac:dyDescent="0.35">
      <c r="E83" t="s">
        <v>1938</v>
      </c>
      <c r="H83" t="str">
        <v>Oatly</v>
      </c>
      <c r="I83" s="59">
        <f>COUNTIF(ANNOUNCEMENTS!$L$2:$N$178,H83)+COUNTIF(ANNOUNCEMENTS!$E$2:$E$178,H83)</f>
        <v>2</v>
      </c>
      <c r="X83" t="str">
        <v>Goodyear</v>
      </c>
      <c r="Y83">
        <f>COUNTIF(ANNOUNCEMENTS!$L$2:$N$180,X83)+COUNTIF(ANNOUNCEMENTS!$E$2:$E$180,X83)</f>
        <v>3</v>
      </c>
      <c r="AB83" t="str">
        <v>DB Regio</v>
      </c>
      <c r="AC83">
        <v>1</v>
      </c>
    </row>
    <row r="84" spans="5:29" ht="14.25" customHeight="1" x14ac:dyDescent="0.35">
      <c r="E84" t="s">
        <v>1938</v>
      </c>
      <c r="H84" t="str">
        <v>Ocado Group</v>
      </c>
      <c r="I84" s="59">
        <f>COUNTIF(ANNOUNCEMENTS!$L$2:$N$178,H84)+COUNTIF(ANNOUNCEMENTS!$E$2:$E$178,H84)</f>
        <v>2</v>
      </c>
      <c r="X84" t="str">
        <v>Greenpower</v>
      </c>
      <c r="Y84">
        <f>COUNTIF(ANNOUNCEMENTS!$L$2:$N$180,X84)+COUNTIF(ANNOUNCEMENTS!$E$2:$E$180,X84)</f>
        <v>3</v>
      </c>
      <c r="AB84" t="str">
        <v>Delphi</v>
      </c>
      <c r="AC84">
        <v>1</v>
      </c>
    </row>
    <row r="85" spans="5:29" ht="14.25" customHeight="1" x14ac:dyDescent="0.35">
      <c r="E85" t="s">
        <v>1938</v>
      </c>
      <c r="H85" t="str">
        <v>Onsemi</v>
      </c>
      <c r="I85" s="59">
        <f>COUNTIF(ANNOUNCEMENTS!$L$2:$N$178,H85)+COUNTIF(ANNOUNCEMENTS!$E$2:$E$178,H85)</f>
        <v>1</v>
      </c>
      <c r="X85" t="str">
        <v>Grubhub</v>
      </c>
      <c r="Y85">
        <f>COUNTIF(ANNOUNCEMENTS!$L$2:$N$180,X85)+COUNTIF(ANNOUNCEMENTS!$E$2:$E$180,X85)</f>
        <v>2</v>
      </c>
      <c r="AB85" t="str">
        <v>Derq</v>
      </c>
      <c r="AC85">
        <v>1</v>
      </c>
    </row>
    <row r="86" spans="5:29" ht="14.25" customHeight="1" x14ac:dyDescent="0.35">
      <c r="E86" t="s">
        <v>1938</v>
      </c>
      <c r="H86" t="str">
        <v>Phoenix Motorcars</v>
      </c>
      <c r="I86" s="59">
        <f>COUNTIF(ANNOUNCEMENTS!$L$2:$N$178,H86)+COUNTIF(ANNOUNCEMENTS!$E$2:$E$178,H86)</f>
        <v>1</v>
      </c>
      <c r="X86" t="str">
        <v>Guident</v>
      </c>
      <c r="Y86">
        <f>COUNTIF(ANNOUNCEMENTS!$L$2:$N$180,X86)+COUNTIF(ANNOUNCEMENTS!$E$2:$E$180,X86)</f>
        <v>1</v>
      </c>
      <c r="AB86" t="str">
        <v>Deutsche Bahn</v>
      </c>
      <c r="AC86">
        <v>1</v>
      </c>
    </row>
    <row r="87" spans="5:29" ht="14.25" customHeight="1" x14ac:dyDescent="0.35">
      <c r="E87" t="s">
        <v>309</v>
      </c>
      <c r="H87" t="str">
        <v>Piestro</v>
      </c>
      <c r="I87" s="59">
        <f>COUNTIF(ANNOUNCEMENTS!$L$2:$N$178,H87)+COUNTIF(ANNOUNCEMENTS!$E$2:$E$178,H87)</f>
        <v>1</v>
      </c>
      <c r="X87" t="str">
        <v>H-E-B</v>
      </c>
      <c r="Y87">
        <f>COUNTIF(ANNOUNCEMENTS!$L$2:$N$180,X87)+COUNTIF(ANNOUNCEMENTS!$E$2:$E$180,X87)</f>
        <v>1</v>
      </c>
      <c r="AB87" t="str">
        <v>DHL</v>
      </c>
      <c r="AC87">
        <v>1</v>
      </c>
    </row>
    <row r="88" spans="5:29" ht="14.25" customHeight="1" x14ac:dyDescent="0.35">
      <c r="E88" t="s">
        <v>1938</v>
      </c>
      <c r="H88" t="str">
        <v>Pitney Bowes</v>
      </c>
      <c r="I88" s="59">
        <f>COUNTIF(ANNOUNCEMENTS!$L$2:$N$178,H88)+COUNTIF(ANNOUNCEMENTS!$E$2:$E$178,H88)</f>
        <v>1</v>
      </c>
      <c r="X88" t="str">
        <v>Hegelmann Group</v>
      </c>
      <c r="Y88">
        <f>COUNTIF(ANNOUNCEMENTS!$L$2:$N$180,X88)+COUNTIF(ANNOUNCEMENTS!$E$2:$E$180,X88)</f>
        <v>1</v>
      </c>
      <c r="AB88" t="str">
        <v>E Charger Systems</v>
      </c>
      <c r="AC88">
        <v>1</v>
      </c>
    </row>
    <row r="89" spans="5:29" ht="14.25" customHeight="1" x14ac:dyDescent="0.35">
      <c r="E89" t="s">
        <v>1938</v>
      </c>
      <c r="H89" t="str">
        <v>Pizza Hut</v>
      </c>
      <c r="I89" s="59">
        <f>COUNTIF(ANNOUNCEMENTS!$L$2:$N$178,H89)+COUNTIF(ANNOUNCEMENTS!$E$2:$E$178,H89)</f>
        <v>1</v>
      </c>
      <c r="X89" t="str">
        <v>Hirschbach</v>
      </c>
      <c r="Y89">
        <f>COUNTIF(ANNOUNCEMENTS!$L$2:$N$180,X89)+COUNTIF(ANNOUNCEMENTS!$E$2:$E$180,X89)</f>
        <v>1</v>
      </c>
      <c r="AB89" t="str">
        <v>Ecarx</v>
      </c>
      <c r="AC89">
        <v>1</v>
      </c>
    </row>
    <row r="90" spans="5:29" ht="14.25" customHeight="1" x14ac:dyDescent="0.35">
      <c r="E90" t="s">
        <v>1938</v>
      </c>
      <c r="H90" t="str">
        <v>Polarrenen</v>
      </c>
      <c r="I90" s="59">
        <f>COUNTIF(ANNOUNCEMENTS!$L$2:$N$178,H90)+COUNTIF(ANNOUNCEMENTS!$E$2:$E$178,H90)</f>
        <v>1</v>
      </c>
      <c r="X90" t="str">
        <v>HOCHBAHN</v>
      </c>
      <c r="Y90">
        <f>COUNTIF(ANNOUNCEMENTS!$L$2:$N$180,X90)+COUNTIF(ANNOUNCEMENTS!$E$2:$E$180,X90)</f>
        <v>1</v>
      </c>
      <c r="AB90" t="str">
        <v>Electrolux</v>
      </c>
      <c r="AC90">
        <v>1</v>
      </c>
    </row>
    <row r="91" spans="5:29" ht="14.25" customHeight="1" x14ac:dyDescent="0.35">
      <c r="E91" t="s">
        <v>1938</v>
      </c>
      <c r="H91" t="str">
        <v>Porsche</v>
      </c>
      <c r="I91" s="59">
        <f>COUNTIF(ANNOUNCEMENTS!$L$2:$N$178,H91)+COUNTIF(ANNOUNCEMENTS!$E$2:$E$178,H91)</f>
        <v>1</v>
      </c>
      <c r="X91" t="str">
        <v>Horizon Robotics</v>
      </c>
      <c r="Y91">
        <f>COUNTIF(ANNOUNCEMENTS!$L$2:$N$180,X91)+COUNTIF(ANNOUNCEMENTS!$E$2:$E$180,X91)</f>
        <v>1</v>
      </c>
      <c r="AB91" t="str">
        <v>eVersum</v>
      </c>
      <c r="AC91">
        <v>1</v>
      </c>
    </row>
    <row r="92" spans="5:29" ht="14.25" customHeight="1" x14ac:dyDescent="0.35">
      <c r="E92" t="s">
        <v>1938</v>
      </c>
      <c r="H92" t="str">
        <v>Rampini</v>
      </c>
      <c r="I92" s="59">
        <f>COUNTIF(ANNOUNCEMENTS!$L$2:$N$178,H92)+COUNTIF(ANNOUNCEMENTS!$E$2:$E$178,H92)</f>
        <v>1</v>
      </c>
      <c r="X92" t="str">
        <v>Ion</v>
      </c>
      <c r="Y92">
        <f>COUNTIF(ANNOUNCEMENTS!$L$2:$N$180,X92)+COUNTIF(ANNOUNCEMENTS!$E$2:$E$180,X92)</f>
        <v>1</v>
      </c>
      <c r="AB92" t="str">
        <v>Farmstead</v>
      </c>
      <c r="AC92">
        <v>1</v>
      </c>
    </row>
    <row r="93" spans="5:29" ht="14.25" customHeight="1" x14ac:dyDescent="0.35">
      <c r="E93" t="s">
        <v>1938</v>
      </c>
      <c r="H93" t="str">
        <v>Replate</v>
      </c>
      <c r="I93" s="59">
        <f>COUNTIF(ANNOUNCEMENTS!$L$2:$N$178,H93)+COUNTIF(ANNOUNCEMENTS!$E$2:$E$178,H93)</f>
        <v>1</v>
      </c>
      <c r="X93" t="str">
        <v>Isuzu North America</v>
      </c>
      <c r="Y93">
        <f>COUNTIF(ANNOUNCEMENTS!$L$2:$N$180,X93)+COUNTIF(ANNOUNCEMENTS!$E$2:$E$180,X93)</f>
        <v>1</v>
      </c>
      <c r="AB93" t="str">
        <v>FAW Group</v>
      </c>
      <c r="AC93">
        <v>1</v>
      </c>
    </row>
    <row r="94" spans="5:29" ht="14.25" customHeight="1" x14ac:dyDescent="0.35">
      <c r="E94" t="s">
        <v>1938</v>
      </c>
      <c r="H94" t="str">
        <v>Ryder</v>
      </c>
      <c r="I94" s="59">
        <f>COUNTIF(ANNOUNCEMENTS!$L$2:$N$178,H94)+COUNTIF(ANNOUNCEMENTS!$E$2:$E$178,H94)</f>
        <v>2</v>
      </c>
      <c r="X94" t="str">
        <v>IVECO</v>
      </c>
      <c r="Y94">
        <f>COUNTIF(ANNOUNCEMENTS!$L$2:$N$180,X94)+COUNTIF(ANNOUNCEMENTS!$E$2:$E$180,X94)</f>
        <v>1</v>
      </c>
      <c r="AB94" t="str">
        <v>Fiat Chrysler Automobiles</v>
      </c>
      <c r="AC94">
        <v>1</v>
      </c>
    </row>
    <row r="95" spans="5:29" ht="14.25" customHeight="1" x14ac:dyDescent="0.35">
      <c r="E95" t="s">
        <v>1938</v>
      </c>
      <c r="H95" t="str">
        <v>SAE</v>
      </c>
      <c r="I95" s="59">
        <f>COUNTIF(ANNOUNCEMENTS!$L$2:$N$178,H95)+COUNTIF(ANNOUNCEMENTS!$E$2:$E$178,H95)</f>
        <v>1</v>
      </c>
      <c r="X95" t="str">
        <v>JTA</v>
      </c>
      <c r="Y95">
        <f>COUNTIF(ANNOUNCEMENTS!$L$2:$N$180,X95)+COUNTIF(ANNOUNCEMENTS!$E$2:$E$180,X95)</f>
        <v>1</v>
      </c>
      <c r="AB95" t="str">
        <v>GE Appliances</v>
      </c>
      <c r="AC95">
        <v>1</v>
      </c>
    </row>
    <row r="96" spans="5:29" ht="14.25" customHeight="1" x14ac:dyDescent="0.35">
      <c r="E96" t="s">
        <v>1938</v>
      </c>
      <c r="H96" t="str">
        <v>SANY Heavy Truck</v>
      </c>
      <c r="I96" s="59">
        <f>COUNTIF(ANNOUNCEMENTS!$L$2:$N$178,H96)+COUNTIF(ANNOUNCEMENTS!$E$2:$E$178,H96)</f>
        <v>1</v>
      </c>
      <c r="X96" t="str">
        <v>Kalray</v>
      </c>
      <c r="Y96">
        <f>COUNTIF(ANNOUNCEMENTS!$L$2:$N$180,X96)+COUNTIF(ANNOUNCEMENTS!$E$2:$E$180,X96)</f>
        <v>1</v>
      </c>
      <c r="AB96" t="str">
        <v>Geely</v>
      </c>
      <c r="AC96">
        <v>1</v>
      </c>
    </row>
    <row r="97" spans="5:29" ht="14.25" customHeight="1" x14ac:dyDescent="0.35">
      <c r="E97" t="s">
        <v>1938</v>
      </c>
      <c r="H97" t="str">
        <v>Shanghai Jiading Industrial Zone</v>
      </c>
      <c r="I97" s="59">
        <f>COUNTIF(ANNOUNCEMENTS!$L$2:$N$178,H97)+COUNTIF(ANNOUNCEMENTS!$E$2:$E$178,H97)</f>
        <v>1</v>
      </c>
      <c r="X97" t="str">
        <v>kineo</v>
      </c>
      <c r="Y97">
        <f>COUNTIF(ANNOUNCEMENTS!$L$2:$N$180,X97)+COUNTIF(ANNOUNCEMENTS!$E$2:$E$180,X97)</f>
        <v>1</v>
      </c>
      <c r="AB97" t="str">
        <v>Global Finance Group</v>
      </c>
      <c r="AC97">
        <v>1</v>
      </c>
    </row>
    <row r="98" spans="5:29" ht="14.25" customHeight="1" x14ac:dyDescent="0.35">
      <c r="E98" t="s">
        <v>1938</v>
      </c>
      <c r="H98" t="str">
        <v>Sinotrans</v>
      </c>
      <c r="I98" s="59">
        <f>COUNTIF(ANNOUNCEMENTS!$L$2:$N$178,H98)+COUNTIF(ANNOUNCEMENTS!$E$2:$E$178,H98)</f>
        <v>1</v>
      </c>
      <c r="X98" t="str">
        <v>Kroger</v>
      </c>
      <c r="Y98">
        <f>COUNTIF(ANNOUNCEMENTS!$L$2:$N$180,X98)+COUNTIF(ANNOUNCEMENTS!$E$2:$E$180,X98)</f>
        <v>1</v>
      </c>
      <c r="AB98" t="str">
        <v>GM</v>
      </c>
      <c r="AC98">
        <v>1</v>
      </c>
    </row>
    <row r="99" spans="5:29" ht="14.25" customHeight="1" x14ac:dyDescent="0.35">
      <c r="E99" t="s">
        <v>1938</v>
      </c>
      <c r="H99" t="str">
        <v>SKF</v>
      </c>
      <c r="I99" s="59">
        <f>COUNTIF(ANNOUNCEMENTS!$L$2:$N$178,H99)+COUNTIF(ANNOUNCEMENTS!$E$2:$E$178,H99)</f>
        <v>1</v>
      </c>
      <c r="X99" t="str">
        <v>LAVTA</v>
      </c>
      <c r="Y99">
        <f>COUNTIF(ANNOUNCEMENTS!$L$2:$N$180,X99)+COUNTIF(ANNOUNCEMENTS!$E$2:$E$180,X99)</f>
        <v>1</v>
      </c>
      <c r="AB99" t="str">
        <v>Guident</v>
      </c>
      <c r="AC99">
        <v>1</v>
      </c>
    </row>
    <row r="100" spans="5:29" ht="14.25" customHeight="1" x14ac:dyDescent="0.35">
      <c r="E100" t="s">
        <v>1938</v>
      </c>
      <c r="H100" t="str">
        <v>SLTN</v>
      </c>
      <c r="I100" s="59">
        <f>COUNTIF(ANNOUNCEMENTS!$L$2:$N$178,H100)+COUNTIF(ANNOUNCEMENTS!$E$2:$E$178,H100)</f>
        <v>1</v>
      </c>
      <c r="X100" t="str">
        <v>Liberty Mutual Insurance</v>
      </c>
      <c r="Y100">
        <f>COUNTIF(ANNOUNCEMENTS!$L$2:$N$180,X100)+COUNTIF(ANNOUNCEMENTS!$E$2:$E$180,X100)</f>
        <v>1</v>
      </c>
      <c r="AB100" t="str">
        <v>H-E-B</v>
      </c>
      <c r="AC100">
        <v>1</v>
      </c>
    </row>
    <row r="101" spans="5:29" ht="14.25" customHeight="1" x14ac:dyDescent="0.35">
      <c r="E101" t="s">
        <v>1938</v>
      </c>
      <c r="H101" t="str">
        <v>SMRT</v>
      </c>
      <c r="I101" s="59">
        <f>COUNTIF(ANNOUNCEMENTS!$L$2:$N$178,H101)+COUNTIF(ANNOUNCEMENTS!$E$2:$E$178,H101)</f>
        <v>2</v>
      </c>
      <c r="X101" t="str">
        <v>Lidl</v>
      </c>
      <c r="Y101">
        <f>COUNTIF(ANNOUNCEMENTS!$L$2:$N$180,X101)+COUNTIF(ANNOUNCEMENTS!$E$2:$E$180,X101)</f>
        <v>1</v>
      </c>
      <c r="AB101" t="str">
        <v>Hegelmann Group</v>
      </c>
      <c r="AC101">
        <v>1</v>
      </c>
    </row>
    <row r="102" spans="5:29" ht="14.25" customHeight="1" x14ac:dyDescent="0.35">
      <c r="E102" t="s">
        <v>1938</v>
      </c>
      <c r="H102" t="str">
        <v>Sono Motors</v>
      </c>
      <c r="I102" s="59">
        <f>COUNTIF(ANNOUNCEMENTS!$L$2:$N$178,H102)+COUNTIF(ANNOUNCEMENTS!$E$2:$E$178,H102)</f>
        <v>1</v>
      </c>
      <c r="X102" t="str">
        <v>Liftango</v>
      </c>
      <c r="Y102">
        <f>COUNTIF(ANNOUNCEMENTS!$L$2:$N$180,X102)+COUNTIF(ANNOUNCEMENTS!$E$2:$E$180,X102)</f>
        <v>1</v>
      </c>
      <c r="AB102" t="str">
        <v>Hirschbach</v>
      </c>
      <c r="AC102">
        <v>1</v>
      </c>
    </row>
    <row r="103" spans="5:29" ht="14.25" customHeight="1" x14ac:dyDescent="0.35">
      <c r="E103" t="s">
        <v>1938</v>
      </c>
      <c r="H103" t="str">
        <v>Spare</v>
      </c>
      <c r="I103" s="59">
        <f>COUNTIF(ANNOUNCEMENTS!$L$2:$N$178,H103)+COUNTIF(ANNOUNCEMENTS!$E$2:$E$178,H103)</f>
        <v>1</v>
      </c>
      <c r="X103" t="str">
        <v>Lightning eMotors</v>
      </c>
      <c r="Y103">
        <f>COUNTIF(ANNOUNCEMENTS!$L$2:$N$180,X103)+COUNTIF(ANNOUNCEMENTS!$E$2:$E$180,X103)</f>
        <v>1</v>
      </c>
      <c r="AB103" t="str">
        <v>HOCHBAHN</v>
      </c>
      <c r="AC103">
        <v>1</v>
      </c>
    </row>
    <row r="104" spans="5:29" ht="14.25" customHeight="1" x14ac:dyDescent="0.35">
      <c r="E104" t="s">
        <v>1938</v>
      </c>
      <c r="H104" t="str">
        <v>Stantec</v>
      </c>
      <c r="I104" s="59">
        <f>COUNTIF(ANNOUNCEMENTS!$L$2:$N$178,H104)+COUNTIF(ANNOUNCEMENTS!$E$2:$E$178,H104)</f>
        <v>1</v>
      </c>
      <c r="X104" t="str">
        <v>Loadsmith</v>
      </c>
      <c r="Y104">
        <f>COUNTIF(ANNOUNCEMENTS!$L$2:$N$180,X104)+COUNTIF(ANNOUNCEMENTS!$E$2:$E$180,X104)</f>
        <v>1</v>
      </c>
      <c r="AB104" t="str">
        <v>Horizon Robotics</v>
      </c>
      <c r="AC104">
        <v>1</v>
      </c>
    </row>
    <row r="105" spans="5:29" ht="14.25" customHeight="1" x14ac:dyDescent="0.35">
      <c r="H105" t="str">
        <v>Sustainability Partners</v>
      </c>
      <c r="I105" s="59">
        <f>COUNTIF(ANNOUNCEMENTS!$L$2:$N$178,H105)+COUNTIF(ANNOUNCEMENTS!$E$2:$E$178,H105)</f>
        <v>1</v>
      </c>
      <c r="X105" t="str">
        <v>Luminar</v>
      </c>
      <c r="Y105">
        <f>COUNTIF(ANNOUNCEMENTS!$L$2:$N$180,X105)+COUNTIF(ANNOUNCEMENTS!$E$2:$E$180,X105)</f>
        <v>3</v>
      </c>
      <c r="AB105" t="str">
        <v>Ion</v>
      </c>
      <c r="AC105">
        <v>1</v>
      </c>
    </row>
    <row r="106" spans="5:29" ht="14.25" customHeight="1" x14ac:dyDescent="0.35">
      <c r="H106" t="str">
        <v>Svenska Retursystem</v>
      </c>
      <c r="I106" s="59">
        <f>COUNTIF(ANNOUNCEMENTS!$L$2:$N$178,H106)+COUNTIF(ANNOUNCEMENTS!$E$2:$E$178,H106)</f>
        <v>1</v>
      </c>
      <c r="X106" t="str">
        <v>MAN Truck &amp; Bus</v>
      </c>
      <c r="Y106">
        <f>COUNTIF(ANNOUNCEMENTS!$L$2:$N$180,X106)+COUNTIF(ANNOUNCEMENTS!$E$2:$E$180,X106)</f>
        <v>1</v>
      </c>
      <c r="AB106" t="str">
        <v>Isuzu North America</v>
      </c>
      <c r="AC106">
        <v>1</v>
      </c>
    </row>
    <row r="107" spans="5:29" ht="14.25" customHeight="1" x14ac:dyDescent="0.35">
      <c r="H107" t="str">
        <v>Swiss Re</v>
      </c>
      <c r="I107" s="59">
        <f>COUNTIF(ANNOUNCEMENTS!$L$2:$N$178,H107)+COUNTIF(ANNOUNCEMENTS!$E$2:$E$178,H107)</f>
        <v>1</v>
      </c>
      <c r="X107" t="str">
        <v>Michelin</v>
      </c>
      <c r="Y107">
        <f>COUNTIF(ANNOUNCEMENTS!$L$2:$N$180,X107)+COUNTIF(ANNOUNCEMENTS!$E$2:$E$180,X107)</f>
        <v>1</v>
      </c>
      <c r="AB107" t="str">
        <v>IVECO</v>
      </c>
      <c r="AC107">
        <v>1</v>
      </c>
    </row>
    <row r="108" spans="5:29" ht="14.25" customHeight="1" x14ac:dyDescent="0.35">
      <c r="H108" t="str">
        <v>Telia</v>
      </c>
      <c r="I108" s="59">
        <f>COUNTIF(ANNOUNCEMENTS!$L$2:$N$178,H108)+COUNTIF(ANNOUNCEMENTS!$E$2:$E$178,H108)</f>
        <v>1</v>
      </c>
      <c r="X108" t="str">
        <v>Microsoft</v>
      </c>
      <c r="Y108">
        <f>COUNTIF(ANNOUNCEMENTS!$L$2:$N$180,X108)+COUNTIF(ANNOUNCEMENTS!$E$2:$E$180,X108)</f>
        <v>2</v>
      </c>
      <c r="AB108" t="str">
        <v>JTA</v>
      </c>
      <c r="AC108">
        <v>1</v>
      </c>
    </row>
    <row r="109" spans="5:29" ht="14.25" customHeight="1" x14ac:dyDescent="0.35">
      <c r="H109" t="str">
        <v>tfnsw</v>
      </c>
      <c r="I109" s="59">
        <f>COUNTIF(ANNOUNCEMENTS!$L$2:$N$178,H109)+COUNTIF(ANNOUNCEMENTS!$E$2:$E$178,H109)</f>
        <v>1</v>
      </c>
      <c r="X109" t="str">
        <v>MINGA</v>
      </c>
      <c r="Y109">
        <f>COUNTIF(ANNOUNCEMENTS!$L$2:$N$180,X109)+COUNTIF(ANNOUNCEMENTS!$E$2:$E$180,X109)</f>
        <v>1</v>
      </c>
      <c r="AB109" t="str">
        <v>Kalray</v>
      </c>
      <c r="AC109">
        <v>1</v>
      </c>
    </row>
    <row r="110" spans="5:29" ht="14.25" customHeight="1" x14ac:dyDescent="0.35">
      <c r="H110" t="str">
        <v>The Ad Council</v>
      </c>
      <c r="I110" s="59">
        <f>COUNTIF(ANNOUNCEMENTS!$L$2:$N$178,H110)+COUNTIF(ANNOUNCEMENTS!$E$2:$E$178,H110)</f>
        <v>1</v>
      </c>
      <c r="X110" t="str">
        <v>Minnesota Department of Transportation</v>
      </c>
      <c r="Y110">
        <f>COUNTIF(ANNOUNCEMENTS!$L$2:$N$180,X110)+COUNTIF(ANNOUNCEMENTS!$E$2:$E$180,X110)</f>
        <v>1</v>
      </c>
      <c r="AB110" t="str">
        <v>kineo</v>
      </c>
      <c r="AC110">
        <v>1</v>
      </c>
    </row>
    <row r="111" spans="5:29" ht="14.25" customHeight="1" x14ac:dyDescent="0.35">
      <c r="H111" t="str">
        <v>Toyota</v>
      </c>
      <c r="I111" s="59">
        <f>COUNTIF(ANNOUNCEMENTS!$L$2:$N$178,H111)+COUNTIF(ANNOUNCEMENTS!$E$2:$E$178,H111)</f>
        <v>3</v>
      </c>
      <c r="X111" t="str">
        <v>Mission Secure</v>
      </c>
      <c r="Y111">
        <f>COUNTIF(ANNOUNCEMENTS!$L$2:$N$180,X111)+COUNTIF(ANNOUNCEMENTS!$E$2:$E$180,X111)</f>
        <v>1</v>
      </c>
      <c r="AB111" t="str">
        <v>Kroger</v>
      </c>
      <c r="AC111">
        <v>1</v>
      </c>
    </row>
    <row r="112" spans="5:29" ht="14.25" customHeight="1" x14ac:dyDescent="0.35">
      <c r="H112" t="str">
        <v>Transurban</v>
      </c>
      <c r="I112" s="59">
        <f>COUNTIF(ANNOUNCEMENTS!$L$2:$N$178,H112)+COUNTIF(ANNOUNCEMENTS!$E$2:$E$178,H112)</f>
        <v>1</v>
      </c>
      <c r="X112" t="str">
        <v>MIT Center for Transportation &amp; Logistics</v>
      </c>
      <c r="Y112">
        <f>COUNTIF(ANNOUNCEMENTS!$L$2:$N$180,X112)+COUNTIF(ANNOUNCEMENTS!$E$2:$E$180,X112)</f>
        <v>1</v>
      </c>
      <c r="AB112" t="str">
        <v>LAVTA</v>
      </c>
      <c r="AC112">
        <v>1</v>
      </c>
    </row>
    <row r="113" spans="5:29" ht="14.25" customHeight="1" x14ac:dyDescent="0.35">
      <c r="H113" t="str">
        <v>Traton</v>
      </c>
      <c r="I113" s="59">
        <f>COUNTIF(ANNOUNCEMENTS!$L$2:$N$178,H113)+COUNTIF(ANNOUNCEMENTS!$E$2:$E$178,H113)</f>
        <v>1</v>
      </c>
      <c r="X113" t="str">
        <v>Mitsubishi</v>
      </c>
      <c r="Y113">
        <f>COUNTIF(ANNOUNCEMENTS!$L$2:$N$180,X113)+COUNTIF(ANNOUNCEMENTS!$E$2:$E$180,X113)</f>
        <v>1</v>
      </c>
      <c r="AB113" t="str">
        <v>Liberty Mutual Insurance</v>
      </c>
      <c r="AC113">
        <v>1</v>
      </c>
    </row>
    <row r="114" spans="5:29" ht="14.25" customHeight="1" x14ac:dyDescent="0.35">
      <c r="H114" t="str">
        <v>Tropos Technologies</v>
      </c>
      <c r="I114" s="59">
        <f>COUNTIF(ANNOUNCEMENTS!$L$2:$N$178,H114)+COUNTIF(ANNOUNCEMENTS!$E$2:$E$178,H114)</f>
        <v>3</v>
      </c>
      <c r="X114" t="str">
        <v>Moovit</v>
      </c>
      <c r="Y114">
        <f>COUNTIF(ANNOUNCEMENTS!$L$2:$N$180,X114)+COUNTIF(ANNOUNCEMENTS!$E$2:$E$180,X114)</f>
        <v>1</v>
      </c>
      <c r="AB114" t="str">
        <v>Lidl</v>
      </c>
      <c r="AC114">
        <v>1</v>
      </c>
    </row>
    <row r="115" spans="5:29" ht="14.25" customHeight="1" x14ac:dyDescent="0.35">
      <c r="E115" t="s">
        <v>1938</v>
      </c>
      <c r="H115" t="str">
        <v>TrustInSoft</v>
      </c>
      <c r="I115" s="59">
        <f>COUNTIF(ANNOUNCEMENTS!$L$2:$N$178,H115)+COUNTIF(ANNOUNCEMENTS!$E$2:$E$178,H115)</f>
        <v>1</v>
      </c>
      <c r="X115" t="str">
        <v>Mothers-Against-Drunk-Driving</v>
      </c>
      <c r="Y115">
        <f>COUNTIF(ANNOUNCEMENTS!$L$2:$N$180,X115)+COUNTIF(ANNOUNCEMENTS!$E$2:$E$180,X115)</f>
        <v>1</v>
      </c>
      <c r="AB115" t="str">
        <v>Liftango</v>
      </c>
      <c r="AC115">
        <v>1</v>
      </c>
    </row>
    <row r="116" spans="5:29" ht="14.25" customHeight="1" x14ac:dyDescent="0.35">
      <c r="E116" t="s">
        <v>1938</v>
      </c>
      <c r="H116" t="str">
        <v>U.S. Xpress</v>
      </c>
      <c r="I116" s="59">
        <f>COUNTIF(ANNOUNCEMENTS!$L$2:$N$178,H116)+COUNTIF(ANNOUNCEMENTS!$E$2:$E$178,H116)</f>
        <v>1</v>
      </c>
      <c r="X116" t="str">
        <v>Navistar</v>
      </c>
      <c r="Y116">
        <f>COUNTIF(ANNOUNCEMENTS!$L$2:$N$180,X116)+COUNTIF(ANNOUNCEMENTS!$E$2:$E$180,X116)</f>
        <v>1</v>
      </c>
      <c r="AB116" t="str">
        <v>Lightning eMotors</v>
      </c>
      <c r="AC116">
        <v>1</v>
      </c>
    </row>
    <row r="117" spans="5:29" ht="14.25" customHeight="1" x14ac:dyDescent="0.35">
      <c r="E117" t="s">
        <v>1938</v>
      </c>
      <c r="H117" t="str">
        <v>UAE Ministry of Energy and Infrastructure</v>
      </c>
      <c r="I117" s="59">
        <f>COUNTIF(ANNOUNCEMENTS!$L$2:$N$178,H117)+COUNTIF(ANNOUNCEMENTS!$E$2:$E$178,H117)</f>
        <v>1</v>
      </c>
      <c r="X117" t="str">
        <v>Navtech Radar</v>
      </c>
      <c r="Y117">
        <f>COUNTIF(ANNOUNCEMENTS!$L$2:$N$180,X117)+COUNTIF(ANNOUNCEMENTS!$E$2:$E$180,X117)</f>
        <v>1</v>
      </c>
      <c r="AB117" t="str">
        <v>Loadsmith</v>
      </c>
      <c r="AC117">
        <v>1</v>
      </c>
    </row>
    <row r="118" spans="5:29" ht="14.25" customHeight="1" x14ac:dyDescent="0.35">
      <c r="E118" t="s">
        <v>1938</v>
      </c>
      <c r="H118" t="str">
        <v>United Technical Services</v>
      </c>
      <c r="I118" s="59">
        <f>COUNTIF(ANNOUNCEMENTS!$L$2:$N$178,H118)+COUNTIF(ANNOUNCEMENTS!$E$2:$E$178,H118)</f>
        <v>1</v>
      </c>
      <c r="X118" t="str">
        <v>NEVS</v>
      </c>
      <c r="Y118">
        <f>COUNTIF(ANNOUNCEMENTS!$L$2:$N$180,X118)+COUNTIF(ANNOUNCEMENTS!$E$2:$E$180,X118)</f>
        <v>1</v>
      </c>
      <c r="AB118" t="str">
        <v>MAN Truck &amp; Bus</v>
      </c>
      <c r="AC118">
        <v>1</v>
      </c>
    </row>
    <row r="119" spans="5:29" ht="14.25" customHeight="1" x14ac:dyDescent="0.35">
      <c r="E119" t="s">
        <v>1938</v>
      </c>
      <c r="H119" t="str">
        <v>University of California</v>
      </c>
      <c r="I119" s="59">
        <f>COUNTIF(ANNOUNCEMENTS!$L$2:$N$178,H119)+COUNTIF(ANNOUNCEMENTS!$E$2:$E$178,H119)</f>
        <v>1</v>
      </c>
      <c r="X119" t="str">
        <v>Nickelytics</v>
      </c>
      <c r="Y119">
        <f>COUNTIF(ANNOUNCEMENTS!$L$2:$N$180,X119)+COUNTIF(ANNOUNCEMENTS!$E$2:$E$180,X119)</f>
        <v>1</v>
      </c>
      <c r="AB119" t="str">
        <v>Michelin</v>
      </c>
      <c r="AC119">
        <v>1</v>
      </c>
    </row>
    <row r="120" spans="5:29" ht="14.25" customHeight="1" x14ac:dyDescent="0.35">
      <c r="E120" t="s">
        <v>1938</v>
      </c>
      <c r="H120" t="str">
        <v>UVA Foundation</v>
      </c>
      <c r="I120" s="59">
        <f>COUNTIF(ANNOUNCEMENTS!$L$2:$N$178,H120)+COUNTIF(ANNOUNCEMENTS!$E$2:$E$178,H120)</f>
        <v>1</v>
      </c>
      <c r="X120" t="str">
        <v>NIO</v>
      </c>
      <c r="Y120">
        <f>COUNTIF(ANNOUNCEMENTS!$L$2:$N$180,X120)+COUNTIF(ANNOUNCEMENTS!$E$2:$E$180,X120)</f>
        <v>1</v>
      </c>
      <c r="AB120" t="str">
        <v>MINGA</v>
      </c>
      <c r="AC120">
        <v>1</v>
      </c>
    </row>
    <row r="121" spans="5:29" ht="14.25" customHeight="1" x14ac:dyDescent="0.35">
      <c r="E121" t="s">
        <v>1938</v>
      </c>
      <c r="H121" t="str">
        <v>Valeo</v>
      </c>
      <c r="I121" s="59">
        <f>COUNTIF(ANNOUNCEMENTS!$L$2:$N$178,H121)+COUNTIF(ANNOUNCEMENTS!$E$2:$E$178,H121)</f>
        <v>3</v>
      </c>
      <c r="X121" t="str">
        <v>North Carolina Department of Transportation</v>
      </c>
      <c r="Y121">
        <f>COUNTIF(ANNOUNCEMENTS!$L$2:$N$180,X121)+COUNTIF(ANNOUNCEMENTS!$E$2:$E$180,X121)</f>
        <v>1</v>
      </c>
      <c r="AB121" t="str">
        <v>Minnesota Department of Transportation</v>
      </c>
      <c r="AC121">
        <v>1</v>
      </c>
    </row>
    <row r="122" spans="5:29" ht="14.25" customHeight="1" x14ac:dyDescent="0.35">
      <c r="H122" t="str">
        <v>Valley Metro</v>
      </c>
      <c r="I122" s="59">
        <f>COUNTIF(ANNOUNCEMENTS!$L$2:$N$178,H122)+COUNTIF(ANNOUNCEMENTS!$E$2:$E$178,H122)</f>
        <v>1</v>
      </c>
      <c r="X122" t="str">
        <v>Oatly</v>
      </c>
      <c r="Y122">
        <f>COUNTIF(ANNOUNCEMENTS!$L$2:$N$180,X122)+COUNTIF(ANNOUNCEMENTS!$E$2:$E$180,X122)</f>
        <v>2</v>
      </c>
      <c r="AB122" t="str">
        <v>Mission Secure</v>
      </c>
      <c r="AC122">
        <v>1</v>
      </c>
    </row>
    <row r="123" spans="5:29" ht="14.25" customHeight="1" x14ac:dyDescent="0.35">
      <c r="H123" t="str">
        <v>Verily</v>
      </c>
      <c r="I123" s="59">
        <f>COUNTIF(ANNOUNCEMENTS!$L$2:$N$178,H123)+COUNTIF(ANNOUNCEMENTS!$E$2:$E$178,H123)</f>
        <v>1</v>
      </c>
      <c r="X123" t="str">
        <v>Ocado Group</v>
      </c>
      <c r="Y123">
        <f>COUNTIF(ANNOUNCEMENTS!$L$2:$N$180,X123)+COUNTIF(ANNOUNCEMENTS!$E$2:$E$180,X123)</f>
        <v>2</v>
      </c>
      <c r="AB123" t="str">
        <v>MIT Center for Transportation &amp; Logistics</v>
      </c>
      <c r="AC123">
        <v>1</v>
      </c>
    </row>
    <row r="124" spans="5:29" ht="14.25" customHeight="1" x14ac:dyDescent="0.35">
      <c r="E124" t="s">
        <v>1938</v>
      </c>
      <c r="H124" t="str">
        <v>Vicinity Motor Corp.</v>
      </c>
      <c r="I124" s="59">
        <f>COUNTIF(ANNOUNCEMENTS!$L$2:$N$178,H124)+COUNTIF(ANNOUNCEMENTS!$E$2:$E$178,H124)</f>
        <v>2</v>
      </c>
      <c r="X124" t="str">
        <v>Onsemi</v>
      </c>
      <c r="Y124">
        <f>COUNTIF(ANNOUNCEMENTS!$L$2:$N$180,X124)+COUNTIF(ANNOUNCEMENTS!$E$2:$E$180,X124)</f>
        <v>1</v>
      </c>
      <c r="AB124" t="str">
        <v>Mitsubishi</v>
      </c>
      <c r="AC124">
        <v>1</v>
      </c>
    </row>
    <row r="125" spans="5:29" ht="14.25" customHeight="1" x14ac:dyDescent="0.35">
      <c r="E125" t="s">
        <v>1938</v>
      </c>
      <c r="H125" t="str">
        <v>Volkswagen Commercial Vehicles</v>
      </c>
      <c r="I125" s="59">
        <f>COUNTIF(ANNOUNCEMENTS!$L$2:$N$178,H125)+COUNTIF(ANNOUNCEMENTS!$E$2:$E$178,H125)</f>
        <v>1</v>
      </c>
      <c r="X125" t="str">
        <v>Phoenix Motorcars</v>
      </c>
      <c r="Y125">
        <f>COUNTIF(ANNOUNCEMENTS!$L$2:$N$180,X125)+COUNTIF(ANNOUNCEMENTS!$E$2:$E$180,X125)</f>
        <v>1</v>
      </c>
      <c r="AB125" t="str">
        <v>Moovit</v>
      </c>
      <c r="AC125">
        <v>1</v>
      </c>
    </row>
    <row r="126" spans="5:29" ht="14.25" customHeight="1" x14ac:dyDescent="0.35">
      <c r="E126" t="s">
        <v>1938</v>
      </c>
      <c r="H126" t="str">
        <v>Volvo Autonomous Solutions</v>
      </c>
      <c r="I126" s="59">
        <f>COUNTIF(ANNOUNCEMENTS!$L$2:$N$178,H126)+COUNTIF(ANNOUNCEMENTS!$E$2:$E$178,H126)</f>
        <v>1</v>
      </c>
      <c r="X126" t="str">
        <v>Piestro</v>
      </c>
      <c r="Y126">
        <f>COUNTIF(ANNOUNCEMENTS!$L$2:$N$180,X126)+COUNTIF(ANNOUNCEMENTS!$E$2:$E$180,X126)</f>
        <v>1</v>
      </c>
      <c r="AB126" t="str">
        <v>Mothers-Against-Drunk-Driving</v>
      </c>
      <c r="AC126">
        <v>1</v>
      </c>
    </row>
    <row r="127" spans="5:29" ht="14.25" customHeight="1" x14ac:dyDescent="0.35">
      <c r="E127" t="s">
        <v>1938</v>
      </c>
      <c r="H127" t="str">
        <v>Volvo Car Group</v>
      </c>
      <c r="I127" s="59">
        <f>COUNTIF(ANNOUNCEMENTS!$L$2:$N$178,H127)+COUNTIF(ANNOUNCEMENTS!$E$2:$E$178,H127)</f>
        <v>1</v>
      </c>
      <c r="X127" t="str">
        <v>Pitney Bowes</v>
      </c>
      <c r="Y127">
        <f>COUNTIF(ANNOUNCEMENTS!$L$2:$N$180,X127)+COUNTIF(ANNOUNCEMENTS!$E$2:$E$180,X127)</f>
        <v>1</v>
      </c>
      <c r="AB127" t="str">
        <v>Navistar</v>
      </c>
      <c r="AC127">
        <v>1</v>
      </c>
    </row>
    <row r="128" spans="5:29" ht="14.25" customHeight="1" x14ac:dyDescent="0.35">
      <c r="E128" t="s">
        <v>1938</v>
      </c>
      <c r="H128" t="str">
        <v>Walmart</v>
      </c>
      <c r="I128" s="59">
        <f>COUNTIF(ANNOUNCEMENTS!$L$2:$N$178,H128)+COUNTIF(ANNOUNCEMENTS!$E$2:$E$178,H128)</f>
        <v>3</v>
      </c>
      <c r="X128" t="str">
        <v>Pizza Hut</v>
      </c>
      <c r="Y128">
        <f>COUNTIF(ANNOUNCEMENTS!$L$2:$N$180,X128)+COUNTIF(ANNOUNCEMENTS!$E$2:$E$180,X128)</f>
        <v>1</v>
      </c>
      <c r="AB128" t="str">
        <v>Navtech Radar</v>
      </c>
      <c r="AC128">
        <v>1</v>
      </c>
    </row>
    <row r="129" spans="5:29" ht="14.25" customHeight="1" x14ac:dyDescent="0.35">
      <c r="E129" t="s">
        <v>1938</v>
      </c>
      <c r="H129" t="str">
        <v>Werner</v>
      </c>
      <c r="I129" s="59">
        <f>COUNTIF(ANNOUNCEMENTS!$L$2:$N$178,H129)+COUNTIF(ANNOUNCEMENTS!$E$2:$E$178,H129)</f>
        <v>1</v>
      </c>
      <c r="X129" t="str">
        <v>Polarrenen</v>
      </c>
      <c r="Y129">
        <f>COUNTIF(ANNOUNCEMENTS!$L$2:$N$180,X129)+COUNTIF(ANNOUNCEMENTS!$E$2:$E$180,X129)</f>
        <v>1</v>
      </c>
      <c r="AB129" t="str">
        <v>NEVS</v>
      </c>
      <c r="AC129">
        <v>1</v>
      </c>
    </row>
    <row r="130" spans="5:29" ht="14.25" customHeight="1" x14ac:dyDescent="0.35">
      <c r="H130" t="str">
        <v>Western Reserve Transit Authority</v>
      </c>
      <c r="I130" s="59">
        <f>COUNTIF(ANNOUNCEMENTS!$L$2:$N$178,H130)+COUNTIF(ANNOUNCEMENTS!$E$2:$E$178,H130)</f>
        <v>1</v>
      </c>
      <c r="X130" t="str">
        <v>Porsche</v>
      </c>
      <c r="Y130">
        <f>COUNTIF(ANNOUNCEMENTS!$L$2:$N$180,X130)+COUNTIF(ANNOUNCEMENTS!$E$2:$E$180,X130)</f>
        <v>1</v>
      </c>
      <c r="AB130" t="str">
        <v>Nickelytics</v>
      </c>
      <c r="AC130">
        <v>1</v>
      </c>
    </row>
    <row r="131" spans="5:29" ht="14.25" customHeight="1" x14ac:dyDescent="0.35">
      <c r="H131" t="str">
        <v>WILLER</v>
      </c>
      <c r="I131" s="59">
        <f>COUNTIF(ANNOUNCEMENTS!$L$2:$N$178,H131)+COUNTIF(ANNOUNCEMENTS!$E$2:$E$178,H131)</f>
        <v>1</v>
      </c>
      <c r="X131" t="str">
        <v>Rampini</v>
      </c>
      <c r="Y131">
        <f>COUNTIF(ANNOUNCEMENTS!$L$2:$N$180,X131)+COUNTIF(ANNOUNCEMENTS!$E$2:$E$180,X131)</f>
        <v>1</v>
      </c>
      <c r="AB131" t="str">
        <v>NIO</v>
      </c>
      <c r="AC131">
        <v>1</v>
      </c>
    </row>
    <row r="132" spans="5:29" ht="14.25" customHeight="1" x14ac:dyDescent="0.35">
      <c r="H132" t="str">
        <v xml:space="preserve">Wistron NeWeb Corp </v>
      </c>
      <c r="I132" s="59">
        <f>COUNTIF(ANNOUNCEMENTS!$L$2:$N$178,H132)+COUNTIF(ANNOUNCEMENTS!$E$2:$E$178,H132)</f>
        <v>1</v>
      </c>
      <c r="X132" t="str">
        <v>Replate</v>
      </c>
      <c r="Y132">
        <f>COUNTIF(ANNOUNCEMENTS!$L$2:$N$180,X132)+COUNTIF(ANNOUNCEMENTS!$E$2:$E$180,X132)</f>
        <v>1</v>
      </c>
      <c r="AB132" t="str">
        <v>North Carolina Department of Transportation</v>
      </c>
      <c r="AC132">
        <v>1</v>
      </c>
    </row>
    <row r="133" spans="5:29" ht="14.25" customHeight="1" x14ac:dyDescent="0.35">
      <c r="H133" t="str">
        <v>Zeekr</v>
      </c>
      <c r="I133" s="59">
        <f>COUNTIF(ANNOUNCEMENTS!$L$2:$N$178,H133)+COUNTIF(ANNOUNCEMENTS!$E$2:$E$178,H133)</f>
        <v>2</v>
      </c>
      <c r="X133" t="str">
        <v>Ryder</v>
      </c>
      <c r="Y133">
        <f>COUNTIF(ANNOUNCEMENTS!$L$2:$N$180,X133)+COUNTIF(ANNOUNCEMENTS!$E$2:$E$180,X133)</f>
        <v>2</v>
      </c>
      <c r="AB133" t="str">
        <v>Onsemi</v>
      </c>
      <c r="AC133">
        <v>1</v>
      </c>
    </row>
    <row r="134" spans="5:29" ht="14.25" customHeight="1" x14ac:dyDescent="0.35">
      <c r="E134" t="s">
        <v>1938</v>
      </c>
      <c r="H134">
        <v>0</v>
      </c>
      <c r="I134" s="59">
        <f>COUNTIF(ANNOUNCEMENTS!$L$2:$N$178,H134)+COUNTIF(ANNOUNCEMENTS!$E$2:$E$178,H134)</f>
        <v>0</v>
      </c>
      <c r="X134" t="str">
        <v>SAE</v>
      </c>
      <c r="Y134">
        <f>COUNTIF(ANNOUNCEMENTS!$L$2:$N$180,X134)+COUNTIF(ANNOUNCEMENTS!$E$2:$E$180,X134)</f>
        <v>1</v>
      </c>
      <c r="AB134" t="str">
        <v>Phoenix Motorcars</v>
      </c>
      <c r="AC134">
        <v>1</v>
      </c>
    </row>
    <row r="135" spans="5:29" ht="14.25" customHeight="1" x14ac:dyDescent="0.35">
      <c r="E135" t="s">
        <v>1938</v>
      </c>
      <c r="X135" t="str">
        <v>SANY Heavy Truck</v>
      </c>
      <c r="Y135">
        <f>COUNTIF(ANNOUNCEMENTS!$L$2:$N$180,X135)+COUNTIF(ANNOUNCEMENTS!$E$2:$E$180,X135)</f>
        <v>1</v>
      </c>
      <c r="AB135" t="str">
        <v>Piestro</v>
      </c>
      <c r="AC135">
        <v>1</v>
      </c>
    </row>
    <row r="136" spans="5:29" ht="14.25" customHeight="1" x14ac:dyDescent="0.35">
      <c r="E136" t="s">
        <v>1938</v>
      </c>
      <c r="X136" t="str">
        <v>Shanghai Jiading Industrial Zone</v>
      </c>
      <c r="Y136">
        <f>COUNTIF(ANNOUNCEMENTS!$L$2:$N$180,X136)+COUNTIF(ANNOUNCEMENTS!$E$2:$E$180,X136)</f>
        <v>1</v>
      </c>
      <c r="AB136" t="str">
        <v>Pitney Bowes</v>
      </c>
      <c r="AC136">
        <v>1</v>
      </c>
    </row>
    <row r="137" spans="5:29" ht="14.25" customHeight="1" x14ac:dyDescent="0.35">
      <c r="E137" t="s">
        <v>1938</v>
      </c>
      <c r="X137" t="str">
        <v>Sinotrans</v>
      </c>
      <c r="Y137">
        <f>COUNTIF(ANNOUNCEMENTS!$L$2:$N$180,X137)+COUNTIF(ANNOUNCEMENTS!$E$2:$E$180,X137)</f>
        <v>1</v>
      </c>
      <c r="AB137" t="str">
        <v>Pizza Hut</v>
      </c>
      <c r="AC137">
        <v>1</v>
      </c>
    </row>
    <row r="138" spans="5:29" ht="14.25" customHeight="1" x14ac:dyDescent="0.35">
      <c r="E138" t="s">
        <v>1938</v>
      </c>
      <c r="X138" t="str">
        <v>SKF</v>
      </c>
      <c r="Y138">
        <f>COUNTIF(ANNOUNCEMENTS!$L$2:$N$180,X138)+COUNTIF(ANNOUNCEMENTS!$E$2:$E$180,X138)</f>
        <v>1</v>
      </c>
      <c r="AB138" t="str">
        <v>Polarrenen</v>
      </c>
      <c r="AC138">
        <v>1</v>
      </c>
    </row>
    <row r="139" spans="5:29" ht="14.25" customHeight="1" x14ac:dyDescent="0.35">
      <c r="E139" t="s">
        <v>1938</v>
      </c>
      <c r="X139" t="str">
        <v>SLTN</v>
      </c>
      <c r="Y139">
        <f>COUNTIF(ANNOUNCEMENTS!$L$2:$N$180,X139)+COUNTIF(ANNOUNCEMENTS!$E$2:$E$180,X139)</f>
        <v>1</v>
      </c>
      <c r="AB139" t="str">
        <v>Porsche</v>
      </c>
      <c r="AC139">
        <v>1</v>
      </c>
    </row>
    <row r="140" spans="5:29" ht="14.25" customHeight="1" x14ac:dyDescent="0.35">
      <c r="E140" t="s">
        <v>1938</v>
      </c>
      <c r="X140" t="str">
        <v>SMRT</v>
      </c>
      <c r="Y140">
        <f>COUNTIF(ANNOUNCEMENTS!$L$2:$N$180,X140)+COUNTIF(ANNOUNCEMENTS!$E$2:$E$180,X140)</f>
        <v>2</v>
      </c>
      <c r="AB140" t="str">
        <v>Rampini</v>
      </c>
      <c r="AC140">
        <v>1</v>
      </c>
    </row>
    <row r="141" spans="5:29" ht="14.25" customHeight="1" x14ac:dyDescent="0.35">
      <c r="E141" t="s">
        <v>1938</v>
      </c>
      <c r="X141" t="str">
        <v>Sono Motors</v>
      </c>
      <c r="Y141">
        <f>COUNTIF(ANNOUNCEMENTS!$L$2:$N$180,X141)+COUNTIF(ANNOUNCEMENTS!$E$2:$E$180,X141)</f>
        <v>1</v>
      </c>
      <c r="AB141" t="str">
        <v>Replate</v>
      </c>
      <c r="AC141">
        <v>1</v>
      </c>
    </row>
    <row r="142" spans="5:29" ht="14.25" customHeight="1" x14ac:dyDescent="0.35">
      <c r="E142" t="s">
        <v>1938</v>
      </c>
      <c r="X142" t="str">
        <v>Spare</v>
      </c>
      <c r="Y142">
        <f>COUNTIF(ANNOUNCEMENTS!$L$2:$N$180,X142)+COUNTIF(ANNOUNCEMENTS!$E$2:$E$180,X142)</f>
        <v>1</v>
      </c>
      <c r="AB142" t="str">
        <v>SAE</v>
      </c>
      <c r="AC142">
        <v>1</v>
      </c>
    </row>
    <row r="143" spans="5:29" ht="14.25" customHeight="1" x14ac:dyDescent="0.35">
      <c r="X143" t="str">
        <v>Stantec</v>
      </c>
      <c r="Y143">
        <f>COUNTIF(ANNOUNCEMENTS!$L$2:$N$180,X143)+COUNTIF(ANNOUNCEMENTS!$E$2:$E$180,X143)</f>
        <v>1</v>
      </c>
      <c r="AB143" t="str">
        <v>SANY Heavy Truck</v>
      </c>
      <c r="AC143">
        <v>1</v>
      </c>
    </row>
    <row r="144" spans="5:29" ht="14.25" customHeight="1" x14ac:dyDescent="0.35">
      <c r="E144" t="s">
        <v>1938</v>
      </c>
      <c r="X144" t="str">
        <v>Sustainability Partners</v>
      </c>
      <c r="Y144">
        <f>COUNTIF(ANNOUNCEMENTS!$L$2:$N$180,X144)+COUNTIF(ANNOUNCEMENTS!$E$2:$E$180,X144)</f>
        <v>1</v>
      </c>
      <c r="AB144" t="str">
        <v>Shanghai Jiading Industrial Zone</v>
      </c>
      <c r="AC144">
        <v>1</v>
      </c>
    </row>
    <row r="145" spans="5:29" ht="14.25" customHeight="1" x14ac:dyDescent="0.35">
      <c r="E145" t="s">
        <v>1938</v>
      </c>
      <c r="X145" t="str">
        <v>Svenska Retursystem</v>
      </c>
      <c r="Y145">
        <f>COUNTIF(ANNOUNCEMENTS!$L$2:$N$180,X145)+COUNTIF(ANNOUNCEMENTS!$E$2:$E$180,X145)</f>
        <v>1</v>
      </c>
      <c r="AB145" t="str">
        <v>Sinotrans</v>
      </c>
      <c r="AC145">
        <v>1</v>
      </c>
    </row>
    <row r="146" spans="5:29" ht="14.25" customHeight="1" x14ac:dyDescent="0.35">
      <c r="E146" t="s">
        <v>1938</v>
      </c>
      <c r="X146" t="str">
        <v>Swiss Re</v>
      </c>
      <c r="Y146">
        <f>COUNTIF(ANNOUNCEMENTS!$L$2:$N$180,X146)+COUNTIF(ANNOUNCEMENTS!$E$2:$E$180,X146)</f>
        <v>1</v>
      </c>
      <c r="AB146" t="str">
        <v>SKF</v>
      </c>
      <c r="AC146">
        <v>1</v>
      </c>
    </row>
    <row r="147" spans="5:29" ht="14.25" customHeight="1" x14ac:dyDescent="0.35">
      <c r="E147" t="s">
        <v>286</v>
      </c>
      <c r="X147" t="str">
        <v>Telia</v>
      </c>
      <c r="Y147">
        <f>COUNTIF(ANNOUNCEMENTS!$L$2:$N$180,X147)+COUNTIF(ANNOUNCEMENTS!$E$2:$E$180,X147)</f>
        <v>1</v>
      </c>
      <c r="AB147" t="str">
        <v>SLTN</v>
      </c>
      <c r="AC147">
        <v>1</v>
      </c>
    </row>
    <row r="148" spans="5:29" ht="14.25" customHeight="1" x14ac:dyDescent="0.35">
      <c r="E148" t="s">
        <v>1938</v>
      </c>
      <c r="X148" t="str">
        <v>tfnsw</v>
      </c>
      <c r="Y148">
        <f>COUNTIF(ANNOUNCEMENTS!$L$2:$N$180,X148)+COUNTIF(ANNOUNCEMENTS!$E$2:$E$180,X148)</f>
        <v>1</v>
      </c>
      <c r="AB148" t="str">
        <v>Sono Motors</v>
      </c>
      <c r="AC148">
        <v>1</v>
      </c>
    </row>
    <row r="149" spans="5:29" ht="14.25" customHeight="1" x14ac:dyDescent="0.35">
      <c r="X149" t="str">
        <v>The Ad Council</v>
      </c>
      <c r="Y149">
        <f>COUNTIF(ANNOUNCEMENTS!$L$2:$N$180,X149)+COUNTIF(ANNOUNCEMENTS!$E$2:$E$180,X149)</f>
        <v>1</v>
      </c>
      <c r="AB149" t="str">
        <v>Spare</v>
      </c>
      <c r="AC149">
        <v>1</v>
      </c>
    </row>
    <row r="150" spans="5:29" ht="14.25" customHeight="1" x14ac:dyDescent="0.35">
      <c r="E150" t="s">
        <v>286</v>
      </c>
      <c r="X150" t="str">
        <v>Toyota</v>
      </c>
      <c r="Y150">
        <f>COUNTIF(ANNOUNCEMENTS!$L$2:$N$180,X150)+COUNTIF(ANNOUNCEMENTS!$E$2:$E$180,X150)</f>
        <v>3</v>
      </c>
      <c r="AB150" t="str">
        <v>Stantec</v>
      </c>
      <c r="AC150">
        <v>1</v>
      </c>
    </row>
    <row r="151" spans="5:29" ht="14.25" customHeight="1" x14ac:dyDescent="0.35">
      <c r="E151" t="s">
        <v>286</v>
      </c>
      <c r="X151" t="str">
        <v>Transurban</v>
      </c>
      <c r="Y151">
        <f>COUNTIF(ANNOUNCEMENTS!$L$2:$N$180,X151)+COUNTIF(ANNOUNCEMENTS!$E$2:$E$180,X151)</f>
        <v>1</v>
      </c>
      <c r="AB151" t="str">
        <v>Sustainability Partners</v>
      </c>
      <c r="AC151">
        <v>1</v>
      </c>
    </row>
    <row r="152" spans="5:29" ht="14.25" customHeight="1" x14ac:dyDescent="0.35">
      <c r="E152" t="s">
        <v>1938</v>
      </c>
      <c r="X152" t="str">
        <v>Traton</v>
      </c>
      <c r="Y152">
        <f>COUNTIF(ANNOUNCEMENTS!$L$2:$N$180,X152)+COUNTIF(ANNOUNCEMENTS!$E$2:$E$180,X152)</f>
        <v>1</v>
      </c>
      <c r="AB152" t="str">
        <v>Svenska Retursystem</v>
      </c>
      <c r="AC152">
        <v>1</v>
      </c>
    </row>
    <row r="153" spans="5:29" ht="14.25" customHeight="1" x14ac:dyDescent="0.35">
      <c r="E153" t="s">
        <v>1938</v>
      </c>
      <c r="X153" t="str">
        <v>Tropos Technologies</v>
      </c>
      <c r="Y153">
        <f>COUNTIF(ANNOUNCEMENTS!$L$2:$N$180,X153)+COUNTIF(ANNOUNCEMENTS!$E$2:$E$180,X153)</f>
        <v>3</v>
      </c>
      <c r="AB153" t="str">
        <v>Swiss Re</v>
      </c>
      <c r="AC153">
        <v>1</v>
      </c>
    </row>
    <row r="154" spans="5:29" ht="14.25" customHeight="1" x14ac:dyDescent="0.35">
      <c r="E154" t="s">
        <v>1938</v>
      </c>
      <c r="X154" t="str">
        <v>TrustInSoft</v>
      </c>
      <c r="Y154">
        <f>COUNTIF(ANNOUNCEMENTS!$L$2:$N$180,X154)+COUNTIF(ANNOUNCEMENTS!$E$2:$E$180,X154)</f>
        <v>1</v>
      </c>
      <c r="AB154" t="str">
        <v>Telia</v>
      </c>
      <c r="AC154">
        <v>1</v>
      </c>
    </row>
    <row r="155" spans="5:29" ht="14.25" customHeight="1" x14ac:dyDescent="0.35">
      <c r="E155" t="s">
        <v>1938</v>
      </c>
      <c r="X155" t="str">
        <v>U.S. Xpress</v>
      </c>
      <c r="Y155">
        <f>COUNTIF(ANNOUNCEMENTS!$L$2:$N$180,X155)+COUNTIF(ANNOUNCEMENTS!$E$2:$E$180,X155)</f>
        <v>1</v>
      </c>
      <c r="AB155" t="str">
        <v>tfnsw</v>
      </c>
      <c r="AC155">
        <v>1</v>
      </c>
    </row>
    <row r="156" spans="5:29" ht="14.25" customHeight="1" x14ac:dyDescent="0.35">
      <c r="E156" t="s">
        <v>1938</v>
      </c>
      <c r="X156" t="str">
        <v>UAE Ministry of Energy and Infrastructure</v>
      </c>
      <c r="Y156">
        <f>COUNTIF(ANNOUNCEMENTS!$L$2:$N$180,X156)+COUNTIF(ANNOUNCEMENTS!$E$2:$E$180,X156)</f>
        <v>1</v>
      </c>
      <c r="AB156" t="str">
        <v>The Ad Council</v>
      </c>
      <c r="AC156">
        <v>1</v>
      </c>
    </row>
    <row r="157" spans="5:29" ht="14.25" customHeight="1" x14ac:dyDescent="0.35">
      <c r="E157" t="s">
        <v>1938</v>
      </c>
      <c r="X157" t="str">
        <v>United Technical Services</v>
      </c>
      <c r="Y157">
        <f>COUNTIF(ANNOUNCEMENTS!$L$2:$N$180,X157)+COUNTIF(ANNOUNCEMENTS!$E$2:$E$180,X157)</f>
        <v>1</v>
      </c>
      <c r="AB157" t="str">
        <v>Transurban</v>
      </c>
      <c r="AC157">
        <v>1</v>
      </c>
    </row>
    <row r="158" spans="5:29" ht="14.25" customHeight="1" x14ac:dyDescent="0.35">
      <c r="E158" t="s">
        <v>1938</v>
      </c>
      <c r="X158" t="str">
        <v>University of California</v>
      </c>
      <c r="Y158">
        <f>COUNTIF(ANNOUNCEMENTS!$L$2:$N$180,X158)+COUNTIF(ANNOUNCEMENTS!$E$2:$E$180,X158)</f>
        <v>1</v>
      </c>
      <c r="AB158" t="str">
        <v>Traton</v>
      </c>
      <c r="AC158">
        <v>1</v>
      </c>
    </row>
    <row r="159" spans="5:29" ht="14.25" customHeight="1" x14ac:dyDescent="0.35">
      <c r="E159" t="s">
        <v>1938</v>
      </c>
      <c r="X159" t="str">
        <v>UVA Foundation</v>
      </c>
      <c r="Y159">
        <f>COUNTIF(ANNOUNCEMENTS!$L$2:$N$180,X159)+COUNTIF(ANNOUNCEMENTS!$E$2:$E$180,X159)</f>
        <v>1</v>
      </c>
      <c r="AB159" t="str">
        <v>TrustInSoft</v>
      </c>
      <c r="AC159">
        <v>1</v>
      </c>
    </row>
    <row r="160" spans="5:29" ht="14.25" customHeight="1" x14ac:dyDescent="0.35">
      <c r="E160" t="s">
        <v>1938</v>
      </c>
      <c r="X160" t="str">
        <v>Valeo</v>
      </c>
      <c r="Y160">
        <f>COUNTIF(ANNOUNCEMENTS!$L$2:$N$180,X160)+COUNTIF(ANNOUNCEMENTS!$E$2:$E$180,X160)</f>
        <v>3</v>
      </c>
      <c r="AB160" t="str">
        <v>U.S. Xpress</v>
      </c>
      <c r="AC160">
        <v>1</v>
      </c>
    </row>
    <row r="161" spans="5:29" ht="14.25" customHeight="1" x14ac:dyDescent="0.35">
      <c r="E161" t="s">
        <v>1938</v>
      </c>
      <c r="X161" t="str">
        <v>Valley Metro</v>
      </c>
      <c r="Y161">
        <f>COUNTIF(ANNOUNCEMENTS!$L$2:$N$180,X161)+COUNTIF(ANNOUNCEMENTS!$E$2:$E$180,X161)</f>
        <v>1</v>
      </c>
      <c r="AB161" t="str">
        <v>UAE Ministry of Energy and Infrastructure</v>
      </c>
      <c r="AC161">
        <v>1</v>
      </c>
    </row>
    <row r="162" spans="5:29" ht="14.25" customHeight="1" x14ac:dyDescent="0.35">
      <c r="E162" t="s">
        <v>1938</v>
      </c>
      <c r="X162" t="str">
        <v>Verily</v>
      </c>
      <c r="Y162">
        <f>COUNTIF(ANNOUNCEMENTS!$L$2:$N$180,X162)+COUNTIF(ANNOUNCEMENTS!$E$2:$E$180,X162)</f>
        <v>1</v>
      </c>
      <c r="AB162" t="str">
        <v>United Technical Services</v>
      </c>
      <c r="AC162">
        <v>1</v>
      </c>
    </row>
    <row r="163" spans="5:29" ht="14.25" customHeight="1" x14ac:dyDescent="0.35">
      <c r="E163" t="s">
        <v>1938</v>
      </c>
      <c r="X163" t="str">
        <v>Vicinity Motor Corp.</v>
      </c>
      <c r="Y163">
        <f>COUNTIF(ANNOUNCEMENTS!$L$2:$N$180,X163)+COUNTIF(ANNOUNCEMENTS!$E$2:$E$180,X163)</f>
        <v>2</v>
      </c>
      <c r="AB163" t="str">
        <v>University of California</v>
      </c>
      <c r="AC163">
        <v>1</v>
      </c>
    </row>
    <row r="164" spans="5:29" ht="14.25" customHeight="1" x14ac:dyDescent="0.35">
      <c r="E164" t="s">
        <v>1938</v>
      </c>
      <c r="X164" t="str">
        <v>Volkswagen Commercial Vehicles</v>
      </c>
      <c r="Y164">
        <f>COUNTIF(ANNOUNCEMENTS!$L$2:$N$180,X164)+COUNTIF(ANNOUNCEMENTS!$E$2:$E$180,X164)</f>
        <v>1</v>
      </c>
      <c r="AB164" t="str">
        <v>UVA Foundation</v>
      </c>
      <c r="AC164">
        <v>1</v>
      </c>
    </row>
    <row r="165" spans="5:29" ht="14.25" customHeight="1" x14ac:dyDescent="0.35">
      <c r="E165" t="s">
        <v>1938</v>
      </c>
      <c r="X165" t="str">
        <v>Volvo Autonomous Solutions</v>
      </c>
      <c r="Y165">
        <f>COUNTIF(ANNOUNCEMENTS!$L$2:$N$180,X165)+COUNTIF(ANNOUNCEMENTS!$E$2:$E$180,X165)</f>
        <v>1</v>
      </c>
      <c r="AB165" t="str">
        <v>Valley Metro</v>
      </c>
      <c r="AC165">
        <v>1</v>
      </c>
    </row>
    <row r="166" spans="5:29" ht="14.25" customHeight="1" x14ac:dyDescent="0.35">
      <c r="E166" t="s">
        <v>1938</v>
      </c>
      <c r="X166" t="str">
        <v>Volvo Car Group</v>
      </c>
      <c r="Y166">
        <f>COUNTIF(ANNOUNCEMENTS!$L$2:$N$180,X166)+COUNTIF(ANNOUNCEMENTS!$E$2:$E$180,X166)</f>
        <v>1</v>
      </c>
      <c r="AB166" t="str">
        <v>Verily</v>
      </c>
      <c r="AC166">
        <v>1</v>
      </c>
    </row>
    <row r="167" spans="5:29" ht="14.25" customHeight="1" x14ac:dyDescent="0.35">
      <c r="E167" t="s">
        <v>1938</v>
      </c>
      <c r="X167" t="str">
        <v>Walmart</v>
      </c>
      <c r="Y167">
        <f>COUNTIF(ANNOUNCEMENTS!$L$2:$N$180,X167)+COUNTIF(ANNOUNCEMENTS!$E$2:$E$180,X167)</f>
        <v>3</v>
      </c>
      <c r="AB167" t="str">
        <v>Volkswagen Commercial Vehicles</v>
      </c>
      <c r="AC167">
        <v>1</v>
      </c>
    </row>
    <row r="168" spans="5:29" ht="14.25" customHeight="1" x14ac:dyDescent="0.35">
      <c r="E168" t="s">
        <v>1938</v>
      </c>
      <c r="X168" t="str">
        <v>Werner</v>
      </c>
      <c r="Y168">
        <f>COUNTIF(ANNOUNCEMENTS!$L$2:$N$180,X168)+COUNTIF(ANNOUNCEMENTS!$E$2:$E$180,X168)</f>
        <v>1</v>
      </c>
      <c r="AB168" t="str">
        <v>Volvo Autonomous Solutions</v>
      </c>
      <c r="AC168">
        <v>1</v>
      </c>
    </row>
    <row r="169" spans="5:29" ht="14.25" customHeight="1" x14ac:dyDescent="0.35">
      <c r="E169" t="s">
        <v>1938</v>
      </c>
      <c r="X169" t="str">
        <v>Western Reserve Transit Authority</v>
      </c>
      <c r="Y169">
        <f>COUNTIF(ANNOUNCEMENTS!$L$2:$N$180,X169)+COUNTIF(ANNOUNCEMENTS!$E$2:$E$180,X169)</f>
        <v>1</v>
      </c>
      <c r="AB169" t="str">
        <v>Volvo Car Group</v>
      </c>
      <c r="AC169">
        <v>1</v>
      </c>
    </row>
    <row r="170" spans="5:29" ht="14.25" customHeight="1" x14ac:dyDescent="0.35">
      <c r="E170" t="s">
        <v>1938</v>
      </c>
      <c r="X170" t="str">
        <v>WILLER</v>
      </c>
      <c r="Y170">
        <f>COUNTIF(ANNOUNCEMENTS!$L$2:$N$180,X170)+COUNTIF(ANNOUNCEMENTS!$E$2:$E$180,X170)</f>
        <v>2</v>
      </c>
      <c r="AB170" t="str">
        <v>Werner</v>
      </c>
      <c r="AC170">
        <v>1</v>
      </c>
    </row>
    <row r="171" spans="5:29" ht="14.25" customHeight="1" x14ac:dyDescent="0.35">
      <c r="E171" t="s">
        <v>1938</v>
      </c>
      <c r="X171" t="str">
        <v xml:space="preserve">Wistron NeWeb Corp </v>
      </c>
      <c r="Y171">
        <f>COUNTIF(ANNOUNCEMENTS!$L$2:$N$180,X171)+COUNTIF(ANNOUNCEMENTS!$E$2:$E$180,X171)</f>
        <v>1</v>
      </c>
      <c r="AB171" t="str">
        <v>Western Reserve Transit Authority</v>
      </c>
      <c r="AC171">
        <v>1</v>
      </c>
    </row>
    <row r="172" spans="5:29" ht="14.25" customHeight="1" x14ac:dyDescent="0.35">
      <c r="E172" t="s">
        <v>1938</v>
      </c>
      <c r="X172" t="str">
        <v>Zeekr</v>
      </c>
      <c r="Y172">
        <f>COUNTIF(ANNOUNCEMENTS!$L$2:$N$180,X172)+COUNTIF(ANNOUNCEMENTS!$E$2:$E$180,X172)</f>
        <v>2</v>
      </c>
      <c r="AB172" t="str">
        <v xml:space="preserve">Wistron NeWeb Corp </v>
      </c>
      <c r="AC172">
        <v>1</v>
      </c>
    </row>
    <row r="173" spans="5:29" ht="14.25" customHeight="1" x14ac:dyDescent="0.35">
      <c r="E173" t="s">
        <v>1938</v>
      </c>
      <c r="Y173">
        <f>COUNTIF(ANNOUNCEMENTS!$L$2:$N$180,X173)+COUNTIF(ANNOUNCEMENTS!$E$2:$E$180,X173)</f>
        <v>0</v>
      </c>
      <c r="AB173">
        <v>0</v>
      </c>
      <c r="AC173">
        <v>0</v>
      </c>
    </row>
    <row r="174" spans="5:29" ht="14.25" customHeight="1" x14ac:dyDescent="0.35"/>
    <row r="175" spans="5:29" ht="14.25" customHeight="1" x14ac:dyDescent="0.35"/>
    <row r="176" spans="5:29"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sheetData>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17190-DF29-4E5F-A3D5-CCA0E698058C}">
  <sheetPr>
    <tabColor rgb="FFFFFF00"/>
  </sheetPr>
  <dimension ref="A1:EP125"/>
  <sheetViews>
    <sheetView topLeftCell="B1" workbookViewId="0">
      <selection activeCell="B1" sqref="B1"/>
    </sheetView>
  </sheetViews>
  <sheetFormatPr defaultRowHeight="14.5" x14ac:dyDescent="0.35"/>
  <cols>
    <col min="1" max="1" width="22.453125" customWidth="1"/>
    <col min="2" max="2" width="255.6328125" bestFit="1" customWidth="1"/>
    <col min="22" max="23" width="28.81640625" bestFit="1" customWidth="1"/>
    <col min="24" max="29" width="24.90625" bestFit="1" customWidth="1"/>
    <col min="39" max="39" width="8.7265625" style="55"/>
    <col min="40" max="40" width="8.7265625" style="55" customWidth="1"/>
    <col min="41" max="54" width="8.7265625" style="55"/>
    <col min="55" max="55" width="8.7265625" style="55" customWidth="1"/>
    <col min="56" max="74" width="8.7265625" style="55"/>
    <col min="75" max="75" width="29" style="55" customWidth="1"/>
    <col min="76" max="76" width="22.453125" style="55" customWidth="1"/>
    <col min="77" max="97" width="8.7265625" style="55"/>
    <col min="98" max="98" width="8.7265625" style="55" customWidth="1"/>
    <col min="99" max="111" width="8.7265625" style="55"/>
    <col min="112" max="112" width="23.08984375" style="55" customWidth="1"/>
    <col min="113" max="113" width="8.7265625" style="55"/>
    <col min="114" max="114" width="24.90625" style="55" bestFit="1" customWidth="1"/>
    <col min="115" max="115" width="8.7265625" style="55"/>
    <col min="116" max="116" width="24.90625" style="55" bestFit="1" customWidth="1"/>
    <col min="117" max="16384" width="8.7265625" style="55"/>
  </cols>
  <sheetData>
    <row r="1" spans="1:146" x14ac:dyDescent="0.35">
      <c r="A1" s="55"/>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t="s">
        <v>1997</v>
      </c>
      <c r="BX1" s="55" t="s">
        <v>1998</v>
      </c>
      <c r="DH1" s="64"/>
      <c r="DN1" s="109" t="s">
        <v>2062</v>
      </c>
    </row>
    <row r="2" spans="1:146" s="64" customFormat="1" x14ac:dyDescent="0.35">
      <c r="A2" s="51" t="s">
        <v>1996</v>
      </c>
      <c r="B2" s="51" t="s">
        <v>1996</v>
      </c>
      <c r="C2" s="52" t="s">
        <v>2000</v>
      </c>
      <c r="D2" s="52"/>
      <c r="E2" s="52"/>
      <c r="F2" s="52"/>
      <c r="G2" s="52"/>
      <c r="H2" s="52"/>
      <c r="I2" s="52"/>
      <c r="J2" s="52"/>
      <c r="K2" s="52"/>
      <c r="L2" s="52"/>
      <c r="M2" s="52"/>
      <c r="N2" s="52"/>
      <c r="O2" s="52"/>
      <c r="P2" s="52"/>
      <c r="Q2" s="52"/>
      <c r="R2" s="52"/>
      <c r="S2" s="52"/>
      <c r="T2" s="52"/>
      <c r="U2" s="52"/>
      <c r="V2" s="59"/>
      <c r="W2" s="59"/>
      <c r="X2" s="59"/>
      <c r="Y2" s="59"/>
      <c r="Z2" s="59"/>
      <c r="AA2" s="59"/>
      <c r="AB2" s="59"/>
      <c r="AC2" s="59"/>
      <c r="AD2" s="59"/>
      <c r="AE2" s="59"/>
      <c r="AF2" s="59"/>
      <c r="AG2" s="59"/>
      <c r="AH2" s="59"/>
      <c r="AI2" s="59"/>
      <c r="AJ2" s="59"/>
      <c r="AK2" s="59"/>
      <c r="AL2" s="59"/>
      <c r="AM2" s="61" t="str" cm="1">
        <f t="array" ref="AM2:BV2">TRANSPOSE(_xlfn.UNIQUE(CBIMPORT!B2:B171))</f>
        <v>Autonomous Vehicles</v>
      </c>
      <c r="AN2" s="61" t="str">
        <v>OEM Commercial Vehicles</v>
      </c>
      <c r="AO2" s="61" t="str">
        <v>Transport Operator</v>
      </c>
      <c r="AP2" s="61" t="str">
        <v>Mobility Services</v>
      </c>
      <c r="AQ2" s="61" t="str">
        <v>Mobility Services Booking</v>
      </c>
      <c r="AR2" s="61" t="str">
        <v>Delivery Service</v>
      </c>
      <c r="AS2" s="61" t="str">
        <v>Logistics</v>
      </c>
      <c r="AT2" s="61" t="str">
        <v>Insurance</v>
      </c>
      <c r="AU2" s="61" t="str">
        <v>Mobility Project</v>
      </c>
      <c r="AV2" s="61" t="str">
        <v>Food &amp; Beverage</v>
      </c>
      <c r="AW2" s="61" t="str">
        <v>V&amp;V</v>
      </c>
      <c r="AX2" s="61" t="str">
        <v>Retail</v>
      </c>
      <c r="AY2" s="61" t="str">
        <v>Rental Services</v>
      </c>
      <c r="AZ2" s="61" t="str">
        <v>Automotive Supplier</v>
      </c>
      <c r="BA2" s="61" t="str">
        <v>University</v>
      </c>
      <c r="BB2" s="61" t="str">
        <v>Charging System</v>
      </c>
      <c r="BC2" s="61" t="str">
        <v>Transportation Authority</v>
      </c>
      <c r="BD2" s="61" t="str">
        <v>Artificial Intelligence (AI)</v>
      </c>
      <c r="BE2" s="61" t="str">
        <v>OEM</v>
      </c>
      <c r="BF2" s="61" t="str">
        <v>Consumer Electronics</v>
      </c>
      <c r="BG2" s="61" t="str">
        <v>Telecommunications</v>
      </c>
      <c r="BH2" s="61" t="str">
        <v>Financial Services</v>
      </c>
      <c r="BI2" s="61" t="str">
        <v>Autonomous mobility network</v>
      </c>
      <c r="BJ2" s="61" t="str">
        <v>Semiconductor</v>
      </c>
      <c r="BK2" s="61" t="str">
        <v>Environmental Engineering</v>
      </c>
      <c r="BL2" s="61" t="str">
        <v>Sensor</v>
      </c>
      <c r="BM2" s="61" t="str">
        <v>Software Company</v>
      </c>
      <c r="BN2" s="61" t="str">
        <v>Cyber Security</v>
      </c>
      <c r="BO2" s="61" t="str">
        <v>NPO</v>
      </c>
      <c r="BP2" s="61" t="str">
        <v>Advertising</v>
      </c>
      <c r="BQ2" s="61" t="str">
        <v>Real estate</v>
      </c>
      <c r="BR2" s="61" t="str">
        <v>Construction</v>
      </c>
      <c r="BS2" s="61" t="str">
        <v>Industrial</v>
      </c>
      <c r="BT2" s="61" t="str">
        <v>Mobility Analytics</v>
      </c>
      <c r="BU2" s="61" t="str">
        <v>City Architecture</v>
      </c>
      <c r="BV2" s="61" t="str">
        <v>Health Care Analytics</v>
      </c>
      <c r="BW2" s="61"/>
      <c r="BX2" s="62" t="str" cm="1">
        <f t="array" ref="BX2:DG2">TRANSPOSE(_xlfn.UNIQUE(CBIMPORT!B2:B171))</f>
        <v>Autonomous Vehicles</v>
      </c>
      <c r="BY2" s="62" t="str">
        <v>OEM Commercial Vehicles</v>
      </c>
      <c r="BZ2" s="62" t="str">
        <v>Transport Operator</v>
      </c>
      <c r="CA2" s="62" t="str">
        <v>Mobility Services</v>
      </c>
      <c r="CB2" s="62" t="str">
        <v>Mobility Services Booking</v>
      </c>
      <c r="CC2" s="62" t="str">
        <v>Delivery Service</v>
      </c>
      <c r="CD2" s="62" t="str">
        <v>Logistics</v>
      </c>
      <c r="CE2" s="62" t="str">
        <v>Insurance</v>
      </c>
      <c r="CF2" s="62" t="str">
        <v>Mobility Project</v>
      </c>
      <c r="CG2" s="62" t="str">
        <v>Food &amp; Beverage</v>
      </c>
      <c r="CH2" s="62" t="str">
        <v>V&amp;V</v>
      </c>
      <c r="CI2" s="62" t="str">
        <v>Retail</v>
      </c>
      <c r="CJ2" s="62" t="str">
        <v>Rental Services</v>
      </c>
      <c r="CK2" s="62" t="str">
        <v>Automotive Supplier</v>
      </c>
      <c r="CL2" s="62" t="str">
        <v>University</v>
      </c>
      <c r="CM2" s="62" t="str">
        <v>Charging System</v>
      </c>
      <c r="CN2" s="62" t="str">
        <v>Transportation Authority</v>
      </c>
      <c r="CO2" s="62" t="str">
        <v>Artificial Intelligence (AI)</v>
      </c>
      <c r="CP2" s="62" t="str">
        <v>OEM</v>
      </c>
      <c r="CQ2" s="62" t="str">
        <v>Consumer Electronics</v>
      </c>
      <c r="CR2" s="62" t="str">
        <v>Telecommunications</v>
      </c>
      <c r="CS2" s="62" t="str">
        <v>Financial Services</v>
      </c>
      <c r="CT2" s="62" t="str">
        <v>Autonomous mobility network</v>
      </c>
      <c r="CU2" s="62" t="str">
        <v>Semiconductor</v>
      </c>
      <c r="CV2" s="62" t="str">
        <v>Environmental Engineering</v>
      </c>
      <c r="CW2" s="62" t="str">
        <v>Sensor</v>
      </c>
      <c r="CX2" s="62" t="str">
        <v>Software Company</v>
      </c>
      <c r="CY2" s="62" t="str">
        <v>Cyber Security</v>
      </c>
      <c r="CZ2" s="62" t="str">
        <v>NPO</v>
      </c>
      <c r="DA2" s="62" t="str">
        <v>Advertising</v>
      </c>
      <c r="DB2" s="62" t="str">
        <v>Real estate</v>
      </c>
      <c r="DC2" s="62" t="str">
        <v>Construction</v>
      </c>
      <c r="DD2" s="62" t="str">
        <v>Industrial</v>
      </c>
      <c r="DE2" s="62" t="str">
        <v>Mobility Analytics</v>
      </c>
      <c r="DF2" s="62" t="str">
        <v>City Architecture</v>
      </c>
      <c r="DG2" s="62" t="str">
        <v>Health Care Analytics</v>
      </c>
      <c r="DH2" s="64" t="s">
        <v>2310</v>
      </c>
      <c r="DI2" s="64" t="s">
        <v>2314</v>
      </c>
      <c r="DJ2" s="64" t="s">
        <v>2311</v>
      </c>
      <c r="DK2" s="64" t="s">
        <v>2315</v>
      </c>
      <c r="DL2" s="64" t="s">
        <v>2312</v>
      </c>
      <c r="DM2" s="64" t="s">
        <v>2313</v>
      </c>
      <c r="DN2" s="52"/>
      <c r="DO2" s="52"/>
      <c r="DP2" s="52"/>
      <c r="DQ2" s="52"/>
      <c r="DR2" s="52"/>
      <c r="DS2" s="52"/>
      <c r="DT2" s="52"/>
      <c r="DU2" s="52"/>
      <c r="DV2" s="52"/>
      <c r="DW2" s="52"/>
      <c r="DX2" s="52"/>
      <c r="DY2" s="52"/>
      <c r="DZ2" s="52"/>
      <c r="EA2" s="52"/>
      <c r="EB2" s="52"/>
      <c r="EC2" s="52"/>
      <c r="ED2" s="52"/>
      <c r="EE2" s="52"/>
    </row>
    <row r="3" spans="1:146" x14ac:dyDescent="0.35">
      <c r="A3" s="49" t="str" cm="1">
        <f t="array" ref="A3:A58">_xlfn.UNIQUE(_xlfn._xlws.FILTER(ANNOUNCEMENTS!AH2:AH180,ANNOUNCEMENTS!AH2:AH180&lt;&gt;""))</f>
        <v>2getthere-Ridepooling</v>
      </c>
      <c r="B3" s="48" t="str" cm="1">
        <f t="array" ref="B3">_xlfn.TEXTJOIN(";",TRUE,IF(ANNOUNCEMENTS!$AH$2:$AH$180=A3,ANNOUNCEMENTS!$K$2:$K$180,""))</f>
        <v>SLTN;Benteler;SMRT;United Technical Services;SMRT</v>
      </c>
      <c r="C3" s="55" t="s">
        <v>880</v>
      </c>
      <c r="D3" s="55" t="s">
        <v>1952</v>
      </c>
      <c r="E3" s="55" t="s">
        <v>922</v>
      </c>
      <c r="F3" s="55" t="s">
        <v>643</v>
      </c>
      <c r="G3" s="55" t="s">
        <v>922</v>
      </c>
      <c r="H3" s="55"/>
      <c r="I3" s="55"/>
      <c r="J3" s="55"/>
      <c r="K3" s="55"/>
      <c r="L3" s="55"/>
      <c r="M3" s="55"/>
      <c r="N3" s="55"/>
      <c r="O3" s="55"/>
      <c r="P3" s="55"/>
      <c r="Q3" s="55"/>
      <c r="R3" s="55"/>
      <c r="S3" s="55"/>
      <c r="T3" s="55"/>
      <c r="V3" s="56" t="str">
        <f>IF(ISERROR(VLOOKUP(C3,CBIMPORT!$A$2:$B$171,2,FALSE)),0,VLOOKUP(C3,CBIMPORT!$A$2:$B$171,2,FALSE))</f>
        <v>Software Company</v>
      </c>
      <c r="W3" s="56" t="str">
        <f>IF(ISERROR(VLOOKUP(D3,CBIMPORT!$A$2:$B$171,2,FALSE)),0,VLOOKUP(D3,CBIMPORT!$A$2:$B$171,2,FALSE))</f>
        <v>Automotive Supplier</v>
      </c>
      <c r="X3" s="56" t="str">
        <f>IF(ISERROR(VLOOKUP(E3,CBIMPORT!$A$2:$B$171,2,FALSE)),0,VLOOKUP(E3,CBIMPORT!$A$2:$B$171,2,FALSE))</f>
        <v>Transport Operator</v>
      </c>
      <c r="Y3" s="56" t="str">
        <f>IF(ISERROR(VLOOKUP(F3,CBIMPORT!$A$2:$B$171,2,FALSE)),0,VLOOKUP(F3,CBIMPORT!$A$2:$B$171,2,FALSE))</f>
        <v>Industrial</v>
      </c>
      <c r="Z3" s="56" t="str">
        <f>IF(ISERROR(VLOOKUP(G3,CBIMPORT!$A$2:$B$171,2,FALSE)),0,VLOOKUP(G3,CBIMPORT!$A$2:$B$171,2,FALSE))</f>
        <v>Transport Operator</v>
      </c>
      <c r="AA3" s="56">
        <f>IF(ISERROR(VLOOKUP(H3,CBIMPORT!$A$2:$B$171,2,FALSE)),0,VLOOKUP(H3,CBIMPORT!$A$2:$B$171,2,FALSE))</f>
        <v>0</v>
      </c>
      <c r="AB3" s="56">
        <f>IF(ISERROR(VLOOKUP(I3,CBIMPORT!$A$2:$B$171,2,FALSE)),0,VLOOKUP(I3,CBIMPORT!$A$2:$B$171,2,FALSE))</f>
        <v>0</v>
      </c>
      <c r="AC3" s="56">
        <f>IF(ISERROR(VLOOKUP(J3,CBIMPORT!$A$2:$B$171,2,FALSE)),0,VLOOKUP(J3,CBIMPORT!$A$2:$B$171,2,FALSE))</f>
        <v>0</v>
      </c>
      <c r="AD3" s="56">
        <f>IF(ISERROR(VLOOKUP(K3,CBIMPORT!$A$2:$B$171,2,FALSE)),0,VLOOKUP(K3,CBIMPORT!$A$2:$B$171,2,FALSE))</f>
        <v>0</v>
      </c>
      <c r="AE3" s="56">
        <f>IF(ISERROR(VLOOKUP(L3,CBIMPORT!$A$2:$B$171,2,FALSE)),0,VLOOKUP(L3,CBIMPORT!$A$2:$B$171,2,FALSE))</f>
        <v>0</v>
      </c>
      <c r="AF3" s="56">
        <f>IF(ISERROR(VLOOKUP(M3,CBIMPORT!$A$2:$B$171,2,FALSE)),0,VLOOKUP(M3,CBIMPORT!$A$2:$B$171,2,FALSE))</f>
        <v>0</v>
      </c>
      <c r="AG3" s="56">
        <f>IF(ISERROR(VLOOKUP(N3,CBIMPORT!$A$2:$B$171,2,FALSE)),0,VLOOKUP(N3,CBIMPORT!$A$2:$B$171,2,FALSE))</f>
        <v>0</v>
      </c>
      <c r="AH3" s="56">
        <f>IF(ISERROR(VLOOKUP(O3,CBIMPORT!$A$2:$B$171,2,FALSE)),0,VLOOKUP(O3,CBIMPORT!$A$2:$B$171,2,FALSE))</f>
        <v>0</v>
      </c>
      <c r="AI3" s="56">
        <f>IF(ISERROR(VLOOKUP(P3,CBIMPORT!$A$2:$B$171,2,FALSE)),0,VLOOKUP(P3,CBIMPORT!$A$2:$B$171,2,FALSE))</f>
        <v>0</v>
      </c>
      <c r="AJ3" s="56">
        <f>IF(ISERROR(VLOOKUP(Q3,CBIMPORT!$A$2:$B$171,2,FALSE)),0,VLOOKUP(Q3,CBIMPORT!$A$2:$B$171,2,FALSE))</f>
        <v>0</v>
      </c>
      <c r="AK3" s="56">
        <f>IF(ISERROR(VLOOKUP(R3,CBIMPORT!$A$2:$B$171,2,FALSE)),0,VLOOKUP(R3,CBIMPORT!$A$2:$B$171,2,FALSE))</f>
        <v>0</v>
      </c>
      <c r="AL3" s="56">
        <f>IF(ISERROR(VLOOKUP(S3,CBIMPORT!$A$2:$B$171,2,FALSE)),0,VLOOKUP(S3,CBIMPORT!$A$2:$B$171,2,FALSE))</f>
        <v>0</v>
      </c>
      <c r="AM3" s="60">
        <f>COUNTIF($V3:$AL3,AM$2)</f>
        <v>0</v>
      </c>
      <c r="AN3" s="60">
        <f t="shared" ref="AN3:BV3" si="0">COUNTIF($V3:$AL3,AN$2)</f>
        <v>0</v>
      </c>
      <c r="AO3" s="60">
        <f t="shared" si="0"/>
        <v>2</v>
      </c>
      <c r="AP3" s="60">
        <f t="shared" si="0"/>
        <v>0</v>
      </c>
      <c r="AQ3" s="60">
        <f t="shared" si="0"/>
        <v>0</v>
      </c>
      <c r="AR3" s="60">
        <f t="shared" si="0"/>
        <v>0</v>
      </c>
      <c r="AS3" s="60">
        <f t="shared" si="0"/>
        <v>0</v>
      </c>
      <c r="AT3" s="60">
        <f t="shared" si="0"/>
        <v>0</v>
      </c>
      <c r="AU3" s="60">
        <f t="shared" si="0"/>
        <v>0</v>
      </c>
      <c r="AV3" s="60">
        <f t="shared" si="0"/>
        <v>0</v>
      </c>
      <c r="AW3" s="60">
        <f t="shared" si="0"/>
        <v>0</v>
      </c>
      <c r="AX3" s="60">
        <f t="shared" si="0"/>
        <v>0</v>
      </c>
      <c r="AY3" s="60">
        <f t="shared" si="0"/>
        <v>0</v>
      </c>
      <c r="AZ3" s="60">
        <f t="shared" si="0"/>
        <v>1</v>
      </c>
      <c r="BA3" s="60">
        <f t="shared" si="0"/>
        <v>0</v>
      </c>
      <c r="BB3" s="60">
        <f t="shared" si="0"/>
        <v>0</v>
      </c>
      <c r="BC3" s="60">
        <f t="shared" si="0"/>
        <v>0</v>
      </c>
      <c r="BD3" s="60">
        <f t="shared" si="0"/>
        <v>0</v>
      </c>
      <c r="BE3" s="60">
        <f t="shared" si="0"/>
        <v>0</v>
      </c>
      <c r="BF3" s="60">
        <f t="shared" si="0"/>
        <v>0</v>
      </c>
      <c r="BG3" s="60">
        <f t="shared" si="0"/>
        <v>0</v>
      </c>
      <c r="BH3" s="60">
        <f t="shared" si="0"/>
        <v>0</v>
      </c>
      <c r="BI3" s="60">
        <f t="shared" si="0"/>
        <v>0</v>
      </c>
      <c r="BJ3" s="60">
        <f t="shared" si="0"/>
        <v>0</v>
      </c>
      <c r="BK3" s="60">
        <f t="shared" si="0"/>
        <v>0</v>
      </c>
      <c r="BL3" s="60">
        <f t="shared" si="0"/>
        <v>0</v>
      </c>
      <c r="BM3" s="60">
        <f t="shared" si="0"/>
        <v>1</v>
      </c>
      <c r="BN3" s="60">
        <f t="shared" si="0"/>
        <v>0</v>
      </c>
      <c r="BO3" s="60">
        <f t="shared" si="0"/>
        <v>0</v>
      </c>
      <c r="BP3" s="60">
        <f t="shared" si="0"/>
        <v>0</v>
      </c>
      <c r="BQ3" s="60">
        <f t="shared" si="0"/>
        <v>0</v>
      </c>
      <c r="BR3" s="60">
        <f t="shared" si="0"/>
        <v>0</v>
      </c>
      <c r="BS3" s="60">
        <f t="shared" si="0"/>
        <v>1</v>
      </c>
      <c r="BT3" s="60">
        <f t="shared" si="0"/>
        <v>0</v>
      </c>
      <c r="BU3" s="60">
        <f t="shared" si="0"/>
        <v>0</v>
      </c>
      <c r="BV3" s="60">
        <f t="shared" si="0"/>
        <v>0</v>
      </c>
      <c r="BW3" s="60"/>
      <c r="BX3" s="63">
        <f>IF(ISERROR(AM3/SUM($AM3:$BW3)),0,AM3/SUM($AM3:$BW3))</f>
        <v>0</v>
      </c>
      <c r="BY3" s="63">
        <f t="shared" ref="BY3:BZ18" si="1">IF(ISERROR(AN3/SUM($AM3:$BW3)),0,AN3/SUM($AM3:$BW3))</f>
        <v>0</v>
      </c>
      <c r="BZ3" s="63">
        <f t="shared" si="1"/>
        <v>0.4</v>
      </c>
      <c r="CA3" s="63">
        <f t="shared" ref="CA3:CA58" si="2">IF(ISERROR(AP3/SUM($AM3:$BW3)),0,AP3/SUM($AM3:$BW3))</f>
        <v>0</v>
      </c>
      <c r="CB3" s="63">
        <f t="shared" ref="CB3:CB58" si="3">IF(ISERROR(AQ3/SUM($AM3:$BW3)),0,AQ3/SUM($AM3:$BW3))</f>
        <v>0</v>
      </c>
      <c r="CC3" s="63">
        <f t="shared" ref="CC3:CC58" si="4">IF(ISERROR(AR3/SUM($AM3:$BW3)),0,AR3/SUM($AM3:$BW3))</f>
        <v>0</v>
      </c>
      <c r="CD3" s="63">
        <f t="shared" ref="CD3:CD58" si="5">IF(ISERROR(AS3/SUM($AM3:$BW3)),0,AS3/SUM($AM3:$BW3))</f>
        <v>0</v>
      </c>
      <c r="CE3" s="63">
        <f t="shared" ref="CE3:CE58" si="6">IF(ISERROR(AT3/SUM($AM3:$BW3)),0,AT3/SUM($AM3:$BW3))</f>
        <v>0</v>
      </c>
      <c r="CF3" s="63">
        <f t="shared" ref="CF3:CF58" si="7">IF(ISERROR(AU3/SUM($AM3:$BW3)),0,AU3/SUM($AM3:$BW3))</f>
        <v>0</v>
      </c>
      <c r="CG3" s="63">
        <f t="shared" ref="CG3:CG58" si="8">IF(ISERROR(AV3/SUM($AM3:$BW3)),0,AV3/SUM($AM3:$BW3))</f>
        <v>0</v>
      </c>
      <c r="CH3" s="63">
        <f t="shared" ref="CH3:CH58" si="9">IF(ISERROR(AW3/SUM($AM3:$BW3)),0,AW3/SUM($AM3:$BW3))</f>
        <v>0</v>
      </c>
      <c r="CI3" s="63">
        <f t="shared" ref="CI3:CI58" si="10">IF(ISERROR(AX3/SUM($AM3:$BW3)),0,AX3/SUM($AM3:$BW3))</f>
        <v>0</v>
      </c>
      <c r="CJ3" s="63">
        <f t="shared" ref="CJ3:CJ58" si="11">IF(ISERROR(AY3/SUM($AM3:$BW3)),0,AY3/SUM($AM3:$BW3))</f>
        <v>0</v>
      </c>
      <c r="CK3" s="63">
        <f t="shared" ref="CK3:CK58" si="12">IF(ISERROR(AZ3/SUM($AM3:$BW3)),0,AZ3/SUM($AM3:$BW3))</f>
        <v>0.2</v>
      </c>
      <c r="CL3" s="63">
        <f t="shared" ref="CL3:CL58" si="13">IF(ISERROR(BA3/SUM($AM3:$BW3)),0,BA3/SUM($AM3:$BW3))</f>
        <v>0</v>
      </c>
      <c r="CM3" s="63">
        <f t="shared" ref="CM3:CM58" si="14">IF(ISERROR(BB3/SUM($AM3:$BW3)),0,BB3/SUM($AM3:$BW3))</f>
        <v>0</v>
      </c>
      <c r="CN3" s="63">
        <f t="shared" ref="CN3:CN58" si="15">IF(ISERROR(BC3/SUM($AM3:$BW3)),0,BC3/SUM($AM3:$BW3))</f>
        <v>0</v>
      </c>
      <c r="CO3" s="63">
        <f t="shared" ref="CO3:CO58" si="16">IF(ISERROR(BD3/SUM($AM3:$BW3)),0,BD3/SUM($AM3:$BW3))</f>
        <v>0</v>
      </c>
      <c r="CP3" s="63">
        <f t="shared" ref="CP3:CP58" si="17">IF(ISERROR(BE3/SUM($AM3:$BW3)),0,BE3/SUM($AM3:$BW3))</f>
        <v>0</v>
      </c>
      <c r="CQ3" s="63">
        <f t="shared" ref="CQ3:CQ58" si="18">IF(ISERROR(BF3/SUM($AM3:$BW3)),0,BF3/SUM($AM3:$BW3))</f>
        <v>0</v>
      </c>
      <c r="CR3" s="63">
        <f t="shared" ref="CR3:CR58" si="19">IF(ISERROR(BG3/SUM($AM3:$BW3)),0,BG3/SUM($AM3:$BW3))</f>
        <v>0</v>
      </c>
      <c r="CS3" s="63">
        <f t="shared" ref="CS3:CS58" si="20">IF(ISERROR(BH3/SUM($AM3:$BW3)),0,BH3/SUM($AM3:$BW3))</f>
        <v>0</v>
      </c>
      <c r="CT3" s="63">
        <f t="shared" ref="CT3:CT58" si="21">IF(ISERROR(BI3/SUM($AM3:$BW3)),0,BI3/SUM($AM3:$BW3))</f>
        <v>0</v>
      </c>
      <c r="CU3" s="63">
        <f t="shared" ref="CU3:CU58" si="22">IF(ISERROR(BJ3/SUM($AM3:$BW3)),0,BJ3/SUM($AM3:$BW3))</f>
        <v>0</v>
      </c>
      <c r="CV3" s="63">
        <f t="shared" ref="CV3:CV58" si="23">IF(ISERROR(BK3/SUM($AM3:$BW3)),0,BK3/SUM($AM3:$BW3))</f>
        <v>0</v>
      </c>
      <c r="CW3" s="63">
        <f t="shared" ref="CW3:CW58" si="24">IF(ISERROR(BL3/SUM($AM3:$BW3)),0,BL3/SUM($AM3:$BW3))</f>
        <v>0</v>
      </c>
      <c r="CX3" s="63">
        <f t="shared" ref="CX3:CX58" si="25">IF(ISERROR(BM3/SUM($AM3:$BW3)),0,BM3/SUM($AM3:$BW3))</f>
        <v>0.2</v>
      </c>
      <c r="CY3" s="63">
        <f t="shared" ref="CY3:CY58" si="26">IF(ISERROR(BN3/SUM($AM3:$BW3)),0,BN3/SUM($AM3:$BW3))</f>
        <v>0</v>
      </c>
      <c r="CZ3" s="63">
        <f t="shared" ref="CZ3:CZ58" si="27">IF(ISERROR(BO3/SUM($AM3:$BW3)),0,BO3/SUM($AM3:$BW3))</f>
        <v>0</v>
      </c>
      <c r="DA3" s="63">
        <f t="shared" ref="DA3:DA58" si="28">IF(ISERROR(BP3/SUM($AM3:$BW3)),0,BP3/SUM($AM3:$BW3))</f>
        <v>0</v>
      </c>
      <c r="DB3" s="63">
        <f t="shared" ref="DB3:DB58" si="29">IF(ISERROR(BQ3/SUM($AM3:$BW3)),0,BQ3/SUM($AM3:$BW3))</f>
        <v>0</v>
      </c>
      <c r="DC3" s="63">
        <f t="shared" ref="DC3:DC58" si="30">IF(ISERROR(BR3/SUM($AM3:$BW3)),0,BR3/SUM($AM3:$BW3))</f>
        <v>0</v>
      </c>
      <c r="DD3" s="63">
        <f t="shared" ref="DD3:DD58" si="31">IF(ISERROR(BS3/SUM($AM3:$BW3)),0,BS3/SUM($AM3:$BW3))</f>
        <v>0.2</v>
      </c>
      <c r="DE3" s="63">
        <f t="shared" ref="DE3:DE58" si="32">IF(ISERROR(BT3/SUM($AM3:$BW3)),0,BT3/SUM($AM3:$BW3))</f>
        <v>0</v>
      </c>
      <c r="DF3" s="63">
        <f t="shared" ref="DF3:DF58" si="33">IF(ISERROR(BU3/SUM($AM3:$BW3)),0,BU3/SUM($AM3:$BW3))</f>
        <v>0</v>
      </c>
      <c r="DG3" s="63">
        <f t="shared" ref="DG3:DG58" si="34">IF(ISERROR(BV3/SUM($AM3:$BW3)),0,BV3/SUM($AM3:$BW3))</f>
        <v>0</v>
      </c>
      <c r="DH3" s="57" t="str" cm="1">
        <f t="array" ref="DH3">INDEX($BX$2:$DG$2,0,MATCH(LARGE($BX3:$DG3,1),$BX3:$DG3,0))</f>
        <v>Transport Operator</v>
      </c>
      <c r="DI3" s="58">
        <f>LARGE('Industries all mentioned partne'!$BX3:$DG3,1)</f>
        <v>0.4</v>
      </c>
      <c r="DJ3" s="57" t="str" cm="1">
        <f t="array" ref="DJ3">IF(DI3&lt;&gt;100%,INDEX(_xlfn.ANCHORARRAY($BX$2),0,MATCH(LARGE($BX3:$DG3,2),$BX3:$DG3,0)),"")</f>
        <v>Automotive Supplier</v>
      </c>
      <c r="DK3" s="58">
        <f>IF(DI3&lt;&gt;100%,LARGE('Industries all mentioned partne'!$BX3:$DG3,2),"")</f>
        <v>0.2</v>
      </c>
      <c r="DL3" s="57" t="str" cm="1">
        <f t="array" ref="DL3">IF(DM3="","",INDEX(_xlfn.ANCHORARRAY($BX$2),0,MATCH(LARGE($BX3:$DG3,3),$BX3:$DG3,0)))</f>
        <v>Automotive Supplier</v>
      </c>
      <c r="DM3" s="110">
        <f>IF(LARGE('Industries all mentioned partne'!$BX3:$DG3,3)=0%,"",LARGE('Industries all mentioned partne'!$BX3:$DG3,3))</f>
        <v>0.2</v>
      </c>
      <c r="DN3" s="52">
        <f>IF(ISTEXT(C3)=TRUE,VLOOKUP(C3,CBIMPORT!$A$2:$AL$171,38,FALSE),"")</f>
        <v>0</v>
      </c>
      <c r="DO3" s="52">
        <f>IF(ISTEXT(D3)=TRUE,VLOOKUP(D3,CBIMPORT!$A$2:$AL$171,38,FALSE),"")</f>
        <v>0</v>
      </c>
      <c r="DP3" s="52">
        <f>IF(ISTEXT(E3)=TRUE,VLOOKUP(E3,CBIMPORT!$A$2:$AL$171,38,FALSE),"")</f>
        <v>0</v>
      </c>
      <c r="DQ3" s="52">
        <f>IF(ISTEXT(F3)=TRUE,VLOOKUP(F3,CBIMPORT!$A$2:$AL$171,38,FALSE),"")</f>
        <v>0</v>
      </c>
      <c r="DR3" s="52">
        <f>IF(ISTEXT(G3)=TRUE,VLOOKUP(G3,CBIMPORT!$A$2:$AL$171,38,FALSE),"")</f>
        <v>0</v>
      </c>
      <c r="DS3" s="52" t="str">
        <f>IF(ISTEXT(H3)=TRUE,VLOOKUP(H3,CBIMPORT!$A$2:$AL$171,38,FALSE),"")</f>
        <v/>
      </c>
      <c r="DT3" s="52" t="str">
        <f>IF(ISTEXT(I3)=TRUE,VLOOKUP(I3,CBIMPORT!$A$2:$AL$171,38,FALSE),"")</f>
        <v/>
      </c>
      <c r="DU3" s="52" t="str">
        <f>IF(ISTEXT(J3)=TRUE,VLOOKUP(J3,CBIMPORT!$A$2:$AL$171,38,FALSE),"")</f>
        <v/>
      </c>
      <c r="DV3" s="52" t="str">
        <f>IF(ISTEXT(K3)=TRUE,VLOOKUP(K3,CBIMPORT!$A$2:$AL$171,38,FALSE),"")</f>
        <v/>
      </c>
      <c r="DW3" s="52" t="str">
        <f>IF(ISTEXT(L3)=TRUE,VLOOKUP(L3,CBIMPORT!$A$2:$AL$171,38,FALSE),"")</f>
        <v/>
      </c>
      <c r="DX3" s="52" t="str">
        <f>IF(ISTEXT(M3)=TRUE,VLOOKUP(M3,CBIMPORT!$A$2:$AL$171,38,FALSE),"")</f>
        <v/>
      </c>
      <c r="DY3" s="52" t="str">
        <f>IF(ISTEXT(N3)=TRUE,VLOOKUP(N3,CBIMPORT!$A$2:$AL$171,38,FALSE),"")</f>
        <v/>
      </c>
      <c r="DZ3" s="52" t="str">
        <f>IF(ISTEXT(O3)=TRUE,VLOOKUP(O3,CBIMPORT!$A$2:$AL$171,38,FALSE),"")</f>
        <v/>
      </c>
      <c r="EA3" s="52" t="str">
        <f>IF(ISTEXT(P3)=TRUE,VLOOKUP(P3,CBIMPORT!$A$2:$AL$171,38,FALSE),"")</f>
        <v/>
      </c>
      <c r="EB3" s="52" t="str">
        <f>IF(ISTEXT(Q3)=TRUE,VLOOKUP(Q3,CBIMPORT!$A$2:$AL$171,38,FALSE),"")</f>
        <v/>
      </c>
      <c r="EC3" s="52" t="str">
        <f>IF(ISTEXT(R3)=TRUE,VLOOKUP(R3,CBIMPORT!$A$2:$AL$171,38,FALSE),"")</f>
        <v/>
      </c>
      <c r="ED3" s="52" t="str">
        <f>IF(ISTEXT(S3)=TRUE,VLOOKUP(S3,CBIMPORT!$A$2:$AL$171,38,FALSE),"")</f>
        <v/>
      </c>
      <c r="EE3" s="52" t="str">
        <f>IF(ISTEXT(T3)=TRUE,VLOOKUP(T3,CBIMPORT!$A$2:$AL$171,38,FALSE),"")</f>
        <v/>
      </c>
      <c r="EF3" s="64" t="str">
        <f>IF(ISTEXT(U3)=TRUE,VLOOKUP(U3,CBIMPORT!$A$2:$AL$171,38,FALSE),"")</f>
        <v/>
      </c>
      <c r="EG3" s="64"/>
      <c r="EH3" s="64"/>
      <c r="EI3" s="64"/>
      <c r="EJ3" s="64"/>
      <c r="EK3" s="64"/>
      <c r="EL3" s="64"/>
      <c r="EM3" s="64"/>
      <c r="EN3" s="64"/>
      <c r="EO3" s="64"/>
      <c r="EP3" s="64"/>
    </row>
    <row r="4" spans="1:146" x14ac:dyDescent="0.35">
      <c r="A4" s="49" t="str">
        <v>ADASTEC-Ridepooling</v>
      </c>
      <c r="B4" s="48" t="str" cm="1">
        <f t="array" ref="B4">_xlfn.TEXTJOIN(";",TRUE,IF(ANNOUNCEMENTS!$AH$2:$AH$180=A4,ANNOUNCEMENTS!$K$2:$K$180,""))</f>
        <v>Vicinity Motor Corp.;Vicinity Motor Corp.</v>
      </c>
      <c r="C4" s="55" t="s">
        <v>811</v>
      </c>
      <c r="D4" s="55" t="s">
        <v>811</v>
      </c>
      <c r="E4" s="55"/>
      <c r="F4" s="55"/>
      <c r="G4" s="55"/>
      <c r="H4" s="55"/>
      <c r="I4" s="55"/>
      <c r="J4" s="55"/>
      <c r="K4" s="55"/>
      <c r="L4" s="55"/>
      <c r="M4" s="55"/>
      <c r="N4" s="55"/>
      <c r="O4" s="55"/>
      <c r="P4" s="55"/>
      <c r="Q4" s="55"/>
      <c r="R4" s="55"/>
      <c r="S4" s="55"/>
      <c r="T4" s="55"/>
      <c r="V4" s="56" t="str">
        <f>IF(ISERROR(VLOOKUP(C4,CBIMPORT!$A$2:$B$171,2,FALSE)),0,VLOOKUP(C4,CBIMPORT!$A$2:$B$171,2,FALSE))</f>
        <v>OEM Commercial Vehicles</v>
      </c>
      <c r="W4" s="56" t="str">
        <f>IF(ISERROR(VLOOKUP(D4,CBIMPORT!$A$2:$B$171,2,FALSE)),0,VLOOKUP(D4,CBIMPORT!$A$2:$B$171,2,FALSE))</f>
        <v>OEM Commercial Vehicles</v>
      </c>
      <c r="X4" s="56">
        <f>IF(ISERROR(VLOOKUP(E4,CBIMPORT!$A$2:$B$171,2,FALSE)),0,VLOOKUP(E4,CBIMPORT!$A$2:$B$171,2,FALSE))</f>
        <v>0</v>
      </c>
      <c r="Y4" s="56">
        <f>IF(ISERROR(VLOOKUP(F4,CBIMPORT!$A$2:$B$171,2,FALSE)),0,VLOOKUP(F4,CBIMPORT!$A$2:$B$171,2,FALSE))</f>
        <v>0</v>
      </c>
      <c r="Z4" s="56">
        <f>IF(ISERROR(VLOOKUP(G4,CBIMPORT!$A$2:$B$171,2,FALSE)),0,VLOOKUP(G4,CBIMPORT!$A$2:$B$171,2,FALSE))</f>
        <v>0</v>
      </c>
      <c r="AA4" s="56">
        <f>IF(ISERROR(VLOOKUP(H4,CBIMPORT!$A$2:$B$171,2,FALSE)),0,VLOOKUP(H4,CBIMPORT!$A$2:$B$171,2,FALSE))</f>
        <v>0</v>
      </c>
      <c r="AB4" s="56">
        <f>IF(ISERROR(VLOOKUP(I4,CBIMPORT!$A$2:$B$171,2,FALSE)),0,VLOOKUP(I4,CBIMPORT!$A$2:$B$171,2,FALSE))</f>
        <v>0</v>
      </c>
      <c r="AC4" s="56">
        <f>IF(ISERROR(VLOOKUP(J4,CBIMPORT!$A$2:$B$171,2,FALSE)),0,VLOOKUP(J4,CBIMPORT!$A$2:$B$171,2,FALSE))</f>
        <v>0</v>
      </c>
      <c r="AD4" s="56">
        <f>IF(ISERROR(VLOOKUP(K4,CBIMPORT!$A$2:$B$171,2,FALSE)),0,VLOOKUP(K4,CBIMPORT!$A$2:$B$171,2,FALSE))</f>
        <v>0</v>
      </c>
      <c r="AE4" s="56">
        <f>IF(ISERROR(VLOOKUP(L4,CBIMPORT!$A$2:$B$171,2,FALSE)),0,VLOOKUP(L4,CBIMPORT!$A$2:$B$171,2,FALSE))</f>
        <v>0</v>
      </c>
      <c r="AF4" s="56">
        <f>IF(ISERROR(VLOOKUP(M4,CBIMPORT!$A$2:$B$171,2,FALSE)),0,VLOOKUP(M4,CBIMPORT!$A$2:$B$171,2,FALSE))</f>
        <v>0</v>
      </c>
      <c r="AG4" s="56">
        <f>IF(ISERROR(VLOOKUP(N4,CBIMPORT!$A$2:$B$171,2,FALSE)),0,VLOOKUP(N4,CBIMPORT!$A$2:$B$171,2,FALSE))</f>
        <v>0</v>
      </c>
      <c r="AH4" s="56">
        <f>IF(ISERROR(VLOOKUP(O4,CBIMPORT!$A$2:$B$171,2,FALSE)),0,VLOOKUP(O4,CBIMPORT!$A$2:$B$171,2,FALSE))</f>
        <v>0</v>
      </c>
      <c r="AI4" s="56">
        <f>IF(ISERROR(VLOOKUP(P4,CBIMPORT!$A$2:$B$171,2,FALSE)),0,VLOOKUP(P4,CBIMPORT!$A$2:$B$171,2,FALSE))</f>
        <v>0</v>
      </c>
      <c r="AJ4" s="56">
        <f>IF(ISERROR(VLOOKUP(Q4,CBIMPORT!$A$2:$B$171,2,FALSE)),0,VLOOKUP(Q4,CBIMPORT!$A$2:$B$171,2,FALSE))</f>
        <v>0</v>
      </c>
      <c r="AK4" s="56">
        <f>IF(ISERROR(VLOOKUP(R4,CBIMPORT!$A$2:$B$171,2,FALSE)),0,VLOOKUP(R4,CBIMPORT!$A$2:$B$171,2,FALSE))</f>
        <v>0</v>
      </c>
      <c r="AL4" s="56">
        <f>IF(ISERROR(VLOOKUP(S4,CBIMPORT!$A$2:$B$171,2,FALSE)),0,VLOOKUP(S4,CBIMPORT!$A$2:$B$171,2,FALSE))</f>
        <v>0</v>
      </c>
      <c r="AM4" s="60">
        <f t="shared" ref="AM4:AM58" si="35">COUNTIF($V4:$AL4,AM$2)</f>
        <v>0</v>
      </c>
      <c r="AN4" s="60">
        <f t="shared" ref="AN4:AW12" si="36">COUNTIF($V4:$AL4,AN$2)</f>
        <v>2</v>
      </c>
      <c r="AO4" s="60">
        <f t="shared" si="36"/>
        <v>0</v>
      </c>
      <c r="AP4" s="60">
        <f t="shared" si="36"/>
        <v>0</v>
      </c>
      <c r="AQ4" s="60">
        <f t="shared" si="36"/>
        <v>0</v>
      </c>
      <c r="AR4" s="60">
        <f t="shared" si="36"/>
        <v>0</v>
      </c>
      <c r="AS4" s="60">
        <f t="shared" si="36"/>
        <v>0</v>
      </c>
      <c r="AT4" s="60">
        <f t="shared" si="36"/>
        <v>0</v>
      </c>
      <c r="AU4" s="60">
        <f t="shared" si="36"/>
        <v>0</v>
      </c>
      <c r="AV4" s="60">
        <f t="shared" si="36"/>
        <v>0</v>
      </c>
      <c r="AW4" s="60">
        <f t="shared" si="36"/>
        <v>0</v>
      </c>
      <c r="AX4" s="60">
        <f t="shared" ref="AX4:BG12" si="37">COUNTIF($V4:$AL4,AX$2)</f>
        <v>0</v>
      </c>
      <c r="AY4" s="60">
        <f t="shared" si="37"/>
        <v>0</v>
      </c>
      <c r="AZ4" s="60">
        <f t="shared" si="37"/>
        <v>0</v>
      </c>
      <c r="BA4" s="60">
        <f t="shared" si="37"/>
        <v>0</v>
      </c>
      <c r="BB4" s="60">
        <f t="shared" si="37"/>
        <v>0</v>
      </c>
      <c r="BC4" s="60">
        <f t="shared" si="37"/>
        <v>0</v>
      </c>
      <c r="BD4" s="60">
        <f t="shared" si="37"/>
        <v>0</v>
      </c>
      <c r="BE4" s="60">
        <f t="shared" si="37"/>
        <v>0</v>
      </c>
      <c r="BF4" s="60">
        <f t="shared" si="37"/>
        <v>0</v>
      </c>
      <c r="BG4" s="60">
        <f t="shared" si="37"/>
        <v>0</v>
      </c>
      <c r="BH4" s="60">
        <f t="shared" ref="BH4:BQ12" si="38">COUNTIF($V4:$AL4,BH$2)</f>
        <v>0</v>
      </c>
      <c r="BI4" s="60">
        <f t="shared" si="38"/>
        <v>0</v>
      </c>
      <c r="BJ4" s="60">
        <f t="shared" si="38"/>
        <v>0</v>
      </c>
      <c r="BK4" s="60">
        <f t="shared" si="38"/>
        <v>0</v>
      </c>
      <c r="BL4" s="60">
        <f t="shared" si="38"/>
        <v>0</v>
      </c>
      <c r="BM4" s="60">
        <f t="shared" si="38"/>
        <v>0</v>
      </c>
      <c r="BN4" s="60">
        <f t="shared" si="38"/>
        <v>0</v>
      </c>
      <c r="BO4" s="60">
        <f t="shared" si="38"/>
        <v>0</v>
      </c>
      <c r="BP4" s="60">
        <f t="shared" si="38"/>
        <v>0</v>
      </c>
      <c r="BQ4" s="60">
        <f t="shared" si="38"/>
        <v>0</v>
      </c>
      <c r="BR4" s="60">
        <f t="shared" ref="BR4:BV12" si="39">COUNTIF($V4:$AL4,BR$2)</f>
        <v>0</v>
      </c>
      <c r="BS4" s="60">
        <f t="shared" si="39"/>
        <v>0</v>
      </c>
      <c r="BT4" s="60">
        <f t="shared" si="39"/>
        <v>0</v>
      </c>
      <c r="BU4" s="60">
        <f t="shared" si="39"/>
        <v>0</v>
      </c>
      <c r="BV4" s="60">
        <f t="shared" si="39"/>
        <v>0</v>
      </c>
      <c r="BW4" s="60"/>
      <c r="BX4" s="63">
        <f t="shared" ref="BX4:BX58" si="40">IF(ISERROR(AM4/SUM($AM4:$BW4)),0,AM4/SUM($AM4:$BW4))</f>
        <v>0</v>
      </c>
      <c r="BY4" s="63">
        <f t="shared" si="1"/>
        <v>1</v>
      </c>
      <c r="BZ4" s="63">
        <f t="shared" si="1"/>
        <v>0</v>
      </c>
      <c r="CA4" s="63">
        <f t="shared" si="2"/>
        <v>0</v>
      </c>
      <c r="CB4" s="63">
        <f t="shared" si="3"/>
        <v>0</v>
      </c>
      <c r="CC4" s="63">
        <f t="shared" si="4"/>
        <v>0</v>
      </c>
      <c r="CD4" s="63">
        <f t="shared" si="5"/>
        <v>0</v>
      </c>
      <c r="CE4" s="63">
        <f t="shared" si="6"/>
        <v>0</v>
      </c>
      <c r="CF4" s="63">
        <f t="shared" si="7"/>
        <v>0</v>
      </c>
      <c r="CG4" s="63">
        <f t="shared" si="8"/>
        <v>0</v>
      </c>
      <c r="CH4" s="63">
        <f t="shared" si="9"/>
        <v>0</v>
      </c>
      <c r="CI4" s="63">
        <f t="shared" si="10"/>
        <v>0</v>
      </c>
      <c r="CJ4" s="63">
        <f t="shared" si="11"/>
        <v>0</v>
      </c>
      <c r="CK4" s="63">
        <f t="shared" si="12"/>
        <v>0</v>
      </c>
      <c r="CL4" s="63">
        <f t="shared" si="13"/>
        <v>0</v>
      </c>
      <c r="CM4" s="63">
        <f t="shared" si="14"/>
        <v>0</v>
      </c>
      <c r="CN4" s="63">
        <f t="shared" si="15"/>
        <v>0</v>
      </c>
      <c r="CO4" s="63">
        <f t="shared" si="16"/>
        <v>0</v>
      </c>
      <c r="CP4" s="63">
        <f t="shared" si="17"/>
        <v>0</v>
      </c>
      <c r="CQ4" s="63">
        <f t="shared" si="18"/>
        <v>0</v>
      </c>
      <c r="CR4" s="63">
        <f t="shared" si="19"/>
        <v>0</v>
      </c>
      <c r="CS4" s="63">
        <f t="shared" si="20"/>
        <v>0</v>
      </c>
      <c r="CT4" s="63">
        <f t="shared" si="21"/>
        <v>0</v>
      </c>
      <c r="CU4" s="63">
        <f t="shared" si="22"/>
        <v>0</v>
      </c>
      <c r="CV4" s="63">
        <f t="shared" si="23"/>
        <v>0</v>
      </c>
      <c r="CW4" s="63">
        <f t="shared" si="24"/>
        <v>0</v>
      </c>
      <c r="CX4" s="63">
        <f t="shared" si="25"/>
        <v>0</v>
      </c>
      <c r="CY4" s="63">
        <f t="shared" si="26"/>
        <v>0</v>
      </c>
      <c r="CZ4" s="63">
        <f t="shared" si="27"/>
        <v>0</v>
      </c>
      <c r="DA4" s="63">
        <f t="shared" si="28"/>
        <v>0</v>
      </c>
      <c r="DB4" s="63">
        <f t="shared" si="29"/>
        <v>0</v>
      </c>
      <c r="DC4" s="63">
        <f t="shared" si="30"/>
        <v>0</v>
      </c>
      <c r="DD4" s="63">
        <f t="shared" si="31"/>
        <v>0</v>
      </c>
      <c r="DE4" s="63">
        <f t="shared" si="32"/>
        <v>0</v>
      </c>
      <c r="DF4" s="63">
        <f t="shared" si="33"/>
        <v>0</v>
      </c>
      <c r="DG4" s="63">
        <f t="shared" si="34"/>
        <v>0</v>
      </c>
      <c r="DH4" s="57" t="str" cm="1">
        <f t="array" ref="DH4">INDEX(_xlfn.ANCHORARRAY($BX$2),0,MATCH(LARGE($BX4:$DG4,1),$BX4:$DG4,0))</f>
        <v>OEM Commercial Vehicles</v>
      </c>
      <c r="DI4" s="58">
        <f>LARGE('Industries all mentioned partne'!$BX4:$DG4,1)</f>
        <v>1</v>
      </c>
      <c r="DJ4" s="57" t="str" cm="1">
        <f t="array" ref="DJ4">IF(DI4&lt;&gt;100%,INDEX(_xlfn.ANCHORARRAY($BX$2),0,MATCH(LARGE($BX4:$DG4,2),$BX4:$DG4,0)),"")</f>
        <v/>
      </c>
      <c r="DK4" s="58" t="str">
        <f>IF(DI4&lt;&gt;100%,LARGE('Industries all mentioned partne'!$BX4:$DG4,2),"")</f>
        <v/>
      </c>
      <c r="DL4" s="57" t="str" cm="1">
        <f t="array" ref="DL4">IF(DM4="","",INDEX(_xlfn.ANCHORARRAY($BX$2),0,MATCH(LARGE($BX4:$DG4,3),$BX4:$DG4,0)))</f>
        <v/>
      </c>
      <c r="DM4" s="110" t="str">
        <f>IF(LARGE('Industries all mentioned partne'!$BX4:$DG4,3)=0%,"",LARGE('Industries all mentioned partne'!$BX4:$DG4,3))</f>
        <v/>
      </c>
      <c r="DN4" s="52">
        <f>IF(ISTEXT(C4)=TRUE,VLOOKUP(C4,CBIMPORT!$A$2:$AL$171,38,FALSE),"")</f>
        <v>0</v>
      </c>
      <c r="DO4" s="52">
        <f>IF(ISTEXT(D4)=TRUE,VLOOKUP(D4,CBIMPORT!$A$2:$AL$171,38,FALSE),"")</f>
        <v>0</v>
      </c>
      <c r="DP4" s="52" t="str">
        <f>IF(ISTEXT(E4)=TRUE,VLOOKUP(E4,CBIMPORT!$A$2:$AL$171,38,FALSE),"")</f>
        <v/>
      </c>
      <c r="DQ4" s="52" t="str">
        <f>IF(ISTEXT(F4)=TRUE,VLOOKUP(F4,CBIMPORT!$A$2:$AL$171,38,FALSE),"")</f>
        <v/>
      </c>
      <c r="DR4" s="52" t="str">
        <f>IF(ISTEXT(G4)=TRUE,VLOOKUP(G4,CBIMPORT!$A$2:$AL$171,38,FALSE),"")</f>
        <v/>
      </c>
      <c r="DS4" s="52" t="str">
        <f>IF(ISTEXT(H4)=TRUE,VLOOKUP(H4,CBIMPORT!$A$2:$AL$171,38,FALSE),"")</f>
        <v/>
      </c>
      <c r="DT4" s="52" t="str">
        <f>IF(ISTEXT(I4)=TRUE,VLOOKUP(I4,CBIMPORT!$A$2:$AL$171,38,FALSE),"")</f>
        <v/>
      </c>
      <c r="DU4" s="52" t="str">
        <f>IF(ISTEXT(J4)=TRUE,VLOOKUP(J4,CBIMPORT!$A$2:$AL$171,38,FALSE),"")</f>
        <v/>
      </c>
      <c r="DV4" s="52" t="str">
        <f>IF(ISTEXT(K4)=TRUE,VLOOKUP(K4,CBIMPORT!$A$2:$AL$171,38,FALSE),"")</f>
        <v/>
      </c>
      <c r="DW4" s="52" t="str">
        <f>IF(ISTEXT(L4)=TRUE,VLOOKUP(L4,CBIMPORT!$A$2:$AL$171,38,FALSE),"")</f>
        <v/>
      </c>
      <c r="DX4" s="52" t="str">
        <f>IF(ISTEXT(M4)=TRUE,VLOOKUP(M4,CBIMPORT!$A$2:$AL$171,38,FALSE),"")</f>
        <v/>
      </c>
      <c r="DY4" s="52" t="str">
        <f>IF(ISTEXT(N4)=TRUE,VLOOKUP(N4,CBIMPORT!$A$2:$AL$171,38,FALSE),"")</f>
        <v/>
      </c>
      <c r="DZ4" s="52" t="str">
        <f>IF(ISTEXT(O4)=TRUE,VLOOKUP(O4,CBIMPORT!$A$2:$AL$171,38,FALSE),"")</f>
        <v/>
      </c>
      <c r="EA4" s="52" t="str">
        <f>IF(ISTEXT(P4)=TRUE,VLOOKUP(P4,CBIMPORT!$A$2:$AL$171,38,FALSE),"")</f>
        <v/>
      </c>
      <c r="EB4" s="52" t="str">
        <f>IF(ISTEXT(Q4)=TRUE,VLOOKUP(Q4,CBIMPORT!$A$2:$AL$171,38,FALSE),"")</f>
        <v/>
      </c>
      <c r="EC4" s="52" t="str">
        <f>IF(ISTEXT(R4)=TRUE,VLOOKUP(R4,CBIMPORT!$A$2:$AL$171,38,FALSE),"")</f>
        <v/>
      </c>
      <c r="ED4" s="52" t="str">
        <f>IF(ISTEXT(S4)=TRUE,VLOOKUP(S4,CBIMPORT!$A$2:$AL$171,38,FALSE),"")</f>
        <v/>
      </c>
      <c r="EE4" s="52" t="str">
        <f>IF(ISTEXT(T4)=TRUE,VLOOKUP(T4,CBIMPORT!$A$2:$AL$171,38,FALSE),"")</f>
        <v/>
      </c>
      <c r="EF4" s="64" t="str">
        <f>IF(ISTEXT(U4)=TRUE,VLOOKUP(U4,CBIMPORT!$A$2:$AL$171,38,FALSE),"")</f>
        <v/>
      </c>
      <c r="EG4" s="64"/>
      <c r="EH4" s="64"/>
      <c r="EI4" s="64"/>
      <c r="EJ4" s="64"/>
      <c r="EK4" s="64"/>
      <c r="EL4" s="64"/>
      <c r="EM4" s="64"/>
      <c r="EN4" s="64"/>
      <c r="EO4" s="64"/>
      <c r="EP4" s="64"/>
    </row>
    <row r="5" spans="1:146" x14ac:dyDescent="0.35">
      <c r="A5" s="48" t="str">
        <v>Aurora-Trucking</v>
      </c>
      <c r="B5" s="48" t="str" cm="1">
        <f t="array" ref="B5">_xlfn.TEXTJOIN(";",TRUE,IF(ANNOUNCEMENTS!$AH$2:$AH$180=A5,ANNOUNCEMENTS!$K$2:$K$180,""))</f>
        <v>Continental;Hirschbach;Covenant;U.S. Xpress</v>
      </c>
      <c r="C5" s="55" t="s">
        <v>515</v>
      </c>
      <c r="D5" s="55" t="s">
        <v>695</v>
      </c>
      <c r="E5" s="55" t="s">
        <v>684</v>
      </c>
      <c r="F5" s="55" t="s">
        <v>705</v>
      </c>
      <c r="G5" s="55"/>
      <c r="H5" s="55"/>
      <c r="I5" s="55"/>
      <c r="J5" s="55"/>
      <c r="K5" s="55"/>
      <c r="L5" s="55"/>
      <c r="M5" s="55"/>
      <c r="N5" s="55"/>
      <c r="O5" s="55"/>
      <c r="P5" s="55"/>
      <c r="Q5" s="55"/>
      <c r="R5" s="55"/>
      <c r="S5" s="55"/>
      <c r="T5" s="55"/>
      <c r="V5" s="56" t="str">
        <f>IF(ISERROR(VLOOKUP(C5,CBIMPORT!$A$2:$B$171,2,FALSE)),0,VLOOKUP(C5,CBIMPORT!$A$2:$B$171,2,FALSE))</f>
        <v>Automotive Supplier</v>
      </c>
      <c r="W5" s="56" t="str">
        <f>IF(ISERROR(VLOOKUP(D5,CBIMPORT!$A$2:$B$171,2,FALSE)),0,VLOOKUP(D5,CBIMPORT!$A$2:$B$171,2,FALSE))</f>
        <v>Logistics</v>
      </c>
      <c r="X5" s="56" t="str">
        <f>IF(ISERROR(VLOOKUP(E5,CBIMPORT!$A$2:$B$171,2,FALSE)),0,VLOOKUP(E5,CBIMPORT!$A$2:$B$171,2,FALSE))</f>
        <v>Logistics</v>
      </c>
      <c r="Y5" s="56" t="str">
        <f>IF(ISERROR(VLOOKUP(F5,CBIMPORT!$A$2:$B$171,2,FALSE)),0,VLOOKUP(F5,CBIMPORT!$A$2:$B$171,2,FALSE))</f>
        <v>Logistics</v>
      </c>
      <c r="Z5" s="56">
        <f>IF(ISERROR(VLOOKUP(G5,CBIMPORT!$A$2:$B$171,2,FALSE)),0,VLOOKUP(G5,CBIMPORT!$A$2:$B$171,2,FALSE))</f>
        <v>0</v>
      </c>
      <c r="AA5" s="56">
        <f>IF(ISERROR(VLOOKUP(H5,CBIMPORT!$A$2:$B$171,2,FALSE)),0,VLOOKUP(H5,CBIMPORT!$A$2:$B$171,2,FALSE))</f>
        <v>0</v>
      </c>
      <c r="AB5" s="56">
        <f>IF(ISERROR(VLOOKUP(I5,CBIMPORT!$A$2:$B$171,2,FALSE)),0,VLOOKUP(I5,CBIMPORT!$A$2:$B$171,2,FALSE))</f>
        <v>0</v>
      </c>
      <c r="AC5" s="56">
        <f>IF(ISERROR(VLOOKUP(J5,CBIMPORT!$A$2:$B$171,2,FALSE)),0,VLOOKUP(J5,CBIMPORT!$A$2:$B$171,2,FALSE))</f>
        <v>0</v>
      </c>
      <c r="AD5" s="56">
        <f>IF(ISERROR(VLOOKUP(K5,CBIMPORT!$A$2:$B$171,2,FALSE)),0,VLOOKUP(K5,CBIMPORT!$A$2:$B$171,2,FALSE))</f>
        <v>0</v>
      </c>
      <c r="AE5" s="56">
        <f>IF(ISERROR(VLOOKUP(L5,CBIMPORT!$A$2:$B$171,2,FALSE)),0,VLOOKUP(L5,CBIMPORT!$A$2:$B$171,2,FALSE))</f>
        <v>0</v>
      </c>
      <c r="AF5" s="56">
        <f>IF(ISERROR(VLOOKUP(M5,CBIMPORT!$A$2:$B$171,2,FALSE)),0,VLOOKUP(M5,CBIMPORT!$A$2:$B$171,2,FALSE))</f>
        <v>0</v>
      </c>
      <c r="AG5" s="56">
        <f>IF(ISERROR(VLOOKUP(N5,CBIMPORT!$A$2:$B$171,2,FALSE)),0,VLOOKUP(N5,CBIMPORT!$A$2:$B$171,2,FALSE))</f>
        <v>0</v>
      </c>
      <c r="AH5" s="56">
        <f>IF(ISERROR(VLOOKUP(O5,CBIMPORT!$A$2:$B$171,2,FALSE)),0,VLOOKUP(O5,CBIMPORT!$A$2:$B$171,2,FALSE))</f>
        <v>0</v>
      </c>
      <c r="AI5" s="56">
        <f>IF(ISERROR(VLOOKUP(P5,CBIMPORT!$A$2:$B$171,2,FALSE)),0,VLOOKUP(P5,CBIMPORT!$A$2:$B$171,2,FALSE))</f>
        <v>0</v>
      </c>
      <c r="AJ5" s="56">
        <f>IF(ISERROR(VLOOKUP(Q5,CBIMPORT!$A$2:$B$171,2,FALSE)),0,VLOOKUP(Q5,CBIMPORT!$A$2:$B$171,2,FALSE))</f>
        <v>0</v>
      </c>
      <c r="AK5" s="56">
        <f>IF(ISERROR(VLOOKUP(R5,CBIMPORT!$A$2:$B$171,2,FALSE)),0,VLOOKUP(R5,CBIMPORT!$A$2:$B$171,2,FALSE))</f>
        <v>0</v>
      </c>
      <c r="AL5" s="56">
        <f>IF(ISERROR(VLOOKUP(S5,CBIMPORT!$A$2:$B$171,2,FALSE)),0,VLOOKUP(S5,CBIMPORT!$A$2:$B$171,2,FALSE))</f>
        <v>0</v>
      </c>
      <c r="AM5" s="60">
        <f t="shared" si="35"/>
        <v>0</v>
      </c>
      <c r="AN5" s="60">
        <f t="shared" si="36"/>
        <v>0</v>
      </c>
      <c r="AO5" s="60">
        <f t="shared" si="36"/>
        <v>0</v>
      </c>
      <c r="AP5" s="60">
        <f t="shared" si="36"/>
        <v>0</v>
      </c>
      <c r="AQ5" s="60">
        <f t="shared" si="36"/>
        <v>0</v>
      </c>
      <c r="AR5" s="60">
        <f t="shared" si="36"/>
        <v>0</v>
      </c>
      <c r="AS5" s="60">
        <f t="shared" si="36"/>
        <v>3</v>
      </c>
      <c r="AT5" s="60">
        <f t="shared" si="36"/>
        <v>0</v>
      </c>
      <c r="AU5" s="60">
        <f t="shared" si="36"/>
        <v>0</v>
      </c>
      <c r="AV5" s="60">
        <f t="shared" si="36"/>
        <v>0</v>
      </c>
      <c r="AW5" s="60">
        <f t="shared" si="36"/>
        <v>0</v>
      </c>
      <c r="AX5" s="60">
        <f t="shared" si="37"/>
        <v>0</v>
      </c>
      <c r="AY5" s="60">
        <f t="shared" si="37"/>
        <v>0</v>
      </c>
      <c r="AZ5" s="60">
        <f t="shared" si="37"/>
        <v>1</v>
      </c>
      <c r="BA5" s="60">
        <f t="shared" si="37"/>
        <v>0</v>
      </c>
      <c r="BB5" s="60">
        <f t="shared" si="37"/>
        <v>0</v>
      </c>
      <c r="BC5" s="60">
        <f t="shared" si="37"/>
        <v>0</v>
      </c>
      <c r="BD5" s="60">
        <f t="shared" si="37"/>
        <v>0</v>
      </c>
      <c r="BE5" s="60">
        <f t="shared" si="37"/>
        <v>0</v>
      </c>
      <c r="BF5" s="60">
        <f t="shared" si="37"/>
        <v>0</v>
      </c>
      <c r="BG5" s="60">
        <f t="shared" si="37"/>
        <v>0</v>
      </c>
      <c r="BH5" s="60">
        <f t="shared" si="38"/>
        <v>0</v>
      </c>
      <c r="BI5" s="60">
        <f t="shared" si="38"/>
        <v>0</v>
      </c>
      <c r="BJ5" s="60">
        <f t="shared" si="38"/>
        <v>0</v>
      </c>
      <c r="BK5" s="60">
        <f t="shared" si="38"/>
        <v>0</v>
      </c>
      <c r="BL5" s="60">
        <f t="shared" si="38"/>
        <v>0</v>
      </c>
      <c r="BM5" s="60">
        <f t="shared" si="38"/>
        <v>0</v>
      </c>
      <c r="BN5" s="60">
        <f t="shared" si="38"/>
        <v>0</v>
      </c>
      <c r="BO5" s="60">
        <f t="shared" si="38"/>
        <v>0</v>
      </c>
      <c r="BP5" s="60">
        <f t="shared" si="38"/>
        <v>0</v>
      </c>
      <c r="BQ5" s="60">
        <f t="shared" si="38"/>
        <v>0</v>
      </c>
      <c r="BR5" s="60">
        <f t="shared" si="39"/>
        <v>0</v>
      </c>
      <c r="BS5" s="60">
        <f t="shared" si="39"/>
        <v>0</v>
      </c>
      <c r="BT5" s="60">
        <f t="shared" si="39"/>
        <v>0</v>
      </c>
      <c r="BU5" s="60">
        <f t="shared" si="39"/>
        <v>0</v>
      </c>
      <c r="BV5" s="60">
        <f t="shared" si="39"/>
        <v>0</v>
      </c>
      <c r="BW5" s="60"/>
      <c r="BX5" s="63">
        <f t="shared" si="40"/>
        <v>0</v>
      </c>
      <c r="BY5" s="63">
        <f t="shared" si="1"/>
        <v>0</v>
      </c>
      <c r="BZ5" s="63">
        <f t="shared" si="1"/>
        <v>0</v>
      </c>
      <c r="CA5" s="63">
        <f t="shared" si="2"/>
        <v>0</v>
      </c>
      <c r="CB5" s="63">
        <f t="shared" si="3"/>
        <v>0</v>
      </c>
      <c r="CC5" s="63">
        <f t="shared" si="4"/>
        <v>0</v>
      </c>
      <c r="CD5" s="63">
        <f t="shared" si="5"/>
        <v>0.75</v>
      </c>
      <c r="CE5" s="63">
        <f t="shared" si="6"/>
        <v>0</v>
      </c>
      <c r="CF5" s="63">
        <f t="shared" si="7"/>
        <v>0</v>
      </c>
      <c r="CG5" s="63">
        <f t="shared" si="8"/>
        <v>0</v>
      </c>
      <c r="CH5" s="63">
        <f t="shared" si="9"/>
        <v>0</v>
      </c>
      <c r="CI5" s="63">
        <f t="shared" si="10"/>
        <v>0</v>
      </c>
      <c r="CJ5" s="63">
        <f t="shared" si="11"/>
        <v>0</v>
      </c>
      <c r="CK5" s="63">
        <f t="shared" si="12"/>
        <v>0.25</v>
      </c>
      <c r="CL5" s="63">
        <f t="shared" si="13"/>
        <v>0</v>
      </c>
      <c r="CM5" s="63">
        <f t="shared" si="14"/>
        <v>0</v>
      </c>
      <c r="CN5" s="63">
        <f t="shared" si="15"/>
        <v>0</v>
      </c>
      <c r="CO5" s="63">
        <f t="shared" si="16"/>
        <v>0</v>
      </c>
      <c r="CP5" s="63">
        <f t="shared" si="17"/>
        <v>0</v>
      </c>
      <c r="CQ5" s="63">
        <f t="shared" si="18"/>
        <v>0</v>
      </c>
      <c r="CR5" s="63">
        <f t="shared" si="19"/>
        <v>0</v>
      </c>
      <c r="CS5" s="63">
        <f t="shared" si="20"/>
        <v>0</v>
      </c>
      <c r="CT5" s="63">
        <f t="shared" si="21"/>
        <v>0</v>
      </c>
      <c r="CU5" s="63">
        <f t="shared" si="22"/>
        <v>0</v>
      </c>
      <c r="CV5" s="63">
        <f t="shared" si="23"/>
        <v>0</v>
      </c>
      <c r="CW5" s="63">
        <f t="shared" si="24"/>
        <v>0</v>
      </c>
      <c r="CX5" s="63">
        <f t="shared" si="25"/>
        <v>0</v>
      </c>
      <c r="CY5" s="63">
        <f t="shared" si="26"/>
        <v>0</v>
      </c>
      <c r="CZ5" s="63">
        <f t="shared" si="27"/>
        <v>0</v>
      </c>
      <c r="DA5" s="63">
        <f t="shared" si="28"/>
        <v>0</v>
      </c>
      <c r="DB5" s="63">
        <f t="shared" si="29"/>
        <v>0</v>
      </c>
      <c r="DC5" s="63">
        <f t="shared" si="30"/>
        <v>0</v>
      </c>
      <c r="DD5" s="63">
        <f t="shared" si="31"/>
        <v>0</v>
      </c>
      <c r="DE5" s="63">
        <f t="shared" si="32"/>
        <v>0</v>
      </c>
      <c r="DF5" s="63">
        <f t="shared" si="33"/>
        <v>0</v>
      </c>
      <c r="DG5" s="63">
        <f t="shared" si="34"/>
        <v>0</v>
      </c>
      <c r="DH5" s="57" t="str" cm="1">
        <f t="array" ref="DH5">INDEX(_xlfn.ANCHORARRAY($BX$2),0,MATCH(LARGE($BX5:$DG5,1),$BX5:$DG5,0))</f>
        <v>Logistics</v>
      </c>
      <c r="DI5" s="58">
        <f>LARGE('Industries all mentioned partne'!$BX5:$DG5,1)</f>
        <v>0.75</v>
      </c>
      <c r="DJ5" s="57" t="str" cm="1">
        <f t="array" ref="DJ5">IF(DI5&lt;&gt;100%,INDEX(_xlfn.ANCHORARRAY($BX$2),0,MATCH(LARGE($BX5:$DG5,2),$BX5:$DG5,0)),"")</f>
        <v>Automotive Supplier</v>
      </c>
      <c r="DK5" s="58">
        <f>IF(DI5&lt;&gt;100%,LARGE('Industries all mentioned partne'!$BX5:$DG5,2),"")</f>
        <v>0.25</v>
      </c>
      <c r="DL5" s="57" t="str" cm="1">
        <f t="array" ref="DL5">IF(DM5="","",INDEX(_xlfn.ANCHORARRAY($BX$2),0,MATCH(LARGE($BX5:$DG5,3),$BX5:$DG5,0)))</f>
        <v/>
      </c>
      <c r="DM5" s="110" t="str">
        <f>IF(LARGE('Industries all mentioned partne'!$BX5:$DG5,3)=0%,"",LARGE('Industries all mentioned partne'!$BX5:$DG5,3))</f>
        <v/>
      </c>
      <c r="DN5" s="52">
        <f>IF(ISTEXT(C5)=TRUE,VLOOKUP(C5,CBIMPORT!$A$2:$AL$171,38,FALSE),"")</f>
        <v>1</v>
      </c>
      <c r="DO5" s="52">
        <f>IF(ISTEXT(D5)=TRUE,VLOOKUP(D5,CBIMPORT!$A$2:$AL$171,38,FALSE),"")</f>
        <v>0</v>
      </c>
      <c r="DP5" s="52">
        <f>IF(ISTEXT(E5)=TRUE,VLOOKUP(E5,CBIMPORT!$A$2:$AL$171,38,FALSE),"")</f>
        <v>0</v>
      </c>
      <c r="DQ5" s="52">
        <f>IF(ISTEXT(F5)=TRUE,VLOOKUP(F5,CBIMPORT!$A$2:$AL$171,38,FALSE),"")</f>
        <v>1</v>
      </c>
      <c r="DR5" s="52" t="str">
        <f>IF(ISTEXT(G5)=TRUE,VLOOKUP(G5,CBIMPORT!$A$2:$AL$171,38,FALSE),"")</f>
        <v/>
      </c>
      <c r="DS5" s="52" t="str">
        <f>IF(ISTEXT(H5)=TRUE,VLOOKUP(H5,CBIMPORT!$A$2:$AL$171,38,FALSE),"")</f>
        <v/>
      </c>
      <c r="DT5" s="52" t="str">
        <f>IF(ISTEXT(I5)=TRUE,VLOOKUP(I5,CBIMPORT!$A$2:$AL$171,38,FALSE),"")</f>
        <v/>
      </c>
      <c r="DU5" s="52" t="str">
        <f>IF(ISTEXT(J5)=TRUE,VLOOKUP(J5,CBIMPORT!$A$2:$AL$171,38,FALSE),"")</f>
        <v/>
      </c>
      <c r="DV5" s="52" t="str">
        <f>IF(ISTEXT(K5)=TRUE,VLOOKUP(K5,CBIMPORT!$A$2:$AL$171,38,FALSE),"")</f>
        <v/>
      </c>
      <c r="DW5" s="52" t="str">
        <f>IF(ISTEXT(L5)=TRUE,VLOOKUP(L5,CBIMPORT!$A$2:$AL$171,38,FALSE),"")</f>
        <v/>
      </c>
      <c r="DX5" s="52" t="str">
        <f>IF(ISTEXT(M5)=TRUE,VLOOKUP(M5,CBIMPORT!$A$2:$AL$171,38,FALSE),"")</f>
        <v/>
      </c>
      <c r="DY5" s="52" t="str">
        <f>IF(ISTEXT(N5)=TRUE,VLOOKUP(N5,CBIMPORT!$A$2:$AL$171,38,FALSE),"")</f>
        <v/>
      </c>
      <c r="DZ5" s="52" t="str">
        <f>IF(ISTEXT(O5)=TRUE,VLOOKUP(O5,CBIMPORT!$A$2:$AL$171,38,FALSE),"")</f>
        <v/>
      </c>
      <c r="EA5" s="52" t="str">
        <f>IF(ISTEXT(P5)=TRUE,VLOOKUP(P5,CBIMPORT!$A$2:$AL$171,38,FALSE),"")</f>
        <v/>
      </c>
      <c r="EB5" s="52" t="str">
        <f>IF(ISTEXT(Q5)=TRUE,VLOOKUP(Q5,CBIMPORT!$A$2:$AL$171,38,FALSE),"")</f>
        <v/>
      </c>
      <c r="EC5" s="52" t="str">
        <f>IF(ISTEXT(R5)=TRUE,VLOOKUP(R5,CBIMPORT!$A$2:$AL$171,38,FALSE),"")</f>
        <v/>
      </c>
      <c r="ED5" s="52" t="str">
        <f>IF(ISTEXT(S5)=TRUE,VLOOKUP(S5,CBIMPORT!$A$2:$AL$171,38,FALSE),"")</f>
        <v/>
      </c>
      <c r="EE5" s="52" t="str">
        <f>IF(ISTEXT(T5)=TRUE,VLOOKUP(T5,CBIMPORT!$A$2:$AL$171,38,FALSE),"")</f>
        <v/>
      </c>
      <c r="EF5" s="64" t="str">
        <f>IF(ISTEXT(U5)=TRUE,VLOOKUP(U5,CBIMPORT!$A$2:$AL$171,38,FALSE),"")</f>
        <v/>
      </c>
      <c r="EG5" s="64"/>
      <c r="EH5" s="64"/>
      <c r="EI5" s="64"/>
      <c r="EJ5" s="64"/>
      <c r="EK5" s="64"/>
      <c r="EL5" s="64"/>
      <c r="EM5" s="64"/>
      <c r="EN5" s="64"/>
      <c r="EO5" s="64"/>
      <c r="EP5" s="64"/>
    </row>
    <row r="6" spans="1:146" x14ac:dyDescent="0.35">
      <c r="A6" s="49" t="str">
        <v>Beep-Ridepooling</v>
      </c>
      <c r="B6" s="48" t="str" cm="1">
        <f t="array" ref="B6">_xlfn.TEXTJOIN(";",TRUE,IF(ANNOUNCEMENTS!$AH$2:$AH$180=A6,ANNOUNCEMENTS!$K$2:$K$180,""))</f>
        <v>North Carolina Department of Transportation;Contra Costa Transportation Authority;ZF;Oxa</v>
      </c>
      <c r="C6" s="55" t="s">
        <v>1953</v>
      </c>
      <c r="D6" s="55" t="s">
        <v>913</v>
      </c>
      <c r="E6" s="55" t="s">
        <v>1932</v>
      </c>
      <c r="F6" s="55" t="s">
        <v>364</v>
      </c>
      <c r="G6" s="55"/>
      <c r="H6" s="55"/>
      <c r="I6" s="55"/>
      <c r="J6" s="55"/>
      <c r="K6" s="55"/>
      <c r="L6" s="55"/>
      <c r="M6" s="55"/>
      <c r="N6" s="55"/>
      <c r="O6" s="55"/>
      <c r="P6" s="55"/>
      <c r="Q6" s="55"/>
      <c r="R6" s="55"/>
      <c r="S6" s="55"/>
      <c r="T6" s="55"/>
      <c r="V6" s="56" t="str">
        <f>IF(ISERROR(VLOOKUP(C6,CBIMPORT!$A$2:$B$171,2,FALSE)),0,VLOOKUP(C6,CBIMPORT!$A$2:$B$171,2,FALSE))</f>
        <v>Transportation Authority</v>
      </c>
      <c r="W6" s="56" t="str">
        <f>IF(ISERROR(VLOOKUP(D6,CBIMPORT!$A$2:$B$171,2,FALSE)),0,VLOOKUP(D6,CBIMPORT!$A$2:$B$171,2,FALSE))</f>
        <v>Transportation Authority</v>
      </c>
      <c r="X6" s="56" t="str">
        <f>IF(ISERROR(VLOOKUP(E6,CBIMPORT!$A$2:$B$171,2,FALSE)),0,VLOOKUP(E6,CBIMPORT!$A$2:$B$171,2,FALSE))</f>
        <v>Autonomous Vehicles</v>
      </c>
      <c r="Y6" s="56" t="str">
        <f>IF(ISERROR(VLOOKUP(F6,CBIMPORT!$A$2:$B$171,2,FALSE)),0,VLOOKUP(F6,CBIMPORT!$A$2:$B$171,2,FALSE))</f>
        <v>Autonomous Vehicles</v>
      </c>
      <c r="Z6" s="56">
        <f>IF(ISERROR(VLOOKUP(G6,CBIMPORT!$A$2:$B$171,2,FALSE)),0,VLOOKUP(G6,CBIMPORT!$A$2:$B$171,2,FALSE))</f>
        <v>0</v>
      </c>
      <c r="AA6" s="56">
        <f>IF(ISERROR(VLOOKUP(H6,CBIMPORT!$A$2:$B$171,2,FALSE)),0,VLOOKUP(H6,CBIMPORT!$A$2:$B$171,2,FALSE))</f>
        <v>0</v>
      </c>
      <c r="AB6" s="56">
        <f>IF(ISERROR(VLOOKUP(I6,CBIMPORT!$A$2:$B$171,2,FALSE)),0,VLOOKUP(I6,CBIMPORT!$A$2:$B$171,2,FALSE))</f>
        <v>0</v>
      </c>
      <c r="AC6" s="56">
        <f>IF(ISERROR(VLOOKUP(J6,CBIMPORT!$A$2:$B$171,2,FALSE)),0,VLOOKUP(J6,CBIMPORT!$A$2:$B$171,2,FALSE))</f>
        <v>0</v>
      </c>
      <c r="AD6" s="56">
        <f>IF(ISERROR(VLOOKUP(K6,CBIMPORT!$A$2:$B$171,2,FALSE)),0,VLOOKUP(K6,CBIMPORT!$A$2:$B$171,2,FALSE))</f>
        <v>0</v>
      </c>
      <c r="AE6" s="56">
        <f>IF(ISERROR(VLOOKUP(L6,CBIMPORT!$A$2:$B$171,2,FALSE)),0,VLOOKUP(L6,CBIMPORT!$A$2:$B$171,2,FALSE))</f>
        <v>0</v>
      </c>
      <c r="AF6" s="56">
        <f>IF(ISERROR(VLOOKUP(M6,CBIMPORT!$A$2:$B$171,2,FALSE)),0,VLOOKUP(M6,CBIMPORT!$A$2:$B$171,2,FALSE))</f>
        <v>0</v>
      </c>
      <c r="AG6" s="56">
        <f>IF(ISERROR(VLOOKUP(N6,CBIMPORT!$A$2:$B$171,2,FALSE)),0,VLOOKUP(N6,CBIMPORT!$A$2:$B$171,2,FALSE))</f>
        <v>0</v>
      </c>
      <c r="AH6" s="56">
        <f>IF(ISERROR(VLOOKUP(O6,CBIMPORT!$A$2:$B$171,2,FALSE)),0,VLOOKUP(O6,CBIMPORT!$A$2:$B$171,2,FALSE))</f>
        <v>0</v>
      </c>
      <c r="AI6" s="56">
        <f>IF(ISERROR(VLOOKUP(P6,CBIMPORT!$A$2:$B$171,2,FALSE)),0,VLOOKUP(P6,CBIMPORT!$A$2:$B$171,2,FALSE))</f>
        <v>0</v>
      </c>
      <c r="AJ6" s="56">
        <f>IF(ISERROR(VLOOKUP(Q6,CBIMPORT!$A$2:$B$171,2,FALSE)),0,VLOOKUP(Q6,CBIMPORT!$A$2:$B$171,2,FALSE))</f>
        <v>0</v>
      </c>
      <c r="AK6" s="56">
        <f>IF(ISERROR(VLOOKUP(R6,CBIMPORT!$A$2:$B$171,2,FALSE)),0,VLOOKUP(R6,CBIMPORT!$A$2:$B$171,2,FALSE))</f>
        <v>0</v>
      </c>
      <c r="AL6" s="56">
        <f>IF(ISERROR(VLOOKUP(S6,CBIMPORT!$A$2:$B$171,2,FALSE)),0,VLOOKUP(S6,CBIMPORT!$A$2:$B$171,2,FALSE))</f>
        <v>0</v>
      </c>
      <c r="AM6" s="60">
        <f t="shared" si="35"/>
        <v>2</v>
      </c>
      <c r="AN6" s="60">
        <f t="shared" si="36"/>
        <v>0</v>
      </c>
      <c r="AO6" s="60">
        <f t="shared" si="36"/>
        <v>0</v>
      </c>
      <c r="AP6" s="60">
        <f t="shared" si="36"/>
        <v>0</v>
      </c>
      <c r="AQ6" s="60">
        <f t="shared" si="36"/>
        <v>0</v>
      </c>
      <c r="AR6" s="60">
        <f t="shared" si="36"/>
        <v>0</v>
      </c>
      <c r="AS6" s="60">
        <f t="shared" si="36"/>
        <v>0</v>
      </c>
      <c r="AT6" s="60">
        <f t="shared" si="36"/>
        <v>0</v>
      </c>
      <c r="AU6" s="60">
        <f t="shared" si="36"/>
        <v>0</v>
      </c>
      <c r="AV6" s="60">
        <f t="shared" si="36"/>
        <v>0</v>
      </c>
      <c r="AW6" s="60">
        <f t="shared" si="36"/>
        <v>0</v>
      </c>
      <c r="AX6" s="60">
        <f t="shared" si="37"/>
        <v>0</v>
      </c>
      <c r="AY6" s="60">
        <f t="shared" si="37"/>
        <v>0</v>
      </c>
      <c r="AZ6" s="60">
        <f t="shared" si="37"/>
        <v>0</v>
      </c>
      <c r="BA6" s="60">
        <f t="shared" si="37"/>
        <v>0</v>
      </c>
      <c r="BB6" s="60">
        <f t="shared" si="37"/>
        <v>0</v>
      </c>
      <c r="BC6" s="60">
        <f t="shared" si="37"/>
        <v>2</v>
      </c>
      <c r="BD6" s="60">
        <f t="shared" si="37"/>
        <v>0</v>
      </c>
      <c r="BE6" s="60">
        <f t="shared" si="37"/>
        <v>0</v>
      </c>
      <c r="BF6" s="60">
        <f t="shared" si="37"/>
        <v>0</v>
      </c>
      <c r="BG6" s="60">
        <f t="shared" si="37"/>
        <v>0</v>
      </c>
      <c r="BH6" s="60">
        <f t="shared" si="38"/>
        <v>0</v>
      </c>
      <c r="BI6" s="60">
        <f t="shared" si="38"/>
        <v>0</v>
      </c>
      <c r="BJ6" s="60">
        <f t="shared" si="38"/>
        <v>0</v>
      </c>
      <c r="BK6" s="60">
        <f t="shared" si="38"/>
        <v>0</v>
      </c>
      <c r="BL6" s="60">
        <f t="shared" si="38"/>
        <v>0</v>
      </c>
      <c r="BM6" s="60">
        <f t="shared" si="38"/>
        <v>0</v>
      </c>
      <c r="BN6" s="60">
        <f t="shared" si="38"/>
        <v>0</v>
      </c>
      <c r="BO6" s="60">
        <f t="shared" si="38"/>
        <v>0</v>
      </c>
      <c r="BP6" s="60">
        <f t="shared" si="38"/>
        <v>0</v>
      </c>
      <c r="BQ6" s="60">
        <f t="shared" si="38"/>
        <v>0</v>
      </c>
      <c r="BR6" s="60">
        <f t="shared" si="39"/>
        <v>0</v>
      </c>
      <c r="BS6" s="60">
        <f t="shared" si="39"/>
        <v>0</v>
      </c>
      <c r="BT6" s="60">
        <f t="shared" si="39"/>
        <v>0</v>
      </c>
      <c r="BU6" s="60">
        <f t="shared" si="39"/>
        <v>0</v>
      </c>
      <c r="BV6" s="60">
        <f t="shared" si="39"/>
        <v>0</v>
      </c>
      <c r="BW6" s="60"/>
      <c r="BX6" s="63">
        <f t="shared" si="40"/>
        <v>0.5</v>
      </c>
      <c r="BY6" s="63">
        <f t="shared" si="1"/>
        <v>0</v>
      </c>
      <c r="BZ6" s="63">
        <f t="shared" si="1"/>
        <v>0</v>
      </c>
      <c r="CA6" s="63">
        <f t="shared" si="2"/>
        <v>0</v>
      </c>
      <c r="CB6" s="63">
        <f t="shared" si="3"/>
        <v>0</v>
      </c>
      <c r="CC6" s="63">
        <f t="shared" si="4"/>
        <v>0</v>
      </c>
      <c r="CD6" s="63">
        <f t="shared" si="5"/>
        <v>0</v>
      </c>
      <c r="CE6" s="63">
        <f t="shared" si="6"/>
        <v>0</v>
      </c>
      <c r="CF6" s="63">
        <f t="shared" si="7"/>
        <v>0</v>
      </c>
      <c r="CG6" s="63">
        <f t="shared" si="8"/>
        <v>0</v>
      </c>
      <c r="CH6" s="63">
        <f t="shared" si="9"/>
        <v>0</v>
      </c>
      <c r="CI6" s="63">
        <f t="shared" si="10"/>
        <v>0</v>
      </c>
      <c r="CJ6" s="63">
        <f t="shared" si="11"/>
        <v>0</v>
      </c>
      <c r="CK6" s="63">
        <f t="shared" si="12"/>
        <v>0</v>
      </c>
      <c r="CL6" s="63">
        <f t="shared" si="13"/>
        <v>0</v>
      </c>
      <c r="CM6" s="63">
        <f t="shared" si="14"/>
        <v>0</v>
      </c>
      <c r="CN6" s="63">
        <f t="shared" si="15"/>
        <v>0.5</v>
      </c>
      <c r="CO6" s="63">
        <f t="shared" si="16"/>
        <v>0</v>
      </c>
      <c r="CP6" s="63">
        <f t="shared" si="17"/>
        <v>0</v>
      </c>
      <c r="CQ6" s="63">
        <f t="shared" si="18"/>
        <v>0</v>
      </c>
      <c r="CR6" s="63">
        <f t="shared" si="19"/>
        <v>0</v>
      </c>
      <c r="CS6" s="63">
        <f t="shared" si="20"/>
        <v>0</v>
      </c>
      <c r="CT6" s="63">
        <f t="shared" si="21"/>
        <v>0</v>
      </c>
      <c r="CU6" s="63">
        <f t="shared" si="22"/>
        <v>0</v>
      </c>
      <c r="CV6" s="63">
        <f t="shared" si="23"/>
        <v>0</v>
      </c>
      <c r="CW6" s="63">
        <f t="shared" si="24"/>
        <v>0</v>
      </c>
      <c r="CX6" s="63">
        <f t="shared" si="25"/>
        <v>0</v>
      </c>
      <c r="CY6" s="63">
        <f t="shared" si="26"/>
        <v>0</v>
      </c>
      <c r="CZ6" s="63">
        <f t="shared" si="27"/>
        <v>0</v>
      </c>
      <c r="DA6" s="63">
        <f t="shared" si="28"/>
        <v>0</v>
      </c>
      <c r="DB6" s="63">
        <f t="shared" si="29"/>
        <v>0</v>
      </c>
      <c r="DC6" s="63">
        <f t="shared" si="30"/>
        <v>0</v>
      </c>
      <c r="DD6" s="63">
        <f t="shared" si="31"/>
        <v>0</v>
      </c>
      <c r="DE6" s="63">
        <f t="shared" si="32"/>
        <v>0</v>
      </c>
      <c r="DF6" s="63">
        <f t="shared" si="33"/>
        <v>0</v>
      </c>
      <c r="DG6" s="63">
        <f t="shared" si="34"/>
        <v>0</v>
      </c>
      <c r="DH6" s="57" t="str" cm="1">
        <f t="array" ref="DH6">INDEX(_xlfn.ANCHORARRAY($BX$2),0,MATCH(LARGE($BX6:$DG6,1),$BX6:$DG6,0))</f>
        <v>Autonomous Vehicles</v>
      </c>
      <c r="DI6" s="58">
        <f>LARGE('Industries all mentioned partne'!$BX6:$DG6,1)</f>
        <v>0.5</v>
      </c>
      <c r="DJ6" s="57" t="str" cm="1">
        <f t="array" ref="DJ6">INDEX(_xlfn.ANCHORARRAY($BX$2),0,MATCH(LARGE($BX6:$DG6,1),$BX6:$DG6,0))</f>
        <v>Autonomous Vehicles</v>
      </c>
      <c r="DK6" s="58">
        <f>IF(DI6&lt;&gt;100%,LARGE('Industries all mentioned partne'!$BX6:$DG6,2),"")</f>
        <v>0.5</v>
      </c>
      <c r="DL6" s="57" t="str" cm="1">
        <f t="array" ref="DL6">IF(DM6="","",INDEX(_xlfn.ANCHORARRAY($BX$2),0,MATCH(LARGE($BX6:$DG6,3),$BX6:$DG6,0)))</f>
        <v/>
      </c>
      <c r="DM6" s="110" t="str">
        <f>IF(LARGE('Industries all mentioned partne'!$BX6:$DG6,3)=0%,"",LARGE('Industries all mentioned partne'!$BX6:$DG6,3))</f>
        <v/>
      </c>
      <c r="DN6" s="52">
        <f>IF(ISTEXT(C6)=TRUE,VLOOKUP(C6,CBIMPORT!$A$2:$AL$171,38,FALSE),"")</f>
        <v>0</v>
      </c>
      <c r="DO6" s="52">
        <f>IF(ISTEXT(D6)=TRUE,VLOOKUP(D6,CBIMPORT!$A$2:$AL$171,38,FALSE),"")</f>
        <v>0</v>
      </c>
      <c r="DP6" s="52">
        <f>IF(ISTEXT(E6)=TRUE,VLOOKUP(E6,CBIMPORT!$A$2:$AL$171,38,FALSE),"")</f>
        <v>0</v>
      </c>
      <c r="DQ6" s="52">
        <f>IF(ISTEXT(F6)=TRUE,VLOOKUP(F6,CBIMPORT!$A$2:$AL$171,38,FALSE),"")</f>
        <v>0</v>
      </c>
      <c r="DR6" s="52" t="str">
        <f>IF(ISTEXT(G6)=TRUE,VLOOKUP(G6,CBIMPORT!$A$2:$AL$171,38,FALSE),"")</f>
        <v/>
      </c>
      <c r="DS6" s="52" t="str">
        <f>IF(ISTEXT(H6)=TRUE,VLOOKUP(H6,CBIMPORT!$A$2:$AL$171,38,FALSE),"")</f>
        <v/>
      </c>
      <c r="DT6" s="52" t="str">
        <f>IF(ISTEXT(I6)=TRUE,VLOOKUP(I6,CBIMPORT!$A$2:$AL$171,38,FALSE),"")</f>
        <v/>
      </c>
      <c r="DU6" s="52" t="str">
        <f>IF(ISTEXT(J6)=TRUE,VLOOKUP(J6,CBIMPORT!$A$2:$AL$171,38,FALSE),"")</f>
        <v/>
      </c>
      <c r="DV6" s="52" t="str">
        <f>IF(ISTEXT(K6)=TRUE,VLOOKUP(K6,CBIMPORT!$A$2:$AL$171,38,FALSE),"")</f>
        <v/>
      </c>
      <c r="DW6" s="52" t="str">
        <f>IF(ISTEXT(L6)=TRUE,VLOOKUP(L6,CBIMPORT!$A$2:$AL$171,38,FALSE),"")</f>
        <v/>
      </c>
      <c r="DX6" s="52" t="str">
        <f>IF(ISTEXT(M6)=TRUE,VLOOKUP(M6,CBIMPORT!$A$2:$AL$171,38,FALSE),"")</f>
        <v/>
      </c>
      <c r="DY6" s="52" t="str">
        <f>IF(ISTEXT(N6)=TRUE,VLOOKUP(N6,CBIMPORT!$A$2:$AL$171,38,FALSE),"")</f>
        <v/>
      </c>
      <c r="DZ6" s="52" t="str">
        <f>IF(ISTEXT(O6)=TRUE,VLOOKUP(O6,CBIMPORT!$A$2:$AL$171,38,FALSE),"")</f>
        <v/>
      </c>
      <c r="EA6" s="52" t="str">
        <f>IF(ISTEXT(P6)=TRUE,VLOOKUP(P6,CBIMPORT!$A$2:$AL$171,38,FALSE),"")</f>
        <v/>
      </c>
      <c r="EB6" s="52" t="str">
        <f>IF(ISTEXT(Q6)=TRUE,VLOOKUP(Q6,CBIMPORT!$A$2:$AL$171,38,FALSE),"")</f>
        <v/>
      </c>
      <c r="EC6" s="52" t="str">
        <f>IF(ISTEXT(R6)=TRUE,VLOOKUP(R6,CBIMPORT!$A$2:$AL$171,38,FALSE),"")</f>
        <v/>
      </c>
      <c r="ED6" s="52" t="str">
        <f>IF(ISTEXT(S6)=TRUE,VLOOKUP(S6,CBIMPORT!$A$2:$AL$171,38,FALSE),"")</f>
        <v/>
      </c>
      <c r="EE6" s="52" t="str">
        <f>IF(ISTEXT(T6)=TRUE,VLOOKUP(T6,CBIMPORT!$A$2:$AL$171,38,FALSE),"")</f>
        <v/>
      </c>
      <c r="EF6" s="64" t="str">
        <f>IF(ISTEXT(U6)=TRUE,VLOOKUP(U6,CBIMPORT!$A$2:$AL$171,38,FALSE),"")</f>
        <v/>
      </c>
      <c r="EG6" s="64"/>
      <c r="EH6" s="64"/>
      <c r="EI6" s="64"/>
      <c r="EJ6" s="64"/>
      <c r="EK6" s="64"/>
      <c r="EL6" s="64"/>
      <c r="EM6" s="64"/>
      <c r="EN6" s="64"/>
      <c r="EO6" s="64"/>
      <c r="EP6" s="64"/>
    </row>
    <row r="7" spans="1:146" x14ac:dyDescent="0.35">
      <c r="A7" s="49" t="str">
        <v>Bolt-Last-Mile</v>
      </c>
      <c r="B7" s="48" t="str" cm="1">
        <f t="array" ref="B7">_xlfn.TEXTJOIN(";",TRUE,IF(ANNOUNCEMENTS!$AH$2:$AH$180=A7,ANNOUNCEMENTS!$K$2:$K$180,""))</f>
        <v>Starship Technologies</v>
      </c>
      <c r="C7" s="55" t="s">
        <v>674</v>
      </c>
      <c r="D7" s="55"/>
      <c r="E7" s="55"/>
      <c r="F7" s="55"/>
      <c r="G7" s="55"/>
      <c r="H7" s="55"/>
      <c r="I7" s="55"/>
      <c r="J7" s="55"/>
      <c r="K7" s="55"/>
      <c r="L7" s="55"/>
      <c r="M7" s="55"/>
      <c r="N7" s="55"/>
      <c r="O7" s="55"/>
      <c r="P7" s="55"/>
      <c r="Q7" s="55"/>
      <c r="R7" s="55"/>
      <c r="S7" s="55"/>
      <c r="T7" s="55"/>
      <c r="V7" s="56" t="str">
        <f>IF(ISERROR(VLOOKUP(C7,CBIMPORT!$A$2:$B$171,2,FALSE)),0,VLOOKUP(C7,CBIMPORT!$A$2:$B$171,2,FALSE))</f>
        <v>Autonomous Vehicles</v>
      </c>
      <c r="W7" s="56">
        <f>IF(ISERROR(VLOOKUP(D7,CBIMPORT!$A$2:$B$171,2,FALSE)),0,VLOOKUP(D7,CBIMPORT!$A$2:$B$171,2,FALSE))</f>
        <v>0</v>
      </c>
      <c r="X7" s="56">
        <f>IF(ISERROR(VLOOKUP(E7,CBIMPORT!$A$2:$B$171,2,FALSE)),0,VLOOKUP(E7,CBIMPORT!$A$2:$B$171,2,FALSE))</f>
        <v>0</v>
      </c>
      <c r="Y7" s="56">
        <f>IF(ISERROR(VLOOKUP(F7,CBIMPORT!$A$2:$B$171,2,FALSE)),0,VLOOKUP(F7,CBIMPORT!$A$2:$B$171,2,FALSE))</f>
        <v>0</v>
      </c>
      <c r="Z7" s="56">
        <f>IF(ISERROR(VLOOKUP(G7,CBIMPORT!$A$2:$B$171,2,FALSE)),0,VLOOKUP(G7,CBIMPORT!$A$2:$B$171,2,FALSE))</f>
        <v>0</v>
      </c>
      <c r="AA7" s="56">
        <f>IF(ISERROR(VLOOKUP(H7,CBIMPORT!$A$2:$B$171,2,FALSE)),0,VLOOKUP(H7,CBIMPORT!$A$2:$B$171,2,FALSE))</f>
        <v>0</v>
      </c>
      <c r="AB7" s="56">
        <f>IF(ISERROR(VLOOKUP(I7,CBIMPORT!$A$2:$B$171,2,FALSE)),0,VLOOKUP(I7,CBIMPORT!$A$2:$B$171,2,FALSE))</f>
        <v>0</v>
      </c>
      <c r="AC7" s="56">
        <f>IF(ISERROR(VLOOKUP(J7,CBIMPORT!$A$2:$B$171,2,FALSE)),0,VLOOKUP(J7,CBIMPORT!$A$2:$B$171,2,FALSE))</f>
        <v>0</v>
      </c>
      <c r="AD7" s="56">
        <f>IF(ISERROR(VLOOKUP(K7,CBIMPORT!$A$2:$B$171,2,FALSE)),0,VLOOKUP(K7,CBIMPORT!$A$2:$B$171,2,FALSE))</f>
        <v>0</v>
      </c>
      <c r="AE7" s="56">
        <f>IF(ISERROR(VLOOKUP(L7,CBIMPORT!$A$2:$B$171,2,FALSE)),0,VLOOKUP(L7,CBIMPORT!$A$2:$B$171,2,FALSE))</f>
        <v>0</v>
      </c>
      <c r="AF7" s="56">
        <f>IF(ISERROR(VLOOKUP(M7,CBIMPORT!$A$2:$B$171,2,FALSE)),0,VLOOKUP(M7,CBIMPORT!$A$2:$B$171,2,FALSE))</f>
        <v>0</v>
      </c>
      <c r="AG7" s="56">
        <f>IF(ISERROR(VLOOKUP(N7,CBIMPORT!$A$2:$B$171,2,FALSE)),0,VLOOKUP(N7,CBIMPORT!$A$2:$B$171,2,FALSE))</f>
        <v>0</v>
      </c>
      <c r="AH7" s="56">
        <f>IF(ISERROR(VLOOKUP(O7,CBIMPORT!$A$2:$B$171,2,FALSE)),0,VLOOKUP(O7,CBIMPORT!$A$2:$B$171,2,FALSE))</f>
        <v>0</v>
      </c>
      <c r="AI7" s="56">
        <f>IF(ISERROR(VLOOKUP(P7,CBIMPORT!$A$2:$B$171,2,FALSE)),0,VLOOKUP(P7,CBIMPORT!$A$2:$B$171,2,FALSE))</f>
        <v>0</v>
      </c>
      <c r="AJ7" s="56">
        <f>IF(ISERROR(VLOOKUP(Q7,CBIMPORT!$A$2:$B$171,2,FALSE)),0,VLOOKUP(Q7,CBIMPORT!$A$2:$B$171,2,FALSE))</f>
        <v>0</v>
      </c>
      <c r="AK7" s="56">
        <f>IF(ISERROR(VLOOKUP(R7,CBIMPORT!$A$2:$B$171,2,FALSE)),0,VLOOKUP(R7,CBIMPORT!$A$2:$B$171,2,FALSE))</f>
        <v>0</v>
      </c>
      <c r="AL7" s="56">
        <f>IF(ISERROR(VLOOKUP(S7,CBIMPORT!$A$2:$B$171,2,FALSE)),0,VLOOKUP(S7,CBIMPORT!$A$2:$B$171,2,FALSE))</f>
        <v>0</v>
      </c>
      <c r="AM7" s="60">
        <f t="shared" si="35"/>
        <v>1</v>
      </c>
      <c r="AN7" s="60">
        <f t="shared" si="36"/>
        <v>0</v>
      </c>
      <c r="AO7" s="60">
        <f t="shared" si="36"/>
        <v>0</v>
      </c>
      <c r="AP7" s="60">
        <f t="shared" si="36"/>
        <v>0</v>
      </c>
      <c r="AQ7" s="60">
        <f t="shared" si="36"/>
        <v>0</v>
      </c>
      <c r="AR7" s="60">
        <f t="shared" si="36"/>
        <v>0</v>
      </c>
      <c r="AS7" s="60">
        <f t="shared" si="36"/>
        <v>0</v>
      </c>
      <c r="AT7" s="60">
        <f t="shared" si="36"/>
        <v>0</v>
      </c>
      <c r="AU7" s="60">
        <f t="shared" si="36"/>
        <v>0</v>
      </c>
      <c r="AV7" s="60">
        <f t="shared" si="36"/>
        <v>0</v>
      </c>
      <c r="AW7" s="60">
        <f t="shared" si="36"/>
        <v>0</v>
      </c>
      <c r="AX7" s="60">
        <f t="shared" si="37"/>
        <v>0</v>
      </c>
      <c r="AY7" s="60">
        <f t="shared" si="37"/>
        <v>0</v>
      </c>
      <c r="AZ7" s="60">
        <f t="shared" si="37"/>
        <v>0</v>
      </c>
      <c r="BA7" s="60">
        <f t="shared" si="37"/>
        <v>0</v>
      </c>
      <c r="BB7" s="60">
        <f t="shared" si="37"/>
        <v>0</v>
      </c>
      <c r="BC7" s="60">
        <f t="shared" si="37"/>
        <v>0</v>
      </c>
      <c r="BD7" s="60">
        <f t="shared" si="37"/>
        <v>0</v>
      </c>
      <c r="BE7" s="60">
        <f t="shared" si="37"/>
        <v>0</v>
      </c>
      <c r="BF7" s="60">
        <f t="shared" si="37"/>
        <v>0</v>
      </c>
      <c r="BG7" s="60">
        <f t="shared" si="37"/>
        <v>0</v>
      </c>
      <c r="BH7" s="60">
        <f t="shared" si="38"/>
        <v>0</v>
      </c>
      <c r="BI7" s="60">
        <f t="shared" si="38"/>
        <v>0</v>
      </c>
      <c r="BJ7" s="60">
        <f t="shared" si="38"/>
        <v>0</v>
      </c>
      <c r="BK7" s="60">
        <f t="shared" si="38"/>
        <v>0</v>
      </c>
      <c r="BL7" s="60">
        <f t="shared" si="38"/>
        <v>0</v>
      </c>
      <c r="BM7" s="60">
        <f t="shared" si="38"/>
        <v>0</v>
      </c>
      <c r="BN7" s="60">
        <f t="shared" si="38"/>
        <v>0</v>
      </c>
      <c r="BO7" s="60">
        <f t="shared" si="38"/>
        <v>0</v>
      </c>
      <c r="BP7" s="60">
        <f t="shared" si="38"/>
        <v>0</v>
      </c>
      <c r="BQ7" s="60">
        <f t="shared" si="38"/>
        <v>0</v>
      </c>
      <c r="BR7" s="60">
        <f t="shared" si="39"/>
        <v>0</v>
      </c>
      <c r="BS7" s="60">
        <f t="shared" si="39"/>
        <v>0</v>
      </c>
      <c r="BT7" s="60">
        <f t="shared" si="39"/>
        <v>0</v>
      </c>
      <c r="BU7" s="60">
        <f t="shared" si="39"/>
        <v>0</v>
      </c>
      <c r="BV7" s="60">
        <f t="shared" si="39"/>
        <v>0</v>
      </c>
      <c r="BW7" s="60"/>
      <c r="BX7" s="63">
        <f t="shared" si="40"/>
        <v>1</v>
      </c>
      <c r="BY7" s="63">
        <f t="shared" si="1"/>
        <v>0</v>
      </c>
      <c r="BZ7" s="63">
        <f t="shared" si="1"/>
        <v>0</v>
      </c>
      <c r="CA7" s="63">
        <f t="shared" si="2"/>
        <v>0</v>
      </c>
      <c r="CB7" s="63">
        <f t="shared" si="3"/>
        <v>0</v>
      </c>
      <c r="CC7" s="63">
        <f t="shared" si="4"/>
        <v>0</v>
      </c>
      <c r="CD7" s="63">
        <f t="shared" si="5"/>
        <v>0</v>
      </c>
      <c r="CE7" s="63">
        <f t="shared" si="6"/>
        <v>0</v>
      </c>
      <c r="CF7" s="63">
        <f t="shared" si="7"/>
        <v>0</v>
      </c>
      <c r="CG7" s="63">
        <f t="shared" si="8"/>
        <v>0</v>
      </c>
      <c r="CH7" s="63">
        <f t="shared" si="9"/>
        <v>0</v>
      </c>
      <c r="CI7" s="63">
        <f t="shared" si="10"/>
        <v>0</v>
      </c>
      <c r="CJ7" s="63">
        <f t="shared" si="11"/>
        <v>0</v>
      </c>
      <c r="CK7" s="63">
        <f t="shared" si="12"/>
        <v>0</v>
      </c>
      <c r="CL7" s="63">
        <f t="shared" si="13"/>
        <v>0</v>
      </c>
      <c r="CM7" s="63">
        <f t="shared" si="14"/>
        <v>0</v>
      </c>
      <c r="CN7" s="63">
        <f t="shared" si="15"/>
        <v>0</v>
      </c>
      <c r="CO7" s="63">
        <f t="shared" si="16"/>
        <v>0</v>
      </c>
      <c r="CP7" s="63">
        <f t="shared" si="17"/>
        <v>0</v>
      </c>
      <c r="CQ7" s="63">
        <f t="shared" si="18"/>
        <v>0</v>
      </c>
      <c r="CR7" s="63">
        <f t="shared" si="19"/>
        <v>0</v>
      </c>
      <c r="CS7" s="63">
        <f t="shared" si="20"/>
        <v>0</v>
      </c>
      <c r="CT7" s="63">
        <f t="shared" si="21"/>
        <v>0</v>
      </c>
      <c r="CU7" s="63">
        <f t="shared" si="22"/>
        <v>0</v>
      </c>
      <c r="CV7" s="63">
        <f t="shared" si="23"/>
        <v>0</v>
      </c>
      <c r="CW7" s="63">
        <f t="shared" si="24"/>
        <v>0</v>
      </c>
      <c r="CX7" s="63">
        <f t="shared" si="25"/>
        <v>0</v>
      </c>
      <c r="CY7" s="63">
        <f t="shared" si="26"/>
        <v>0</v>
      </c>
      <c r="CZ7" s="63">
        <f t="shared" si="27"/>
        <v>0</v>
      </c>
      <c r="DA7" s="63">
        <f t="shared" si="28"/>
        <v>0</v>
      </c>
      <c r="DB7" s="63">
        <f t="shared" si="29"/>
        <v>0</v>
      </c>
      <c r="DC7" s="63">
        <f t="shared" si="30"/>
        <v>0</v>
      </c>
      <c r="DD7" s="63">
        <f t="shared" si="31"/>
        <v>0</v>
      </c>
      <c r="DE7" s="63">
        <f t="shared" si="32"/>
        <v>0</v>
      </c>
      <c r="DF7" s="63">
        <f t="shared" si="33"/>
        <v>0</v>
      </c>
      <c r="DG7" s="63">
        <f t="shared" si="34"/>
        <v>0</v>
      </c>
      <c r="DH7" s="57" t="str" cm="1">
        <f t="array" ref="DH7">INDEX(_xlfn.ANCHORARRAY($BX$2),0,MATCH(LARGE($BX7:$DG7,1),$BX7:$DG7,0))</f>
        <v>Autonomous Vehicles</v>
      </c>
      <c r="DI7" s="58">
        <f>LARGE('Industries all mentioned partne'!$BX7:$DG7,1)</f>
        <v>1</v>
      </c>
      <c r="DJ7" s="57" t="str" cm="1">
        <f t="array" ref="DJ7">IF(DI7&lt;&gt;100%,INDEX(_xlfn.ANCHORARRAY($BX$2),0,MATCH(LARGE($BX7:$DG7,2),$BX7:$DG7,0)),"")</f>
        <v/>
      </c>
      <c r="DK7" s="58" t="str">
        <f>IF(DI7&lt;&gt;100%,LARGE('Industries all mentioned partne'!$BX7:$DG7,2),"")</f>
        <v/>
      </c>
      <c r="DL7" s="57" t="str" cm="1">
        <f t="array" ref="DL7">IF(DM7="","",INDEX(_xlfn.ANCHORARRAY($BX$2),0,MATCH(LARGE($BX7:$DG7,3),$BX7:$DG7,0)))</f>
        <v/>
      </c>
      <c r="DM7" s="110" t="str">
        <f>IF(LARGE('Industries all mentioned partne'!$BX7:$DG7,3)=0%,"",LARGE('Industries all mentioned partne'!$BX7:$DG7,3))</f>
        <v/>
      </c>
      <c r="DN7" s="52">
        <f>IF(ISTEXT(C7)=TRUE,VLOOKUP(C7,CBIMPORT!$A$2:$AL$171,38,FALSE),"")</f>
        <v>0</v>
      </c>
      <c r="DO7" s="52" t="str">
        <f>IF(ISTEXT(D7)=TRUE,VLOOKUP(D7,CBIMPORT!$A$2:$AL$171,38,FALSE),"")</f>
        <v/>
      </c>
      <c r="DP7" s="52" t="str">
        <f>IF(ISTEXT(E7)=TRUE,VLOOKUP(E7,CBIMPORT!$A$2:$AL$171,38,FALSE),"")</f>
        <v/>
      </c>
      <c r="DQ7" s="52" t="str">
        <f>IF(ISTEXT(F7)=TRUE,VLOOKUP(F7,CBIMPORT!$A$2:$AL$171,38,FALSE),"")</f>
        <v/>
      </c>
      <c r="DR7" s="52" t="str">
        <f>IF(ISTEXT(G7)=TRUE,VLOOKUP(G7,CBIMPORT!$A$2:$AL$171,38,FALSE),"")</f>
        <v/>
      </c>
      <c r="DS7" s="52" t="str">
        <f>IF(ISTEXT(H7)=TRUE,VLOOKUP(H7,CBIMPORT!$A$2:$AL$171,38,FALSE),"")</f>
        <v/>
      </c>
      <c r="DT7" s="52" t="str">
        <f>IF(ISTEXT(I7)=TRUE,VLOOKUP(I7,CBIMPORT!$A$2:$AL$171,38,FALSE),"")</f>
        <v/>
      </c>
      <c r="DU7" s="52" t="str">
        <f>IF(ISTEXT(J7)=TRUE,VLOOKUP(J7,CBIMPORT!$A$2:$AL$171,38,FALSE),"")</f>
        <v/>
      </c>
      <c r="DV7" s="52" t="str">
        <f>IF(ISTEXT(K7)=TRUE,VLOOKUP(K7,CBIMPORT!$A$2:$AL$171,38,FALSE),"")</f>
        <v/>
      </c>
      <c r="DW7" s="52" t="str">
        <f>IF(ISTEXT(L7)=TRUE,VLOOKUP(L7,CBIMPORT!$A$2:$AL$171,38,FALSE),"")</f>
        <v/>
      </c>
      <c r="DX7" s="52" t="str">
        <f>IF(ISTEXT(M7)=TRUE,VLOOKUP(M7,CBIMPORT!$A$2:$AL$171,38,FALSE),"")</f>
        <v/>
      </c>
      <c r="DY7" s="52" t="str">
        <f>IF(ISTEXT(N7)=TRUE,VLOOKUP(N7,CBIMPORT!$A$2:$AL$171,38,FALSE),"")</f>
        <v/>
      </c>
      <c r="DZ7" s="52" t="str">
        <f>IF(ISTEXT(O7)=TRUE,VLOOKUP(O7,CBIMPORT!$A$2:$AL$171,38,FALSE),"")</f>
        <v/>
      </c>
      <c r="EA7" s="52" t="str">
        <f>IF(ISTEXT(P7)=TRUE,VLOOKUP(P7,CBIMPORT!$A$2:$AL$171,38,FALSE),"")</f>
        <v/>
      </c>
      <c r="EB7" s="52" t="str">
        <f>IF(ISTEXT(Q7)=TRUE,VLOOKUP(Q7,CBIMPORT!$A$2:$AL$171,38,FALSE),"")</f>
        <v/>
      </c>
      <c r="EC7" s="52" t="str">
        <f>IF(ISTEXT(R7)=TRUE,VLOOKUP(R7,CBIMPORT!$A$2:$AL$171,38,FALSE),"")</f>
        <v/>
      </c>
      <c r="ED7" s="52" t="str">
        <f>IF(ISTEXT(S7)=TRUE,VLOOKUP(S7,CBIMPORT!$A$2:$AL$171,38,FALSE),"")</f>
        <v/>
      </c>
      <c r="EE7" s="52" t="str">
        <f>IF(ISTEXT(T7)=TRUE,VLOOKUP(T7,CBIMPORT!$A$2:$AL$171,38,FALSE),"")</f>
        <v/>
      </c>
      <c r="EF7" s="64" t="str">
        <f>IF(ISTEXT(U7)=TRUE,VLOOKUP(U7,CBIMPORT!$A$2:$AL$171,38,FALSE),"")</f>
        <v/>
      </c>
      <c r="EG7" s="64"/>
      <c r="EH7" s="64"/>
      <c r="EI7" s="64"/>
      <c r="EJ7" s="64"/>
      <c r="EK7" s="64"/>
      <c r="EL7" s="64"/>
      <c r="EM7" s="64"/>
      <c r="EN7" s="64"/>
      <c r="EO7" s="64"/>
      <c r="EP7" s="64"/>
    </row>
    <row r="8" spans="1:146" x14ac:dyDescent="0.35">
      <c r="A8" s="49" t="str">
        <v>Cartken-Last-Mile</v>
      </c>
      <c r="B8" s="48" t="str" cm="1">
        <f t="array" ref="B8">_xlfn.TEXTJOIN(";",TRUE,IF(ANNOUNCEMENTS!$AH$2:$AH$180=A8,ANNOUNCEMENTS!$K$2:$K$180,""))</f>
        <v>Mitsubishi;Grubhub</v>
      </c>
      <c r="C8" s="55" t="s">
        <v>755</v>
      </c>
      <c r="D8" s="55" t="s">
        <v>574</v>
      </c>
      <c r="E8" s="55"/>
      <c r="F8" s="55"/>
      <c r="G8" s="55"/>
      <c r="H8" s="55"/>
      <c r="I8" s="55"/>
      <c r="J8" s="55"/>
      <c r="K8" s="55"/>
      <c r="L8" s="55"/>
      <c r="M8" s="55"/>
      <c r="N8" s="55"/>
      <c r="O8" s="55"/>
      <c r="P8" s="55"/>
      <c r="Q8" s="55"/>
      <c r="R8" s="55"/>
      <c r="S8" s="55"/>
      <c r="T8" s="55"/>
      <c r="V8" s="56" t="str">
        <f>IF(ISERROR(VLOOKUP(C8,CBIMPORT!$A$2:$B$171,2,FALSE)),0,VLOOKUP(C8,CBIMPORT!$A$2:$B$171,2,FALSE))</f>
        <v>OEM</v>
      </c>
      <c r="W8" s="56" t="str">
        <f>IF(ISERROR(VLOOKUP(D8,CBIMPORT!$A$2:$B$171,2,FALSE)),0,VLOOKUP(D8,CBIMPORT!$A$2:$B$171,2,FALSE))</f>
        <v>Delivery Service</v>
      </c>
      <c r="X8" s="56">
        <f>IF(ISERROR(VLOOKUP(E8,CBIMPORT!$A$2:$B$171,2,FALSE)),0,VLOOKUP(E8,CBIMPORT!$A$2:$B$171,2,FALSE))</f>
        <v>0</v>
      </c>
      <c r="Y8" s="56">
        <f>IF(ISERROR(VLOOKUP(F8,CBIMPORT!$A$2:$B$171,2,FALSE)),0,VLOOKUP(F8,CBIMPORT!$A$2:$B$171,2,FALSE))</f>
        <v>0</v>
      </c>
      <c r="Z8" s="56">
        <f>IF(ISERROR(VLOOKUP(G8,CBIMPORT!$A$2:$B$171,2,FALSE)),0,VLOOKUP(G8,CBIMPORT!$A$2:$B$171,2,FALSE))</f>
        <v>0</v>
      </c>
      <c r="AA8" s="56">
        <f>IF(ISERROR(VLOOKUP(H8,CBIMPORT!$A$2:$B$171,2,FALSE)),0,VLOOKUP(H8,CBIMPORT!$A$2:$B$171,2,FALSE))</f>
        <v>0</v>
      </c>
      <c r="AB8" s="56">
        <f>IF(ISERROR(VLOOKUP(I8,CBIMPORT!$A$2:$B$171,2,FALSE)),0,VLOOKUP(I8,CBIMPORT!$A$2:$B$171,2,FALSE))</f>
        <v>0</v>
      </c>
      <c r="AC8" s="56">
        <f>IF(ISERROR(VLOOKUP(J8,CBIMPORT!$A$2:$B$171,2,FALSE)),0,VLOOKUP(J8,CBIMPORT!$A$2:$B$171,2,FALSE))</f>
        <v>0</v>
      </c>
      <c r="AD8" s="56">
        <f>IF(ISERROR(VLOOKUP(K8,CBIMPORT!$A$2:$B$171,2,FALSE)),0,VLOOKUP(K8,CBIMPORT!$A$2:$B$171,2,FALSE))</f>
        <v>0</v>
      </c>
      <c r="AE8" s="56">
        <f>IF(ISERROR(VLOOKUP(L8,CBIMPORT!$A$2:$B$171,2,FALSE)),0,VLOOKUP(L8,CBIMPORT!$A$2:$B$171,2,FALSE))</f>
        <v>0</v>
      </c>
      <c r="AF8" s="56">
        <f>IF(ISERROR(VLOOKUP(M8,CBIMPORT!$A$2:$B$171,2,FALSE)),0,VLOOKUP(M8,CBIMPORT!$A$2:$B$171,2,FALSE))</f>
        <v>0</v>
      </c>
      <c r="AG8" s="56">
        <f>IF(ISERROR(VLOOKUP(N8,CBIMPORT!$A$2:$B$171,2,FALSE)),0,VLOOKUP(N8,CBIMPORT!$A$2:$B$171,2,FALSE))</f>
        <v>0</v>
      </c>
      <c r="AH8" s="56">
        <f>IF(ISERROR(VLOOKUP(O8,CBIMPORT!$A$2:$B$171,2,FALSE)),0,VLOOKUP(O8,CBIMPORT!$A$2:$B$171,2,FALSE))</f>
        <v>0</v>
      </c>
      <c r="AI8" s="56">
        <f>IF(ISERROR(VLOOKUP(P8,CBIMPORT!$A$2:$B$171,2,FALSE)),0,VLOOKUP(P8,CBIMPORT!$A$2:$B$171,2,FALSE))</f>
        <v>0</v>
      </c>
      <c r="AJ8" s="56">
        <f>IF(ISERROR(VLOOKUP(Q8,CBIMPORT!$A$2:$B$171,2,FALSE)),0,VLOOKUP(Q8,CBIMPORT!$A$2:$B$171,2,FALSE))</f>
        <v>0</v>
      </c>
      <c r="AK8" s="56">
        <f>IF(ISERROR(VLOOKUP(R8,CBIMPORT!$A$2:$B$171,2,FALSE)),0,VLOOKUP(R8,CBIMPORT!$A$2:$B$171,2,FALSE))</f>
        <v>0</v>
      </c>
      <c r="AL8" s="56">
        <f>IF(ISERROR(VLOOKUP(S8,CBIMPORT!$A$2:$B$171,2,FALSE)),0,VLOOKUP(S8,CBIMPORT!$A$2:$B$171,2,FALSE))</f>
        <v>0</v>
      </c>
      <c r="AM8" s="60">
        <f t="shared" si="35"/>
        <v>0</v>
      </c>
      <c r="AN8" s="60">
        <f t="shared" si="36"/>
        <v>0</v>
      </c>
      <c r="AO8" s="60">
        <f t="shared" si="36"/>
        <v>0</v>
      </c>
      <c r="AP8" s="60">
        <f t="shared" si="36"/>
        <v>0</v>
      </c>
      <c r="AQ8" s="60">
        <f t="shared" si="36"/>
        <v>0</v>
      </c>
      <c r="AR8" s="60">
        <f t="shared" si="36"/>
        <v>1</v>
      </c>
      <c r="AS8" s="60">
        <f t="shared" si="36"/>
        <v>0</v>
      </c>
      <c r="AT8" s="60">
        <f t="shared" si="36"/>
        <v>0</v>
      </c>
      <c r="AU8" s="60">
        <f t="shared" si="36"/>
        <v>0</v>
      </c>
      <c r="AV8" s="60">
        <f t="shared" si="36"/>
        <v>0</v>
      </c>
      <c r="AW8" s="60">
        <f t="shared" si="36"/>
        <v>0</v>
      </c>
      <c r="AX8" s="60">
        <f t="shared" si="37"/>
        <v>0</v>
      </c>
      <c r="AY8" s="60">
        <f t="shared" si="37"/>
        <v>0</v>
      </c>
      <c r="AZ8" s="60">
        <f t="shared" si="37"/>
        <v>0</v>
      </c>
      <c r="BA8" s="60">
        <f t="shared" si="37"/>
        <v>0</v>
      </c>
      <c r="BB8" s="60">
        <f t="shared" si="37"/>
        <v>0</v>
      </c>
      <c r="BC8" s="60">
        <f t="shared" si="37"/>
        <v>0</v>
      </c>
      <c r="BD8" s="60">
        <f t="shared" si="37"/>
        <v>0</v>
      </c>
      <c r="BE8" s="60">
        <f t="shared" si="37"/>
        <v>1</v>
      </c>
      <c r="BF8" s="60">
        <f t="shared" si="37"/>
        <v>0</v>
      </c>
      <c r="BG8" s="60">
        <f t="shared" si="37"/>
        <v>0</v>
      </c>
      <c r="BH8" s="60">
        <f t="shared" si="38"/>
        <v>0</v>
      </c>
      <c r="BI8" s="60">
        <f t="shared" si="38"/>
        <v>0</v>
      </c>
      <c r="BJ8" s="60">
        <f t="shared" si="38"/>
        <v>0</v>
      </c>
      <c r="BK8" s="60">
        <f t="shared" si="38"/>
        <v>0</v>
      </c>
      <c r="BL8" s="60">
        <f t="shared" si="38"/>
        <v>0</v>
      </c>
      <c r="BM8" s="60">
        <f t="shared" si="38"/>
        <v>0</v>
      </c>
      <c r="BN8" s="60">
        <f t="shared" si="38"/>
        <v>0</v>
      </c>
      <c r="BO8" s="60">
        <f t="shared" si="38"/>
        <v>0</v>
      </c>
      <c r="BP8" s="60">
        <f t="shared" si="38"/>
        <v>0</v>
      </c>
      <c r="BQ8" s="60">
        <f t="shared" si="38"/>
        <v>0</v>
      </c>
      <c r="BR8" s="60">
        <f t="shared" si="39"/>
        <v>0</v>
      </c>
      <c r="BS8" s="60">
        <f t="shared" si="39"/>
        <v>0</v>
      </c>
      <c r="BT8" s="60">
        <f t="shared" si="39"/>
        <v>0</v>
      </c>
      <c r="BU8" s="60">
        <f t="shared" si="39"/>
        <v>0</v>
      </c>
      <c r="BV8" s="60">
        <f t="shared" si="39"/>
        <v>0</v>
      </c>
      <c r="BW8" s="60"/>
      <c r="BX8" s="63">
        <f t="shared" si="40"/>
        <v>0</v>
      </c>
      <c r="BY8" s="63">
        <f t="shared" si="1"/>
        <v>0</v>
      </c>
      <c r="BZ8" s="63">
        <f t="shared" si="1"/>
        <v>0</v>
      </c>
      <c r="CA8" s="63">
        <f t="shared" si="2"/>
        <v>0</v>
      </c>
      <c r="CB8" s="63">
        <f t="shared" si="3"/>
        <v>0</v>
      </c>
      <c r="CC8" s="63">
        <f t="shared" si="4"/>
        <v>0.5</v>
      </c>
      <c r="CD8" s="63">
        <f t="shared" si="5"/>
        <v>0</v>
      </c>
      <c r="CE8" s="63">
        <f t="shared" si="6"/>
        <v>0</v>
      </c>
      <c r="CF8" s="63">
        <f t="shared" si="7"/>
        <v>0</v>
      </c>
      <c r="CG8" s="63">
        <f t="shared" si="8"/>
        <v>0</v>
      </c>
      <c r="CH8" s="63">
        <f t="shared" si="9"/>
        <v>0</v>
      </c>
      <c r="CI8" s="63">
        <f t="shared" si="10"/>
        <v>0</v>
      </c>
      <c r="CJ8" s="63">
        <f t="shared" si="11"/>
        <v>0</v>
      </c>
      <c r="CK8" s="63">
        <f t="shared" si="12"/>
        <v>0</v>
      </c>
      <c r="CL8" s="63">
        <f t="shared" si="13"/>
        <v>0</v>
      </c>
      <c r="CM8" s="63">
        <f t="shared" si="14"/>
        <v>0</v>
      </c>
      <c r="CN8" s="63">
        <f t="shared" si="15"/>
        <v>0</v>
      </c>
      <c r="CO8" s="63">
        <f t="shared" si="16"/>
        <v>0</v>
      </c>
      <c r="CP8" s="63">
        <f t="shared" si="17"/>
        <v>0.5</v>
      </c>
      <c r="CQ8" s="63">
        <f t="shared" si="18"/>
        <v>0</v>
      </c>
      <c r="CR8" s="63">
        <f t="shared" si="19"/>
        <v>0</v>
      </c>
      <c r="CS8" s="63">
        <f t="shared" si="20"/>
        <v>0</v>
      </c>
      <c r="CT8" s="63">
        <f t="shared" si="21"/>
        <v>0</v>
      </c>
      <c r="CU8" s="63">
        <f t="shared" si="22"/>
        <v>0</v>
      </c>
      <c r="CV8" s="63">
        <f t="shared" si="23"/>
        <v>0</v>
      </c>
      <c r="CW8" s="63">
        <f t="shared" si="24"/>
        <v>0</v>
      </c>
      <c r="CX8" s="63">
        <f t="shared" si="25"/>
        <v>0</v>
      </c>
      <c r="CY8" s="63">
        <f t="shared" si="26"/>
        <v>0</v>
      </c>
      <c r="CZ8" s="63">
        <f t="shared" si="27"/>
        <v>0</v>
      </c>
      <c r="DA8" s="63">
        <f t="shared" si="28"/>
        <v>0</v>
      </c>
      <c r="DB8" s="63">
        <f t="shared" si="29"/>
        <v>0</v>
      </c>
      <c r="DC8" s="63">
        <f t="shared" si="30"/>
        <v>0</v>
      </c>
      <c r="DD8" s="63">
        <f t="shared" si="31"/>
        <v>0</v>
      </c>
      <c r="DE8" s="63">
        <f t="shared" si="32"/>
        <v>0</v>
      </c>
      <c r="DF8" s="63">
        <f t="shared" si="33"/>
        <v>0</v>
      </c>
      <c r="DG8" s="63">
        <f t="shared" si="34"/>
        <v>0</v>
      </c>
      <c r="DH8" s="57" t="str" cm="1">
        <f t="array" ref="DH8">INDEX(_xlfn.ANCHORARRAY($BX$2),0,MATCH(LARGE($BX8:$DG8,1),$BX8:$DG8,0))</f>
        <v>Delivery Service</v>
      </c>
      <c r="DI8" s="58">
        <f>LARGE('Industries all mentioned partne'!$BX8:$DG8,1)</f>
        <v>0.5</v>
      </c>
      <c r="DJ8" s="57" t="str" cm="1">
        <f t="array" ref="DJ8">IF(DI8&lt;&gt;100%,INDEX(_xlfn.ANCHORARRAY($BX$2),0,MATCH(LARGE($BX8:$DG8,2),$BX8:$DG8,0)),"")</f>
        <v>Delivery Service</v>
      </c>
      <c r="DK8" s="58">
        <f>IF(DI8&lt;&gt;100%,LARGE('Industries all mentioned partne'!$BX8:$DG8,2),"")</f>
        <v>0.5</v>
      </c>
      <c r="DL8" s="57" t="str" cm="1">
        <f t="array" ref="DL8">IF(DM8="","",INDEX(_xlfn.ANCHORARRAY($BX$2),0,MATCH(LARGE($BX8:$DG8,3),$BX8:$DG8,0)))</f>
        <v/>
      </c>
      <c r="DM8" s="110" t="str">
        <f>IF(LARGE('Industries all mentioned partne'!$BX8:$DG8,3)=0%,"",LARGE('Industries all mentioned partne'!$BX8:$DG8,3))</f>
        <v/>
      </c>
      <c r="DN8" s="52">
        <f>IF(ISTEXT(C8)=TRUE,VLOOKUP(C8,CBIMPORT!$A$2:$AL$171,38,FALSE),"")</f>
        <v>0</v>
      </c>
      <c r="DO8" s="52">
        <f>IF(ISTEXT(D8)=TRUE,VLOOKUP(D8,CBIMPORT!$A$2:$AL$171,38,FALSE),"")</f>
        <v>1</v>
      </c>
      <c r="DP8" s="52" t="str">
        <f>IF(ISTEXT(E8)=TRUE,VLOOKUP(E8,CBIMPORT!$A$2:$AL$171,38,FALSE),"")</f>
        <v/>
      </c>
      <c r="DQ8" s="52" t="str">
        <f>IF(ISTEXT(F8)=TRUE,VLOOKUP(F8,CBIMPORT!$A$2:$AL$171,38,FALSE),"")</f>
        <v/>
      </c>
      <c r="DR8" s="52" t="str">
        <f>IF(ISTEXT(G8)=TRUE,VLOOKUP(G8,CBIMPORT!$A$2:$AL$171,38,FALSE),"")</f>
        <v/>
      </c>
      <c r="DS8" s="52" t="str">
        <f>IF(ISTEXT(H8)=TRUE,VLOOKUP(H8,CBIMPORT!$A$2:$AL$171,38,FALSE),"")</f>
        <v/>
      </c>
      <c r="DT8" s="52" t="str">
        <f>IF(ISTEXT(I8)=TRUE,VLOOKUP(I8,CBIMPORT!$A$2:$AL$171,38,FALSE),"")</f>
        <v/>
      </c>
      <c r="DU8" s="52" t="str">
        <f>IF(ISTEXT(J8)=TRUE,VLOOKUP(J8,CBIMPORT!$A$2:$AL$171,38,FALSE),"")</f>
        <v/>
      </c>
      <c r="DV8" s="52" t="str">
        <f>IF(ISTEXT(K8)=TRUE,VLOOKUP(K8,CBIMPORT!$A$2:$AL$171,38,FALSE),"")</f>
        <v/>
      </c>
      <c r="DW8" s="52" t="str">
        <f>IF(ISTEXT(L8)=TRUE,VLOOKUP(L8,CBIMPORT!$A$2:$AL$171,38,FALSE),"")</f>
        <v/>
      </c>
      <c r="DX8" s="52" t="str">
        <f>IF(ISTEXT(M8)=TRUE,VLOOKUP(M8,CBIMPORT!$A$2:$AL$171,38,FALSE),"")</f>
        <v/>
      </c>
      <c r="DY8" s="52" t="str">
        <f>IF(ISTEXT(N8)=TRUE,VLOOKUP(N8,CBIMPORT!$A$2:$AL$171,38,FALSE),"")</f>
        <v/>
      </c>
      <c r="DZ8" s="52" t="str">
        <f>IF(ISTEXT(O8)=TRUE,VLOOKUP(O8,CBIMPORT!$A$2:$AL$171,38,FALSE),"")</f>
        <v/>
      </c>
      <c r="EA8" s="52" t="str">
        <f>IF(ISTEXT(P8)=TRUE,VLOOKUP(P8,CBIMPORT!$A$2:$AL$171,38,FALSE),"")</f>
        <v/>
      </c>
      <c r="EB8" s="52" t="str">
        <f>IF(ISTEXT(Q8)=TRUE,VLOOKUP(Q8,CBIMPORT!$A$2:$AL$171,38,FALSE),"")</f>
        <v/>
      </c>
      <c r="EC8" s="52" t="str">
        <f>IF(ISTEXT(R8)=TRUE,VLOOKUP(R8,CBIMPORT!$A$2:$AL$171,38,FALSE),"")</f>
        <v/>
      </c>
      <c r="ED8" s="52" t="str">
        <f>IF(ISTEXT(S8)=TRUE,VLOOKUP(S8,CBIMPORT!$A$2:$AL$171,38,FALSE),"")</f>
        <v/>
      </c>
      <c r="EE8" s="52" t="str">
        <f>IF(ISTEXT(T8)=TRUE,VLOOKUP(T8,CBIMPORT!$A$2:$AL$171,38,FALSE),"")</f>
        <v/>
      </c>
      <c r="EF8" s="64" t="str">
        <f>IF(ISTEXT(U8)=TRUE,VLOOKUP(U8,CBIMPORT!$A$2:$AL$171,38,FALSE),"")</f>
        <v/>
      </c>
      <c r="EG8" s="64"/>
      <c r="EH8" s="64"/>
      <c r="EI8" s="64"/>
      <c r="EJ8" s="64"/>
      <c r="EK8" s="64"/>
      <c r="EL8" s="64"/>
      <c r="EM8" s="64"/>
      <c r="EN8" s="64"/>
      <c r="EO8" s="64"/>
      <c r="EP8" s="64"/>
    </row>
    <row r="9" spans="1:146" x14ac:dyDescent="0.35">
      <c r="A9" s="49" t="str">
        <v>Cruise-Other</v>
      </c>
      <c r="B9" s="48" t="str" cm="1">
        <f t="array" ref="B9">_xlfn.TEXTJOIN(";",TRUE,IF(ANNOUNCEMENTS!$AH$2:$AH$180=A9,ANNOUNCEMENTS!$K$2:$K$180,""))</f>
        <v>Mothers-Against-Drunk-Driving</v>
      </c>
      <c r="C9" s="55" t="s">
        <v>720</v>
      </c>
      <c r="D9" s="55"/>
      <c r="E9" s="55"/>
      <c r="F9" s="55"/>
      <c r="G9" s="55"/>
      <c r="H9" s="55"/>
      <c r="I9" s="55"/>
      <c r="J9" s="55"/>
      <c r="K9" s="55"/>
      <c r="L9" s="55"/>
      <c r="M9" s="55"/>
      <c r="N9" s="55"/>
      <c r="O9" s="55"/>
      <c r="P9" s="55"/>
      <c r="Q9" s="55"/>
      <c r="R9" s="55"/>
      <c r="S9" s="55"/>
      <c r="T9" s="55"/>
      <c r="V9" s="56" t="str">
        <f>IF(ISERROR(VLOOKUP(C9,CBIMPORT!$A$2:$B$171,2,FALSE)),0,VLOOKUP(C9,CBIMPORT!$A$2:$B$171,2,FALSE))</f>
        <v>NPO</v>
      </c>
      <c r="W9" s="56">
        <f>IF(ISERROR(VLOOKUP(D9,CBIMPORT!$A$2:$B$171,2,FALSE)),0,VLOOKUP(D9,CBIMPORT!$A$2:$B$171,2,FALSE))</f>
        <v>0</v>
      </c>
      <c r="X9" s="56">
        <f>IF(ISERROR(VLOOKUP(E9,CBIMPORT!$A$2:$B$171,2,FALSE)),0,VLOOKUP(E9,CBIMPORT!$A$2:$B$171,2,FALSE))</f>
        <v>0</v>
      </c>
      <c r="Y9" s="56">
        <f>IF(ISERROR(VLOOKUP(F9,CBIMPORT!$A$2:$B$171,2,FALSE)),0,VLOOKUP(F9,CBIMPORT!$A$2:$B$171,2,FALSE))</f>
        <v>0</v>
      </c>
      <c r="Z9" s="56">
        <f>IF(ISERROR(VLOOKUP(G9,CBIMPORT!$A$2:$B$171,2,FALSE)),0,VLOOKUP(G9,CBIMPORT!$A$2:$B$171,2,FALSE))</f>
        <v>0</v>
      </c>
      <c r="AA9" s="56">
        <f>IF(ISERROR(VLOOKUP(H9,CBIMPORT!$A$2:$B$171,2,FALSE)),0,VLOOKUP(H9,CBIMPORT!$A$2:$B$171,2,FALSE))</f>
        <v>0</v>
      </c>
      <c r="AB9" s="56">
        <f>IF(ISERROR(VLOOKUP(I9,CBIMPORT!$A$2:$B$171,2,FALSE)),0,VLOOKUP(I9,CBIMPORT!$A$2:$B$171,2,FALSE))</f>
        <v>0</v>
      </c>
      <c r="AC9" s="56">
        <f>IF(ISERROR(VLOOKUP(J9,CBIMPORT!$A$2:$B$171,2,FALSE)),0,VLOOKUP(J9,CBIMPORT!$A$2:$B$171,2,FALSE))</f>
        <v>0</v>
      </c>
      <c r="AD9" s="56">
        <f>IF(ISERROR(VLOOKUP(K9,CBIMPORT!$A$2:$B$171,2,FALSE)),0,VLOOKUP(K9,CBIMPORT!$A$2:$B$171,2,FALSE))</f>
        <v>0</v>
      </c>
      <c r="AE9" s="56">
        <f>IF(ISERROR(VLOOKUP(L9,CBIMPORT!$A$2:$B$171,2,FALSE)),0,VLOOKUP(L9,CBIMPORT!$A$2:$B$171,2,FALSE))</f>
        <v>0</v>
      </c>
      <c r="AF9" s="56">
        <f>IF(ISERROR(VLOOKUP(M9,CBIMPORT!$A$2:$B$171,2,FALSE)),0,VLOOKUP(M9,CBIMPORT!$A$2:$B$171,2,FALSE))</f>
        <v>0</v>
      </c>
      <c r="AG9" s="56">
        <f>IF(ISERROR(VLOOKUP(N9,CBIMPORT!$A$2:$B$171,2,FALSE)),0,VLOOKUP(N9,CBIMPORT!$A$2:$B$171,2,FALSE))</f>
        <v>0</v>
      </c>
      <c r="AH9" s="56">
        <f>IF(ISERROR(VLOOKUP(O9,CBIMPORT!$A$2:$B$171,2,FALSE)),0,VLOOKUP(O9,CBIMPORT!$A$2:$B$171,2,FALSE))</f>
        <v>0</v>
      </c>
      <c r="AI9" s="56">
        <f>IF(ISERROR(VLOOKUP(P9,CBIMPORT!$A$2:$B$171,2,FALSE)),0,VLOOKUP(P9,CBIMPORT!$A$2:$B$171,2,FALSE))</f>
        <v>0</v>
      </c>
      <c r="AJ9" s="56">
        <f>IF(ISERROR(VLOOKUP(Q9,CBIMPORT!$A$2:$B$171,2,FALSE)),0,VLOOKUP(Q9,CBIMPORT!$A$2:$B$171,2,FALSE))</f>
        <v>0</v>
      </c>
      <c r="AK9" s="56">
        <f>IF(ISERROR(VLOOKUP(R9,CBIMPORT!$A$2:$B$171,2,FALSE)),0,VLOOKUP(R9,CBIMPORT!$A$2:$B$171,2,FALSE))</f>
        <v>0</v>
      </c>
      <c r="AL9" s="56">
        <f>IF(ISERROR(VLOOKUP(S9,CBIMPORT!$A$2:$B$171,2,FALSE)),0,VLOOKUP(S9,CBIMPORT!$A$2:$B$171,2,FALSE))</f>
        <v>0</v>
      </c>
      <c r="AM9" s="60">
        <f t="shared" si="35"/>
        <v>0</v>
      </c>
      <c r="AN9" s="60">
        <f t="shared" si="36"/>
        <v>0</v>
      </c>
      <c r="AO9" s="60">
        <f t="shared" si="36"/>
        <v>0</v>
      </c>
      <c r="AP9" s="60">
        <f t="shared" si="36"/>
        <v>0</v>
      </c>
      <c r="AQ9" s="60">
        <f t="shared" si="36"/>
        <v>0</v>
      </c>
      <c r="AR9" s="60">
        <f t="shared" si="36"/>
        <v>0</v>
      </c>
      <c r="AS9" s="60">
        <f t="shared" si="36"/>
        <v>0</v>
      </c>
      <c r="AT9" s="60">
        <f t="shared" si="36"/>
        <v>0</v>
      </c>
      <c r="AU9" s="60">
        <f t="shared" si="36"/>
        <v>0</v>
      </c>
      <c r="AV9" s="60">
        <f t="shared" si="36"/>
        <v>0</v>
      </c>
      <c r="AW9" s="60">
        <f t="shared" si="36"/>
        <v>0</v>
      </c>
      <c r="AX9" s="60">
        <f t="shared" si="37"/>
        <v>0</v>
      </c>
      <c r="AY9" s="60">
        <f t="shared" si="37"/>
        <v>0</v>
      </c>
      <c r="AZ9" s="60">
        <f t="shared" si="37"/>
        <v>0</v>
      </c>
      <c r="BA9" s="60">
        <f t="shared" si="37"/>
        <v>0</v>
      </c>
      <c r="BB9" s="60">
        <f t="shared" si="37"/>
        <v>0</v>
      </c>
      <c r="BC9" s="60">
        <f t="shared" si="37"/>
        <v>0</v>
      </c>
      <c r="BD9" s="60">
        <f t="shared" si="37"/>
        <v>0</v>
      </c>
      <c r="BE9" s="60">
        <f t="shared" si="37"/>
        <v>0</v>
      </c>
      <c r="BF9" s="60">
        <f t="shared" si="37"/>
        <v>0</v>
      </c>
      <c r="BG9" s="60">
        <f t="shared" si="37"/>
        <v>0</v>
      </c>
      <c r="BH9" s="60">
        <f t="shared" si="38"/>
        <v>0</v>
      </c>
      <c r="BI9" s="60">
        <f t="shared" si="38"/>
        <v>0</v>
      </c>
      <c r="BJ9" s="60">
        <f t="shared" si="38"/>
        <v>0</v>
      </c>
      <c r="BK9" s="60">
        <f t="shared" si="38"/>
        <v>0</v>
      </c>
      <c r="BL9" s="60">
        <f t="shared" si="38"/>
        <v>0</v>
      </c>
      <c r="BM9" s="60">
        <f t="shared" si="38"/>
        <v>0</v>
      </c>
      <c r="BN9" s="60">
        <f t="shared" si="38"/>
        <v>0</v>
      </c>
      <c r="BO9" s="60">
        <f t="shared" si="38"/>
        <v>1</v>
      </c>
      <c r="BP9" s="60">
        <f t="shared" si="38"/>
        <v>0</v>
      </c>
      <c r="BQ9" s="60">
        <f t="shared" si="38"/>
        <v>0</v>
      </c>
      <c r="BR9" s="60">
        <f t="shared" si="39"/>
        <v>0</v>
      </c>
      <c r="BS9" s="60">
        <f t="shared" si="39"/>
        <v>0</v>
      </c>
      <c r="BT9" s="60">
        <f t="shared" si="39"/>
        <v>0</v>
      </c>
      <c r="BU9" s="60">
        <f t="shared" si="39"/>
        <v>0</v>
      </c>
      <c r="BV9" s="60">
        <f t="shared" si="39"/>
        <v>0</v>
      </c>
      <c r="BW9" s="60"/>
      <c r="BX9" s="63">
        <f t="shared" si="40"/>
        <v>0</v>
      </c>
      <c r="BY9" s="63">
        <f t="shared" si="1"/>
        <v>0</v>
      </c>
      <c r="BZ9" s="63">
        <f t="shared" si="1"/>
        <v>0</v>
      </c>
      <c r="CA9" s="63">
        <f t="shared" si="2"/>
        <v>0</v>
      </c>
      <c r="CB9" s="63">
        <f t="shared" si="3"/>
        <v>0</v>
      </c>
      <c r="CC9" s="63">
        <f t="shared" si="4"/>
        <v>0</v>
      </c>
      <c r="CD9" s="63">
        <f t="shared" si="5"/>
        <v>0</v>
      </c>
      <c r="CE9" s="63">
        <f t="shared" si="6"/>
        <v>0</v>
      </c>
      <c r="CF9" s="63">
        <f t="shared" si="7"/>
        <v>0</v>
      </c>
      <c r="CG9" s="63">
        <f t="shared" si="8"/>
        <v>0</v>
      </c>
      <c r="CH9" s="63">
        <f t="shared" si="9"/>
        <v>0</v>
      </c>
      <c r="CI9" s="63">
        <f t="shared" si="10"/>
        <v>0</v>
      </c>
      <c r="CJ9" s="63">
        <f t="shared" si="11"/>
        <v>0</v>
      </c>
      <c r="CK9" s="63">
        <f t="shared" si="12"/>
        <v>0</v>
      </c>
      <c r="CL9" s="63">
        <f t="shared" si="13"/>
        <v>0</v>
      </c>
      <c r="CM9" s="63">
        <f t="shared" si="14"/>
        <v>0</v>
      </c>
      <c r="CN9" s="63">
        <f t="shared" si="15"/>
        <v>0</v>
      </c>
      <c r="CO9" s="63">
        <f t="shared" si="16"/>
        <v>0</v>
      </c>
      <c r="CP9" s="63">
        <f t="shared" si="17"/>
        <v>0</v>
      </c>
      <c r="CQ9" s="63">
        <f t="shared" si="18"/>
        <v>0</v>
      </c>
      <c r="CR9" s="63">
        <f t="shared" si="19"/>
        <v>0</v>
      </c>
      <c r="CS9" s="63">
        <f t="shared" si="20"/>
        <v>0</v>
      </c>
      <c r="CT9" s="63">
        <f t="shared" si="21"/>
        <v>0</v>
      </c>
      <c r="CU9" s="63">
        <f t="shared" si="22"/>
        <v>0</v>
      </c>
      <c r="CV9" s="63">
        <f t="shared" si="23"/>
        <v>0</v>
      </c>
      <c r="CW9" s="63">
        <f t="shared" si="24"/>
        <v>0</v>
      </c>
      <c r="CX9" s="63">
        <f t="shared" si="25"/>
        <v>0</v>
      </c>
      <c r="CY9" s="63">
        <f t="shared" si="26"/>
        <v>0</v>
      </c>
      <c r="CZ9" s="63">
        <f t="shared" si="27"/>
        <v>1</v>
      </c>
      <c r="DA9" s="63">
        <f t="shared" si="28"/>
        <v>0</v>
      </c>
      <c r="DB9" s="63">
        <f t="shared" si="29"/>
        <v>0</v>
      </c>
      <c r="DC9" s="63">
        <f t="shared" si="30"/>
        <v>0</v>
      </c>
      <c r="DD9" s="63">
        <f t="shared" si="31"/>
        <v>0</v>
      </c>
      <c r="DE9" s="63">
        <f t="shared" si="32"/>
        <v>0</v>
      </c>
      <c r="DF9" s="63">
        <f t="shared" si="33"/>
        <v>0</v>
      </c>
      <c r="DG9" s="63">
        <f t="shared" si="34"/>
        <v>0</v>
      </c>
      <c r="DH9" s="57" t="str" cm="1">
        <f t="array" ref="DH9">INDEX(_xlfn.ANCHORARRAY($BX$2),0,MATCH(LARGE($BX9:$DG9,1),$BX9:$DG9,0))</f>
        <v>NPO</v>
      </c>
      <c r="DI9" s="58">
        <f>LARGE('Industries all mentioned partne'!$BX9:$DG9,1)</f>
        <v>1</v>
      </c>
      <c r="DJ9" s="57" t="str" cm="1">
        <f t="array" ref="DJ9">IF(DI9&lt;&gt;100%,INDEX(_xlfn.ANCHORARRAY($BX$2),0,MATCH(LARGE($BX9:$DG9,2),$BX9:$DG9,0)),"")</f>
        <v/>
      </c>
      <c r="DK9" s="58" t="str">
        <f>IF(DI9&lt;&gt;100%,LARGE('Industries all mentioned partne'!$BX9:$DG9,2),"")</f>
        <v/>
      </c>
      <c r="DL9" s="57" t="str" cm="1">
        <f t="array" ref="DL9">IF(DM9="","",INDEX(_xlfn.ANCHORARRAY($BX$2),0,MATCH(LARGE($BX9:$DG9,3),$BX9:$DG9,0)))</f>
        <v/>
      </c>
      <c r="DM9" s="110" t="str">
        <f>IF(LARGE('Industries all mentioned partne'!$BX9:$DG9,3)=0%,"",LARGE('Industries all mentioned partne'!$BX9:$DG9,3))</f>
        <v/>
      </c>
      <c r="DN9" s="52">
        <f>IF(ISTEXT(C9)=TRUE,VLOOKUP(C9,CBIMPORT!$A$2:$AL$171,38,FALSE),"")</f>
        <v>0</v>
      </c>
      <c r="DO9" s="52" t="str">
        <f>IF(ISTEXT(D9)=TRUE,VLOOKUP(D9,CBIMPORT!$A$2:$AL$171,38,FALSE),"")</f>
        <v/>
      </c>
      <c r="DP9" s="52" t="str">
        <f>IF(ISTEXT(E9)=TRUE,VLOOKUP(E9,CBIMPORT!$A$2:$AL$171,38,FALSE),"")</f>
        <v/>
      </c>
      <c r="DQ9" s="52" t="str">
        <f>IF(ISTEXT(F9)=TRUE,VLOOKUP(F9,CBIMPORT!$A$2:$AL$171,38,FALSE),"")</f>
        <v/>
      </c>
      <c r="DR9" s="52" t="str">
        <f>IF(ISTEXT(G9)=TRUE,VLOOKUP(G9,CBIMPORT!$A$2:$AL$171,38,FALSE),"")</f>
        <v/>
      </c>
      <c r="DS9" s="52" t="str">
        <f>IF(ISTEXT(H9)=TRUE,VLOOKUP(H9,CBIMPORT!$A$2:$AL$171,38,FALSE),"")</f>
        <v/>
      </c>
      <c r="DT9" s="52" t="str">
        <f>IF(ISTEXT(I9)=TRUE,VLOOKUP(I9,CBIMPORT!$A$2:$AL$171,38,FALSE),"")</f>
        <v/>
      </c>
      <c r="DU9" s="52" t="str">
        <f>IF(ISTEXT(J9)=TRUE,VLOOKUP(J9,CBIMPORT!$A$2:$AL$171,38,FALSE),"")</f>
        <v/>
      </c>
      <c r="DV9" s="52" t="str">
        <f>IF(ISTEXT(K9)=TRUE,VLOOKUP(K9,CBIMPORT!$A$2:$AL$171,38,FALSE),"")</f>
        <v/>
      </c>
      <c r="DW9" s="52" t="str">
        <f>IF(ISTEXT(L9)=TRUE,VLOOKUP(L9,CBIMPORT!$A$2:$AL$171,38,FALSE),"")</f>
        <v/>
      </c>
      <c r="DX9" s="52" t="str">
        <f>IF(ISTEXT(M9)=TRUE,VLOOKUP(M9,CBIMPORT!$A$2:$AL$171,38,FALSE),"")</f>
        <v/>
      </c>
      <c r="DY9" s="52" t="str">
        <f>IF(ISTEXT(N9)=TRUE,VLOOKUP(N9,CBIMPORT!$A$2:$AL$171,38,FALSE),"")</f>
        <v/>
      </c>
      <c r="DZ9" s="52" t="str">
        <f>IF(ISTEXT(O9)=TRUE,VLOOKUP(O9,CBIMPORT!$A$2:$AL$171,38,FALSE),"")</f>
        <v/>
      </c>
      <c r="EA9" s="52" t="str">
        <f>IF(ISTEXT(P9)=TRUE,VLOOKUP(P9,CBIMPORT!$A$2:$AL$171,38,FALSE),"")</f>
        <v/>
      </c>
      <c r="EB9" s="52" t="str">
        <f>IF(ISTEXT(Q9)=TRUE,VLOOKUP(Q9,CBIMPORT!$A$2:$AL$171,38,FALSE),"")</f>
        <v/>
      </c>
      <c r="EC9" s="52" t="str">
        <f>IF(ISTEXT(R9)=TRUE,VLOOKUP(R9,CBIMPORT!$A$2:$AL$171,38,FALSE),"")</f>
        <v/>
      </c>
      <c r="ED9" s="52" t="str">
        <f>IF(ISTEXT(S9)=TRUE,VLOOKUP(S9,CBIMPORT!$A$2:$AL$171,38,FALSE),"")</f>
        <v/>
      </c>
      <c r="EE9" s="52" t="str">
        <f>IF(ISTEXT(T9)=TRUE,VLOOKUP(T9,CBIMPORT!$A$2:$AL$171,38,FALSE),"")</f>
        <v/>
      </c>
      <c r="EF9" s="64" t="str">
        <f>IF(ISTEXT(U9)=TRUE,VLOOKUP(U9,CBIMPORT!$A$2:$AL$171,38,FALSE),"")</f>
        <v/>
      </c>
      <c r="EG9" s="64"/>
      <c r="EH9" s="64"/>
      <c r="EI9" s="64"/>
      <c r="EJ9" s="64"/>
      <c r="EK9" s="64"/>
      <c r="EL9" s="64"/>
      <c r="EM9" s="64"/>
      <c r="EN9" s="64"/>
      <c r="EO9" s="64"/>
      <c r="EP9" s="64"/>
    </row>
    <row r="10" spans="1:146" x14ac:dyDescent="0.35">
      <c r="A10" s="49" t="str">
        <v>Cruise-Last-Mile</v>
      </c>
      <c r="B10" s="48" t="str" cm="1">
        <f t="array" ref="B10">_xlfn.TEXTJOIN(";",TRUE,IF(ANNOUNCEMENTS!$AH$2:$AH$180=A10,ANNOUNCEMENTS!$K$2:$K$180,""))</f>
        <v>Walmart;Replate</v>
      </c>
      <c r="C10" s="55" t="s">
        <v>840</v>
      </c>
      <c r="D10" s="55" t="s">
        <v>631</v>
      </c>
      <c r="E10" s="55"/>
      <c r="F10" s="55"/>
      <c r="G10" s="55"/>
      <c r="H10" s="55"/>
      <c r="I10" s="55"/>
      <c r="J10" s="55"/>
      <c r="K10" s="55"/>
      <c r="L10" s="55"/>
      <c r="M10" s="55"/>
      <c r="N10" s="55"/>
      <c r="O10" s="55"/>
      <c r="P10" s="55"/>
      <c r="Q10" s="55"/>
      <c r="R10" s="55"/>
      <c r="S10" s="55"/>
      <c r="T10" s="55"/>
      <c r="V10" s="56" t="str">
        <f>IF(ISERROR(VLOOKUP(C10,CBIMPORT!$A$2:$B$171,2,FALSE)),0,VLOOKUP(C10,CBIMPORT!$A$2:$B$171,2,FALSE))</f>
        <v>Retail</v>
      </c>
      <c r="W10" s="56" t="str">
        <f>IF(ISERROR(VLOOKUP(D10,CBIMPORT!$A$2:$B$171,2,FALSE)),0,VLOOKUP(D10,CBIMPORT!$A$2:$B$171,2,FALSE))</f>
        <v>NPO</v>
      </c>
      <c r="X10" s="56">
        <f>IF(ISERROR(VLOOKUP(E10,CBIMPORT!$A$2:$B$171,2,FALSE)),0,VLOOKUP(E10,CBIMPORT!$A$2:$B$171,2,FALSE))</f>
        <v>0</v>
      </c>
      <c r="Y10" s="56">
        <f>IF(ISERROR(VLOOKUP(F10,CBIMPORT!$A$2:$B$171,2,FALSE)),0,VLOOKUP(F10,CBIMPORT!$A$2:$B$171,2,FALSE))</f>
        <v>0</v>
      </c>
      <c r="Z10" s="56">
        <f>IF(ISERROR(VLOOKUP(G10,CBIMPORT!$A$2:$B$171,2,FALSE)),0,VLOOKUP(G10,CBIMPORT!$A$2:$B$171,2,FALSE))</f>
        <v>0</v>
      </c>
      <c r="AA10" s="56">
        <f>IF(ISERROR(VLOOKUP(H10,CBIMPORT!$A$2:$B$171,2,FALSE)),0,VLOOKUP(H10,CBIMPORT!$A$2:$B$171,2,FALSE))</f>
        <v>0</v>
      </c>
      <c r="AB10" s="56">
        <f>IF(ISERROR(VLOOKUP(I10,CBIMPORT!$A$2:$B$171,2,FALSE)),0,VLOOKUP(I10,CBIMPORT!$A$2:$B$171,2,FALSE))</f>
        <v>0</v>
      </c>
      <c r="AC10" s="56">
        <f>IF(ISERROR(VLOOKUP(J10,CBIMPORT!$A$2:$B$171,2,FALSE)),0,VLOOKUP(J10,CBIMPORT!$A$2:$B$171,2,FALSE))</f>
        <v>0</v>
      </c>
      <c r="AD10" s="56">
        <f>IF(ISERROR(VLOOKUP(K10,CBIMPORT!$A$2:$B$171,2,FALSE)),0,VLOOKUP(K10,CBIMPORT!$A$2:$B$171,2,FALSE))</f>
        <v>0</v>
      </c>
      <c r="AE10" s="56">
        <f>IF(ISERROR(VLOOKUP(L10,CBIMPORT!$A$2:$B$171,2,FALSE)),0,VLOOKUP(L10,CBIMPORT!$A$2:$B$171,2,FALSE))</f>
        <v>0</v>
      </c>
      <c r="AF10" s="56">
        <f>IF(ISERROR(VLOOKUP(M10,CBIMPORT!$A$2:$B$171,2,FALSE)),0,VLOOKUP(M10,CBIMPORT!$A$2:$B$171,2,FALSE))</f>
        <v>0</v>
      </c>
      <c r="AG10" s="56">
        <f>IF(ISERROR(VLOOKUP(N10,CBIMPORT!$A$2:$B$171,2,FALSE)),0,VLOOKUP(N10,CBIMPORT!$A$2:$B$171,2,FALSE))</f>
        <v>0</v>
      </c>
      <c r="AH10" s="56">
        <f>IF(ISERROR(VLOOKUP(O10,CBIMPORT!$A$2:$B$171,2,FALSE)),0,VLOOKUP(O10,CBIMPORT!$A$2:$B$171,2,FALSE))</f>
        <v>0</v>
      </c>
      <c r="AI10" s="56">
        <f>IF(ISERROR(VLOOKUP(P10,CBIMPORT!$A$2:$B$171,2,FALSE)),0,VLOOKUP(P10,CBIMPORT!$A$2:$B$171,2,FALSE))</f>
        <v>0</v>
      </c>
      <c r="AJ10" s="56">
        <f>IF(ISERROR(VLOOKUP(Q10,CBIMPORT!$A$2:$B$171,2,FALSE)),0,VLOOKUP(Q10,CBIMPORT!$A$2:$B$171,2,FALSE))</f>
        <v>0</v>
      </c>
      <c r="AK10" s="56">
        <f>IF(ISERROR(VLOOKUP(R10,CBIMPORT!$A$2:$B$171,2,FALSE)),0,VLOOKUP(R10,CBIMPORT!$A$2:$B$171,2,FALSE))</f>
        <v>0</v>
      </c>
      <c r="AL10" s="56">
        <f>IF(ISERROR(VLOOKUP(S10,CBIMPORT!$A$2:$B$171,2,FALSE)),0,VLOOKUP(S10,CBIMPORT!$A$2:$B$171,2,FALSE))</f>
        <v>0</v>
      </c>
      <c r="AM10" s="60">
        <f t="shared" si="35"/>
        <v>0</v>
      </c>
      <c r="AN10" s="60">
        <f t="shared" si="36"/>
        <v>0</v>
      </c>
      <c r="AO10" s="60">
        <f t="shared" si="36"/>
        <v>0</v>
      </c>
      <c r="AP10" s="60">
        <f t="shared" si="36"/>
        <v>0</v>
      </c>
      <c r="AQ10" s="60">
        <f t="shared" si="36"/>
        <v>0</v>
      </c>
      <c r="AR10" s="60">
        <f t="shared" si="36"/>
        <v>0</v>
      </c>
      <c r="AS10" s="60">
        <f t="shared" si="36"/>
        <v>0</v>
      </c>
      <c r="AT10" s="60">
        <f t="shared" si="36"/>
        <v>0</v>
      </c>
      <c r="AU10" s="60">
        <f t="shared" si="36"/>
        <v>0</v>
      </c>
      <c r="AV10" s="60">
        <f t="shared" si="36"/>
        <v>0</v>
      </c>
      <c r="AW10" s="60">
        <f t="shared" si="36"/>
        <v>0</v>
      </c>
      <c r="AX10" s="60">
        <f t="shared" si="37"/>
        <v>1</v>
      </c>
      <c r="AY10" s="60">
        <f t="shared" si="37"/>
        <v>0</v>
      </c>
      <c r="AZ10" s="60">
        <f t="shared" si="37"/>
        <v>0</v>
      </c>
      <c r="BA10" s="60">
        <f t="shared" si="37"/>
        <v>0</v>
      </c>
      <c r="BB10" s="60">
        <f t="shared" si="37"/>
        <v>0</v>
      </c>
      <c r="BC10" s="60">
        <f t="shared" si="37"/>
        <v>0</v>
      </c>
      <c r="BD10" s="60">
        <f t="shared" si="37"/>
        <v>0</v>
      </c>
      <c r="BE10" s="60">
        <f t="shared" si="37"/>
        <v>0</v>
      </c>
      <c r="BF10" s="60">
        <f t="shared" si="37"/>
        <v>0</v>
      </c>
      <c r="BG10" s="60">
        <f t="shared" si="37"/>
        <v>0</v>
      </c>
      <c r="BH10" s="60">
        <f t="shared" si="38"/>
        <v>0</v>
      </c>
      <c r="BI10" s="60">
        <f t="shared" si="38"/>
        <v>0</v>
      </c>
      <c r="BJ10" s="60">
        <f t="shared" si="38"/>
        <v>0</v>
      </c>
      <c r="BK10" s="60">
        <f t="shared" si="38"/>
        <v>0</v>
      </c>
      <c r="BL10" s="60">
        <f t="shared" si="38"/>
        <v>0</v>
      </c>
      <c r="BM10" s="60">
        <f t="shared" si="38"/>
        <v>0</v>
      </c>
      <c r="BN10" s="60">
        <f t="shared" si="38"/>
        <v>0</v>
      </c>
      <c r="BO10" s="60">
        <f t="shared" si="38"/>
        <v>1</v>
      </c>
      <c r="BP10" s="60">
        <f t="shared" si="38"/>
        <v>0</v>
      </c>
      <c r="BQ10" s="60">
        <f t="shared" si="38"/>
        <v>0</v>
      </c>
      <c r="BR10" s="60">
        <f t="shared" si="39"/>
        <v>0</v>
      </c>
      <c r="BS10" s="60">
        <f t="shared" si="39"/>
        <v>0</v>
      </c>
      <c r="BT10" s="60">
        <f t="shared" si="39"/>
        <v>0</v>
      </c>
      <c r="BU10" s="60">
        <f t="shared" si="39"/>
        <v>0</v>
      </c>
      <c r="BV10" s="60">
        <f t="shared" si="39"/>
        <v>0</v>
      </c>
      <c r="BW10" s="60"/>
      <c r="BX10" s="63">
        <f t="shared" si="40"/>
        <v>0</v>
      </c>
      <c r="BY10" s="63">
        <f t="shared" si="1"/>
        <v>0</v>
      </c>
      <c r="BZ10" s="63">
        <f t="shared" si="1"/>
        <v>0</v>
      </c>
      <c r="CA10" s="63">
        <f t="shared" si="2"/>
        <v>0</v>
      </c>
      <c r="CB10" s="63">
        <f t="shared" si="3"/>
        <v>0</v>
      </c>
      <c r="CC10" s="63">
        <f t="shared" si="4"/>
        <v>0</v>
      </c>
      <c r="CD10" s="63">
        <f t="shared" si="5"/>
        <v>0</v>
      </c>
      <c r="CE10" s="63">
        <f t="shared" si="6"/>
        <v>0</v>
      </c>
      <c r="CF10" s="63">
        <f t="shared" si="7"/>
        <v>0</v>
      </c>
      <c r="CG10" s="63">
        <f t="shared" si="8"/>
        <v>0</v>
      </c>
      <c r="CH10" s="63">
        <f t="shared" si="9"/>
        <v>0</v>
      </c>
      <c r="CI10" s="63">
        <f t="shared" si="10"/>
        <v>0.5</v>
      </c>
      <c r="CJ10" s="63">
        <f t="shared" si="11"/>
        <v>0</v>
      </c>
      <c r="CK10" s="63">
        <f t="shared" si="12"/>
        <v>0</v>
      </c>
      <c r="CL10" s="63">
        <f t="shared" si="13"/>
        <v>0</v>
      </c>
      <c r="CM10" s="63">
        <f t="shared" si="14"/>
        <v>0</v>
      </c>
      <c r="CN10" s="63">
        <f t="shared" si="15"/>
        <v>0</v>
      </c>
      <c r="CO10" s="63">
        <f t="shared" si="16"/>
        <v>0</v>
      </c>
      <c r="CP10" s="63">
        <f t="shared" si="17"/>
        <v>0</v>
      </c>
      <c r="CQ10" s="63">
        <f t="shared" si="18"/>
        <v>0</v>
      </c>
      <c r="CR10" s="63">
        <f t="shared" si="19"/>
        <v>0</v>
      </c>
      <c r="CS10" s="63">
        <f t="shared" si="20"/>
        <v>0</v>
      </c>
      <c r="CT10" s="63">
        <f t="shared" si="21"/>
        <v>0</v>
      </c>
      <c r="CU10" s="63">
        <f t="shared" si="22"/>
        <v>0</v>
      </c>
      <c r="CV10" s="63">
        <f t="shared" si="23"/>
        <v>0</v>
      </c>
      <c r="CW10" s="63">
        <f t="shared" si="24"/>
        <v>0</v>
      </c>
      <c r="CX10" s="63">
        <f t="shared" si="25"/>
        <v>0</v>
      </c>
      <c r="CY10" s="63">
        <f t="shared" si="26"/>
        <v>0</v>
      </c>
      <c r="CZ10" s="63">
        <f t="shared" si="27"/>
        <v>0.5</v>
      </c>
      <c r="DA10" s="63">
        <f t="shared" si="28"/>
        <v>0</v>
      </c>
      <c r="DB10" s="63">
        <f t="shared" si="29"/>
        <v>0</v>
      </c>
      <c r="DC10" s="63">
        <f t="shared" si="30"/>
        <v>0</v>
      </c>
      <c r="DD10" s="63">
        <f t="shared" si="31"/>
        <v>0</v>
      </c>
      <c r="DE10" s="63">
        <f t="shared" si="32"/>
        <v>0</v>
      </c>
      <c r="DF10" s="63">
        <f t="shared" si="33"/>
        <v>0</v>
      </c>
      <c r="DG10" s="63">
        <f t="shared" si="34"/>
        <v>0</v>
      </c>
      <c r="DH10" s="57" t="str" cm="1">
        <f t="array" ref="DH10">INDEX(_xlfn.ANCHORARRAY($BX$2),0,MATCH(LARGE($BX10:$DG10,1),$BX10:$DG10,0))</f>
        <v>Retail</v>
      </c>
      <c r="DI10" s="58">
        <f>LARGE('Industries all mentioned partne'!$BX10:$DG10,1)</f>
        <v>0.5</v>
      </c>
      <c r="DJ10" s="57" t="str" cm="1">
        <f t="array" ref="DJ10">IF(DI10&lt;&gt;100%,INDEX(_xlfn.ANCHORARRAY($BX$2),0,MATCH(LARGE($BX10:$DG10,2),$BX10:$DG10,0)),"")</f>
        <v>Retail</v>
      </c>
      <c r="DK10" s="58">
        <f>IF(DI10&lt;&gt;100%,LARGE('Industries all mentioned partne'!$BX10:$DG10,2),"")</f>
        <v>0.5</v>
      </c>
      <c r="DL10" s="57" t="str" cm="1">
        <f t="array" ref="DL10">IF(DM10="","",INDEX(_xlfn.ANCHORARRAY($BX$2),0,MATCH(LARGE($BX10:$DG10,3),$BX10:$DG10,0)))</f>
        <v/>
      </c>
      <c r="DM10" s="110" t="str">
        <f>IF(LARGE('Industries all mentioned partne'!$BX10:$DG10,3)=0%,"",LARGE('Industries all mentioned partne'!$BX10:$DG10,3))</f>
        <v/>
      </c>
      <c r="DN10" s="52">
        <f>IF(ISTEXT(C10)=TRUE,VLOOKUP(C10,CBIMPORT!$A$2:$AL$171,38,FALSE),"")</f>
        <v>1</v>
      </c>
      <c r="DO10" s="52">
        <f>IF(ISTEXT(D10)=TRUE,VLOOKUP(D10,CBIMPORT!$A$2:$AL$171,38,FALSE),"")</f>
        <v>0</v>
      </c>
      <c r="DP10" s="52" t="str">
        <f>IF(ISTEXT(E10)=TRUE,VLOOKUP(E10,CBIMPORT!$A$2:$AL$171,38,FALSE),"")</f>
        <v/>
      </c>
      <c r="DQ10" s="52" t="str">
        <f>IF(ISTEXT(F10)=TRUE,VLOOKUP(F10,CBIMPORT!$A$2:$AL$171,38,FALSE),"")</f>
        <v/>
      </c>
      <c r="DR10" s="52" t="str">
        <f>IF(ISTEXT(G10)=TRUE,VLOOKUP(G10,CBIMPORT!$A$2:$AL$171,38,FALSE),"")</f>
        <v/>
      </c>
      <c r="DS10" s="52" t="str">
        <f>IF(ISTEXT(H10)=TRUE,VLOOKUP(H10,CBIMPORT!$A$2:$AL$171,38,FALSE),"")</f>
        <v/>
      </c>
      <c r="DT10" s="52" t="str">
        <f>IF(ISTEXT(I10)=TRUE,VLOOKUP(I10,CBIMPORT!$A$2:$AL$171,38,FALSE),"")</f>
        <v/>
      </c>
      <c r="DU10" s="52" t="str">
        <f>IF(ISTEXT(J10)=TRUE,VLOOKUP(J10,CBIMPORT!$A$2:$AL$171,38,FALSE),"")</f>
        <v/>
      </c>
      <c r="DV10" s="52" t="str">
        <f>IF(ISTEXT(K10)=TRUE,VLOOKUP(K10,CBIMPORT!$A$2:$AL$171,38,FALSE),"")</f>
        <v/>
      </c>
      <c r="DW10" s="52" t="str">
        <f>IF(ISTEXT(L10)=TRUE,VLOOKUP(L10,CBIMPORT!$A$2:$AL$171,38,FALSE),"")</f>
        <v/>
      </c>
      <c r="DX10" s="52" t="str">
        <f>IF(ISTEXT(M10)=TRUE,VLOOKUP(M10,CBIMPORT!$A$2:$AL$171,38,FALSE),"")</f>
        <v/>
      </c>
      <c r="DY10" s="52" t="str">
        <f>IF(ISTEXT(N10)=TRUE,VLOOKUP(N10,CBIMPORT!$A$2:$AL$171,38,FALSE),"")</f>
        <v/>
      </c>
      <c r="DZ10" s="52" t="str">
        <f>IF(ISTEXT(O10)=TRUE,VLOOKUP(O10,CBIMPORT!$A$2:$AL$171,38,FALSE),"")</f>
        <v/>
      </c>
      <c r="EA10" s="52" t="str">
        <f>IF(ISTEXT(P10)=TRUE,VLOOKUP(P10,CBIMPORT!$A$2:$AL$171,38,FALSE),"")</f>
        <v/>
      </c>
      <c r="EB10" s="52" t="str">
        <f>IF(ISTEXT(Q10)=TRUE,VLOOKUP(Q10,CBIMPORT!$A$2:$AL$171,38,FALSE),"")</f>
        <v/>
      </c>
      <c r="EC10" s="52" t="str">
        <f>IF(ISTEXT(R10)=TRUE,VLOOKUP(R10,CBIMPORT!$A$2:$AL$171,38,FALSE),"")</f>
        <v/>
      </c>
      <c r="ED10" s="52" t="str">
        <f>IF(ISTEXT(S10)=TRUE,VLOOKUP(S10,CBIMPORT!$A$2:$AL$171,38,FALSE),"")</f>
        <v/>
      </c>
      <c r="EE10" s="52" t="str">
        <f>IF(ISTEXT(T10)=TRUE,VLOOKUP(T10,CBIMPORT!$A$2:$AL$171,38,FALSE),"")</f>
        <v/>
      </c>
      <c r="EF10" s="64" t="str">
        <f>IF(ISTEXT(U10)=TRUE,VLOOKUP(U10,CBIMPORT!$A$2:$AL$171,38,FALSE),"")</f>
        <v/>
      </c>
      <c r="EG10" s="64"/>
      <c r="EH10" s="64"/>
      <c r="EI10" s="64"/>
      <c r="EJ10" s="64"/>
      <c r="EK10" s="64"/>
      <c r="EL10" s="64"/>
      <c r="EM10" s="64"/>
      <c r="EN10" s="64"/>
      <c r="EO10" s="64"/>
      <c r="EP10" s="64"/>
    </row>
    <row r="11" spans="1:146" x14ac:dyDescent="0.35">
      <c r="A11" s="49" t="str">
        <v>Cruise-Ridehailing</v>
      </c>
      <c r="B11" s="48" t="str" cm="1">
        <f t="array" ref="B11">_xlfn.TEXTJOIN(";",TRUE,IF(ANNOUNCEMENTS!$AH$2:$AH$180=A11,ANNOUNCEMENTS!$K$2:$K$180,""))</f>
        <v>GM;Microsoft</v>
      </c>
      <c r="C11" s="55" t="s">
        <v>1954</v>
      </c>
      <c r="D11" s="55" t="s">
        <v>872</v>
      </c>
      <c r="E11" s="55"/>
      <c r="F11" s="55"/>
      <c r="G11" s="55"/>
      <c r="H11" s="55"/>
      <c r="I11" s="55"/>
      <c r="J11" s="55"/>
      <c r="K11" s="55"/>
      <c r="L11" s="55"/>
      <c r="M11" s="55"/>
      <c r="N11" s="55"/>
      <c r="O11" s="55"/>
      <c r="P11" s="55"/>
      <c r="Q11" s="55"/>
      <c r="R11" s="55"/>
      <c r="S11" s="55"/>
      <c r="T11" s="55"/>
      <c r="V11" s="56" t="str">
        <f>IF(ISERROR(VLOOKUP(C11,CBIMPORT!$A$2:$B$171,2,FALSE)),0,VLOOKUP(C11,CBIMPORT!$A$2:$B$171,2,FALSE))</f>
        <v>OEM</v>
      </c>
      <c r="W11" s="56" t="str">
        <f>IF(ISERROR(VLOOKUP(D11,CBIMPORT!$A$2:$B$171,2,FALSE)),0,VLOOKUP(D11,CBIMPORT!$A$2:$B$171,2,FALSE))</f>
        <v>Software Company</v>
      </c>
      <c r="X11" s="56">
        <f>IF(ISERROR(VLOOKUP(E11,CBIMPORT!$A$2:$B$171,2,FALSE)),0,VLOOKUP(E11,CBIMPORT!$A$2:$B$171,2,FALSE))</f>
        <v>0</v>
      </c>
      <c r="Y11" s="56">
        <f>IF(ISERROR(VLOOKUP(F11,CBIMPORT!$A$2:$B$171,2,FALSE)),0,VLOOKUP(F11,CBIMPORT!$A$2:$B$171,2,FALSE))</f>
        <v>0</v>
      </c>
      <c r="Z11" s="56">
        <f>IF(ISERROR(VLOOKUP(G11,CBIMPORT!$A$2:$B$171,2,FALSE)),0,VLOOKUP(G11,CBIMPORT!$A$2:$B$171,2,FALSE))</f>
        <v>0</v>
      </c>
      <c r="AA11" s="56">
        <f>IF(ISERROR(VLOOKUP(H11,CBIMPORT!$A$2:$B$171,2,FALSE)),0,VLOOKUP(H11,CBIMPORT!$A$2:$B$171,2,FALSE))</f>
        <v>0</v>
      </c>
      <c r="AB11" s="56">
        <f>IF(ISERROR(VLOOKUP(I11,CBIMPORT!$A$2:$B$171,2,FALSE)),0,VLOOKUP(I11,CBIMPORT!$A$2:$B$171,2,FALSE))</f>
        <v>0</v>
      </c>
      <c r="AC11" s="56">
        <f>IF(ISERROR(VLOOKUP(J11,CBIMPORT!$A$2:$B$171,2,FALSE)),0,VLOOKUP(J11,CBIMPORT!$A$2:$B$171,2,FALSE))</f>
        <v>0</v>
      </c>
      <c r="AD11" s="56">
        <f>IF(ISERROR(VLOOKUP(K11,CBIMPORT!$A$2:$B$171,2,FALSE)),0,VLOOKUP(K11,CBIMPORT!$A$2:$B$171,2,FALSE))</f>
        <v>0</v>
      </c>
      <c r="AE11" s="56">
        <f>IF(ISERROR(VLOOKUP(L11,CBIMPORT!$A$2:$B$171,2,FALSE)),0,VLOOKUP(L11,CBIMPORT!$A$2:$B$171,2,FALSE))</f>
        <v>0</v>
      </c>
      <c r="AF11" s="56">
        <f>IF(ISERROR(VLOOKUP(M11,CBIMPORT!$A$2:$B$171,2,FALSE)),0,VLOOKUP(M11,CBIMPORT!$A$2:$B$171,2,FALSE))</f>
        <v>0</v>
      </c>
      <c r="AG11" s="56">
        <f>IF(ISERROR(VLOOKUP(N11,CBIMPORT!$A$2:$B$171,2,FALSE)),0,VLOOKUP(N11,CBIMPORT!$A$2:$B$171,2,FALSE))</f>
        <v>0</v>
      </c>
      <c r="AH11" s="56">
        <f>IF(ISERROR(VLOOKUP(O11,CBIMPORT!$A$2:$B$171,2,FALSE)),0,VLOOKUP(O11,CBIMPORT!$A$2:$B$171,2,FALSE))</f>
        <v>0</v>
      </c>
      <c r="AI11" s="56">
        <f>IF(ISERROR(VLOOKUP(P11,CBIMPORT!$A$2:$B$171,2,FALSE)),0,VLOOKUP(P11,CBIMPORT!$A$2:$B$171,2,FALSE))</f>
        <v>0</v>
      </c>
      <c r="AJ11" s="56">
        <f>IF(ISERROR(VLOOKUP(Q11,CBIMPORT!$A$2:$B$171,2,FALSE)),0,VLOOKUP(Q11,CBIMPORT!$A$2:$B$171,2,FALSE))</f>
        <v>0</v>
      </c>
      <c r="AK11" s="56">
        <f>IF(ISERROR(VLOOKUP(R11,CBIMPORT!$A$2:$B$171,2,FALSE)),0,VLOOKUP(R11,CBIMPORT!$A$2:$B$171,2,FALSE))</f>
        <v>0</v>
      </c>
      <c r="AL11" s="56">
        <f>IF(ISERROR(VLOOKUP(S11,CBIMPORT!$A$2:$B$171,2,FALSE)),0,VLOOKUP(S11,CBIMPORT!$A$2:$B$171,2,FALSE))</f>
        <v>0</v>
      </c>
      <c r="AM11" s="60">
        <f t="shared" si="35"/>
        <v>0</v>
      </c>
      <c r="AN11" s="60">
        <f t="shared" si="36"/>
        <v>0</v>
      </c>
      <c r="AO11" s="60">
        <f t="shared" si="36"/>
        <v>0</v>
      </c>
      <c r="AP11" s="60">
        <f t="shared" si="36"/>
        <v>0</v>
      </c>
      <c r="AQ11" s="60">
        <f t="shared" si="36"/>
        <v>0</v>
      </c>
      <c r="AR11" s="60">
        <f t="shared" si="36"/>
        <v>0</v>
      </c>
      <c r="AS11" s="60">
        <f t="shared" si="36"/>
        <v>0</v>
      </c>
      <c r="AT11" s="60">
        <f t="shared" si="36"/>
        <v>0</v>
      </c>
      <c r="AU11" s="60">
        <f t="shared" si="36"/>
        <v>0</v>
      </c>
      <c r="AV11" s="60">
        <f t="shared" si="36"/>
        <v>0</v>
      </c>
      <c r="AW11" s="60">
        <f t="shared" si="36"/>
        <v>0</v>
      </c>
      <c r="AX11" s="60">
        <f t="shared" si="37"/>
        <v>0</v>
      </c>
      <c r="AY11" s="60">
        <f t="shared" si="37"/>
        <v>0</v>
      </c>
      <c r="AZ11" s="60">
        <f t="shared" si="37"/>
        <v>0</v>
      </c>
      <c r="BA11" s="60">
        <f t="shared" si="37"/>
        <v>0</v>
      </c>
      <c r="BB11" s="60">
        <f t="shared" si="37"/>
        <v>0</v>
      </c>
      <c r="BC11" s="60">
        <f t="shared" si="37"/>
        <v>0</v>
      </c>
      <c r="BD11" s="60">
        <f t="shared" si="37"/>
        <v>0</v>
      </c>
      <c r="BE11" s="60">
        <f t="shared" si="37"/>
        <v>1</v>
      </c>
      <c r="BF11" s="60">
        <f t="shared" si="37"/>
        <v>0</v>
      </c>
      <c r="BG11" s="60">
        <f t="shared" si="37"/>
        <v>0</v>
      </c>
      <c r="BH11" s="60">
        <f t="shared" si="38"/>
        <v>0</v>
      </c>
      <c r="BI11" s="60">
        <f t="shared" si="38"/>
        <v>0</v>
      </c>
      <c r="BJ11" s="60">
        <f t="shared" si="38"/>
        <v>0</v>
      </c>
      <c r="BK11" s="60">
        <f t="shared" si="38"/>
        <v>0</v>
      </c>
      <c r="BL11" s="60">
        <f t="shared" si="38"/>
        <v>0</v>
      </c>
      <c r="BM11" s="60">
        <f t="shared" si="38"/>
        <v>1</v>
      </c>
      <c r="BN11" s="60">
        <f t="shared" si="38"/>
        <v>0</v>
      </c>
      <c r="BO11" s="60">
        <f t="shared" si="38"/>
        <v>0</v>
      </c>
      <c r="BP11" s="60">
        <f t="shared" si="38"/>
        <v>0</v>
      </c>
      <c r="BQ11" s="60">
        <f t="shared" si="38"/>
        <v>0</v>
      </c>
      <c r="BR11" s="60">
        <f t="shared" si="39"/>
        <v>0</v>
      </c>
      <c r="BS11" s="60">
        <f t="shared" si="39"/>
        <v>0</v>
      </c>
      <c r="BT11" s="60">
        <f t="shared" si="39"/>
        <v>0</v>
      </c>
      <c r="BU11" s="60">
        <f t="shared" si="39"/>
        <v>0</v>
      </c>
      <c r="BV11" s="60">
        <f t="shared" si="39"/>
        <v>0</v>
      </c>
      <c r="BW11" s="60"/>
      <c r="BX11" s="63">
        <f t="shared" si="40"/>
        <v>0</v>
      </c>
      <c r="BY11" s="63">
        <f t="shared" si="1"/>
        <v>0</v>
      </c>
      <c r="BZ11" s="63">
        <f t="shared" si="1"/>
        <v>0</v>
      </c>
      <c r="CA11" s="63">
        <f t="shared" si="2"/>
        <v>0</v>
      </c>
      <c r="CB11" s="63">
        <f t="shared" si="3"/>
        <v>0</v>
      </c>
      <c r="CC11" s="63">
        <f t="shared" si="4"/>
        <v>0</v>
      </c>
      <c r="CD11" s="63">
        <f t="shared" si="5"/>
        <v>0</v>
      </c>
      <c r="CE11" s="63">
        <f t="shared" si="6"/>
        <v>0</v>
      </c>
      <c r="CF11" s="63">
        <f t="shared" si="7"/>
        <v>0</v>
      </c>
      <c r="CG11" s="63">
        <f t="shared" si="8"/>
        <v>0</v>
      </c>
      <c r="CH11" s="63">
        <f t="shared" si="9"/>
        <v>0</v>
      </c>
      <c r="CI11" s="63">
        <f t="shared" si="10"/>
        <v>0</v>
      </c>
      <c r="CJ11" s="63">
        <f t="shared" si="11"/>
        <v>0</v>
      </c>
      <c r="CK11" s="63">
        <f t="shared" si="12"/>
        <v>0</v>
      </c>
      <c r="CL11" s="63">
        <f t="shared" si="13"/>
        <v>0</v>
      </c>
      <c r="CM11" s="63">
        <f t="shared" si="14"/>
        <v>0</v>
      </c>
      <c r="CN11" s="63">
        <f t="shared" si="15"/>
        <v>0</v>
      </c>
      <c r="CO11" s="63">
        <f t="shared" si="16"/>
        <v>0</v>
      </c>
      <c r="CP11" s="63">
        <f t="shared" si="17"/>
        <v>0.5</v>
      </c>
      <c r="CQ11" s="63">
        <f t="shared" si="18"/>
        <v>0</v>
      </c>
      <c r="CR11" s="63">
        <f t="shared" si="19"/>
        <v>0</v>
      </c>
      <c r="CS11" s="63">
        <f t="shared" si="20"/>
        <v>0</v>
      </c>
      <c r="CT11" s="63">
        <f t="shared" si="21"/>
        <v>0</v>
      </c>
      <c r="CU11" s="63">
        <f t="shared" si="22"/>
        <v>0</v>
      </c>
      <c r="CV11" s="63">
        <f t="shared" si="23"/>
        <v>0</v>
      </c>
      <c r="CW11" s="63">
        <f t="shared" si="24"/>
        <v>0</v>
      </c>
      <c r="CX11" s="63">
        <f t="shared" si="25"/>
        <v>0.5</v>
      </c>
      <c r="CY11" s="63">
        <f t="shared" si="26"/>
        <v>0</v>
      </c>
      <c r="CZ11" s="63">
        <f t="shared" si="27"/>
        <v>0</v>
      </c>
      <c r="DA11" s="63">
        <f t="shared" si="28"/>
        <v>0</v>
      </c>
      <c r="DB11" s="63">
        <f t="shared" si="29"/>
        <v>0</v>
      </c>
      <c r="DC11" s="63">
        <f t="shared" si="30"/>
        <v>0</v>
      </c>
      <c r="DD11" s="63">
        <f t="shared" si="31"/>
        <v>0</v>
      </c>
      <c r="DE11" s="63">
        <f t="shared" si="32"/>
        <v>0</v>
      </c>
      <c r="DF11" s="63">
        <f t="shared" si="33"/>
        <v>0</v>
      </c>
      <c r="DG11" s="63">
        <f t="shared" si="34"/>
        <v>0</v>
      </c>
      <c r="DH11" s="57" t="str" cm="1">
        <f t="array" ref="DH11">INDEX(_xlfn.ANCHORARRAY($BX$2),0,MATCH(LARGE($BX11:$DG11,1),$BX11:$DG11,0))</f>
        <v>OEM</v>
      </c>
      <c r="DI11" s="58">
        <f>LARGE('Industries all mentioned partne'!$BX11:$DG11,1)</f>
        <v>0.5</v>
      </c>
      <c r="DJ11" s="57" t="str" cm="1">
        <f t="array" ref="DJ11">IF(DI11&lt;&gt;100%,INDEX(_xlfn.ANCHORARRAY($BX$2),0,MATCH(LARGE($BX11:$DG11,2),$BX11:$DG11,0)),"")</f>
        <v>OEM</v>
      </c>
      <c r="DK11" s="58">
        <f>IF(DI11&lt;&gt;100%,LARGE('Industries all mentioned partne'!$BX11:$DG11,2),"")</f>
        <v>0.5</v>
      </c>
      <c r="DL11" s="57" t="str" cm="1">
        <f t="array" ref="DL11">IF(DM11="","",INDEX(_xlfn.ANCHORARRAY($BX$2),0,MATCH(LARGE($BX11:$DG11,3),$BX11:$DG11,0)))</f>
        <v/>
      </c>
      <c r="DM11" s="110" t="str">
        <f>IF(LARGE('Industries all mentioned partne'!$BX11:$DG11,3)=0%,"",LARGE('Industries all mentioned partne'!$BX11:$DG11,3))</f>
        <v/>
      </c>
      <c r="DN11" s="52">
        <f>IF(ISTEXT(C11)=TRUE,VLOOKUP(C11,CBIMPORT!$A$2:$AL$171,38,FALSE),"")</f>
        <v>0</v>
      </c>
      <c r="DO11" s="52">
        <f>IF(ISTEXT(D11)=TRUE,VLOOKUP(D11,CBIMPORT!$A$2:$AL$171,38,FALSE),"")</f>
        <v>1</v>
      </c>
      <c r="DP11" s="52" t="str">
        <f>IF(ISTEXT(E11)=TRUE,VLOOKUP(E11,CBIMPORT!$A$2:$AL$171,38,FALSE),"")</f>
        <v/>
      </c>
      <c r="DQ11" s="52" t="str">
        <f>IF(ISTEXT(F11)=TRUE,VLOOKUP(F11,CBIMPORT!$A$2:$AL$171,38,FALSE),"")</f>
        <v/>
      </c>
      <c r="DR11" s="52" t="str">
        <f>IF(ISTEXT(G11)=TRUE,VLOOKUP(G11,CBIMPORT!$A$2:$AL$171,38,FALSE),"")</f>
        <v/>
      </c>
      <c r="DS11" s="52" t="str">
        <f>IF(ISTEXT(H11)=TRUE,VLOOKUP(H11,CBIMPORT!$A$2:$AL$171,38,FALSE),"")</f>
        <v/>
      </c>
      <c r="DT11" s="52" t="str">
        <f>IF(ISTEXT(I11)=TRUE,VLOOKUP(I11,CBIMPORT!$A$2:$AL$171,38,FALSE),"")</f>
        <v/>
      </c>
      <c r="DU11" s="52" t="str">
        <f>IF(ISTEXT(J11)=TRUE,VLOOKUP(J11,CBIMPORT!$A$2:$AL$171,38,FALSE),"")</f>
        <v/>
      </c>
      <c r="DV11" s="52" t="str">
        <f>IF(ISTEXT(K11)=TRUE,VLOOKUP(K11,CBIMPORT!$A$2:$AL$171,38,FALSE),"")</f>
        <v/>
      </c>
      <c r="DW11" s="52" t="str">
        <f>IF(ISTEXT(L11)=TRUE,VLOOKUP(L11,CBIMPORT!$A$2:$AL$171,38,FALSE),"")</f>
        <v/>
      </c>
      <c r="DX11" s="52" t="str">
        <f>IF(ISTEXT(M11)=TRUE,VLOOKUP(M11,CBIMPORT!$A$2:$AL$171,38,FALSE),"")</f>
        <v/>
      </c>
      <c r="DY11" s="52" t="str">
        <f>IF(ISTEXT(N11)=TRUE,VLOOKUP(N11,CBIMPORT!$A$2:$AL$171,38,FALSE),"")</f>
        <v/>
      </c>
      <c r="DZ11" s="52" t="str">
        <f>IF(ISTEXT(O11)=TRUE,VLOOKUP(O11,CBIMPORT!$A$2:$AL$171,38,FALSE),"")</f>
        <v/>
      </c>
      <c r="EA11" s="52" t="str">
        <f>IF(ISTEXT(P11)=TRUE,VLOOKUP(P11,CBIMPORT!$A$2:$AL$171,38,FALSE),"")</f>
        <v/>
      </c>
      <c r="EB11" s="52" t="str">
        <f>IF(ISTEXT(Q11)=TRUE,VLOOKUP(Q11,CBIMPORT!$A$2:$AL$171,38,FALSE),"")</f>
        <v/>
      </c>
      <c r="EC11" s="52" t="str">
        <f>IF(ISTEXT(R11)=TRUE,VLOOKUP(R11,CBIMPORT!$A$2:$AL$171,38,FALSE),"")</f>
        <v/>
      </c>
      <c r="ED11" s="52" t="str">
        <f>IF(ISTEXT(S11)=TRUE,VLOOKUP(S11,CBIMPORT!$A$2:$AL$171,38,FALSE),"")</f>
        <v/>
      </c>
      <c r="EE11" s="52" t="str">
        <f>IF(ISTEXT(T11)=TRUE,VLOOKUP(T11,CBIMPORT!$A$2:$AL$171,38,FALSE),"")</f>
        <v/>
      </c>
      <c r="EF11" s="64" t="str">
        <f>IF(ISTEXT(U11)=TRUE,VLOOKUP(U11,CBIMPORT!$A$2:$AL$171,38,FALSE),"")</f>
        <v/>
      </c>
      <c r="EG11" s="64"/>
      <c r="EH11" s="64"/>
      <c r="EI11" s="64"/>
      <c r="EJ11" s="64"/>
      <c r="EK11" s="64"/>
      <c r="EL11" s="64"/>
      <c r="EM11" s="64"/>
      <c r="EN11" s="64"/>
      <c r="EO11" s="64"/>
      <c r="EP11" s="64"/>
    </row>
    <row r="12" spans="1:146" x14ac:dyDescent="0.35">
      <c r="A12" s="49" t="str">
        <v>EasyMile-Other</v>
      </c>
      <c r="B12" s="48" t="str" cm="1">
        <f t="array" ref="B12">_xlfn.TEXTJOIN(";",TRUE,IF(ANNOUNCEMENTS!$AH$2:$AH$180=A12,ANNOUNCEMENTS!$K$2:$K$180,""))</f>
        <v/>
      </c>
      <c r="C12" s="55"/>
      <c r="D12" s="55"/>
      <c r="E12" s="55"/>
      <c r="F12" s="55"/>
      <c r="G12" s="55"/>
      <c r="H12" s="55"/>
      <c r="I12" s="55"/>
      <c r="J12" s="55"/>
      <c r="K12" s="55"/>
      <c r="L12" s="55"/>
      <c r="M12" s="55"/>
      <c r="N12" s="55"/>
      <c r="O12" s="55"/>
      <c r="P12" s="55"/>
      <c r="Q12" s="55"/>
      <c r="R12" s="55"/>
      <c r="S12" s="55"/>
      <c r="T12" s="55"/>
      <c r="V12" s="56">
        <f>IF(ISERROR(VLOOKUP(C12,CBIMPORT!$A$2:$B$171,2,FALSE)),0,VLOOKUP(C12,CBIMPORT!$A$2:$B$171,2,FALSE))</f>
        <v>0</v>
      </c>
      <c r="W12" s="56">
        <f>IF(ISERROR(VLOOKUP(D12,CBIMPORT!$A$2:$B$171,2,FALSE)),0,VLOOKUP(D12,CBIMPORT!$A$2:$B$171,2,FALSE))</f>
        <v>0</v>
      </c>
      <c r="X12" s="56">
        <f>IF(ISERROR(VLOOKUP(E12,CBIMPORT!$A$2:$B$171,2,FALSE)),0,VLOOKUP(E12,CBIMPORT!$A$2:$B$171,2,FALSE))</f>
        <v>0</v>
      </c>
      <c r="Y12" s="56">
        <f>IF(ISERROR(VLOOKUP(F12,CBIMPORT!$A$2:$B$171,2,FALSE)),0,VLOOKUP(F12,CBIMPORT!$A$2:$B$171,2,FALSE))</f>
        <v>0</v>
      </c>
      <c r="Z12" s="56">
        <f>IF(ISERROR(VLOOKUP(G12,CBIMPORT!$A$2:$B$171,2,FALSE)),0,VLOOKUP(G12,CBIMPORT!$A$2:$B$171,2,FALSE))</f>
        <v>0</v>
      </c>
      <c r="AA12" s="56">
        <f>IF(ISERROR(VLOOKUP(H12,CBIMPORT!$A$2:$B$171,2,FALSE)),0,VLOOKUP(H12,CBIMPORT!$A$2:$B$171,2,FALSE))</f>
        <v>0</v>
      </c>
      <c r="AB12" s="56">
        <f>IF(ISERROR(VLOOKUP(I12,CBIMPORT!$A$2:$B$171,2,FALSE)),0,VLOOKUP(I12,CBIMPORT!$A$2:$B$171,2,FALSE))</f>
        <v>0</v>
      </c>
      <c r="AC12" s="56">
        <f>IF(ISERROR(VLOOKUP(J12,CBIMPORT!$A$2:$B$171,2,FALSE)),0,VLOOKUP(J12,CBIMPORT!$A$2:$B$171,2,FALSE))</f>
        <v>0</v>
      </c>
      <c r="AD12" s="56">
        <f>IF(ISERROR(VLOOKUP(K12,CBIMPORT!$A$2:$B$171,2,FALSE)),0,VLOOKUP(K12,CBIMPORT!$A$2:$B$171,2,FALSE))</f>
        <v>0</v>
      </c>
      <c r="AE12" s="56">
        <f>IF(ISERROR(VLOOKUP(L12,CBIMPORT!$A$2:$B$171,2,FALSE)),0,VLOOKUP(L12,CBIMPORT!$A$2:$B$171,2,FALSE))</f>
        <v>0</v>
      </c>
      <c r="AF12" s="56">
        <f>IF(ISERROR(VLOOKUP(M12,CBIMPORT!$A$2:$B$171,2,FALSE)),0,VLOOKUP(M12,CBIMPORT!$A$2:$B$171,2,FALSE))</f>
        <v>0</v>
      </c>
      <c r="AG12" s="56">
        <f>IF(ISERROR(VLOOKUP(N12,CBIMPORT!$A$2:$B$171,2,FALSE)),0,VLOOKUP(N12,CBIMPORT!$A$2:$B$171,2,FALSE))</f>
        <v>0</v>
      </c>
      <c r="AH12" s="56">
        <f>IF(ISERROR(VLOOKUP(O12,CBIMPORT!$A$2:$B$171,2,FALSE)),0,VLOOKUP(O12,CBIMPORT!$A$2:$B$171,2,FALSE))</f>
        <v>0</v>
      </c>
      <c r="AI12" s="56">
        <f>IF(ISERROR(VLOOKUP(P12,CBIMPORT!$A$2:$B$171,2,FALSE)),0,VLOOKUP(P12,CBIMPORT!$A$2:$B$171,2,FALSE))</f>
        <v>0</v>
      </c>
      <c r="AJ12" s="56">
        <f>IF(ISERROR(VLOOKUP(Q12,CBIMPORT!$A$2:$B$171,2,FALSE)),0,VLOOKUP(Q12,CBIMPORT!$A$2:$B$171,2,FALSE))</f>
        <v>0</v>
      </c>
      <c r="AK12" s="56">
        <f>IF(ISERROR(VLOOKUP(R12,CBIMPORT!$A$2:$B$171,2,FALSE)),0,VLOOKUP(R12,CBIMPORT!$A$2:$B$171,2,FALSE))</f>
        <v>0</v>
      </c>
      <c r="AL12" s="56">
        <f>IF(ISERROR(VLOOKUP(S12,CBIMPORT!$A$2:$B$171,2,FALSE)),0,VLOOKUP(S12,CBIMPORT!$A$2:$B$171,2,FALSE))</f>
        <v>0</v>
      </c>
      <c r="AM12" s="60">
        <f t="shared" si="35"/>
        <v>0</v>
      </c>
      <c r="AN12" s="60">
        <f t="shared" si="36"/>
        <v>0</v>
      </c>
      <c r="AO12" s="60">
        <f t="shared" si="36"/>
        <v>0</v>
      </c>
      <c r="AP12" s="60">
        <f t="shared" si="36"/>
        <v>0</v>
      </c>
      <c r="AQ12" s="60">
        <f t="shared" si="36"/>
        <v>0</v>
      </c>
      <c r="AR12" s="60">
        <f t="shared" si="36"/>
        <v>0</v>
      </c>
      <c r="AS12" s="60">
        <f t="shared" si="36"/>
        <v>0</v>
      </c>
      <c r="AT12" s="60">
        <f t="shared" si="36"/>
        <v>0</v>
      </c>
      <c r="AU12" s="60">
        <f t="shared" si="36"/>
        <v>0</v>
      </c>
      <c r="AV12" s="60">
        <f t="shared" si="36"/>
        <v>0</v>
      </c>
      <c r="AW12" s="60">
        <f t="shared" si="36"/>
        <v>0</v>
      </c>
      <c r="AX12" s="60">
        <f t="shared" si="37"/>
        <v>0</v>
      </c>
      <c r="AY12" s="60">
        <f t="shared" si="37"/>
        <v>0</v>
      </c>
      <c r="AZ12" s="60">
        <f t="shared" si="37"/>
        <v>0</v>
      </c>
      <c r="BA12" s="60">
        <f t="shared" si="37"/>
        <v>0</v>
      </c>
      <c r="BB12" s="60">
        <f t="shared" si="37"/>
        <v>0</v>
      </c>
      <c r="BC12" s="60">
        <f t="shared" si="37"/>
        <v>0</v>
      </c>
      <c r="BD12" s="60">
        <f t="shared" si="37"/>
        <v>0</v>
      </c>
      <c r="BE12" s="60">
        <f t="shared" si="37"/>
        <v>0</v>
      </c>
      <c r="BF12" s="60">
        <f t="shared" si="37"/>
        <v>0</v>
      </c>
      <c r="BG12" s="60">
        <f t="shared" si="37"/>
        <v>0</v>
      </c>
      <c r="BH12" s="60">
        <f t="shared" si="38"/>
        <v>0</v>
      </c>
      <c r="BI12" s="60">
        <f t="shared" si="38"/>
        <v>0</v>
      </c>
      <c r="BJ12" s="60">
        <f t="shared" si="38"/>
        <v>0</v>
      </c>
      <c r="BK12" s="60">
        <f t="shared" si="38"/>
        <v>0</v>
      </c>
      <c r="BL12" s="60">
        <f t="shared" si="38"/>
        <v>0</v>
      </c>
      <c r="BM12" s="60">
        <f t="shared" si="38"/>
        <v>0</v>
      </c>
      <c r="BN12" s="60">
        <f t="shared" si="38"/>
        <v>0</v>
      </c>
      <c r="BO12" s="60">
        <f t="shared" si="38"/>
        <v>0</v>
      </c>
      <c r="BP12" s="60">
        <f t="shared" si="38"/>
        <v>0</v>
      </c>
      <c r="BQ12" s="60">
        <f t="shared" si="38"/>
        <v>0</v>
      </c>
      <c r="BR12" s="60">
        <f t="shared" si="39"/>
        <v>0</v>
      </c>
      <c r="BS12" s="60">
        <f t="shared" si="39"/>
        <v>0</v>
      </c>
      <c r="BT12" s="60">
        <f t="shared" si="39"/>
        <v>0</v>
      </c>
      <c r="BU12" s="60">
        <f t="shared" si="39"/>
        <v>0</v>
      </c>
      <c r="BV12" s="60">
        <f t="shared" si="39"/>
        <v>0</v>
      </c>
      <c r="BW12" s="60"/>
      <c r="BX12" s="63">
        <f t="shared" si="40"/>
        <v>0</v>
      </c>
      <c r="BY12" s="63">
        <f t="shared" si="1"/>
        <v>0</v>
      </c>
      <c r="BZ12" s="63">
        <f t="shared" si="1"/>
        <v>0</v>
      </c>
      <c r="CA12" s="63">
        <f t="shared" si="2"/>
        <v>0</v>
      </c>
      <c r="CB12" s="63">
        <f t="shared" si="3"/>
        <v>0</v>
      </c>
      <c r="CC12" s="63">
        <f t="shared" si="4"/>
        <v>0</v>
      </c>
      <c r="CD12" s="63">
        <f t="shared" si="5"/>
        <v>0</v>
      </c>
      <c r="CE12" s="63">
        <f t="shared" si="6"/>
        <v>0</v>
      </c>
      <c r="CF12" s="63">
        <f t="shared" si="7"/>
        <v>0</v>
      </c>
      <c r="CG12" s="63">
        <f t="shared" si="8"/>
        <v>0</v>
      </c>
      <c r="CH12" s="63">
        <f t="shared" si="9"/>
        <v>0</v>
      </c>
      <c r="CI12" s="63">
        <f t="shared" si="10"/>
        <v>0</v>
      </c>
      <c r="CJ12" s="63">
        <f t="shared" si="11"/>
        <v>0</v>
      </c>
      <c r="CK12" s="63">
        <f t="shared" si="12"/>
        <v>0</v>
      </c>
      <c r="CL12" s="63">
        <f t="shared" si="13"/>
        <v>0</v>
      </c>
      <c r="CM12" s="63">
        <f t="shared" si="14"/>
        <v>0</v>
      </c>
      <c r="CN12" s="63">
        <f t="shared" si="15"/>
        <v>0</v>
      </c>
      <c r="CO12" s="63">
        <f t="shared" si="16"/>
        <v>0</v>
      </c>
      <c r="CP12" s="63">
        <f t="shared" si="17"/>
        <v>0</v>
      </c>
      <c r="CQ12" s="63">
        <f t="shared" si="18"/>
        <v>0</v>
      </c>
      <c r="CR12" s="63">
        <f t="shared" si="19"/>
        <v>0</v>
      </c>
      <c r="CS12" s="63">
        <f t="shared" si="20"/>
        <v>0</v>
      </c>
      <c r="CT12" s="63">
        <f t="shared" si="21"/>
        <v>0</v>
      </c>
      <c r="CU12" s="63">
        <f t="shared" si="22"/>
        <v>0</v>
      </c>
      <c r="CV12" s="63">
        <f t="shared" si="23"/>
        <v>0</v>
      </c>
      <c r="CW12" s="63">
        <f t="shared" si="24"/>
        <v>0</v>
      </c>
      <c r="CX12" s="63">
        <f t="shared" si="25"/>
        <v>0</v>
      </c>
      <c r="CY12" s="63">
        <f t="shared" si="26"/>
        <v>0</v>
      </c>
      <c r="CZ12" s="63">
        <f t="shared" si="27"/>
        <v>0</v>
      </c>
      <c r="DA12" s="63">
        <f t="shared" si="28"/>
        <v>0</v>
      </c>
      <c r="DB12" s="63">
        <f t="shared" si="29"/>
        <v>0</v>
      </c>
      <c r="DC12" s="63">
        <f t="shared" si="30"/>
        <v>0</v>
      </c>
      <c r="DD12" s="63">
        <f t="shared" si="31"/>
        <v>0</v>
      </c>
      <c r="DE12" s="63">
        <f t="shared" si="32"/>
        <v>0</v>
      </c>
      <c r="DF12" s="63">
        <f t="shared" si="33"/>
        <v>0</v>
      </c>
      <c r="DG12" s="63">
        <f t="shared" si="34"/>
        <v>0</v>
      </c>
      <c r="DH12" s="57" t="str" cm="1">
        <f t="array" ref="DH12">INDEX(_xlfn.ANCHORARRAY($BX$2),0,MATCH(LARGE($BX12:$DG12,1),$BX12:$DG12,0))</f>
        <v>Autonomous Vehicles</v>
      </c>
      <c r="DI12" s="58">
        <f>LARGE('Industries all mentioned partne'!$BX12:$DG12,1)</f>
        <v>0</v>
      </c>
      <c r="DJ12" s="57" t="str" cm="1">
        <f t="array" ref="DJ12">IF(DI12&lt;&gt;100%,INDEX(_xlfn.ANCHORARRAY($BX$2),0,MATCH(LARGE($BX12:$DG12,2),$BX12:$DG12,0)),"")</f>
        <v>Autonomous Vehicles</v>
      </c>
      <c r="DK12" s="58">
        <f>IF(DI12&lt;&gt;100%,LARGE('Industries all mentioned partne'!$BX12:$DG12,2),"")</f>
        <v>0</v>
      </c>
      <c r="DL12" s="57" t="str" cm="1">
        <f t="array" ref="DL12">IF(DM12="","",INDEX(_xlfn.ANCHORARRAY($BX$2),0,MATCH(LARGE($BX12:$DG12,3),$BX12:$DG12,0)))</f>
        <v/>
      </c>
      <c r="DM12" s="110" t="str">
        <f>IF(LARGE('Industries all mentioned partne'!$BX12:$DG12,3)=0%,"",LARGE('Industries all mentioned partne'!$BX12:$DG12,3))</f>
        <v/>
      </c>
      <c r="DN12" s="52" t="str">
        <f>IF(ISTEXT(C12)=TRUE,VLOOKUP(C12,CBIMPORT!$A$2:$AL$171,38,FALSE),"")</f>
        <v/>
      </c>
      <c r="DO12" s="52" t="str">
        <f>IF(ISTEXT(D12)=TRUE,VLOOKUP(D12,CBIMPORT!$A$2:$AL$171,38,FALSE),"")</f>
        <v/>
      </c>
      <c r="DP12" s="52" t="str">
        <f>IF(ISTEXT(E12)=TRUE,VLOOKUP(E12,CBIMPORT!$A$2:$AL$171,38,FALSE),"")</f>
        <v/>
      </c>
      <c r="DQ12" s="52" t="str">
        <f>IF(ISTEXT(F12)=TRUE,VLOOKUP(F12,CBIMPORT!$A$2:$AL$171,38,FALSE),"")</f>
        <v/>
      </c>
      <c r="DR12" s="52" t="str">
        <f>IF(ISTEXT(G12)=TRUE,VLOOKUP(G12,CBIMPORT!$A$2:$AL$171,38,FALSE),"")</f>
        <v/>
      </c>
      <c r="DS12" s="52" t="str">
        <f>IF(ISTEXT(H12)=TRUE,VLOOKUP(H12,CBIMPORT!$A$2:$AL$171,38,FALSE),"")</f>
        <v/>
      </c>
      <c r="DT12" s="52" t="str">
        <f>IF(ISTEXT(I12)=TRUE,VLOOKUP(I12,CBIMPORT!$A$2:$AL$171,38,FALSE),"")</f>
        <v/>
      </c>
      <c r="DU12" s="52" t="str">
        <f>IF(ISTEXT(J12)=TRUE,VLOOKUP(J12,CBIMPORT!$A$2:$AL$171,38,FALSE),"")</f>
        <v/>
      </c>
      <c r="DV12" s="52" t="str">
        <f>IF(ISTEXT(K12)=TRUE,VLOOKUP(K12,CBIMPORT!$A$2:$AL$171,38,FALSE),"")</f>
        <v/>
      </c>
      <c r="DW12" s="52" t="str">
        <f>IF(ISTEXT(L12)=TRUE,VLOOKUP(L12,CBIMPORT!$A$2:$AL$171,38,FALSE),"")</f>
        <v/>
      </c>
      <c r="DX12" s="52" t="str">
        <f>IF(ISTEXT(M12)=TRUE,VLOOKUP(M12,CBIMPORT!$A$2:$AL$171,38,FALSE),"")</f>
        <v/>
      </c>
      <c r="DY12" s="52" t="str">
        <f>IF(ISTEXT(N12)=TRUE,VLOOKUP(N12,CBIMPORT!$A$2:$AL$171,38,FALSE),"")</f>
        <v/>
      </c>
      <c r="DZ12" s="52" t="str">
        <f>IF(ISTEXT(O12)=TRUE,VLOOKUP(O12,CBIMPORT!$A$2:$AL$171,38,FALSE),"")</f>
        <v/>
      </c>
      <c r="EA12" s="52" t="str">
        <f>IF(ISTEXT(P12)=TRUE,VLOOKUP(P12,CBIMPORT!$A$2:$AL$171,38,FALSE),"")</f>
        <v/>
      </c>
      <c r="EB12" s="52" t="str">
        <f>IF(ISTEXT(Q12)=TRUE,VLOOKUP(Q12,CBIMPORT!$A$2:$AL$171,38,FALSE),"")</f>
        <v/>
      </c>
      <c r="EC12" s="52" t="str">
        <f>IF(ISTEXT(R12)=TRUE,VLOOKUP(R12,CBIMPORT!$A$2:$AL$171,38,FALSE),"")</f>
        <v/>
      </c>
      <c r="ED12" s="52" t="str">
        <f>IF(ISTEXT(S12)=TRUE,VLOOKUP(S12,CBIMPORT!$A$2:$AL$171,38,FALSE),"")</f>
        <v/>
      </c>
      <c r="EE12" s="52" t="str">
        <f>IF(ISTEXT(T12)=TRUE,VLOOKUP(T12,CBIMPORT!$A$2:$AL$171,38,FALSE),"")</f>
        <v/>
      </c>
      <c r="EF12" s="64" t="str">
        <f>IF(ISTEXT(U12)=TRUE,VLOOKUP(U12,CBIMPORT!$A$2:$AL$171,38,FALSE),"")</f>
        <v/>
      </c>
      <c r="EG12" s="64"/>
      <c r="EH12" s="64"/>
      <c r="EI12" s="64"/>
      <c r="EJ12" s="64"/>
      <c r="EK12" s="64"/>
      <c r="EL12" s="64"/>
      <c r="EM12" s="64"/>
      <c r="EN12" s="64"/>
      <c r="EO12" s="64"/>
      <c r="EP12" s="64"/>
    </row>
    <row r="13" spans="1:146" x14ac:dyDescent="0.35">
      <c r="A13" s="49" t="str">
        <v>EasyMile-Ridepooling</v>
      </c>
      <c r="B13" s="48" t="str" cm="1">
        <f t="array" ref="B13">_xlfn.TEXTJOIN(";",TRUE,IF(ANNOUNCEMENTS!$AH$2:$AH$180=A13,ANNOUNCEMENTS!$K$2:$K$180,""))</f>
        <v>TrustInSoft;Continental;Sono Motors;Phoenix Motorcars;Continental;Shanghai Jiading Industrial Zone;Kalray</v>
      </c>
      <c r="C13" s="55" t="s">
        <v>568</v>
      </c>
      <c r="D13" s="55" t="s">
        <v>515</v>
      </c>
      <c r="E13" s="55" t="s">
        <v>768</v>
      </c>
      <c r="F13" s="55" t="s">
        <v>798</v>
      </c>
      <c r="G13" s="55" t="s">
        <v>515</v>
      </c>
      <c r="H13" s="55" t="s">
        <v>1980</v>
      </c>
      <c r="I13" s="55" t="s">
        <v>853</v>
      </c>
      <c r="J13" s="55"/>
      <c r="K13" s="55"/>
      <c r="L13" s="55"/>
      <c r="M13" s="55"/>
      <c r="N13" s="55"/>
      <c r="O13" s="55"/>
      <c r="P13" s="55"/>
      <c r="Q13" s="55"/>
      <c r="R13" s="55"/>
      <c r="S13" s="55"/>
      <c r="T13" s="55"/>
      <c r="V13" s="56" t="str">
        <f>IF(ISERROR(VLOOKUP(C13,CBIMPORT!$A$2:$B$171,2,FALSE)),0,VLOOKUP(C13,CBIMPORT!$A$2:$B$171,2,FALSE))</f>
        <v>Cyber Security</v>
      </c>
      <c r="W13" s="56" t="str">
        <f>IF(ISERROR(VLOOKUP(D13,CBIMPORT!$A$2:$B$171,2,FALSE)),0,VLOOKUP(D13,CBIMPORT!$A$2:$B$171,2,FALSE))</f>
        <v>Automotive Supplier</v>
      </c>
      <c r="X13" s="56" t="str">
        <f>IF(ISERROR(VLOOKUP(E13,CBIMPORT!$A$2:$B$171,2,FALSE)),0,VLOOKUP(E13,CBIMPORT!$A$2:$B$171,2,FALSE))</f>
        <v>OEM</v>
      </c>
      <c r="Y13" s="56" t="str">
        <f>IF(ISERROR(VLOOKUP(F13,CBIMPORT!$A$2:$B$171,2,FALSE)),0,VLOOKUP(F13,CBIMPORT!$A$2:$B$171,2,FALSE))</f>
        <v>OEM Commercial Vehicles</v>
      </c>
      <c r="Z13" s="56" t="str">
        <f>IF(ISERROR(VLOOKUP(G13,CBIMPORT!$A$2:$B$171,2,FALSE)),0,VLOOKUP(G13,CBIMPORT!$A$2:$B$171,2,FALSE))</f>
        <v>Automotive Supplier</v>
      </c>
      <c r="AA13" s="56" t="str">
        <f>IF(ISERROR(VLOOKUP(H13,CBIMPORT!$A$2:$B$171,2,FALSE)),0,VLOOKUP(H13,CBIMPORT!$A$2:$B$171,2,FALSE))</f>
        <v>Mobility Project</v>
      </c>
      <c r="AB13" s="56" t="str">
        <f>IF(ISERROR(VLOOKUP(I13,CBIMPORT!$A$2:$B$171,2,FALSE)),0,VLOOKUP(I13,CBIMPORT!$A$2:$B$171,2,FALSE))</f>
        <v>Semiconductor</v>
      </c>
      <c r="AC13" s="56">
        <f>IF(ISERROR(VLOOKUP(J13,CBIMPORT!$A$2:$B$171,2,FALSE)),0,VLOOKUP(J13,CBIMPORT!$A$2:$B$171,2,FALSE))</f>
        <v>0</v>
      </c>
      <c r="AD13" s="56">
        <f>IF(ISERROR(VLOOKUP(K13,CBIMPORT!$A$2:$B$171,2,FALSE)),0,VLOOKUP(K13,CBIMPORT!$A$2:$B$171,2,FALSE))</f>
        <v>0</v>
      </c>
      <c r="AE13" s="56">
        <f>IF(ISERROR(VLOOKUP(L13,CBIMPORT!$A$2:$B$171,2,FALSE)),0,VLOOKUP(L13,CBIMPORT!$A$2:$B$171,2,FALSE))</f>
        <v>0</v>
      </c>
      <c r="AF13" s="56">
        <f>IF(ISERROR(VLOOKUP(M13,CBIMPORT!$A$2:$B$171,2,FALSE)),0,VLOOKUP(M13,CBIMPORT!$A$2:$B$171,2,FALSE))</f>
        <v>0</v>
      </c>
      <c r="AG13" s="56">
        <f>IF(ISERROR(VLOOKUP(N13,CBIMPORT!$A$2:$B$171,2,FALSE)),0,VLOOKUP(N13,CBIMPORT!$A$2:$B$171,2,FALSE))</f>
        <v>0</v>
      </c>
      <c r="AH13" s="56">
        <f>IF(ISERROR(VLOOKUP(O13,CBIMPORT!$A$2:$B$171,2,FALSE)),0,VLOOKUP(O13,CBIMPORT!$A$2:$B$171,2,FALSE))</f>
        <v>0</v>
      </c>
      <c r="AI13" s="56">
        <f>IF(ISERROR(VLOOKUP(P13,CBIMPORT!$A$2:$B$171,2,FALSE)),0,VLOOKUP(P13,CBIMPORT!$A$2:$B$171,2,FALSE))</f>
        <v>0</v>
      </c>
      <c r="AJ13" s="56">
        <f>IF(ISERROR(VLOOKUP(Q13,CBIMPORT!$A$2:$B$171,2,FALSE)),0,VLOOKUP(Q13,CBIMPORT!$A$2:$B$171,2,FALSE))</f>
        <v>0</v>
      </c>
      <c r="AK13" s="56">
        <f>IF(ISERROR(VLOOKUP(R13,CBIMPORT!$A$2:$B$171,2,FALSE)),0,VLOOKUP(R13,CBIMPORT!$A$2:$B$171,2,FALSE))</f>
        <v>0</v>
      </c>
      <c r="AL13" s="56">
        <f>IF(ISERROR(VLOOKUP(S13,CBIMPORT!$A$2:$B$171,2,FALSE)),0,VLOOKUP(S13,CBIMPORT!$A$2:$B$171,2,FALSE))</f>
        <v>0</v>
      </c>
      <c r="AM13" s="60">
        <f t="shared" si="35"/>
        <v>0</v>
      </c>
      <c r="AN13" s="60">
        <f t="shared" ref="AN13:AW22" si="41">COUNTIF($V13:$AL13,AN$2)</f>
        <v>1</v>
      </c>
      <c r="AO13" s="60">
        <f t="shared" si="41"/>
        <v>0</v>
      </c>
      <c r="AP13" s="60">
        <f t="shared" si="41"/>
        <v>0</v>
      </c>
      <c r="AQ13" s="60">
        <f t="shared" si="41"/>
        <v>0</v>
      </c>
      <c r="AR13" s="60">
        <f t="shared" si="41"/>
        <v>0</v>
      </c>
      <c r="AS13" s="60">
        <f t="shared" si="41"/>
        <v>0</v>
      </c>
      <c r="AT13" s="60">
        <f t="shared" si="41"/>
        <v>0</v>
      </c>
      <c r="AU13" s="60">
        <f t="shared" si="41"/>
        <v>1</v>
      </c>
      <c r="AV13" s="60">
        <f t="shared" si="41"/>
        <v>0</v>
      </c>
      <c r="AW13" s="60">
        <f t="shared" si="41"/>
        <v>0</v>
      </c>
      <c r="AX13" s="60">
        <f t="shared" ref="AX13:BG22" si="42">COUNTIF($V13:$AL13,AX$2)</f>
        <v>0</v>
      </c>
      <c r="AY13" s="60">
        <f t="shared" si="42"/>
        <v>0</v>
      </c>
      <c r="AZ13" s="60">
        <f t="shared" si="42"/>
        <v>2</v>
      </c>
      <c r="BA13" s="60">
        <f t="shared" si="42"/>
        <v>0</v>
      </c>
      <c r="BB13" s="60">
        <f t="shared" si="42"/>
        <v>0</v>
      </c>
      <c r="BC13" s="60">
        <f t="shared" si="42"/>
        <v>0</v>
      </c>
      <c r="BD13" s="60">
        <f t="shared" si="42"/>
        <v>0</v>
      </c>
      <c r="BE13" s="60">
        <f t="shared" si="42"/>
        <v>1</v>
      </c>
      <c r="BF13" s="60">
        <f t="shared" si="42"/>
        <v>0</v>
      </c>
      <c r="BG13" s="60">
        <f t="shared" si="42"/>
        <v>0</v>
      </c>
      <c r="BH13" s="60">
        <f t="shared" ref="BH13:BQ22" si="43">COUNTIF($V13:$AL13,BH$2)</f>
        <v>0</v>
      </c>
      <c r="BI13" s="60">
        <f t="shared" si="43"/>
        <v>0</v>
      </c>
      <c r="BJ13" s="60">
        <f t="shared" si="43"/>
        <v>1</v>
      </c>
      <c r="BK13" s="60">
        <f t="shared" si="43"/>
        <v>0</v>
      </c>
      <c r="BL13" s="60">
        <f t="shared" si="43"/>
        <v>0</v>
      </c>
      <c r="BM13" s="60">
        <f t="shared" si="43"/>
        <v>0</v>
      </c>
      <c r="BN13" s="60">
        <f t="shared" si="43"/>
        <v>1</v>
      </c>
      <c r="BO13" s="60">
        <f t="shared" si="43"/>
        <v>0</v>
      </c>
      <c r="BP13" s="60">
        <f t="shared" si="43"/>
        <v>0</v>
      </c>
      <c r="BQ13" s="60">
        <f t="shared" si="43"/>
        <v>0</v>
      </c>
      <c r="BR13" s="60">
        <f t="shared" ref="BR13:BV22" si="44">COUNTIF($V13:$AL13,BR$2)</f>
        <v>0</v>
      </c>
      <c r="BS13" s="60">
        <f t="shared" si="44"/>
        <v>0</v>
      </c>
      <c r="BT13" s="60">
        <f t="shared" si="44"/>
        <v>0</v>
      </c>
      <c r="BU13" s="60">
        <f t="shared" si="44"/>
        <v>0</v>
      </c>
      <c r="BV13" s="60">
        <f t="shared" si="44"/>
        <v>0</v>
      </c>
      <c r="BW13" s="60"/>
      <c r="BX13" s="63">
        <f t="shared" si="40"/>
        <v>0</v>
      </c>
      <c r="BY13" s="63">
        <f t="shared" si="1"/>
        <v>0.14285714285714285</v>
      </c>
      <c r="BZ13" s="63">
        <f t="shared" si="1"/>
        <v>0</v>
      </c>
      <c r="CA13" s="63">
        <f t="shared" si="2"/>
        <v>0</v>
      </c>
      <c r="CB13" s="63">
        <f t="shared" si="3"/>
        <v>0</v>
      </c>
      <c r="CC13" s="63">
        <f t="shared" si="4"/>
        <v>0</v>
      </c>
      <c r="CD13" s="63">
        <f t="shared" si="5"/>
        <v>0</v>
      </c>
      <c r="CE13" s="63">
        <f t="shared" si="6"/>
        <v>0</v>
      </c>
      <c r="CF13" s="63">
        <f t="shared" si="7"/>
        <v>0.14285714285714285</v>
      </c>
      <c r="CG13" s="63">
        <f t="shared" si="8"/>
        <v>0</v>
      </c>
      <c r="CH13" s="63">
        <f t="shared" si="9"/>
        <v>0</v>
      </c>
      <c r="CI13" s="63">
        <f t="shared" si="10"/>
        <v>0</v>
      </c>
      <c r="CJ13" s="63">
        <f t="shared" si="11"/>
        <v>0</v>
      </c>
      <c r="CK13" s="63">
        <f t="shared" si="12"/>
        <v>0.2857142857142857</v>
      </c>
      <c r="CL13" s="63">
        <f t="shared" si="13"/>
        <v>0</v>
      </c>
      <c r="CM13" s="63">
        <f t="shared" si="14"/>
        <v>0</v>
      </c>
      <c r="CN13" s="63">
        <f t="shared" si="15"/>
        <v>0</v>
      </c>
      <c r="CO13" s="63">
        <f t="shared" si="16"/>
        <v>0</v>
      </c>
      <c r="CP13" s="63">
        <f t="shared" si="17"/>
        <v>0.14285714285714285</v>
      </c>
      <c r="CQ13" s="63">
        <f t="shared" si="18"/>
        <v>0</v>
      </c>
      <c r="CR13" s="63">
        <f t="shared" si="19"/>
        <v>0</v>
      </c>
      <c r="CS13" s="63">
        <f t="shared" si="20"/>
        <v>0</v>
      </c>
      <c r="CT13" s="63">
        <f t="shared" si="21"/>
        <v>0</v>
      </c>
      <c r="CU13" s="63">
        <f t="shared" si="22"/>
        <v>0.14285714285714285</v>
      </c>
      <c r="CV13" s="63">
        <f t="shared" si="23"/>
        <v>0</v>
      </c>
      <c r="CW13" s="63">
        <f t="shared" si="24"/>
        <v>0</v>
      </c>
      <c r="CX13" s="63">
        <f t="shared" si="25"/>
        <v>0</v>
      </c>
      <c r="CY13" s="63">
        <f t="shared" si="26"/>
        <v>0.14285714285714285</v>
      </c>
      <c r="CZ13" s="63">
        <f t="shared" si="27"/>
        <v>0</v>
      </c>
      <c r="DA13" s="63">
        <f t="shared" si="28"/>
        <v>0</v>
      </c>
      <c r="DB13" s="63">
        <f t="shared" si="29"/>
        <v>0</v>
      </c>
      <c r="DC13" s="63">
        <f t="shared" si="30"/>
        <v>0</v>
      </c>
      <c r="DD13" s="63">
        <f t="shared" si="31"/>
        <v>0</v>
      </c>
      <c r="DE13" s="63">
        <f t="shared" si="32"/>
        <v>0</v>
      </c>
      <c r="DF13" s="63">
        <f t="shared" si="33"/>
        <v>0</v>
      </c>
      <c r="DG13" s="63">
        <f t="shared" si="34"/>
        <v>0</v>
      </c>
      <c r="DH13" s="57" t="str" cm="1">
        <f t="array" ref="DH13">INDEX(_xlfn.ANCHORARRAY($BX$2),0,MATCH(LARGE($BX13:$DG13,1),$BX13:$DG13,0))</f>
        <v>Automotive Supplier</v>
      </c>
      <c r="DI13" s="58">
        <f>LARGE('Industries all mentioned partne'!$BX13:$DG13,1)</f>
        <v>0.2857142857142857</v>
      </c>
      <c r="DJ13" s="57" t="str" cm="1">
        <f t="array" ref="DJ13">IF(DI13&lt;&gt;100%,INDEX(_xlfn.ANCHORARRAY($BX$2),0,MATCH(LARGE($BX13:$DG13,2),$BX13:$DG13,0)),"")</f>
        <v>OEM Commercial Vehicles</v>
      </c>
      <c r="DK13" s="58">
        <f>IF(DI13&lt;&gt;100%,LARGE('Industries all mentioned partne'!$BX13:$DG13,2),"")</f>
        <v>0.14285714285714285</v>
      </c>
      <c r="DL13" s="57" t="str" cm="1">
        <f t="array" ref="DL13">IF(DM13="","",INDEX(_xlfn.ANCHORARRAY($BX$2),0,MATCH(LARGE($BX13:$DG13,3),$BX13:$DG13,0)))</f>
        <v>OEM Commercial Vehicles</v>
      </c>
      <c r="DM13" s="110">
        <f>IF(LARGE('Industries all mentioned partne'!$BX13:$DG13,3)=0%,"",LARGE('Industries all mentioned partne'!$BX13:$DG13,3))</f>
        <v>0.14285714285714285</v>
      </c>
      <c r="DN13" s="52">
        <f>IF(ISTEXT(C13)=TRUE,VLOOKUP(C13,CBIMPORT!$A$2:$AL$171,38,FALSE),"")</f>
        <v>0</v>
      </c>
      <c r="DO13" s="52">
        <f>IF(ISTEXT(D13)=TRUE,VLOOKUP(D13,CBIMPORT!$A$2:$AL$171,38,FALSE),"")</f>
        <v>1</v>
      </c>
      <c r="DP13" s="52">
        <f>IF(ISTEXT(E13)=TRUE,VLOOKUP(E13,CBIMPORT!$A$2:$AL$171,38,FALSE),"")</f>
        <v>1</v>
      </c>
      <c r="DQ13" s="52">
        <f>IF(ISTEXT(F13)=TRUE,VLOOKUP(F13,CBIMPORT!$A$2:$AL$171,38,FALSE),"")</f>
        <v>1</v>
      </c>
      <c r="DR13" s="52">
        <f>IF(ISTEXT(G13)=TRUE,VLOOKUP(G13,CBIMPORT!$A$2:$AL$171,38,FALSE),"")</f>
        <v>1</v>
      </c>
      <c r="DS13" s="52">
        <f>IF(ISTEXT(H13)=TRUE,VLOOKUP(H13,CBIMPORT!$A$2:$AL$171,38,FALSE),"")</f>
        <v>0</v>
      </c>
      <c r="DT13" s="52">
        <f>IF(ISTEXT(I13)=TRUE,VLOOKUP(I13,CBIMPORT!$A$2:$AL$171,38,FALSE),"")</f>
        <v>1</v>
      </c>
      <c r="DU13" s="52" t="str">
        <f>IF(ISTEXT(J13)=TRUE,VLOOKUP(J13,CBIMPORT!$A$2:$AL$171,38,FALSE),"")</f>
        <v/>
      </c>
      <c r="DV13" s="52" t="str">
        <f>IF(ISTEXT(K13)=TRUE,VLOOKUP(K13,CBIMPORT!$A$2:$AL$171,38,FALSE),"")</f>
        <v/>
      </c>
      <c r="DW13" s="52" t="str">
        <f>IF(ISTEXT(L13)=TRUE,VLOOKUP(L13,CBIMPORT!$A$2:$AL$171,38,FALSE),"")</f>
        <v/>
      </c>
      <c r="DX13" s="52" t="str">
        <f>IF(ISTEXT(M13)=TRUE,VLOOKUP(M13,CBIMPORT!$A$2:$AL$171,38,FALSE),"")</f>
        <v/>
      </c>
      <c r="DY13" s="52" t="str">
        <f>IF(ISTEXT(N13)=TRUE,VLOOKUP(N13,CBIMPORT!$A$2:$AL$171,38,FALSE),"")</f>
        <v/>
      </c>
      <c r="DZ13" s="52" t="str">
        <f>IF(ISTEXT(O13)=TRUE,VLOOKUP(O13,CBIMPORT!$A$2:$AL$171,38,FALSE),"")</f>
        <v/>
      </c>
      <c r="EA13" s="52" t="str">
        <f>IF(ISTEXT(P13)=TRUE,VLOOKUP(P13,CBIMPORT!$A$2:$AL$171,38,FALSE),"")</f>
        <v/>
      </c>
      <c r="EB13" s="52" t="str">
        <f>IF(ISTEXT(Q13)=TRUE,VLOOKUP(Q13,CBIMPORT!$A$2:$AL$171,38,FALSE),"")</f>
        <v/>
      </c>
      <c r="EC13" s="52" t="str">
        <f>IF(ISTEXT(R13)=TRUE,VLOOKUP(R13,CBIMPORT!$A$2:$AL$171,38,FALSE),"")</f>
        <v/>
      </c>
      <c r="ED13" s="52" t="str">
        <f>IF(ISTEXT(S13)=TRUE,VLOOKUP(S13,CBIMPORT!$A$2:$AL$171,38,FALSE),"")</f>
        <v/>
      </c>
      <c r="EE13" s="52" t="str">
        <f>IF(ISTEXT(T13)=TRUE,VLOOKUP(T13,CBIMPORT!$A$2:$AL$171,38,FALSE),"")</f>
        <v/>
      </c>
      <c r="EF13" s="64" t="str">
        <f>IF(ISTEXT(U13)=TRUE,VLOOKUP(U13,CBIMPORT!$A$2:$AL$171,38,FALSE),"")</f>
        <v/>
      </c>
      <c r="EG13" s="64"/>
      <c r="EH13" s="64"/>
      <c r="EI13" s="64"/>
      <c r="EJ13" s="64"/>
      <c r="EK13" s="64"/>
      <c r="EL13" s="64"/>
      <c r="EM13" s="64"/>
      <c r="EN13" s="64"/>
      <c r="EO13" s="64"/>
      <c r="EP13" s="64"/>
    </row>
    <row r="14" spans="1:146" x14ac:dyDescent="0.35">
      <c r="A14" s="49" t="str">
        <v>Einride-Trucking</v>
      </c>
      <c r="B14" s="48" t="str" cm="1">
        <f t="array" ref="B14">_xlfn.TEXTJOIN(";",TRUE,IF(ANNOUNCEMENTS!$AH$2:$AH$180=A14,ANNOUNCEMENTS!$K$2:$K$180,""))</f>
        <v>Bridgestone;Ericsson;Bridgestone;SKF;Svenska Retursystem;Polarrenen;Ericsson;Telia;Oatly;Electrolux;Beyond Meat;Coca - Cola;UAE Ministry of Energy and Infrastructure;Oatly;GE Appliances;Lidl</v>
      </c>
      <c r="C14" s="55" t="s">
        <v>512</v>
      </c>
      <c r="D14" s="55" t="s">
        <v>652</v>
      </c>
      <c r="E14" s="55" t="s">
        <v>512</v>
      </c>
      <c r="F14" s="55" t="s">
        <v>648</v>
      </c>
      <c r="G14" s="55" t="s">
        <v>846</v>
      </c>
      <c r="H14" s="55" t="s">
        <v>1955</v>
      </c>
      <c r="I14" s="55" t="s">
        <v>652</v>
      </c>
      <c r="J14" s="55" t="s">
        <v>883</v>
      </c>
      <c r="K14" s="55" t="s">
        <v>615</v>
      </c>
      <c r="L14" s="55" t="s">
        <v>554</v>
      </c>
      <c r="M14" s="55" t="s">
        <v>605</v>
      </c>
      <c r="N14" s="55" t="s">
        <v>1956</v>
      </c>
      <c r="O14" s="55" t="s">
        <v>1957</v>
      </c>
      <c r="P14" s="55" t="s">
        <v>615</v>
      </c>
      <c r="Q14" s="55" t="s">
        <v>560</v>
      </c>
      <c r="R14" s="55" t="s">
        <v>833</v>
      </c>
      <c r="S14" s="55"/>
      <c r="T14" s="55"/>
      <c r="V14" s="56" t="str">
        <f>IF(ISERROR(VLOOKUP(C14,CBIMPORT!$A$2:$B$171,2,FALSE)),0,VLOOKUP(C14,CBIMPORT!$A$2:$B$171,2,FALSE))</f>
        <v>Automotive Supplier</v>
      </c>
      <c r="W14" s="56" t="str">
        <f>IF(ISERROR(VLOOKUP(D14,CBIMPORT!$A$2:$B$171,2,FALSE)),0,VLOOKUP(D14,CBIMPORT!$A$2:$B$171,2,FALSE))</f>
        <v>Telecommunications</v>
      </c>
      <c r="X14" s="56" t="str">
        <f>IF(ISERROR(VLOOKUP(E14,CBIMPORT!$A$2:$B$171,2,FALSE)),0,VLOOKUP(E14,CBIMPORT!$A$2:$B$171,2,FALSE))</f>
        <v>Automotive Supplier</v>
      </c>
      <c r="Y14" s="56" t="str">
        <f>IF(ISERROR(VLOOKUP(F14,CBIMPORT!$A$2:$B$171,2,FALSE)),0,VLOOKUP(F14,CBIMPORT!$A$2:$B$171,2,FALSE))</f>
        <v>Industrial</v>
      </c>
      <c r="Z14" s="56" t="str">
        <f>IF(ISERROR(VLOOKUP(G14,CBIMPORT!$A$2:$B$171,2,FALSE)),0,VLOOKUP(G14,CBIMPORT!$A$2:$B$171,2,FALSE))</f>
        <v>Logistics</v>
      </c>
      <c r="AA14" s="56" t="str">
        <f>IF(ISERROR(VLOOKUP(H14,CBIMPORT!$A$2:$B$171,2,FALSE)),0,VLOOKUP(H14,CBIMPORT!$A$2:$B$171,2,FALSE))</f>
        <v>Real estate</v>
      </c>
      <c r="AB14" s="56" t="str">
        <f>IF(ISERROR(VLOOKUP(I14,CBIMPORT!$A$2:$B$171,2,FALSE)),0,VLOOKUP(I14,CBIMPORT!$A$2:$B$171,2,FALSE))</f>
        <v>Telecommunications</v>
      </c>
      <c r="AC14" s="56" t="str">
        <f>IF(ISERROR(VLOOKUP(J14,CBIMPORT!$A$2:$B$171,2,FALSE)),0,VLOOKUP(J14,CBIMPORT!$A$2:$B$171,2,FALSE))</f>
        <v>Telecommunications</v>
      </c>
      <c r="AD14" s="56" t="str">
        <f>IF(ISERROR(VLOOKUP(K14,CBIMPORT!$A$2:$B$171,2,FALSE)),0,VLOOKUP(K14,CBIMPORT!$A$2:$B$171,2,FALSE))</f>
        <v>Food &amp; Beverage</v>
      </c>
      <c r="AE14" s="56" t="str">
        <f>IF(ISERROR(VLOOKUP(L14,CBIMPORT!$A$2:$B$171,2,FALSE)),0,VLOOKUP(L14,CBIMPORT!$A$2:$B$171,2,FALSE))</f>
        <v>Consumer Electronics</v>
      </c>
      <c r="AF14" s="56" t="str">
        <f>IF(ISERROR(VLOOKUP(M14,CBIMPORT!$A$2:$B$171,2,FALSE)),0,VLOOKUP(M14,CBIMPORT!$A$2:$B$171,2,FALSE))</f>
        <v>Food &amp; Beverage</v>
      </c>
      <c r="AG14" s="56" t="str">
        <f>IF(ISERROR(VLOOKUP(N14,CBIMPORT!$A$2:$B$171,2,FALSE)),0,VLOOKUP(N14,CBIMPORT!$A$2:$B$171,2,FALSE))</f>
        <v>Food &amp; Beverage</v>
      </c>
      <c r="AH14" s="56" t="str">
        <f>IF(ISERROR(VLOOKUP(O14,CBIMPORT!$A$2:$B$171,2,FALSE)),0,VLOOKUP(O14,CBIMPORT!$A$2:$B$171,2,FALSE))</f>
        <v>Transportation Authority</v>
      </c>
      <c r="AI14" s="56" t="str">
        <f>IF(ISERROR(VLOOKUP(P14,CBIMPORT!$A$2:$B$171,2,FALSE)),0,VLOOKUP(P14,CBIMPORT!$A$2:$B$171,2,FALSE))</f>
        <v>Food &amp; Beverage</v>
      </c>
      <c r="AJ14" s="56" t="str">
        <f>IF(ISERROR(VLOOKUP(Q14,CBIMPORT!$A$2:$B$171,2,FALSE)),0,VLOOKUP(Q14,CBIMPORT!$A$2:$B$171,2,FALSE))</f>
        <v>Consumer Electronics</v>
      </c>
      <c r="AK14" s="56" t="str">
        <f>IF(ISERROR(VLOOKUP(R14,CBIMPORT!$A$2:$B$171,2,FALSE)),0,VLOOKUP(R14,CBIMPORT!$A$2:$B$171,2,FALSE))</f>
        <v>Retail</v>
      </c>
      <c r="AL14" s="56">
        <f>IF(ISERROR(VLOOKUP(S14,CBIMPORT!$A$2:$B$171,2,FALSE)),0,VLOOKUP(S14,CBIMPORT!$A$2:$B$171,2,FALSE))</f>
        <v>0</v>
      </c>
      <c r="AM14" s="60">
        <f t="shared" si="35"/>
        <v>0</v>
      </c>
      <c r="AN14" s="60">
        <f t="shared" si="41"/>
        <v>0</v>
      </c>
      <c r="AO14" s="60">
        <f t="shared" si="41"/>
        <v>0</v>
      </c>
      <c r="AP14" s="60">
        <f t="shared" si="41"/>
        <v>0</v>
      </c>
      <c r="AQ14" s="60">
        <f t="shared" si="41"/>
        <v>0</v>
      </c>
      <c r="AR14" s="60">
        <f t="shared" si="41"/>
        <v>0</v>
      </c>
      <c r="AS14" s="60">
        <f t="shared" si="41"/>
        <v>1</v>
      </c>
      <c r="AT14" s="60">
        <f t="shared" si="41"/>
        <v>0</v>
      </c>
      <c r="AU14" s="60">
        <f t="shared" si="41"/>
        <v>0</v>
      </c>
      <c r="AV14" s="60">
        <f t="shared" si="41"/>
        <v>4</v>
      </c>
      <c r="AW14" s="60">
        <f t="shared" si="41"/>
        <v>0</v>
      </c>
      <c r="AX14" s="60">
        <f t="shared" si="42"/>
        <v>1</v>
      </c>
      <c r="AY14" s="60">
        <f t="shared" si="42"/>
        <v>0</v>
      </c>
      <c r="AZ14" s="60">
        <f t="shared" si="42"/>
        <v>2</v>
      </c>
      <c r="BA14" s="60">
        <f t="shared" si="42"/>
        <v>0</v>
      </c>
      <c r="BB14" s="60">
        <f t="shared" si="42"/>
        <v>0</v>
      </c>
      <c r="BC14" s="60">
        <f t="shared" si="42"/>
        <v>1</v>
      </c>
      <c r="BD14" s="60">
        <f t="shared" si="42"/>
        <v>0</v>
      </c>
      <c r="BE14" s="60">
        <f t="shared" si="42"/>
        <v>0</v>
      </c>
      <c r="BF14" s="60">
        <f t="shared" si="42"/>
        <v>2</v>
      </c>
      <c r="BG14" s="60">
        <f t="shared" si="42"/>
        <v>3</v>
      </c>
      <c r="BH14" s="60">
        <f t="shared" si="43"/>
        <v>0</v>
      </c>
      <c r="BI14" s="60">
        <f t="shared" si="43"/>
        <v>0</v>
      </c>
      <c r="BJ14" s="60">
        <f t="shared" si="43"/>
        <v>0</v>
      </c>
      <c r="BK14" s="60">
        <f t="shared" si="43"/>
        <v>0</v>
      </c>
      <c r="BL14" s="60">
        <f t="shared" si="43"/>
        <v>0</v>
      </c>
      <c r="BM14" s="60">
        <f t="shared" si="43"/>
        <v>0</v>
      </c>
      <c r="BN14" s="60">
        <f t="shared" si="43"/>
        <v>0</v>
      </c>
      <c r="BO14" s="60">
        <f t="shared" si="43"/>
        <v>0</v>
      </c>
      <c r="BP14" s="60">
        <f t="shared" si="43"/>
        <v>0</v>
      </c>
      <c r="BQ14" s="60">
        <f t="shared" si="43"/>
        <v>1</v>
      </c>
      <c r="BR14" s="60">
        <f t="shared" si="44"/>
        <v>0</v>
      </c>
      <c r="BS14" s="60">
        <f t="shared" si="44"/>
        <v>1</v>
      </c>
      <c r="BT14" s="60">
        <f t="shared" si="44"/>
        <v>0</v>
      </c>
      <c r="BU14" s="60">
        <f t="shared" si="44"/>
        <v>0</v>
      </c>
      <c r="BV14" s="60">
        <f t="shared" si="44"/>
        <v>0</v>
      </c>
      <c r="BW14" s="60"/>
      <c r="BX14" s="63">
        <f t="shared" si="40"/>
        <v>0</v>
      </c>
      <c r="BY14" s="63">
        <f t="shared" si="1"/>
        <v>0</v>
      </c>
      <c r="BZ14" s="63">
        <f t="shared" si="1"/>
        <v>0</v>
      </c>
      <c r="CA14" s="63">
        <f t="shared" si="2"/>
        <v>0</v>
      </c>
      <c r="CB14" s="63">
        <f t="shared" si="3"/>
        <v>0</v>
      </c>
      <c r="CC14" s="63">
        <f t="shared" si="4"/>
        <v>0</v>
      </c>
      <c r="CD14" s="63">
        <f t="shared" si="5"/>
        <v>6.25E-2</v>
      </c>
      <c r="CE14" s="63">
        <f t="shared" si="6"/>
        <v>0</v>
      </c>
      <c r="CF14" s="63">
        <f t="shared" si="7"/>
        <v>0</v>
      </c>
      <c r="CG14" s="63">
        <f t="shared" si="8"/>
        <v>0.25</v>
      </c>
      <c r="CH14" s="63">
        <f t="shared" si="9"/>
        <v>0</v>
      </c>
      <c r="CI14" s="63">
        <f t="shared" si="10"/>
        <v>6.25E-2</v>
      </c>
      <c r="CJ14" s="63">
        <f t="shared" si="11"/>
        <v>0</v>
      </c>
      <c r="CK14" s="63">
        <f t="shared" si="12"/>
        <v>0.125</v>
      </c>
      <c r="CL14" s="63">
        <f t="shared" si="13"/>
        <v>0</v>
      </c>
      <c r="CM14" s="63">
        <f t="shared" si="14"/>
        <v>0</v>
      </c>
      <c r="CN14" s="63">
        <f t="shared" si="15"/>
        <v>6.25E-2</v>
      </c>
      <c r="CO14" s="63">
        <f t="shared" si="16"/>
        <v>0</v>
      </c>
      <c r="CP14" s="63">
        <f t="shared" si="17"/>
        <v>0</v>
      </c>
      <c r="CQ14" s="63">
        <f t="shared" si="18"/>
        <v>0.125</v>
      </c>
      <c r="CR14" s="63">
        <f t="shared" si="19"/>
        <v>0.1875</v>
      </c>
      <c r="CS14" s="63">
        <f t="shared" si="20"/>
        <v>0</v>
      </c>
      <c r="CT14" s="63">
        <f t="shared" si="21"/>
        <v>0</v>
      </c>
      <c r="CU14" s="63">
        <f t="shared" si="22"/>
        <v>0</v>
      </c>
      <c r="CV14" s="63">
        <f t="shared" si="23"/>
        <v>0</v>
      </c>
      <c r="CW14" s="63">
        <f t="shared" si="24"/>
        <v>0</v>
      </c>
      <c r="CX14" s="63">
        <f t="shared" si="25"/>
        <v>0</v>
      </c>
      <c r="CY14" s="63">
        <f t="shared" si="26"/>
        <v>0</v>
      </c>
      <c r="CZ14" s="63">
        <f t="shared" si="27"/>
        <v>0</v>
      </c>
      <c r="DA14" s="63">
        <f t="shared" si="28"/>
        <v>0</v>
      </c>
      <c r="DB14" s="63">
        <f t="shared" si="29"/>
        <v>6.25E-2</v>
      </c>
      <c r="DC14" s="63">
        <f t="shared" si="30"/>
        <v>0</v>
      </c>
      <c r="DD14" s="63">
        <f t="shared" si="31"/>
        <v>6.25E-2</v>
      </c>
      <c r="DE14" s="63">
        <f t="shared" si="32"/>
        <v>0</v>
      </c>
      <c r="DF14" s="63">
        <f t="shared" si="33"/>
        <v>0</v>
      </c>
      <c r="DG14" s="63">
        <f t="shared" si="34"/>
        <v>0</v>
      </c>
      <c r="DH14" s="57" t="str" cm="1">
        <f t="array" ref="DH14">INDEX(_xlfn.ANCHORARRAY($BX$2),0,MATCH(LARGE($BX14:$DG14,1),$BX14:$DG14,0))</f>
        <v>Food &amp; Beverage</v>
      </c>
      <c r="DI14" s="58">
        <f>LARGE('Industries all mentioned partne'!$BX14:$DG14,1)</f>
        <v>0.25</v>
      </c>
      <c r="DJ14" s="57" t="str" cm="1">
        <f t="array" ref="DJ14">IF(DI14&lt;&gt;100%,INDEX(_xlfn.ANCHORARRAY($BX$2),0,MATCH(LARGE($BX14:$DG14,2),$BX14:$DG14,0)),"")</f>
        <v>Telecommunications</v>
      </c>
      <c r="DK14" s="58">
        <f>IF(DI14&lt;&gt;100%,LARGE('Industries all mentioned partne'!$BX14:$DG14,2),"")</f>
        <v>0.1875</v>
      </c>
      <c r="DL14" s="57" t="str" cm="1">
        <f t="array" ref="DL14">IF(DM14="","",INDEX(_xlfn.ANCHORARRAY($BX$2),0,MATCH(LARGE($BX14:$DG14,3),$BX14:$DG14,0)))</f>
        <v>Automotive Supplier</v>
      </c>
      <c r="DM14" s="110">
        <f>IF(LARGE('Industries all mentioned partne'!$BX14:$DG14,3)=0%,"",LARGE('Industries all mentioned partne'!$BX14:$DG14,3))</f>
        <v>0.125</v>
      </c>
      <c r="DN14" s="52">
        <f>IF(ISTEXT(C14)=TRUE,VLOOKUP(C14,CBIMPORT!$A$2:$AL$171,38,FALSE),"")</f>
        <v>1</v>
      </c>
      <c r="DO14" s="52">
        <f>IF(ISTEXT(D14)=TRUE,VLOOKUP(D14,CBIMPORT!$A$2:$AL$171,38,FALSE),"")</f>
        <v>1</v>
      </c>
      <c r="DP14" s="52">
        <f>IF(ISTEXT(E14)=TRUE,VLOOKUP(E14,CBIMPORT!$A$2:$AL$171,38,FALSE),"")</f>
        <v>1</v>
      </c>
      <c r="DQ14" s="52">
        <f>IF(ISTEXT(F14)=TRUE,VLOOKUP(F14,CBIMPORT!$A$2:$AL$171,38,FALSE),"")</f>
        <v>1</v>
      </c>
      <c r="DR14" s="52">
        <f>IF(ISTEXT(G14)=TRUE,VLOOKUP(G14,CBIMPORT!$A$2:$AL$171,38,FALSE),"")</f>
        <v>0</v>
      </c>
      <c r="DS14" s="52">
        <f>IF(ISTEXT(H14)=TRUE,VLOOKUP(H14,CBIMPORT!$A$2:$AL$171,38,FALSE),"")</f>
        <v>0</v>
      </c>
      <c r="DT14" s="52">
        <f>IF(ISTEXT(I14)=TRUE,VLOOKUP(I14,CBIMPORT!$A$2:$AL$171,38,FALSE),"")</f>
        <v>1</v>
      </c>
      <c r="DU14" s="52">
        <f>IF(ISTEXT(J14)=TRUE,VLOOKUP(J14,CBIMPORT!$A$2:$AL$171,38,FALSE),"")</f>
        <v>1</v>
      </c>
      <c r="DV14" s="52">
        <f>IF(ISTEXT(K14)=TRUE,VLOOKUP(K14,CBIMPORT!$A$2:$AL$171,38,FALSE),"")</f>
        <v>1</v>
      </c>
      <c r="DW14" s="52">
        <f>IF(ISTEXT(L14)=TRUE,VLOOKUP(L14,CBIMPORT!$A$2:$AL$171,38,FALSE),"")</f>
        <v>1</v>
      </c>
      <c r="DX14" s="52">
        <f>IF(ISTEXT(M14)=TRUE,VLOOKUP(M14,CBIMPORT!$A$2:$AL$171,38,FALSE),"")</f>
        <v>1</v>
      </c>
      <c r="DY14" s="52">
        <f>IF(ISTEXT(N14)=TRUE,VLOOKUP(N14,CBIMPORT!$A$2:$AL$171,38,FALSE),"")</f>
        <v>1</v>
      </c>
      <c r="DZ14" s="52">
        <f>IF(ISTEXT(O14)=TRUE,VLOOKUP(O14,CBIMPORT!$A$2:$AL$171,38,FALSE),"")</f>
        <v>0</v>
      </c>
      <c r="EA14" s="52">
        <f>IF(ISTEXT(P14)=TRUE,VLOOKUP(P14,CBIMPORT!$A$2:$AL$171,38,FALSE),"")</f>
        <v>1</v>
      </c>
      <c r="EB14" s="52">
        <f>IF(ISTEXT(Q14)=TRUE,VLOOKUP(Q14,CBIMPORT!$A$2:$AL$171,38,FALSE),"")</f>
        <v>0</v>
      </c>
      <c r="EC14" s="52">
        <f>IF(ISTEXT(R14)=TRUE,VLOOKUP(R14,CBIMPORT!$A$2:$AL$171,38,FALSE),"")</f>
        <v>0</v>
      </c>
      <c r="ED14" s="52" t="str">
        <f>IF(ISTEXT(S14)=TRUE,VLOOKUP(S14,CBIMPORT!$A$2:$AL$171,38,FALSE),"")</f>
        <v/>
      </c>
      <c r="EE14" s="52" t="str">
        <f>IF(ISTEXT(T14)=TRUE,VLOOKUP(T14,CBIMPORT!$A$2:$AL$171,38,FALSE),"")</f>
        <v/>
      </c>
      <c r="EF14" s="64" t="str">
        <f>IF(ISTEXT(U14)=TRUE,VLOOKUP(U14,CBIMPORT!$A$2:$AL$171,38,FALSE),"")</f>
        <v/>
      </c>
      <c r="EG14" s="64"/>
      <c r="EH14" s="64"/>
      <c r="EI14" s="64"/>
      <c r="EJ14" s="64"/>
      <c r="EK14" s="64"/>
      <c r="EL14" s="64"/>
      <c r="EM14" s="64"/>
      <c r="EN14" s="64"/>
      <c r="EO14" s="64"/>
      <c r="EP14" s="64"/>
    </row>
    <row r="15" spans="1:146" x14ac:dyDescent="0.35">
      <c r="A15" s="49" t="str">
        <v>Gatik-Trucking</v>
      </c>
      <c r="B15" s="48" t="str" cm="1">
        <f t="array" ref="B15">_xlfn.TEXTJOIN(";",TRUE,IF(ANNOUNCEMENTS!$AH$2:$AH$180=A15,ANNOUNCEMENTS!$K$2:$K$180,""))</f>
        <v>Goodyear;Ryder;Walmart;ChargePoint;Isuzu North America;Pitney Bowes;Kroger</v>
      </c>
      <c r="C15" s="55" t="s">
        <v>507</v>
      </c>
      <c r="D15" s="55" t="s">
        <v>700</v>
      </c>
      <c r="E15" s="55" t="s">
        <v>840</v>
      </c>
      <c r="F15" s="55" t="s">
        <v>1958</v>
      </c>
      <c r="G15" s="55" t="s">
        <v>1959</v>
      </c>
      <c r="H15" s="55" t="s">
        <v>710</v>
      </c>
      <c r="I15" s="55" t="s">
        <v>829</v>
      </c>
      <c r="J15" s="55"/>
      <c r="K15" s="55"/>
      <c r="L15" s="55"/>
      <c r="M15" s="55"/>
      <c r="N15" s="55"/>
      <c r="O15" s="55"/>
      <c r="P15" s="55"/>
      <c r="Q15" s="55"/>
      <c r="R15" s="55"/>
      <c r="S15" s="55"/>
      <c r="T15" s="55"/>
      <c r="V15" s="56" t="str">
        <f>IF(ISERROR(VLOOKUP(C15,CBIMPORT!$A$2:$B$171,2,FALSE)),0,VLOOKUP(C15,CBIMPORT!$A$2:$B$171,2,FALSE))</f>
        <v>Automotive Supplier</v>
      </c>
      <c r="W15" s="56" t="str">
        <f>IF(ISERROR(VLOOKUP(D15,CBIMPORT!$A$2:$B$171,2,FALSE)),0,VLOOKUP(D15,CBIMPORT!$A$2:$B$171,2,FALSE))</f>
        <v>Logistics</v>
      </c>
      <c r="X15" s="56" t="str">
        <f>IF(ISERROR(VLOOKUP(E15,CBIMPORT!$A$2:$B$171,2,FALSE)),0,VLOOKUP(E15,CBIMPORT!$A$2:$B$171,2,FALSE))</f>
        <v>Retail</v>
      </c>
      <c r="Y15" s="56" t="str">
        <f>IF(ISERROR(VLOOKUP(F15,CBIMPORT!$A$2:$B$171,2,FALSE)),0,VLOOKUP(F15,CBIMPORT!$A$2:$B$171,2,FALSE))</f>
        <v>Charging System</v>
      </c>
      <c r="Z15" s="56" t="str">
        <f>IF(ISERROR(VLOOKUP(G15,CBIMPORT!$A$2:$B$171,2,FALSE)),0,VLOOKUP(G15,CBIMPORT!$A$2:$B$171,2,FALSE))</f>
        <v>OEM Commercial Vehicles</v>
      </c>
      <c r="AA15" s="56" t="str">
        <f>IF(ISERROR(VLOOKUP(H15,CBIMPORT!$A$2:$B$171,2,FALSE)),0,VLOOKUP(H15,CBIMPORT!$A$2:$B$171,2,FALSE))</f>
        <v>Logistics</v>
      </c>
      <c r="AB15" s="56" t="str">
        <f>IF(ISERROR(VLOOKUP(I15,CBIMPORT!$A$2:$B$171,2,FALSE)),0,VLOOKUP(I15,CBIMPORT!$A$2:$B$171,2,FALSE))</f>
        <v>Retail</v>
      </c>
      <c r="AC15" s="56">
        <f>IF(ISERROR(VLOOKUP(J15,CBIMPORT!$A$2:$B$171,2,FALSE)),0,VLOOKUP(J15,CBIMPORT!$A$2:$B$171,2,FALSE))</f>
        <v>0</v>
      </c>
      <c r="AD15" s="56">
        <f>IF(ISERROR(VLOOKUP(K15,CBIMPORT!$A$2:$B$171,2,FALSE)),0,VLOOKUP(K15,CBIMPORT!$A$2:$B$171,2,FALSE))</f>
        <v>0</v>
      </c>
      <c r="AE15" s="56">
        <f>IF(ISERROR(VLOOKUP(L15,CBIMPORT!$A$2:$B$171,2,FALSE)),0,VLOOKUP(L15,CBIMPORT!$A$2:$B$171,2,FALSE))</f>
        <v>0</v>
      </c>
      <c r="AF15" s="56">
        <f>IF(ISERROR(VLOOKUP(M15,CBIMPORT!$A$2:$B$171,2,FALSE)),0,VLOOKUP(M15,CBIMPORT!$A$2:$B$171,2,FALSE))</f>
        <v>0</v>
      </c>
      <c r="AG15" s="56">
        <f>IF(ISERROR(VLOOKUP(N15,CBIMPORT!$A$2:$B$171,2,FALSE)),0,VLOOKUP(N15,CBIMPORT!$A$2:$B$171,2,FALSE))</f>
        <v>0</v>
      </c>
      <c r="AH15" s="56">
        <f>IF(ISERROR(VLOOKUP(O15,CBIMPORT!$A$2:$B$171,2,FALSE)),0,VLOOKUP(O15,CBIMPORT!$A$2:$B$171,2,FALSE))</f>
        <v>0</v>
      </c>
      <c r="AI15" s="56">
        <f>IF(ISERROR(VLOOKUP(P15,CBIMPORT!$A$2:$B$171,2,FALSE)),0,VLOOKUP(P15,CBIMPORT!$A$2:$B$171,2,FALSE))</f>
        <v>0</v>
      </c>
      <c r="AJ15" s="56">
        <f>IF(ISERROR(VLOOKUP(Q15,CBIMPORT!$A$2:$B$171,2,FALSE)),0,VLOOKUP(Q15,CBIMPORT!$A$2:$B$171,2,FALSE))</f>
        <v>0</v>
      </c>
      <c r="AK15" s="56">
        <f>IF(ISERROR(VLOOKUP(R15,CBIMPORT!$A$2:$B$171,2,FALSE)),0,VLOOKUP(R15,CBIMPORT!$A$2:$B$171,2,FALSE))</f>
        <v>0</v>
      </c>
      <c r="AL15" s="56">
        <f>IF(ISERROR(VLOOKUP(S15,CBIMPORT!$A$2:$B$171,2,FALSE)),0,VLOOKUP(S15,CBIMPORT!$A$2:$B$171,2,FALSE))</f>
        <v>0</v>
      </c>
      <c r="AM15" s="60">
        <f t="shared" si="35"/>
        <v>0</v>
      </c>
      <c r="AN15" s="60">
        <f t="shared" si="41"/>
        <v>1</v>
      </c>
      <c r="AO15" s="60">
        <f t="shared" si="41"/>
        <v>0</v>
      </c>
      <c r="AP15" s="60">
        <f t="shared" si="41"/>
        <v>0</v>
      </c>
      <c r="AQ15" s="60">
        <f t="shared" si="41"/>
        <v>0</v>
      </c>
      <c r="AR15" s="60">
        <f t="shared" si="41"/>
        <v>0</v>
      </c>
      <c r="AS15" s="60">
        <f t="shared" si="41"/>
        <v>2</v>
      </c>
      <c r="AT15" s="60">
        <f t="shared" si="41"/>
        <v>0</v>
      </c>
      <c r="AU15" s="60">
        <f t="shared" si="41"/>
        <v>0</v>
      </c>
      <c r="AV15" s="60">
        <f t="shared" si="41"/>
        <v>0</v>
      </c>
      <c r="AW15" s="60">
        <f t="shared" si="41"/>
        <v>0</v>
      </c>
      <c r="AX15" s="60">
        <f t="shared" si="42"/>
        <v>2</v>
      </c>
      <c r="AY15" s="60">
        <f t="shared" si="42"/>
        <v>0</v>
      </c>
      <c r="AZ15" s="60">
        <f t="shared" si="42"/>
        <v>1</v>
      </c>
      <c r="BA15" s="60">
        <f t="shared" si="42"/>
        <v>0</v>
      </c>
      <c r="BB15" s="60">
        <f t="shared" si="42"/>
        <v>1</v>
      </c>
      <c r="BC15" s="60">
        <f t="shared" si="42"/>
        <v>0</v>
      </c>
      <c r="BD15" s="60">
        <f t="shared" si="42"/>
        <v>0</v>
      </c>
      <c r="BE15" s="60">
        <f t="shared" si="42"/>
        <v>0</v>
      </c>
      <c r="BF15" s="60">
        <f t="shared" si="42"/>
        <v>0</v>
      </c>
      <c r="BG15" s="60">
        <f t="shared" si="42"/>
        <v>0</v>
      </c>
      <c r="BH15" s="60">
        <f t="shared" si="43"/>
        <v>0</v>
      </c>
      <c r="BI15" s="60">
        <f t="shared" si="43"/>
        <v>0</v>
      </c>
      <c r="BJ15" s="60">
        <f t="shared" si="43"/>
        <v>0</v>
      </c>
      <c r="BK15" s="60">
        <f t="shared" si="43"/>
        <v>0</v>
      </c>
      <c r="BL15" s="60">
        <f t="shared" si="43"/>
        <v>0</v>
      </c>
      <c r="BM15" s="60">
        <f t="shared" si="43"/>
        <v>0</v>
      </c>
      <c r="BN15" s="60">
        <f t="shared" si="43"/>
        <v>0</v>
      </c>
      <c r="BO15" s="60">
        <f t="shared" si="43"/>
        <v>0</v>
      </c>
      <c r="BP15" s="60">
        <f t="shared" si="43"/>
        <v>0</v>
      </c>
      <c r="BQ15" s="60">
        <f t="shared" si="43"/>
        <v>0</v>
      </c>
      <c r="BR15" s="60">
        <f t="shared" si="44"/>
        <v>0</v>
      </c>
      <c r="BS15" s="60">
        <f t="shared" si="44"/>
        <v>0</v>
      </c>
      <c r="BT15" s="60">
        <f t="shared" si="44"/>
        <v>0</v>
      </c>
      <c r="BU15" s="60">
        <f t="shared" si="44"/>
        <v>0</v>
      </c>
      <c r="BV15" s="60">
        <f t="shared" si="44"/>
        <v>0</v>
      </c>
      <c r="BW15" s="60"/>
      <c r="BX15" s="63">
        <f t="shared" si="40"/>
        <v>0</v>
      </c>
      <c r="BY15" s="63">
        <f t="shared" si="1"/>
        <v>0.14285714285714285</v>
      </c>
      <c r="BZ15" s="63">
        <f t="shared" si="1"/>
        <v>0</v>
      </c>
      <c r="CA15" s="63">
        <f t="shared" si="2"/>
        <v>0</v>
      </c>
      <c r="CB15" s="63">
        <f t="shared" si="3"/>
        <v>0</v>
      </c>
      <c r="CC15" s="63">
        <f t="shared" si="4"/>
        <v>0</v>
      </c>
      <c r="CD15" s="63">
        <f t="shared" si="5"/>
        <v>0.2857142857142857</v>
      </c>
      <c r="CE15" s="63">
        <f t="shared" si="6"/>
        <v>0</v>
      </c>
      <c r="CF15" s="63">
        <f t="shared" si="7"/>
        <v>0</v>
      </c>
      <c r="CG15" s="63">
        <f t="shared" si="8"/>
        <v>0</v>
      </c>
      <c r="CH15" s="63">
        <f t="shared" si="9"/>
        <v>0</v>
      </c>
      <c r="CI15" s="63">
        <f t="shared" si="10"/>
        <v>0.2857142857142857</v>
      </c>
      <c r="CJ15" s="63">
        <f t="shared" si="11"/>
        <v>0</v>
      </c>
      <c r="CK15" s="63">
        <f t="shared" si="12"/>
        <v>0.14285714285714285</v>
      </c>
      <c r="CL15" s="63">
        <f t="shared" si="13"/>
        <v>0</v>
      </c>
      <c r="CM15" s="63">
        <f t="shared" si="14"/>
        <v>0.14285714285714285</v>
      </c>
      <c r="CN15" s="63">
        <f t="shared" si="15"/>
        <v>0</v>
      </c>
      <c r="CO15" s="63">
        <f t="shared" si="16"/>
        <v>0</v>
      </c>
      <c r="CP15" s="63">
        <f t="shared" si="17"/>
        <v>0</v>
      </c>
      <c r="CQ15" s="63">
        <f t="shared" si="18"/>
        <v>0</v>
      </c>
      <c r="CR15" s="63">
        <f t="shared" si="19"/>
        <v>0</v>
      </c>
      <c r="CS15" s="63">
        <f t="shared" si="20"/>
        <v>0</v>
      </c>
      <c r="CT15" s="63">
        <f t="shared" si="21"/>
        <v>0</v>
      </c>
      <c r="CU15" s="63">
        <f t="shared" si="22"/>
        <v>0</v>
      </c>
      <c r="CV15" s="63">
        <f t="shared" si="23"/>
        <v>0</v>
      </c>
      <c r="CW15" s="63">
        <f t="shared" si="24"/>
        <v>0</v>
      </c>
      <c r="CX15" s="63">
        <f t="shared" si="25"/>
        <v>0</v>
      </c>
      <c r="CY15" s="63">
        <f t="shared" si="26"/>
        <v>0</v>
      </c>
      <c r="CZ15" s="63">
        <f t="shared" si="27"/>
        <v>0</v>
      </c>
      <c r="DA15" s="63">
        <f t="shared" si="28"/>
        <v>0</v>
      </c>
      <c r="DB15" s="63">
        <f t="shared" si="29"/>
        <v>0</v>
      </c>
      <c r="DC15" s="63">
        <f t="shared" si="30"/>
        <v>0</v>
      </c>
      <c r="DD15" s="63">
        <f t="shared" si="31"/>
        <v>0</v>
      </c>
      <c r="DE15" s="63">
        <f t="shared" si="32"/>
        <v>0</v>
      </c>
      <c r="DF15" s="63">
        <f t="shared" si="33"/>
        <v>0</v>
      </c>
      <c r="DG15" s="63">
        <f t="shared" si="34"/>
        <v>0</v>
      </c>
      <c r="DH15" s="57" t="str" cm="1">
        <f t="array" ref="DH15">INDEX(_xlfn.ANCHORARRAY($BX$2),0,MATCH(LARGE($BX15:$DG15,1),$BX15:$DG15,0))</f>
        <v>Logistics</v>
      </c>
      <c r="DI15" s="58">
        <f>LARGE('Industries all mentioned partne'!$BX15:$DG15,1)</f>
        <v>0.2857142857142857</v>
      </c>
      <c r="DJ15" s="57" t="str" cm="1">
        <f t="array" ref="DJ15">IF(DI15&lt;&gt;100%,INDEX(_xlfn.ANCHORARRAY($BX$2),0,MATCH(LARGE($BX15:$DG15,2),$BX15:$DG15,0)),"")</f>
        <v>Logistics</v>
      </c>
      <c r="DK15" s="58">
        <f>IF(DI15&lt;&gt;100%,LARGE('Industries all mentioned partne'!$BX15:$DG15,2),"")</f>
        <v>0.2857142857142857</v>
      </c>
      <c r="DL15" s="57" t="str" cm="1">
        <f t="array" ref="DL15">IF(DM15="","",INDEX(_xlfn.ANCHORARRAY($BX$2),0,MATCH(LARGE($BX15:$DG15,3),$BX15:$DG15,0)))</f>
        <v>OEM Commercial Vehicles</v>
      </c>
      <c r="DM15" s="110">
        <f>IF(LARGE('Industries all mentioned partne'!$BX15:$DG15,3)=0%,"",LARGE('Industries all mentioned partne'!$BX15:$DG15,3))</f>
        <v>0.14285714285714285</v>
      </c>
      <c r="DN15" s="52">
        <f>IF(ISTEXT(C15)=TRUE,VLOOKUP(C15,CBIMPORT!$A$2:$AL$171,38,FALSE),"")</f>
        <v>0</v>
      </c>
      <c r="DO15" s="52">
        <f>IF(ISTEXT(D15)=TRUE,VLOOKUP(D15,CBIMPORT!$A$2:$AL$171,38,FALSE),"")</f>
        <v>1</v>
      </c>
      <c r="DP15" s="52">
        <f>IF(ISTEXT(E15)=TRUE,VLOOKUP(E15,CBIMPORT!$A$2:$AL$171,38,FALSE),"")</f>
        <v>1</v>
      </c>
      <c r="DQ15" s="52">
        <f>IF(ISTEXT(F15)=TRUE,VLOOKUP(F15,CBIMPORT!$A$2:$AL$171,38,FALSE),"")</f>
        <v>0</v>
      </c>
      <c r="DR15" s="52">
        <f>IF(ISTEXT(G15)=TRUE,VLOOKUP(G15,CBIMPORT!$A$2:$AL$171,38,FALSE),"")</f>
        <v>0</v>
      </c>
      <c r="DS15" s="52">
        <f>IF(ISTEXT(H15)=TRUE,VLOOKUP(H15,CBIMPORT!$A$2:$AL$171,38,FALSE),"")</f>
        <v>1</v>
      </c>
      <c r="DT15" s="52">
        <f>IF(ISTEXT(I15)=TRUE,VLOOKUP(I15,CBIMPORT!$A$2:$AL$171,38,FALSE),"")</f>
        <v>1</v>
      </c>
      <c r="DU15" s="52" t="str">
        <f>IF(ISTEXT(J15)=TRUE,VLOOKUP(J15,CBIMPORT!$A$2:$AL$171,38,FALSE),"")</f>
        <v/>
      </c>
      <c r="DV15" s="52" t="str">
        <f>IF(ISTEXT(K15)=TRUE,VLOOKUP(K15,CBIMPORT!$A$2:$AL$171,38,FALSE),"")</f>
        <v/>
      </c>
      <c r="DW15" s="52" t="str">
        <f>IF(ISTEXT(L15)=TRUE,VLOOKUP(L15,CBIMPORT!$A$2:$AL$171,38,FALSE),"")</f>
        <v/>
      </c>
      <c r="DX15" s="52" t="str">
        <f>IF(ISTEXT(M15)=TRUE,VLOOKUP(M15,CBIMPORT!$A$2:$AL$171,38,FALSE),"")</f>
        <v/>
      </c>
      <c r="DY15" s="52" t="str">
        <f>IF(ISTEXT(N15)=TRUE,VLOOKUP(N15,CBIMPORT!$A$2:$AL$171,38,FALSE),"")</f>
        <v/>
      </c>
      <c r="DZ15" s="52" t="str">
        <f>IF(ISTEXT(O15)=TRUE,VLOOKUP(O15,CBIMPORT!$A$2:$AL$171,38,FALSE),"")</f>
        <v/>
      </c>
      <c r="EA15" s="52" t="str">
        <f>IF(ISTEXT(P15)=TRUE,VLOOKUP(P15,CBIMPORT!$A$2:$AL$171,38,FALSE),"")</f>
        <v/>
      </c>
      <c r="EB15" s="52" t="str">
        <f>IF(ISTEXT(Q15)=TRUE,VLOOKUP(Q15,CBIMPORT!$A$2:$AL$171,38,FALSE),"")</f>
        <v/>
      </c>
      <c r="EC15" s="52" t="str">
        <f>IF(ISTEXT(R15)=TRUE,VLOOKUP(R15,CBIMPORT!$A$2:$AL$171,38,FALSE),"")</f>
        <v/>
      </c>
      <c r="ED15" s="52" t="str">
        <f>IF(ISTEXT(S15)=TRUE,VLOOKUP(S15,CBIMPORT!$A$2:$AL$171,38,FALSE),"")</f>
        <v/>
      </c>
      <c r="EE15" s="52" t="str">
        <f>IF(ISTEXT(T15)=TRUE,VLOOKUP(T15,CBIMPORT!$A$2:$AL$171,38,FALSE),"")</f>
        <v/>
      </c>
      <c r="EF15" s="64" t="str">
        <f>IF(ISTEXT(U15)=TRUE,VLOOKUP(U15,CBIMPORT!$A$2:$AL$171,38,FALSE),"")</f>
        <v/>
      </c>
      <c r="EG15" s="64"/>
      <c r="EH15" s="64"/>
      <c r="EI15" s="64"/>
      <c r="EJ15" s="64"/>
      <c r="EK15" s="64"/>
      <c r="EL15" s="64"/>
      <c r="EM15" s="64"/>
      <c r="EN15" s="64"/>
      <c r="EO15" s="64"/>
      <c r="EP15" s="64"/>
    </row>
    <row r="16" spans="1:146" x14ac:dyDescent="0.35">
      <c r="A16" s="49" t="str">
        <v>Ioki-Ridepooling</v>
      </c>
      <c r="B16" s="48" t="str" cm="1">
        <f t="array" ref="B16">_xlfn.TEXTJOIN(";",TRUE,IF(ANNOUNCEMENTS!$AH$2:$AH$180=A16,ANNOUNCEMENTS!$K$2:$K$180,""))</f>
        <v>Deutsche Bahn;Berliner Verkehrsbetriebe;MINGA</v>
      </c>
      <c r="C16" s="55" t="s">
        <v>888</v>
      </c>
      <c r="D16" s="55" t="s">
        <v>917</v>
      </c>
      <c r="E16" s="55" t="s">
        <v>1960</v>
      </c>
      <c r="F16" s="55"/>
      <c r="G16" s="55"/>
      <c r="H16" s="55"/>
      <c r="I16" s="55"/>
      <c r="J16" s="55"/>
      <c r="K16" s="55"/>
      <c r="L16" s="55"/>
      <c r="M16" s="55"/>
      <c r="N16" s="55"/>
      <c r="O16" s="55"/>
      <c r="P16" s="55"/>
      <c r="Q16" s="55"/>
      <c r="R16" s="55"/>
      <c r="S16" s="55"/>
      <c r="T16" s="55"/>
      <c r="V16" s="56" t="str">
        <f>IF(ISERROR(VLOOKUP(C16,CBIMPORT!$A$2:$B$171,2,FALSE)),0,VLOOKUP(C16,CBIMPORT!$A$2:$B$171,2,FALSE))</f>
        <v>Transport Operator</v>
      </c>
      <c r="W16" s="56" t="str">
        <f>IF(ISERROR(VLOOKUP(D16,CBIMPORT!$A$2:$B$171,2,FALSE)),0,VLOOKUP(D16,CBIMPORT!$A$2:$B$171,2,FALSE))</f>
        <v>Transport Operator</v>
      </c>
      <c r="X16" s="56" t="str">
        <f>IF(ISERROR(VLOOKUP(E16,CBIMPORT!$A$2:$B$171,2,FALSE)),0,VLOOKUP(E16,CBIMPORT!$A$2:$B$171,2,FALSE))</f>
        <v>Mobility Project</v>
      </c>
      <c r="Y16" s="56">
        <f>IF(ISERROR(VLOOKUP(F16,CBIMPORT!$A$2:$B$171,2,FALSE)),0,VLOOKUP(F16,CBIMPORT!$A$2:$B$171,2,FALSE))</f>
        <v>0</v>
      </c>
      <c r="Z16" s="56">
        <f>IF(ISERROR(VLOOKUP(G16,CBIMPORT!$A$2:$B$171,2,FALSE)),0,VLOOKUP(G16,CBIMPORT!$A$2:$B$171,2,FALSE))</f>
        <v>0</v>
      </c>
      <c r="AA16" s="56">
        <f>IF(ISERROR(VLOOKUP(H16,CBIMPORT!$A$2:$B$171,2,FALSE)),0,VLOOKUP(H16,CBIMPORT!$A$2:$B$171,2,FALSE))</f>
        <v>0</v>
      </c>
      <c r="AB16" s="56">
        <f>IF(ISERROR(VLOOKUP(I16,CBIMPORT!$A$2:$B$171,2,FALSE)),0,VLOOKUP(I16,CBIMPORT!$A$2:$B$171,2,FALSE))</f>
        <v>0</v>
      </c>
      <c r="AC16" s="56">
        <f>IF(ISERROR(VLOOKUP(J16,CBIMPORT!$A$2:$B$171,2,FALSE)),0,VLOOKUP(J16,CBIMPORT!$A$2:$B$171,2,FALSE))</f>
        <v>0</v>
      </c>
      <c r="AD16" s="56">
        <f>IF(ISERROR(VLOOKUP(K16,CBIMPORT!$A$2:$B$171,2,FALSE)),0,VLOOKUP(K16,CBIMPORT!$A$2:$B$171,2,FALSE))</f>
        <v>0</v>
      </c>
      <c r="AE16" s="56">
        <f>IF(ISERROR(VLOOKUP(L16,CBIMPORT!$A$2:$B$171,2,FALSE)),0,VLOOKUP(L16,CBIMPORT!$A$2:$B$171,2,FALSE))</f>
        <v>0</v>
      </c>
      <c r="AF16" s="56">
        <f>IF(ISERROR(VLOOKUP(M16,CBIMPORT!$A$2:$B$171,2,FALSE)),0,VLOOKUP(M16,CBIMPORT!$A$2:$B$171,2,FALSE))</f>
        <v>0</v>
      </c>
      <c r="AG16" s="56">
        <f>IF(ISERROR(VLOOKUP(N16,CBIMPORT!$A$2:$B$171,2,FALSE)),0,VLOOKUP(N16,CBIMPORT!$A$2:$B$171,2,FALSE))</f>
        <v>0</v>
      </c>
      <c r="AH16" s="56">
        <f>IF(ISERROR(VLOOKUP(O16,CBIMPORT!$A$2:$B$171,2,FALSE)),0,VLOOKUP(O16,CBIMPORT!$A$2:$B$171,2,FALSE))</f>
        <v>0</v>
      </c>
      <c r="AI16" s="56">
        <f>IF(ISERROR(VLOOKUP(P16,CBIMPORT!$A$2:$B$171,2,FALSE)),0,VLOOKUP(P16,CBIMPORT!$A$2:$B$171,2,FALSE))</f>
        <v>0</v>
      </c>
      <c r="AJ16" s="56">
        <f>IF(ISERROR(VLOOKUP(Q16,CBIMPORT!$A$2:$B$171,2,FALSE)),0,VLOOKUP(Q16,CBIMPORT!$A$2:$B$171,2,FALSE))</f>
        <v>0</v>
      </c>
      <c r="AK16" s="56">
        <f>IF(ISERROR(VLOOKUP(R16,CBIMPORT!$A$2:$B$171,2,FALSE)),0,VLOOKUP(R16,CBIMPORT!$A$2:$B$171,2,FALSE))</f>
        <v>0</v>
      </c>
      <c r="AL16" s="56">
        <f>IF(ISERROR(VLOOKUP(S16,CBIMPORT!$A$2:$B$171,2,FALSE)),0,VLOOKUP(S16,CBIMPORT!$A$2:$B$171,2,FALSE))</f>
        <v>0</v>
      </c>
      <c r="AM16" s="60">
        <f t="shared" si="35"/>
        <v>0</v>
      </c>
      <c r="AN16" s="60">
        <f t="shared" si="41"/>
        <v>0</v>
      </c>
      <c r="AO16" s="60">
        <f t="shared" si="41"/>
        <v>2</v>
      </c>
      <c r="AP16" s="60">
        <f t="shared" si="41"/>
        <v>0</v>
      </c>
      <c r="AQ16" s="60">
        <f t="shared" si="41"/>
        <v>0</v>
      </c>
      <c r="AR16" s="60">
        <f t="shared" si="41"/>
        <v>0</v>
      </c>
      <c r="AS16" s="60">
        <f t="shared" si="41"/>
        <v>0</v>
      </c>
      <c r="AT16" s="60">
        <f t="shared" si="41"/>
        <v>0</v>
      </c>
      <c r="AU16" s="60">
        <f t="shared" si="41"/>
        <v>1</v>
      </c>
      <c r="AV16" s="60">
        <f t="shared" si="41"/>
        <v>0</v>
      </c>
      <c r="AW16" s="60">
        <f t="shared" si="41"/>
        <v>0</v>
      </c>
      <c r="AX16" s="60">
        <f t="shared" si="42"/>
        <v>0</v>
      </c>
      <c r="AY16" s="60">
        <f t="shared" si="42"/>
        <v>0</v>
      </c>
      <c r="AZ16" s="60">
        <f t="shared" si="42"/>
        <v>0</v>
      </c>
      <c r="BA16" s="60">
        <f t="shared" si="42"/>
        <v>0</v>
      </c>
      <c r="BB16" s="60">
        <f t="shared" si="42"/>
        <v>0</v>
      </c>
      <c r="BC16" s="60">
        <f t="shared" si="42"/>
        <v>0</v>
      </c>
      <c r="BD16" s="60">
        <f t="shared" si="42"/>
        <v>0</v>
      </c>
      <c r="BE16" s="60">
        <f t="shared" si="42"/>
        <v>0</v>
      </c>
      <c r="BF16" s="60">
        <f t="shared" si="42"/>
        <v>0</v>
      </c>
      <c r="BG16" s="60">
        <f t="shared" si="42"/>
        <v>0</v>
      </c>
      <c r="BH16" s="60">
        <f t="shared" si="43"/>
        <v>0</v>
      </c>
      <c r="BI16" s="60">
        <f t="shared" si="43"/>
        <v>0</v>
      </c>
      <c r="BJ16" s="60">
        <f t="shared" si="43"/>
        <v>0</v>
      </c>
      <c r="BK16" s="60">
        <f t="shared" si="43"/>
        <v>0</v>
      </c>
      <c r="BL16" s="60">
        <f t="shared" si="43"/>
        <v>0</v>
      </c>
      <c r="BM16" s="60">
        <f t="shared" si="43"/>
        <v>0</v>
      </c>
      <c r="BN16" s="60">
        <f t="shared" si="43"/>
        <v>0</v>
      </c>
      <c r="BO16" s="60">
        <f t="shared" si="43"/>
        <v>0</v>
      </c>
      <c r="BP16" s="60">
        <f t="shared" si="43"/>
        <v>0</v>
      </c>
      <c r="BQ16" s="60">
        <f t="shared" si="43"/>
        <v>0</v>
      </c>
      <c r="BR16" s="60">
        <f t="shared" si="44"/>
        <v>0</v>
      </c>
      <c r="BS16" s="60">
        <f t="shared" si="44"/>
        <v>0</v>
      </c>
      <c r="BT16" s="60">
        <f t="shared" si="44"/>
        <v>0</v>
      </c>
      <c r="BU16" s="60">
        <f t="shared" si="44"/>
        <v>0</v>
      </c>
      <c r="BV16" s="60">
        <f t="shared" si="44"/>
        <v>0</v>
      </c>
      <c r="BW16" s="60"/>
      <c r="BX16" s="63">
        <f t="shared" si="40"/>
        <v>0</v>
      </c>
      <c r="BY16" s="63">
        <f t="shared" si="1"/>
        <v>0</v>
      </c>
      <c r="BZ16" s="63">
        <f t="shared" si="1"/>
        <v>0.66666666666666663</v>
      </c>
      <c r="CA16" s="63">
        <f t="shared" si="2"/>
        <v>0</v>
      </c>
      <c r="CB16" s="63">
        <f t="shared" si="3"/>
        <v>0</v>
      </c>
      <c r="CC16" s="63">
        <f t="shared" si="4"/>
        <v>0</v>
      </c>
      <c r="CD16" s="63">
        <f t="shared" si="5"/>
        <v>0</v>
      </c>
      <c r="CE16" s="63">
        <f t="shared" si="6"/>
        <v>0</v>
      </c>
      <c r="CF16" s="63">
        <f t="shared" si="7"/>
        <v>0.33333333333333331</v>
      </c>
      <c r="CG16" s="63">
        <f t="shared" si="8"/>
        <v>0</v>
      </c>
      <c r="CH16" s="63">
        <f t="shared" si="9"/>
        <v>0</v>
      </c>
      <c r="CI16" s="63">
        <f t="shared" si="10"/>
        <v>0</v>
      </c>
      <c r="CJ16" s="63">
        <f t="shared" si="11"/>
        <v>0</v>
      </c>
      <c r="CK16" s="63">
        <f t="shared" si="12"/>
        <v>0</v>
      </c>
      <c r="CL16" s="63">
        <f t="shared" si="13"/>
        <v>0</v>
      </c>
      <c r="CM16" s="63">
        <f t="shared" si="14"/>
        <v>0</v>
      </c>
      <c r="CN16" s="63">
        <f t="shared" si="15"/>
        <v>0</v>
      </c>
      <c r="CO16" s="63">
        <f t="shared" si="16"/>
        <v>0</v>
      </c>
      <c r="CP16" s="63">
        <f t="shared" si="17"/>
        <v>0</v>
      </c>
      <c r="CQ16" s="63">
        <f t="shared" si="18"/>
        <v>0</v>
      </c>
      <c r="CR16" s="63">
        <f t="shared" si="19"/>
        <v>0</v>
      </c>
      <c r="CS16" s="63">
        <f t="shared" si="20"/>
        <v>0</v>
      </c>
      <c r="CT16" s="63">
        <f t="shared" si="21"/>
        <v>0</v>
      </c>
      <c r="CU16" s="63">
        <f t="shared" si="22"/>
        <v>0</v>
      </c>
      <c r="CV16" s="63">
        <f t="shared" si="23"/>
        <v>0</v>
      </c>
      <c r="CW16" s="63">
        <f t="shared" si="24"/>
        <v>0</v>
      </c>
      <c r="CX16" s="63">
        <f t="shared" si="25"/>
        <v>0</v>
      </c>
      <c r="CY16" s="63">
        <f t="shared" si="26"/>
        <v>0</v>
      </c>
      <c r="CZ16" s="63">
        <f t="shared" si="27"/>
        <v>0</v>
      </c>
      <c r="DA16" s="63">
        <f t="shared" si="28"/>
        <v>0</v>
      </c>
      <c r="DB16" s="63">
        <f t="shared" si="29"/>
        <v>0</v>
      </c>
      <c r="DC16" s="63">
        <f t="shared" si="30"/>
        <v>0</v>
      </c>
      <c r="DD16" s="63">
        <f t="shared" si="31"/>
        <v>0</v>
      </c>
      <c r="DE16" s="63">
        <f t="shared" si="32"/>
        <v>0</v>
      </c>
      <c r="DF16" s="63">
        <f t="shared" si="33"/>
        <v>0</v>
      </c>
      <c r="DG16" s="63">
        <f t="shared" si="34"/>
        <v>0</v>
      </c>
      <c r="DH16" s="57" t="str" cm="1">
        <f t="array" ref="DH16">INDEX(_xlfn.ANCHORARRAY($BX$2),0,MATCH(LARGE($BX16:$DG16,1),$BX16:$DG16,0))</f>
        <v>Transport Operator</v>
      </c>
      <c r="DI16" s="58">
        <f>LARGE('Industries all mentioned partne'!$BX16:$DG16,1)</f>
        <v>0.66666666666666663</v>
      </c>
      <c r="DJ16" s="57" t="str" cm="1">
        <f t="array" ref="DJ16">IF(DI16&lt;&gt;100%,INDEX(_xlfn.ANCHORARRAY($BX$2),0,MATCH(LARGE($BX16:$DG16,2),$BX16:$DG16,0)),"")</f>
        <v>Mobility Project</v>
      </c>
      <c r="DK16" s="58">
        <f>IF(DI16&lt;&gt;100%,LARGE('Industries all mentioned partne'!$BX16:$DG16,2),"")</f>
        <v>0.33333333333333331</v>
      </c>
      <c r="DL16" s="57" t="str" cm="1">
        <f t="array" ref="DL16">IF(DM16="","",INDEX(_xlfn.ANCHORARRAY($BX$2),0,MATCH(LARGE($BX16:$DG16,3),$BX16:$DG16,0)))</f>
        <v/>
      </c>
      <c r="DM16" s="110" t="str">
        <f>IF(LARGE('Industries all mentioned partne'!$BX16:$DG16,3)=0%,"",LARGE('Industries all mentioned partne'!$BX16:$DG16,3))</f>
        <v/>
      </c>
      <c r="DN16" s="52">
        <f>IF(ISTEXT(C16)=TRUE,VLOOKUP(C16,CBIMPORT!$A$2:$AL$171,38,FALSE),"")</f>
        <v>0</v>
      </c>
      <c r="DO16" s="52">
        <f>IF(ISTEXT(D16)=TRUE,VLOOKUP(D16,CBIMPORT!$A$2:$AL$171,38,FALSE),"")</f>
        <v>0</v>
      </c>
      <c r="DP16" s="52">
        <f>IF(ISTEXT(E16)=TRUE,VLOOKUP(E16,CBIMPORT!$A$2:$AL$171,38,FALSE),"")</f>
        <v>0</v>
      </c>
      <c r="DQ16" s="52" t="str">
        <f>IF(ISTEXT(F16)=TRUE,VLOOKUP(F16,CBIMPORT!$A$2:$AL$171,38,FALSE),"")</f>
        <v/>
      </c>
      <c r="DR16" s="52" t="str">
        <f>IF(ISTEXT(G16)=TRUE,VLOOKUP(G16,CBIMPORT!$A$2:$AL$171,38,FALSE),"")</f>
        <v/>
      </c>
      <c r="DS16" s="52" t="str">
        <f>IF(ISTEXT(H16)=TRUE,VLOOKUP(H16,CBIMPORT!$A$2:$AL$171,38,FALSE),"")</f>
        <v/>
      </c>
      <c r="DT16" s="52" t="str">
        <f>IF(ISTEXT(I16)=TRUE,VLOOKUP(I16,CBIMPORT!$A$2:$AL$171,38,FALSE),"")</f>
        <v/>
      </c>
      <c r="DU16" s="52" t="str">
        <f>IF(ISTEXT(J16)=TRUE,VLOOKUP(J16,CBIMPORT!$A$2:$AL$171,38,FALSE),"")</f>
        <v/>
      </c>
      <c r="DV16" s="52" t="str">
        <f>IF(ISTEXT(K16)=TRUE,VLOOKUP(K16,CBIMPORT!$A$2:$AL$171,38,FALSE),"")</f>
        <v/>
      </c>
      <c r="DW16" s="52" t="str">
        <f>IF(ISTEXT(L16)=TRUE,VLOOKUP(L16,CBIMPORT!$A$2:$AL$171,38,FALSE),"")</f>
        <v/>
      </c>
      <c r="DX16" s="52" t="str">
        <f>IF(ISTEXT(M16)=TRUE,VLOOKUP(M16,CBIMPORT!$A$2:$AL$171,38,FALSE),"")</f>
        <v/>
      </c>
      <c r="DY16" s="52" t="str">
        <f>IF(ISTEXT(N16)=TRUE,VLOOKUP(N16,CBIMPORT!$A$2:$AL$171,38,FALSE),"")</f>
        <v/>
      </c>
      <c r="DZ16" s="52" t="str">
        <f>IF(ISTEXT(O16)=TRUE,VLOOKUP(O16,CBIMPORT!$A$2:$AL$171,38,FALSE),"")</f>
        <v/>
      </c>
      <c r="EA16" s="52" t="str">
        <f>IF(ISTEXT(P16)=TRUE,VLOOKUP(P16,CBIMPORT!$A$2:$AL$171,38,FALSE),"")</f>
        <v/>
      </c>
      <c r="EB16" s="52" t="str">
        <f>IF(ISTEXT(Q16)=TRUE,VLOOKUP(Q16,CBIMPORT!$A$2:$AL$171,38,FALSE),"")</f>
        <v/>
      </c>
      <c r="EC16" s="52" t="str">
        <f>IF(ISTEXT(R16)=TRUE,VLOOKUP(R16,CBIMPORT!$A$2:$AL$171,38,FALSE),"")</f>
        <v/>
      </c>
      <c r="ED16" s="52" t="str">
        <f>IF(ISTEXT(S16)=TRUE,VLOOKUP(S16,CBIMPORT!$A$2:$AL$171,38,FALSE),"")</f>
        <v/>
      </c>
      <c r="EE16" s="52" t="str">
        <f>IF(ISTEXT(T16)=TRUE,VLOOKUP(T16,CBIMPORT!$A$2:$AL$171,38,FALSE),"")</f>
        <v/>
      </c>
      <c r="EF16" s="64" t="str">
        <f>IF(ISTEXT(U16)=TRUE,VLOOKUP(U16,CBIMPORT!$A$2:$AL$171,38,FALSE),"")</f>
        <v/>
      </c>
      <c r="EG16" s="64"/>
      <c r="EH16" s="64"/>
      <c r="EI16" s="64"/>
      <c r="EJ16" s="64"/>
      <c r="EK16" s="64"/>
      <c r="EL16" s="64"/>
      <c r="EM16" s="64"/>
      <c r="EN16" s="64"/>
      <c r="EO16" s="64"/>
      <c r="EP16" s="64"/>
    </row>
    <row r="17" spans="1:146" x14ac:dyDescent="0.35">
      <c r="A17" s="49" t="str">
        <v>Kiwibot-Last-Mile</v>
      </c>
      <c r="B17" s="48" t="str" cm="1">
        <f t="array" ref="B17">_xlfn.TEXTJOIN(";",TRUE,IF(ANNOUNCEMENTS!$AH$2:$AH$180=A17,ANNOUNCEMENTS!$K$2:$K$180,""))</f>
        <v>Aramex;Grubhub;kineo</v>
      </c>
      <c r="C17" s="55" t="s">
        <v>680</v>
      </c>
      <c r="D17" s="55" t="s">
        <v>574</v>
      </c>
      <c r="E17" s="55" t="s">
        <v>593</v>
      </c>
      <c r="F17" s="55"/>
      <c r="G17" s="55"/>
      <c r="H17" s="55"/>
      <c r="I17" s="55"/>
      <c r="J17" s="55"/>
      <c r="K17" s="55"/>
      <c r="L17" s="55"/>
      <c r="M17" s="55"/>
      <c r="N17" s="55"/>
      <c r="O17" s="55"/>
      <c r="P17" s="55"/>
      <c r="Q17" s="55"/>
      <c r="R17" s="55"/>
      <c r="S17" s="55"/>
      <c r="T17" s="55"/>
      <c r="V17" s="56" t="str">
        <f>IF(ISERROR(VLOOKUP(C17,CBIMPORT!$A$2:$B$171,2,FALSE)),0,VLOOKUP(C17,CBIMPORT!$A$2:$B$171,2,FALSE))</f>
        <v>Logistics</v>
      </c>
      <c r="W17" s="56" t="str">
        <f>IF(ISERROR(VLOOKUP(D17,CBIMPORT!$A$2:$B$171,2,FALSE)),0,VLOOKUP(D17,CBIMPORT!$A$2:$B$171,2,FALSE))</f>
        <v>Delivery Service</v>
      </c>
      <c r="X17" s="56" t="str">
        <f>IF(ISERROR(VLOOKUP(E17,CBIMPORT!$A$2:$B$171,2,FALSE)),0,VLOOKUP(E17,CBIMPORT!$A$2:$B$171,2,FALSE))</f>
        <v>Financial Services</v>
      </c>
      <c r="Y17" s="56">
        <f>IF(ISERROR(VLOOKUP(F17,CBIMPORT!$A$2:$B$171,2,FALSE)),0,VLOOKUP(F17,CBIMPORT!$A$2:$B$171,2,FALSE))</f>
        <v>0</v>
      </c>
      <c r="Z17" s="56">
        <f>IF(ISERROR(VLOOKUP(G17,CBIMPORT!$A$2:$B$171,2,FALSE)),0,VLOOKUP(G17,CBIMPORT!$A$2:$B$171,2,FALSE))</f>
        <v>0</v>
      </c>
      <c r="AA17" s="56">
        <f>IF(ISERROR(VLOOKUP(H17,CBIMPORT!$A$2:$B$171,2,FALSE)),0,VLOOKUP(H17,CBIMPORT!$A$2:$B$171,2,FALSE))</f>
        <v>0</v>
      </c>
      <c r="AB17" s="56">
        <f>IF(ISERROR(VLOOKUP(I17,CBIMPORT!$A$2:$B$171,2,FALSE)),0,VLOOKUP(I17,CBIMPORT!$A$2:$B$171,2,FALSE))</f>
        <v>0</v>
      </c>
      <c r="AC17" s="56">
        <f>IF(ISERROR(VLOOKUP(J17,CBIMPORT!$A$2:$B$171,2,FALSE)),0,VLOOKUP(J17,CBIMPORT!$A$2:$B$171,2,FALSE))</f>
        <v>0</v>
      </c>
      <c r="AD17" s="56">
        <f>IF(ISERROR(VLOOKUP(K17,CBIMPORT!$A$2:$B$171,2,FALSE)),0,VLOOKUP(K17,CBIMPORT!$A$2:$B$171,2,FALSE))</f>
        <v>0</v>
      </c>
      <c r="AE17" s="56">
        <f>IF(ISERROR(VLOOKUP(L17,CBIMPORT!$A$2:$B$171,2,FALSE)),0,VLOOKUP(L17,CBIMPORT!$A$2:$B$171,2,FALSE))</f>
        <v>0</v>
      </c>
      <c r="AF17" s="56">
        <f>IF(ISERROR(VLOOKUP(M17,CBIMPORT!$A$2:$B$171,2,FALSE)),0,VLOOKUP(M17,CBIMPORT!$A$2:$B$171,2,FALSE))</f>
        <v>0</v>
      </c>
      <c r="AG17" s="56">
        <f>IF(ISERROR(VLOOKUP(N17,CBIMPORT!$A$2:$B$171,2,FALSE)),0,VLOOKUP(N17,CBIMPORT!$A$2:$B$171,2,FALSE))</f>
        <v>0</v>
      </c>
      <c r="AH17" s="56">
        <f>IF(ISERROR(VLOOKUP(O17,CBIMPORT!$A$2:$B$171,2,FALSE)),0,VLOOKUP(O17,CBIMPORT!$A$2:$B$171,2,FALSE))</f>
        <v>0</v>
      </c>
      <c r="AI17" s="56">
        <f>IF(ISERROR(VLOOKUP(P17,CBIMPORT!$A$2:$B$171,2,FALSE)),0,VLOOKUP(P17,CBIMPORT!$A$2:$B$171,2,FALSE))</f>
        <v>0</v>
      </c>
      <c r="AJ17" s="56">
        <f>IF(ISERROR(VLOOKUP(Q17,CBIMPORT!$A$2:$B$171,2,FALSE)),0,VLOOKUP(Q17,CBIMPORT!$A$2:$B$171,2,FALSE))</f>
        <v>0</v>
      </c>
      <c r="AK17" s="56">
        <f>IF(ISERROR(VLOOKUP(R17,CBIMPORT!$A$2:$B$171,2,FALSE)),0,VLOOKUP(R17,CBIMPORT!$A$2:$B$171,2,FALSE))</f>
        <v>0</v>
      </c>
      <c r="AL17" s="56">
        <f>IF(ISERROR(VLOOKUP(S17,CBIMPORT!$A$2:$B$171,2,FALSE)),0,VLOOKUP(S17,CBIMPORT!$A$2:$B$171,2,FALSE))</f>
        <v>0</v>
      </c>
      <c r="AM17" s="60">
        <f t="shared" si="35"/>
        <v>0</v>
      </c>
      <c r="AN17" s="60">
        <f t="shared" si="41"/>
        <v>0</v>
      </c>
      <c r="AO17" s="60">
        <f t="shared" si="41"/>
        <v>0</v>
      </c>
      <c r="AP17" s="60">
        <f t="shared" si="41"/>
        <v>0</v>
      </c>
      <c r="AQ17" s="60">
        <f t="shared" si="41"/>
        <v>0</v>
      </c>
      <c r="AR17" s="60">
        <f t="shared" si="41"/>
        <v>1</v>
      </c>
      <c r="AS17" s="60">
        <f t="shared" si="41"/>
        <v>1</v>
      </c>
      <c r="AT17" s="60">
        <f t="shared" si="41"/>
        <v>0</v>
      </c>
      <c r="AU17" s="60">
        <f t="shared" si="41"/>
        <v>0</v>
      </c>
      <c r="AV17" s="60">
        <f t="shared" si="41"/>
        <v>0</v>
      </c>
      <c r="AW17" s="60">
        <f t="shared" si="41"/>
        <v>0</v>
      </c>
      <c r="AX17" s="60">
        <f t="shared" si="42"/>
        <v>0</v>
      </c>
      <c r="AY17" s="60">
        <f t="shared" si="42"/>
        <v>0</v>
      </c>
      <c r="AZ17" s="60">
        <f t="shared" si="42"/>
        <v>0</v>
      </c>
      <c r="BA17" s="60">
        <f t="shared" si="42"/>
        <v>0</v>
      </c>
      <c r="BB17" s="60">
        <f t="shared" si="42"/>
        <v>0</v>
      </c>
      <c r="BC17" s="60">
        <f t="shared" si="42"/>
        <v>0</v>
      </c>
      <c r="BD17" s="60">
        <f t="shared" si="42"/>
        <v>0</v>
      </c>
      <c r="BE17" s="60">
        <f t="shared" si="42"/>
        <v>0</v>
      </c>
      <c r="BF17" s="60">
        <f t="shared" si="42"/>
        <v>0</v>
      </c>
      <c r="BG17" s="60">
        <f t="shared" si="42"/>
        <v>0</v>
      </c>
      <c r="BH17" s="60">
        <f t="shared" si="43"/>
        <v>1</v>
      </c>
      <c r="BI17" s="60">
        <f t="shared" si="43"/>
        <v>0</v>
      </c>
      <c r="BJ17" s="60">
        <f t="shared" si="43"/>
        <v>0</v>
      </c>
      <c r="BK17" s="60">
        <f t="shared" si="43"/>
        <v>0</v>
      </c>
      <c r="BL17" s="60">
        <f t="shared" si="43"/>
        <v>0</v>
      </c>
      <c r="BM17" s="60">
        <f t="shared" si="43"/>
        <v>0</v>
      </c>
      <c r="BN17" s="60">
        <f t="shared" si="43"/>
        <v>0</v>
      </c>
      <c r="BO17" s="60">
        <f t="shared" si="43"/>
        <v>0</v>
      </c>
      <c r="BP17" s="60">
        <f t="shared" si="43"/>
        <v>0</v>
      </c>
      <c r="BQ17" s="60">
        <f t="shared" si="43"/>
        <v>0</v>
      </c>
      <c r="BR17" s="60">
        <f t="shared" si="44"/>
        <v>0</v>
      </c>
      <c r="BS17" s="60">
        <f t="shared" si="44"/>
        <v>0</v>
      </c>
      <c r="BT17" s="60">
        <f t="shared" si="44"/>
        <v>0</v>
      </c>
      <c r="BU17" s="60">
        <f t="shared" si="44"/>
        <v>0</v>
      </c>
      <c r="BV17" s="60">
        <f t="shared" si="44"/>
        <v>0</v>
      </c>
      <c r="BW17" s="60"/>
      <c r="BX17" s="63">
        <f t="shared" si="40"/>
        <v>0</v>
      </c>
      <c r="BY17" s="63">
        <f t="shared" si="1"/>
        <v>0</v>
      </c>
      <c r="BZ17" s="63">
        <f t="shared" si="1"/>
        <v>0</v>
      </c>
      <c r="CA17" s="63">
        <f t="shared" si="2"/>
        <v>0</v>
      </c>
      <c r="CB17" s="63">
        <f t="shared" si="3"/>
        <v>0</v>
      </c>
      <c r="CC17" s="63">
        <f t="shared" si="4"/>
        <v>0.33333333333333331</v>
      </c>
      <c r="CD17" s="63">
        <f t="shared" si="5"/>
        <v>0.33333333333333331</v>
      </c>
      <c r="CE17" s="63">
        <f t="shared" si="6"/>
        <v>0</v>
      </c>
      <c r="CF17" s="63">
        <f t="shared" si="7"/>
        <v>0</v>
      </c>
      <c r="CG17" s="63">
        <f t="shared" si="8"/>
        <v>0</v>
      </c>
      <c r="CH17" s="63">
        <f t="shared" si="9"/>
        <v>0</v>
      </c>
      <c r="CI17" s="63">
        <f t="shared" si="10"/>
        <v>0</v>
      </c>
      <c r="CJ17" s="63">
        <f t="shared" si="11"/>
        <v>0</v>
      </c>
      <c r="CK17" s="63">
        <f t="shared" si="12"/>
        <v>0</v>
      </c>
      <c r="CL17" s="63">
        <f t="shared" si="13"/>
        <v>0</v>
      </c>
      <c r="CM17" s="63">
        <f t="shared" si="14"/>
        <v>0</v>
      </c>
      <c r="CN17" s="63">
        <f t="shared" si="15"/>
        <v>0</v>
      </c>
      <c r="CO17" s="63">
        <f t="shared" si="16"/>
        <v>0</v>
      </c>
      <c r="CP17" s="63">
        <f t="shared" si="17"/>
        <v>0</v>
      </c>
      <c r="CQ17" s="63">
        <f t="shared" si="18"/>
        <v>0</v>
      </c>
      <c r="CR17" s="63">
        <f t="shared" si="19"/>
        <v>0</v>
      </c>
      <c r="CS17" s="63">
        <f t="shared" si="20"/>
        <v>0.33333333333333331</v>
      </c>
      <c r="CT17" s="63">
        <f t="shared" si="21"/>
        <v>0</v>
      </c>
      <c r="CU17" s="63">
        <f t="shared" si="22"/>
        <v>0</v>
      </c>
      <c r="CV17" s="63">
        <f t="shared" si="23"/>
        <v>0</v>
      </c>
      <c r="CW17" s="63">
        <f t="shared" si="24"/>
        <v>0</v>
      </c>
      <c r="CX17" s="63">
        <f t="shared" si="25"/>
        <v>0</v>
      </c>
      <c r="CY17" s="63">
        <f t="shared" si="26"/>
        <v>0</v>
      </c>
      <c r="CZ17" s="63">
        <f t="shared" si="27"/>
        <v>0</v>
      </c>
      <c r="DA17" s="63">
        <f t="shared" si="28"/>
        <v>0</v>
      </c>
      <c r="DB17" s="63">
        <f t="shared" si="29"/>
        <v>0</v>
      </c>
      <c r="DC17" s="63">
        <f t="shared" si="30"/>
        <v>0</v>
      </c>
      <c r="DD17" s="63">
        <f t="shared" si="31"/>
        <v>0</v>
      </c>
      <c r="DE17" s="63">
        <f t="shared" si="32"/>
        <v>0</v>
      </c>
      <c r="DF17" s="63">
        <f t="shared" si="33"/>
        <v>0</v>
      </c>
      <c r="DG17" s="63">
        <f t="shared" si="34"/>
        <v>0</v>
      </c>
      <c r="DH17" s="57" t="str" cm="1">
        <f t="array" ref="DH17">INDEX(_xlfn.ANCHORARRAY($BX$2),0,MATCH(LARGE($BX17:$DG17,1),$BX17:$DG17,0))</f>
        <v>Delivery Service</v>
      </c>
      <c r="DI17" s="58">
        <f>LARGE('Industries all mentioned partne'!$BX17:$DG17,1)</f>
        <v>0.33333333333333331</v>
      </c>
      <c r="DJ17" s="57" t="str" cm="1">
        <f t="array" ref="DJ17">IF(DI17&lt;&gt;100%,INDEX(_xlfn.ANCHORARRAY($BX$2),0,MATCH(LARGE($BX17:$DG17,2),$BX17:$DG17,0)),"")</f>
        <v>Delivery Service</v>
      </c>
      <c r="DK17" s="58">
        <f>IF(DI17&lt;&gt;100%,LARGE('Industries all mentioned partne'!$BX17:$DG17,2),"")</f>
        <v>0.33333333333333331</v>
      </c>
      <c r="DL17" s="57" t="str" cm="1">
        <f t="array" ref="DL17">IF(DM17="","",INDEX(_xlfn.ANCHORARRAY($BX$2),0,MATCH(LARGE($BX17:$DG17,3),$BX17:$DG17,0)))</f>
        <v>Delivery Service</v>
      </c>
      <c r="DM17" s="110">
        <f>IF(LARGE('Industries all mentioned partne'!$BX17:$DG17,3)=0%,"",LARGE('Industries all mentioned partne'!$BX17:$DG17,3))</f>
        <v>0.33333333333333331</v>
      </c>
      <c r="DN17" s="52">
        <f>IF(ISTEXT(C17)=TRUE,VLOOKUP(C17,CBIMPORT!$A$2:$AL$171,38,FALSE),"")</f>
        <v>0</v>
      </c>
      <c r="DO17" s="52">
        <f>IF(ISTEXT(D17)=TRUE,VLOOKUP(D17,CBIMPORT!$A$2:$AL$171,38,FALSE),"")</f>
        <v>1</v>
      </c>
      <c r="DP17" s="52">
        <f>IF(ISTEXT(E17)=TRUE,VLOOKUP(E17,CBIMPORT!$A$2:$AL$171,38,FALSE),"")</f>
        <v>0</v>
      </c>
      <c r="DQ17" s="52" t="str">
        <f>IF(ISTEXT(F17)=TRUE,VLOOKUP(F17,CBIMPORT!$A$2:$AL$171,38,FALSE),"")</f>
        <v/>
      </c>
      <c r="DR17" s="52" t="str">
        <f>IF(ISTEXT(G17)=TRUE,VLOOKUP(G17,CBIMPORT!$A$2:$AL$171,38,FALSE),"")</f>
        <v/>
      </c>
      <c r="DS17" s="52" t="str">
        <f>IF(ISTEXT(H17)=TRUE,VLOOKUP(H17,CBIMPORT!$A$2:$AL$171,38,FALSE),"")</f>
        <v/>
      </c>
      <c r="DT17" s="52" t="str">
        <f>IF(ISTEXT(I17)=TRUE,VLOOKUP(I17,CBIMPORT!$A$2:$AL$171,38,FALSE),"")</f>
        <v/>
      </c>
      <c r="DU17" s="52" t="str">
        <f>IF(ISTEXT(J17)=TRUE,VLOOKUP(J17,CBIMPORT!$A$2:$AL$171,38,FALSE),"")</f>
        <v/>
      </c>
      <c r="DV17" s="52" t="str">
        <f>IF(ISTEXT(K17)=TRUE,VLOOKUP(K17,CBIMPORT!$A$2:$AL$171,38,FALSE),"")</f>
        <v/>
      </c>
      <c r="DW17" s="52" t="str">
        <f>IF(ISTEXT(L17)=TRUE,VLOOKUP(L17,CBIMPORT!$A$2:$AL$171,38,FALSE),"")</f>
        <v/>
      </c>
      <c r="DX17" s="52" t="str">
        <f>IF(ISTEXT(M17)=TRUE,VLOOKUP(M17,CBIMPORT!$A$2:$AL$171,38,FALSE),"")</f>
        <v/>
      </c>
      <c r="DY17" s="52" t="str">
        <f>IF(ISTEXT(N17)=TRUE,VLOOKUP(N17,CBIMPORT!$A$2:$AL$171,38,FALSE),"")</f>
        <v/>
      </c>
      <c r="DZ17" s="52" t="str">
        <f>IF(ISTEXT(O17)=TRUE,VLOOKUP(O17,CBIMPORT!$A$2:$AL$171,38,FALSE),"")</f>
        <v/>
      </c>
      <c r="EA17" s="52" t="str">
        <f>IF(ISTEXT(P17)=TRUE,VLOOKUP(P17,CBIMPORT!$A$2:$AL$171,38,FALSE),"")</f>
        <v/>
      </c>
      <c r="EB17" s="52" t="str">
        <f>IF(ISTEXT(Q17)=TRUE,VLOOKUP(Q17,CBIMPORT!$A$2:$AL$171,38,FALSE),"")</f>
        <v/>
      </c>
      <c r="EC17" s="52" t="str">
        <f>IF(ISTEXT(R17)=TRUE,VLOOKUP(R17,CBIMPORT!$A$2:$AL$171,38,FALSE),"")</f>
        <v/>
      </c>
      <c r="ED17" s="52" t="str">
        <f>IF(ISTEXT(S17)=TRUE,VLOOKUP(S17,CBIMPORT!$A$2:$AL$171,38,FALSE),"")</f>
        <v/>
      </c>
      <c r="EE17" s="52" t="str">
        <f>IF(ISTEXT(T17)=TRUE,VLOOKUP(T17,CBIMPORT!$A$2:$AL$171,38,FALSE),"")</f>
        <v/>
      </c>
      <c r="EF17" s="64" t="str">
        <f>IF(ISTEXT(U17)=TRUE,VLOOKUP(U17,CBIMPORT!$A$2:$AL$171,38,FALSE),"")</f>
        <v/>
      </c>
      <c r="EG17" s="64"/>
      <c r="EH17" s="64"/>
      <c r="EI17" s="64"/>
      <c r="EJ17" s="64"/>
      <c r="EK17" s="64"/>
      <c r="EL17" s="64"/>
      <c r="EM17" s="64"/>
      <c r="EN17" s="64"/>
      <c r="EO17" s="64"/>
      <c r="EP17" s="64"/>
    </row>
    <row r="18" spans="1:146" x14ac:dyDescent="0.35">
      <c r="A18" s="49" t="str">
        <v>Kodiak-Trucking</v>
      </c>
      <c r="B18" s="48" t="str" cm="1">
        <f t="array" ref="B18">_xlfn.TEXTJOIN(";",TRUE,IF(ANNOUNCEMENTS!$AH$2:$AH$180=A18,ANNOUNCEMENTS!$K$2:$K$180,""))</f>
        <v>Ten Roads Express;Werner</v>
      </c>
      <c r="C18" s="55" t="s">
        <v>2077</v>
      </c>
      <c r="D18" s="55" t="s">
        <v>707</v>
      </c>
      <c r="E18" s="55"/>
      <c r="F18" s="55"/>
      <c r="G18" s="55"/>
      <c r="H18" s="55"/>
      <c r="I18" s="55"/>
      <c r="J18" s="55"/>
      <c r="K18" s="55"/>
      <c r="L18" s="55"/>
      <c r="M18" s="55"/>
      <c r="N18" s="55"/>
      <c r="O18" s="55"/>
      <c r="P18" s="55"/>
      <c r="Q18" s="55"/>
      <c r="R18" s="55"/>
      <c r="S18" s="55"/>
      <c r="T18" s="55"/>
      <c r="V18" s="56" t="str">
        <f>IF(ISERROR(VLOOKUP(C18,CBIMPORT!$A$2:$B$171,2,FALSE)),0,VLOOKUP(C18,CBIMPORT!$A$2:$B$171,2,FALSE))</f>
        <v>Logistics</v>
      </c>
      <c r="W18" s="56" t="str">
        <f>IF(ISERROR(VLOOKUP(D18,CBIMPORT!$A$2:$B$171,2,FALSE)),0,VLOOKUP(D18,CBIMPORT!$A$2:$B$171,2,FALSE))</f>
        <v>Logistics</v>
      </c>
      <c r="X18" s="56">
        <f>IF(ISERROR(VLOOKUP(E18,CBIMPORT!$A$2:$B$171,2,FALSE)),0,VLOOKUP(E18,CBIMPORT!$A$2:$B$171,2,FALSE))</f>
        <v>0</v>
      </c>
      <c r="Y18" s="56">
        <f>IF(ISERROR(VLOOKUP(F18,CBIMPORT!$A$2:$B$171,2,FALSE)),0,VLOOKUP(F18,CBIMPORT!$A$2:$B$171,2,FALSE))</f>
        <v>0</v>
      </c>
      <c r="Z18" s="56">
        <f>IF(ISERROR(VLOOKUP(G18,CBIMPORT!$A$2:$B$171,2,FALSE)),0,VLOOKUP(G18,CBIMPORT!$A$2:$B$171,2,FALSE))</f>
        <v>0</v>
      </c>
      <c r="AA18" s="56">
        <f>IF(ISERROR(VLOOKUP(H18,CBIMPORT!$A$2:$B$171,2,FALSE)),0,VLOOKUP(H18,CBIMPORT!$A$2:$B$171,2,FALSE))</f>
        <v>0</v>
      </c>
      <c r="AB18" s="56">
        <f>IF(ISERROR(VLOOKUP(I18,CBIMPORT!$A$2:$B$171,2,FALSE)),0,VLOOKUP(I18,CBIMPORT!$A$2:$B$171,2,FALSE))</f>
        <v>0</v>
      </c>
      <c r="AC18" s="56">
        <f>IF(ISERROR(VLOOKUP(J18,CBIMPORT!$A$2:$B$171,2,FALSE)),0,VLOOKUP(J18,CBIMPORT!$A$2:$B$171,2,FALSE))</f>
        <v>0</v>
      </c>
      <c r="AD18" s="56">
        <f>IF(ISERROR(VLOOKUP(K18,CBIMPORT!$A$2:$B$171,2,FALSE)),0,VLOOKUP(K18,CBIMPORT!$A$2:$B$171,2,FALSE))</f>
        <v>0</v>
      </c>
      <c r="AE18" s="56">
        <f>IF(ISERROR(VLOOKUP(L18,CBIMPORT!$A$2:$B$171,2,FALSE)),0,VLOOKUP(L18,CBIMPORT!$A$2:$B$171,2,FALSE))</f>
        <v>0</v>
      </c>
      <c r="AF18" s="56">
        <f>IF(ISERROR(VLOOKUP(M18,CBIMPORT!$A$2:$B$171,2,FALSE)),0,VLOOKUP(M18,CBIMPORT!$A$2:$B$171,2,FALSE))</f>
        <v>0</v>
      </c>
      <c r="AG18" s="56">
        <f>IF(ISERROR(VLOOKUP(N18,CBIMPORT!$A$2:$B$171,2,FALSE)),0,VLOOKUP(N18,CBIMPORT!$A$2:$B$171,2,FALSE))</f>
        <v>0</v>
      </c>
      <c r="AH18" s="56">
        <f>IF(ISERROR(VLOOKUP(O18,CBIMPORT!$A$2:$B$171,2,FALSE)),0,VLOOKUP(O18,CBIMPORT!$A$2:$B$171,2,FALSE))</f>
        <v>0</v>
      </c>
      <c r="AI18" s="56">
        <f>IF(ISERROR(VLOOKUP(P18,CBIMPORT!$A$2:$B$171,2,FALSE)),0,VLOOKUP(P18,CBIMPORT!$A$2:$B$171,2,FALSE))</f>
        <v>0</v>
      </c>
      <c r="AJ18" s="56">
        <f>IF(ISERROR(VLOOKUP(Q18,CBIMPORT!$A$2:$B$171,2,FALSE)),0,VLOOKUP(Q18,CBIMPORT!$A$2:$B$171,2,FALSE))</f>
        <v>0</v>
      </c>
      <c r="AK18" s="56">
        <f>IF(ISERROR(VLOOKUP(R18,CBIMPORT!$A$2:$B$171,2,FALSE)),0,VLOOKUP(R18,CBIMPORT!$A$2:$B$171,2,FALSE))</f>
        <v>0</v>
      </c>
      <c r="AL18" s="56">
        <f>IF(ISERROR(VLOOKUP(S18,CBIMPORT!$A$2:$B$171,2,FALSE)),0,VLOOKUP(S18,CBIMPORT!$A$2:$B$171,2,FALSE))</f>
        <v>0</v>
      </c>
      <c r="AM18" s="60">
        <f t="shared" si="35"/>
        <v>0</v>
      </c>
      <c r="AN18" s="60">
        <f t="shared" si="41"/>
        <v>0</v>
      </c>
      <c r="AO18" s="60">
        <f t="shared" si="41"/>
        <v>0</v>
      </c>
      <c r="AP18" s="60">
        <f t="shared" si="41"/>
        <v>0</v>
      </c>
      <c r="AQ18" s="60">
        <f t="shared" si="41"/>
        <v>0</v>
      </c>
      <c r="AR18" s="60">
        <f t="shared" si="41"/>
        <v>0</v>
      </c>
      <c r="AS18" s="60">
        <f t="shared" si="41"/>
        <v>2</v>
      </c>
      <c r="AT18" s="60">
        <f t="shared" si="41"/>
        <v>0</v>
      </c>
      <c r="AU18" s="60">
        <f t="shared" si="41"/>
        <v>0</v>
      </c>
      <c r="AV18" s="60">
        <f t="shared" si="41"/>
        <v>0</v>
      </c>
      <c r="AW18" s="60">
        <f t="shared" si="41"/>
        <v>0</v>
      </c>
      <c r="AX18" s="60">
        <f t="shared" si="42"/>
        <v>0</v>
      </c>
      <c r="AY18" s="60">
        <f t="shared" si="42"/>
        <v>0</v>
      </c>
      <c r="AZ18" s="60">
        <f t="shared" si="42"/>
        <v>0</v>
      </c>
      <c r="BA18" s="60">
        <f t="shared" si="42"/>
        <v>0</v>
      </c>
      <c r="BB18" s="60">
        <f t="shared" si="42"/>
        <v>0</v>
      </c>
      <c r="BC18" s="60">
        <f t="shared" si="42"/>
        <v>0</v>
      </c>
      <c r="BD18" s="60">
        <f t="shared" si="42"/>
        <v>0</v>
      </c>
      <c r="BE18" s="60">
        <f t="shared" si="42"/>
        <v>0</v>
      </c>
      <c r="BF18" s="60">
        <f t="shared" si="42"/>
        <v>0</v>
      </c>
      <c r="BG18" s="60">
        <f t="shared" si="42"/>
        <v>0</v>
      </c>
      <c r="BH18" s="60">
        <f t="shared" si="43"/>
        <v>0</v>
      </c>
      <c r="BI18" s="60">
        <f t="shared" si="43"/>
        <v>0</v>
      </c>
      <c r="BJ18" s="60">
        <f t="shared" si="43"/>
        <v>0</v>
      </c>
      <c r="BK18" s="60">
        <f t="shared" si="43"/>
        <v>0</v>
      </c>
      <c r="BL18" s="60">
        <f t="shared" si="43"/>
        <v>0</v>
      </c>
      <c r="BM18" s="60">
        <f t="shared" si="43"/>
        <v>0</v>
      </c>
      <c r="BN18" s="60">
        <f t="shared" si="43"/>
        <v>0</v>
      </c>
      <c r="BO18" s="60">
        <f t="shared" si="43"/>
        <v>0</v>
      </c>
      <c r="BP18" s="60">
        <f t="shared" si="43"/>
        <v>0</v>
      </c>
      <c r="BQ18" s="60">
        <f t="shared" si="43"/>
        <v>0</v>
      </c>
      <c r="BR18" s="60">
        <f t="shared" si="44"/>
        <v>0</v>
      </c>
      <c r="BS18" s="60">
        <f t="shared" si="44"/>
        <v>0</v>
      </c>
      <c r="BT18" s="60">
        <f t="shared" si="44"/>
        <v>0</v>
      </c>
      <c r="BU18" s="60">
        <f t="shared" si="44"/>
        <v>0</v>
      </c>
      <c r="BV18" s="60">
        <f t="shared" si="44"/>
        <v>0</v>
      </c>
      <c r="BW18" s="60"/>
      <c r="BX18" s="63">
        <f t="shared" si="40"/>
        <v>0</v>
      </c>
      <c r="BY18" s="63">
        <f t="shared" si="1"/>
        <v>0</v>
      </c>
      <c r="BZ18" s="63">
        <f t="shared" si="1"/>
        <v>0</v>
      </c>
      <c r="CA18" s="63">
        <f t="shared" si="2"/>
        <v>0</v>
      </c>
      <c r="CB18" s="63">
        <f t="shared" si="3"/>
        <v>0</v>
      </c>
      <c r="CC18" s="63">
        <f t="shared" si="4"/>
        <v>0</v>
      </c>
      <c r="CD18" s="63">
        <f t="shared" si="5"/>
        <v>1</v>
      </c>
      <c r="CE18" s="63">
        <f t="shared" si="6"/>
        <v>0</v>
      </c>
      <c r="CF18" s="63">
        <f t="shared" si="7"/>
        <v>0</v>
      </c>
      <c r="CG18" s="63">
        <f t="shared" si="8"/>
        <v>0</v>
      </c>
      <c r="CH18" s="63">
        <f t="shared" si="9"/>
        <v>0</v>
      </c>
      <c r="CI18" s="63">
        <f t="shared" si="10"/>
        <v>0</v>
      </c>
      <c r="CJ18" s="63">
        <f t="shared" si="11"/>
        <v>0</v>
      </c>
      <c r="CK18" s="63">
        <f t="shared" si="12"/>
        <v>0</v>
      </c>
      <c r="CL18" s="63">
        <f t="shared" si="13"/>
        <v>0</v>
      </c>
      <c r="CM18" s="63">
        <f t="shared" si="14"/>
        <v>0</v>
      </c>
      <c r="CN18" s="63">
        <f t="shared" si="15"/>
        <v>0</v>
      </c>
      <c r="CO18" s="63">
        <f t="shared" si="16"/>
        <v>0</v>
      </c>
      <c r="CP18" s="63">
        <f t="shared" si="17"/>
        <v>0</v>
      </c>
      <c r="CQ18" s="63">
        <f t="shared" si="18"/>
        <v>0</v>
      </c>
      <c r="CR18" s="63">
        <f t="shared" si="19"/>
        <v>0</v>
      </c>
      <c r="CS18" s="63">
        <f t="shared" si="20"/>
        <v>0</v>
      </c>
      <c r="CT18" s="63">
        <f t="shared" si="21"/>
        <v>0</v>
      </c>
      <c r="CU18" s="63">
        <f t="shared" si="22"/>
        <v>0</v>
      </c>
      <c r="CV18" s="63">
        <f t="shared" si="23"/>
        <v>0</v>
      </c>
      <c r="CW18" s="63">
        <f t="shared" si="24"/>
        <v>0</v>
      </c>
      <c r="CX18" s="63">
        <f t="shared" si="25"/>
        <v>0</v>
      </c>
      <c r="CY18" s="63">
        <f t="shared" si="26"/>
        <v>0</v>
      </c>
      <c r="CZ18" s="63">
        <f t="shared" si="27"/>
        <v>0</v>
      </c>
      <c r="DA18" s="63">
        <f t="shared" si="28"/>
        <v>0</v>
      </c>
      <c r="DB18" s="63">
        <f t="shared" si="29"/>
        <v>0</v>
      </c>
      <c r="DC18" s="63">
        <f t="shared" si="30"/>
        <v>0</v>
      </c>
      <c r="DD18" s="63">
        <f t="shared" si="31"/>
        <v>0</v>
      </c>
      <c r="DE18" s="63">
        <f t="shared" si="32"/>
        <v>0</v>
      </c>
      <c r="DF18" s="63">
        <f t="shared" si="33"/>
        <v>0</v>
      </c>
      <c r="DG18" s="63">
        <f t="shared" si="34"/>
        <v>0</v>
      </c>
      <c r="DH18" s="57" t="str" cm="1">
        <f t="array" ref="DH18">INDEX(_xlfn.ANCHORARRAY($BX$2),0,MATCH(LARGE($BX18:$DG18,1),$BX18:$DG18,0))</f>
        <v>Logistics</v>
      </c>
      <c r="DI18" s="58">
        <f>LARGE('Industries all mentioned partne'!$BX18:$DG18,1)</f>
        <v>1</v>
      </c>
      <c r="DJ18" s="57" t="str" cm="1">
        <f t="array" ref="DJ18">IF(DI18&lt;&gt;100%,INDEX(_xlfn.ANCHORARRAY($BX$2),0,MATCH(LARGE($BX18:$DG18,2),$BX18:$DG18,0)),"")</f>
        <v/>
      </c>
      <c r="DK18" s="58" t="str">
        <f>IF(DI18&lt;&gt;100%,LARGE('Industries all mentioned partne'!$BX18:$DG18,2),"")</f>
        <v/>
      </c>
      <c r="DL18" s="57" t="str" cm="1">
        <f t="array" ref="DL18">IF(DM18="","",INDEX(_xlfn.ANCHORARRAY($BX$2),0,MATCH(LARGE($BX18:$DG18,3),$BX18:$DG18,0)))</f>
        <v/>
      </c>
      <c r="DM18" s="110" t="str">
        <f>IF(LARGE('Industries all mentioned partne'!$BX18:$DG18,3)=0%,"",LARGE('Industries all mentioned partne'!$BX18:$DG18,3))</f>
        <v/>
      </c>
      <c r="DN18" s="52">
        <f>IF(ISTEXT(C18)=TRUE,VLOOKUP(C18,CBIMPORT!$A$2:$AL$171,38,FALSE),"")</f>
        <v>0</v>
      </c>
      <c r="DO18" s="52">
        <f>IF(ISTEXT(D18)=TRUE,VLOOKUP(D18,CBIMPORT!$A$2:$AL$171,38,FALSE),"")</f>
        <v>1</v>
      </c>
      <c r="DP18" s="52" t="str">
        <f>IF(ISTEXT(E18)=TRUE,VLOOKUP(E18,CBIMPORT!$A$2:$AL$171,38,FALSE),"")</f>
        <v/>
      </c>
      <c r="DQ18" s="52" t="str">
        <f>IF(ISTEXT(F18)=TRUE,VLOOKUP(F18,CBIMPORT!$A$2:$AL$171,38,FALSE),"")</f>
        <v/>
      </c>
      <c r="DR18" s="52" t="str">
        <f>IF(ISTEXT(G18)=TRUE,VLOOKUP(G18,CBIMPORT!$A$2:$AL$171,38,FALSE),"")</f>
        <v/>
      </c>
      <c r="DS18" s="52" t="str">
        <f>IF(ISTEXT(H18)=TRUE,VLOOKUP(H18,CBIMPORT!$A$2:$AL$171,38,FALSE),"")</f>
        <v/>
      </c>
      <c r="DT18" s="52" t="str">
        <f>IF(ISTEXT(I18)=TRUE,VLOOKUP(I18,CBIMPORT!$A$2:$AL$171,38,FALSE),"")</f>
        <v/>
      </c>
      <c r="DU18" s="52" t="str">
        <f>IF(ISTEXT(J18)=TRUE,VLOOKUP(J18,CBIMPORT!$A$2:$AL$171,38,FALSE),"")</f>
        <v/>
      </c>
      <c r="DV18" s="52" t="str">
        <f>IF(ISTEXT(K18)=TRUE,VLOOKUP(K18,CBIMPORT!$A$2:$AL$171,38,FALSE),"")</f>
        <v/>
      </c>
      <c r="DW18" s="52" t="str">
        <f>IF(ISTEXT(L18)=TRUE,VLOOKUP(L18,CBIMPORT!$A$2:$AL$171,38,FALSE),"")</f>
        <v/>
      </c>
      <c r="DX18" s="52" t="str">
        <f>IF(ISTEXT(M18)=TRUE,VLOOKUP(M18,CBIMPORT!$A$2:$AL$171,38,FALSE),"")</f>
        <v/>
      </c>
      <c r="DY18" s="52" t="str">
        <f>IF(ISTEXT(N18)=TRUE,VLOOKUP(N18,CBIMPORT!$A$2:$AL$171,38,FALSE),"")</f>
        <v/>
      </c>
      <c r="DZ18" s="52" t="str">
        <f>IF(ISTEXT(O18)=TRUE,VLOOKUP(O18,CBIMPORT!$A$2:$AL$171,38,FALSE),"")</f>
        <v/>
      </c>
      <c r="EA18" s="52" t="str">
        <f>IF(ISTEXT(P18)=TRUE,VLOOKUP(P18,CBIMPORT!$A$2:$AL$171,38,FALSE),"")</f>
        <v/>
      </c>
      <c r="EB18" s="52" t="str">
        <f>IF(ISTEXT(Q18)=TRUE,VLOOKUP(Q18,CBIMPORT!$A$2:$AL$171,38,FALSE),"")</f>
        <v/>
      </c>
      <c r="EC18" s="52" t="str">
        <f>IF(ISTEXT(R18)=TRUE,VLOOKUP(R18,CBIMPORT!$A$2:$AL$171,38,FALSE),"")</f>
        <v/>
      </c>
      <c r="ED18" s="52" t="str">
        <f>IF(ISTEXT(S18)=TRUE,VLOOKUP(S18,CBIMPORT!$A$2:$AL$171,38,FALSE),"")</f>
        <v/>
      </c>
      <c r="EE18" s="52" t="str">
        <f>IF(ISTEXT(T18)=TRUE,VLOOKUP(T18,CBIMPORT!$A$2:$AL$171,38,FALSE),"")</f>
        <v/>
      </c>
      <c r="EF18" s="64" t="str">
        <f>IF(ISTEXT(U18)=TRUE,VLOOKUP(U18,CBIMPORT!$A$2:$AL$171,38,FALSE),"")</f>
        <v/>
      </c>
      <c r="EG18" s="64"/>
      <c r="EH18" s="64"/>
      <c r="EI18" s="64"/>
      <c r="EJ18" s="64"/>
      <c r="EK18" s="64"/>
      <c r="EL18" s="64"/>
      <c r="EM18" s="64"/>
      <c r="EN18" s="64"/>
      <c r="EO18" s="64"/>
      <c r="EP18" s="64"/>
    </row>
    <row r="19" spans="1:146" x14ac:dyDescent="0.35">
      <c r="A19" s="49" t="str">
        <v>May Mobility-Ridehailing</v>
      </c>
      <c r="B19" s="48" t="str" cm="1">
        <f t="array" ref="B19">_xlfn.TEXTJOIN(";",TRUE,IF(ANNOUNCEMENTS!$AH$2:$AH$180=A19,ANNOUNCEMENTS!$K$2:$K$180,""))</f>
        <v>Bridgestone;Stantec;Spare;Moovit;Liftango</v>
      </c>
      <c r="C19" s="55" t="s">
        <v>512</v>
      </c>
      <c r="D19" s="55" t="s">
        <v>539</v>
      </c>
      <c r="E19" s="55" t="s">
        <v>715</v>
      </c>
      <c r="F19" s="55" t="s">
        <v>740</v>
      </c>
      <c r="G19" s="55" t="s">
        <v>732</v>
      </c>
      <c r="H19" s="55"/>
      <c r="I19" s="55"/>
      <c r="J19" s="55"/>
      <c r="K19" s="55"/>
      <c r="L19" s="55"/>
      <c r="M19" s="55"/>
      <c r="N19" s="55"/>
      <c r="O19" s="55"/>
      <c r="P19" s="55"/>
      <c r="Q19" s="55"/>
      <c r="R19" s="55"/>
      <c r="S19" s="55"/>
      <c r="T19" s="55"/>
      <c r="V19" s="56" t="str">
        <f>IF(ISERROR(VLOOKUP(C19,CBIMPORT!$A$2:$B$171,2,FALSE)),0,VLOOKUP(C19,CBIMPORT!$A$2:$B$171,2,FALSE))</f>
        <v>Automotive Supplier</v>
      </c>
      <c r="W19" s="56" t="str">
        <f>IF(ISERROR(VLOOKUP(D19,CBIMPORT!$A$2:$B$171,2,FALSE)),0,VLOOKUP(D19,CBIMPORT!$A$2:$B$171,2,FALSE))</f>
        <v>City Architecture</v>
      </c>
      <c r="X19" s="56" t="str">
        <f>IF(ISERROR(VLOOKUP(E19,CBIMPORT!$A$2:$B$171,2,FALSE)),0,VLOOKUP(E19,CBIMPORT!$A$2:$B$171,2,FALSE))</f>
        <v>Mobility Analytics</v>
      </c>
      <c r="Y19" s="56" t="str">
        <f>IF(ISERROR(VLOOKUP(F19,CBIMPORT!$A$2:$B$171,2,FALSE)),0,VLOOKUP(F19,CBIMPORT!$A$2:$B$171,2,FALSE))</f>
        <v>Mobility Services Booking</v>
      </c>
      <c r="Z19" s="56" t="str">
        <f>IF(ISERROR(VLOOKUP(G19,CBIMPORT!$A$2:$B$171,2,FALSE)),0,VLOOKUP(G19,CBIMPORT!$A$2:$B$171,2,FALSE))</f>
        <v>Mobility Services Booking</v>
      </c>
      <c r="AA19" s="56">
        <f>IF(ISERROR(VLOOKUP(H19,CBIMPORT!$A$2:$B$171,2,FALSE)),0,VLOOKUP(H19,CBIMPORT!$A$2:$B$171,2,FALSE))</f>
        <v>0</v>
      </c>
      <c r="AB19" s="56">
        <f>IF(ISERROR(VLOOKUP(I19,CBIMPORT!$A$2:$B$171,2,FALSE)),0,VLOOKUP(I19,CBIMPORT!$A$2:$B$171,2,FALSE))</f>
        <v>0</v>
      </c>
      <c r="AC19" s="56">
        <f>IF(ISERROR(VLOOKUP(J19,CBIMPORT!$A$2:$B$171,2,FALSE)),0,VLOOKUP(J19,CBIMPORT!$A$2:$B$171,2,FALSE))</f>
        <v>0</v>
      </c>
      <c r="AD19" s="56">
        <f>IF(ISERROR(VLOOKUP(K19,CBIMPORT!$A$2:$B$171,2,FALSE)),0,VLOOKUP(K19,CBIMPORT!$A$2:$B$171,2,FALSE))</f>
        <v>0</v>
      </c>
      <c r="AE19" s="56">
        <f>IF(ISERROR(VLOOKUP(L19,CBIMPORT!$A$2:$B$171,2,FALSE)),0,VLOOKUP(L19,CBIMPORT!$A$2:$B$171,2,FALSE))</f>
        <v>0</v>
      </c>
      <c r="AF19" s="56">
        <f>IF(ISERROR(VLOOKUP(M19,CBIMPORT!$A$2:$B$171,2,FALSE)),0,VLOOKUP(M19,CBIMPORT!$A$2:$B$171,2,FALSE))</f>
        <v>0</v>
      </c>
      <c r="AG19" s="56">
        <f>IF(ISERROR(VLOOKUP(N19,CBIMPORT!$A$2:$B$171,2,FALSE)),0,VLOOKUP(N19,CBIMPORT!$A$2:$B$171,2,FALSE))</f>
        <v>0</v>
      </c>
      <c r="AH19" s="56">
        <f>IF(ISERROR(VLOOKUP(O19,CBIMPORT!$A$2:$B$171,2,FALSE)),0,VLOOKUP(O19,CBIMPORT!$A$2:$B$171,2,FALSE))</f>
        <v>0</v>
      </c>
      <c r="AI19" s="56">
        <f>IF(ISERROR(VLOOKUP(P19,CBIMPORT!$A$2:$B$171,2,FALSE)),0,VLOOKUP(P19,CBIMPORT!$A$2:$B$171,2,FALSE))</f>
        <v>0</v>
      </c>
      <c r="AJ19" s="56">
        <f>IF(ISERROR(VLOOKUP(Q19,CBIMPORT!$A$2:$B$171,2,FALSE)),0,VLOOKUP(Q19,CBIMPORT!$A$2:$B$171,2,FALSE))</f>
        <v>0</v>
      </c>
      <c r="AK19" s="56">
        <f>IF(ISERROR(VLOOKUP(R19,CBIMPORT!$A$2:$B$171,2,FALSE)),0,VLOOKUP(R19,CBIMPORT!$A$2:$B$171,2,FALSE))</f>
        <v>0</v>
      </c>
      <c r="AL19" s="56">
        <f>IF(ISERROR(VLOOKUP(S19,CBIMPORT!$A$2:$B$171,2,FALSE)),0,VLOOKUP(S19,CBIMPORT!$A$2:$B$171,2,FALSE))</f>
        <v>0</v>
      </c>
      <c r="AM19" s="60">
        <f t="shared" si="35"/>
        <v>0</v>
      </c>
      <c r="AN19" s="60">
        <f t="shared" si="41"/>
        <v>0</v>
      </c>
      <c r="AO19" s="60">
        <f t="shared" si="41"/>
        <v>0</v>
      </c>
      <c r="AP19" s="60">
        <f t="shared" si="41"/>
        <v>0</v>
      </c>
      <c r="AQ19" s="60">
        <f t="shared" si="41"/>
        <v>2</v>
      </c>
      <c r="AR19" s="60">
        <f t="shared" si="41"/>
        <v>0</v>
      </c>
      <c r="AS19" s="60">
        <f t="shared" si="41"/>
        <v>0</v>
      </c>
      <c r="AT19" s="60">
        <f t="shared" si="41"/>
        <v>0</v>
      </c>
      <c r="AU19" s="60">
        <f t="shared" si="41"/>
        <v>0</v>
      </c>
      <c r="AV19" s="60">
        <f t="shared" si="41"/>
        <v>0</v>
      </c>
      <c r="AW19" s="60">
        <f t="shared" si="41"/>
        <v>0</v>
      </c>
      <c r="AX19" s="60">
        <f t="shared" si="42"/>
        <v>0</v>
      </c>
      <c r="AY19" s="60">
        <f t="shared" si="42"/>
        <v>0</v>
      </c>
      <c r="AZ19" s="60">
        <f t="shared" si="42"/>
        <v>1</v>
      </c>
      <c r="BA19" s="60">
        <f t="shared" si="42"/>
        <v>0</v>
      </c>
      <c r="BB19" s="60">
        <f t="shared" si="42"/>
        <v>0</v>
      </c>
      <c r="BC19" s="60">
        <f t="shared" si="42"/>
        <v>0</v>
      </c>
      <c r="BD19" s="60">
        <f t="shared" si="42"/>
        <v>0</v>
      </c>
      <c r="BE19" s="60">
        <f t="shared" si="42"/>
        <v>0</v>
      </c>
      <c r="BF19" s="60">
        <f t="shared" si="42"/>
        <v>0</v>
      </c>
      <c r="BG19" s="60">
        <f t="shared" si="42"/>
        <v>0</v>
      </c>
      <c r="BH19" s="60">
        <f t="shared" si="43"/>
        <v>0</v>
      </c>
      <c r="BI19" s="60">
        <f t="shared" si="43"/>
        <v>0</v>
      </c>
      <c r="BJ19" s="60">
        <f t="shared" si="43"/>
        <v>0</v>
      </c>
      <c r="BK19" s="60">
        <f t="shared" si="43"/>
        <v>0</v>
      </c>
      <c r="BL19" s="60">
        <f t="shared" si="43"/>
        <v>0</v>
      </c>
      <c r="BM19" s="60">
        <f t="shared" si="43"/>
        <v>0</v>
      </c>
      <c r="BN19" s="60">
        <f t="shared" si="43"/>
        <v>0</v>
      </c>
      <c r="BO19" s="60">
        <f t="shared" si="43"/>
        <v>0</v>
      </c>
      <c r="BP19" s="60">
        <f t="shared" si="43"/>
        <v>0</v>
      </c>
      <c r="BQ19" s="60">
        <f t="shared" si="43"/>
        <v>0</v>
      </c>
      <c r="BR19" s="60">
        <f t="shared" si="44"/>
        <v>0</v>
      </c>
      <c r="BS19" s="60">
        <f t="shared" si="44"/>
        <v>0</v>
      </c>
      <c r="BT19" s="60">
        <f t="shared" si="44"/>
        <v>1</v>
      </c>
      <c r="BU19" s="60">
        <f t="shared" si="44"/>
        <v>1</v>
      </c>
      <c r="BV19" s="60">
        <f t="shared" si="44"/>
        <v>0</v>
      </c>
      <c r="BW19" s="60"/>
      <c r="BX19" s="63">
        <f t="shared" si="40"/>
        <v>0</v>
      </c>
      <c r="BY19" s="63">
        <f t="shared" ref="BY19:BY58" si="45">IF(ISERROR(AN19/SUM($AM19:$BW19)),0,AN19/SUM($AM19:$BW19))</f>
        <v>0</v>
      </c>
      <c r="BZ19" s="63">
        <f t="shared" ref="BZ19:BZ58" si="46">IF(ISERROR(AO19/SUM($AM19:$BW19)),0,AO19/SUM($AM19:$BW19))</f>
        <v>0</v>
      </c>
      <c r="CA19" s="63">
        <f t="shared" si="2"/>
        <v>0</v>
      </c>
      <c r="CB19" s="63">
        <f t="shared" si="3"/>
        <v>0.4</v>
      </c>
      <c r="CC19" s="63">
        <f t="shared" si="4"/>
        <v>0</v>
      </c>
      <c r="CD19" s="63">
        <f t="shared" si="5"/>
        <v>0</v>
      </c>
      <c r="CE19" s="63">
        <f t="shared" si="6"/>
        <v>0</v>
      </c>
      <c r="CF19" s="63">
        <f t="shared" si="7"/>
        <v>0</v>
      </c>
      <c r="CG19" s="63">
        <f t="shared" si="8"/>
        <v>0</v>
      </c>
      <c r="CH19" s="63">
        <f t="shared" si="9"/>
        <v>0</v>
      </c>
      <c r="CI19" s="63">
        <f t="shared" si="10"/>
        <v>0</v>
      </c>
      <c r="CJ19" s="63">
        <f t="shared" si="11"/>
        <v>0</v>
      </c>
      <c r="CK19" s="63">
        <f t="shared" si="12"/>
        <v>0.2</v>
      </c>
      <c r="CL19" s="63">
        <f t="shared" si="13"/>
        <v>0</v>
      </c>
      <c r="CM19" s="63">
        <f t="shared" si="14"/>
        <v>0</v>
      </c>
      <c r="CN19" s="63">
        <f t="shared" si="15"/>
        <v>0</v>
      </c>
      <c r="CO19" s="63">
        <f t="shared" si="16"/>
        <v>0</v>
      </c>
      <c r="CP19" s="63">
        <f t="shared" si="17"/>
        <v>0</v>
      </c>
      <c r="CQ19" s="63">
        <f t="shared" si="18"/>
        <v>0</v>
      </c>
      <c r="CR19" s="63">
        <f t="shared" si="19"/>
        <v>0</v>
      </c>
      <c r="CS19" s="63">
        <f t="shared" si="20"/>
        <v>0</v>
      </c>
      <c r="CT19" s="63">
        <f t="shared" si="21"/>
        <v>0</v>
      </c>
      <c r="CU19" s="63">
        <f t="shared" si="22"/>
        <v>0</v>
      </c>
      <c r="CV19" s="63">
        <f t="shared" si="23"/>
        <v>0</v>
      </c>
      <c r="CW19" s="63">
        <f t="shared" si="24"/>
        <v>0</v>
      </c>
      <c r="CX19" s="63">
        <f t="shared" si="25"/>
        <v>0</v>
      </c>
      <c r="CY19" s="63">
        <f t="shared" si="26"/>
        <v>0</v>
      </c>
      <c r="CZ19" s="63">
        <f t="shared" si="27"/>
        <v>0</v>
      </c>
      <c r="DA19" s="63">
        <f t="shared" si="28"/>
        <v>0</v>
      </c>
      <c r="DB19" s="63">
        <f t="shared" si="29"/>
        <v>0</v>
      </c>
      <c r="DC19" s="63">
        <f t="shared" si="30"/>
        <v>0</v>
      </c>
      <c r="DD19" s="63">
        <f t="shared" si="31"/>
        <v>0</v>
      </c>
      <c r="DE19" s="63">
        <f t="shared" si="32"/>
        <v>0.2</v>
      </c>
      <c r="DF19" s="63">
        <f t="shared" si="33"/>
        <v>0.2</v>
      </c>
      <c r="DG19" s="63">
        <f t="shared" si="34"/>
        <v>0</v>
      </c>
      <c r="DH19" s="57" t="str" cm="1">
        <f t="array" ref="DH19">INDEX(_xlfn.ANCHORARRAY($BX$2),0,MATCH(LARGE($BX19:$DG19,1),$BX19:$DG19,0))</f>
        <v>Mobility Services Booking</v>
      </c>
      <c r="DI19" s="58">
        <f>LARGE('Industries all mentioned partne'!$BX19:$DG19,1)</f>
        <v>0.4</v>
      </c>
      <c r="DJ19" s="57" t="str" cm="1">
        <f t="array" ref="DJ19">IF(DI19&lt;&gt;100%,INDEX(_xlfn.ANCHORARRAY($BX$2),0,MATCH(LARGE($BX19:$DG19,2),$BX19:$DG19,0)),"")</f>
        <v>Automotive Supplier</v>
      </c>
      <c r="DK19" s="58">
        <f>IF(DI19&lt;&gt;100%,LARGE('Industries all mentioned partne'!$BX19:$DG19,2),"")</f>
        <v>0.2</v>
      </c>
      <c r="DL19" s="57" t="str" cm="1">
        <f t="array" ref="DL19">IF(DM19="","",INDEX(_xlfn.ANCHORARRAY($BX$2),0,MATCH(LARGE($BX19:$DG19,3),$BX19:$DG19,0)))</f>
        <v>Automotive Supplier</v>
      </c>
      <c r="DM19" s="110">
        <f>IF(LARGE('Industries all mentioned partne'!$BX19:$DG19,3)=0%,"",LARGE('Industries all mentioned partne'!$BX19:$DG19,3))</f>
        <v>0.2</v>
      </c>
      <c r="DN19" s="52">
        <f>IF(ISTEXT(C19)=TRUE,VLOOKUP(C19,CBIMPORT!$A$2:$AL$171,38,FALSE),"")</f>
        <v>1</v>
      </c>
      <c r="DO19" s="52">
        <f>IF(ISTEXT(D19)=TRUE,VLOOKUP(D19,CBIMPORT!$A$2:$AL$171,38,FALSE),"")</f>
        <v>1</v>
      </c>
      <c r="DP19" s="52">
        <f>IF(ISTEXT(E19)=TRUE,VLOOKUP(E19,CBIMPORT!$A$2:$AL$171,38,FALSE),"")</f>
        <v>0</v>
      </c>
      <c r="DQ19" s="52">
        <f>IF(ISTEXT(F19)=TRUE,VLOOKUP(F19,CBIMPORT!$A$2:$AL$171,38,FALSE),"")</f>
        <v>0</v>
      </c>
      <c r="DR19" s="52">
        <f>IF(ISTEXT(G19)=TRUE,VLOOKUP(G19,CBIMPORT!$A$2:$AL$171,38,FALSE),"")</f>
        <v>0</v>
      </c>
      <c r="DS19" s="52" t="str">
        <f>IF(ISTEXT(H19)=TRUE,VLOOKUP(H19,CBIMPORT!$A$2:$AL$171,38,FALSE),"")</f>
        <v/>
      </c>
      <c r="DT19" s="52" t="str">
        <f>IF(ISTEXT(I19)=TRUE,VLOOKUP(I19,CBIMPORT!$A$2:$AL$171,38,FALSE),"")</f>
        <v/>
      </c>
      <c r="DU19" s="52" t="str">
        <f>IF(ISTEXT(J19)=TRUE,VLOOKUP(J19,CBIMPORT!$A$2:$AL$171,38,FALSE),"")</f>
        <v/>
      </c>
      <c r="DV19" s="52" t="str">
        <f>IF(ISTEXT(K19)=TRUE,VLOOKUP(K19,CBIMPORT!$A$2:$AL$171,38,FALSE),"")</f>
        <v/>
      </c>
      <c r="DW19" s="52" t="str">
        <f>IF(ISTEXT(L19)=TRUE,VLOOKUP(L19,CBIMPORT!$A$2:$AL$171,38,FALSE),"")</f>
        <v/>
      </c>
      <c r="DX19" s="52" t="str">
        <f>IF(ISTEXT(M19)=TRUE,VLOOKUP(M19,CBIMPORT!$A$2:$AL$171,38,FALSE),"")</f>
        <v/>
      </c>
      <c r="DY19" s="52" t="str">
        <f>IF(ISTEXT(N19)=TRUE,VLOOKUP(N19,CBIMPORT!$A$2:$AL$171,38,FALSE),"")</f>
        <v/>
      </c>
      <c r="DZ19" s="52" t="str">
        <f>IF(ISTEXT(O19)=TRUE,VLOOKUP(O19,CBIMPORT!$A$2:$AL$171,38,FALSE),"")</f>
        <v/>
      </c>
      <c r="EA19" s="52" t="str">
        <f>IF(ISTEXT(P19)=TRUE,VLOOKUP(P19,CBIMPORT!$A$2:$AL$171,38,FALSE),"")</f>
        <v/>
      </c>
      <c r="EB19" s="52" t="str">
        <f>IF(ISTEXT(Q19)=TRUE,VLOOKUP(Q19,CBIMPORT!$A$2:$AL$171,38,FALSE),"")</f>
        <v/>
      </c>
      <c r="EC19" s="52" t="str">
        <f>IF(ISTEXT(R19)=TRUE,VLOOKUP(R19,CBIMPORT!$A$2:$AL$171,38,FALSE),"")</f>
        <v/>
      </c>
      <c r="ED19" s="52" t="str">
        <f>IF(ISTEXT(S19)=TRUE,VLOOKUP(S19,CBIMPORT!$A$2:$AL$171,38,FALSE),"")</f>
        <v/>
      </c>
      <c r="EE19" s="52" t="str">
        <f>IF(ISTEXT(T19)=TRUE,VLOOKUP(T19,CBIMPORT!$A$2:$AL$171,38,FALSE),"")</f>
        <v/>
      </c>
      <c r="EF19" s="64" t="str">
        <f>IF(ISTEXT(U19)=TRUE,VLOOKUP(U19,CBIMPORT!$A$2:$AL$171,38,FALSE),"")</f>
        <v/>
      </c>
      <c r="EG19" s="64"/>
      <c r="EH19" s="64"/>
      <c r="EI19" s="64"/>
      <c r="EJ19" s="64"/>
      <c r="EK19" s="64"/>
      <c r="EL19" s="64"/>
      <c r="EM19" s="64"/>
      <c r="EN19" s="64"/>
      <c r="EO19" s="64"/>
      <c r="EP19" s="64"/>
    </row>
    <row r="20" spans="1:146" x14ac:dyDescent="0.35">
      <c r="A20" s="49" t="str">
        <v>May Mobility-Ridepooling</v>
      </c>
      <c r="B20" s="48" t="str" cm="1">
        <f t="array" ref="B20">_xlfn.TEXTJOIN(";",TRUE,IF(ANNOUNCEMENTS!$AH$2:$AH$180=A20,ANNOUNCEMENTS!$K$2:$K$180,""))</f>
        <v>Via</v>
      </c>
      <c r="C20" s="55" t="s">
        <v>724</v>
      </c>
      <c r="D20" s="55"/>
      <c r="E20" s="55"/>
      <c r="F20" s="55"/>
      <c r="G20" s="55"/>
      <c r="H20" s="55"/>
      <c r="I20" s="55"/>
      <c r="J20" s="55"/>
      <c r="K20" s="55"/>
      <c r="L20" s="55"/>
      <c r="M20" s="55"/>
      <c r="N20" s="55"/>
      <c r="O20" s="55"/>
      <c r="P20" s="55"/>
      <c r="Q20" s="55"/>
      <c r="R20" s="55"/>
      <c r="S20" s="55"/>
      <c r="T20" s="55"/>
      <c r="V20" s="56" t="str">
        <f>IF(ISERROR(VLOOKUP(C20,CBIMPORT!$A$2:$B$171,2,FALSE)),0,VLOOKUP(C20,CBIMPORT!$A$2:$B$171,2,FALSE))</f>
        <v>Transport Operator</v>
      </c>
      <c r="W20" s="56">
        <f>IF(ISERROR(VLOOKUP(D20,CBIMPORT!$A$2:$B$171,2,FALSE)),0,VLOOKUP(D20,CBIMPORT!$A$2:$B$171,2,FALSE))</f>
        <v>0</v>
      </c>
      <c r="X20" s="56">
        <f>IF(ISERROR(VLOOKUP(E20,CBIMPORT!$A$2:$B$171,2,FALSE)),0,VLOOKUP(E20,CBIMPORT!$A$2:$B$171,2,FALSE))</f>
        <v>0</v>
      </c>
      <c r="Y20" s="56">
        <f>IF(ISERROR(VLOOKUP(F20,CBIMPORT!$A$2:$B$171,2,FALSE)),0,VLOOKUP(F20,CBIMPORT!$A$2:$B$171,2,FALSE))</f>
        <v>0</v>
      </c>
      <c r="Z20" s="56">
        <f>IF(ISERROR(VLOOKUP(G20,CBIMPORT!$A$2:$B$171,2,FALSE)),0,VLOOKUP(G20,CBIMPORT!$A$2:$B$171,2,FALSE))</f>
        <v>0</v>
      </c>
      <c r="AA20" s="56">
        <f>IF(ISERROR(VLOOKUP(H20,CBIMPORT!$A$2:$B$171,2,FALSE)),0,VLOOKUP(H20,CBIMPORT!$A$2:$B$171,2,FALSE))</f>
        <v>0</v>
      </c>
      <c r="AB20" s="56">
        <f>IF(ISERROR(VLOOKUP(I20,CBIMPORT!$A$2:$B$171,2,FALSE)),0,VLOOKUP(I20,CBIMPORT!$A$2:$B$171,2,FALSE))</f>
        <v>0</v>
      </c>
      <c r="AC20" s="56">
        <f>IF(ISERROR(VLOOKUP(J20,CBIMPORT!$A$2:$B$171,2,FALSE)),0,VLOOKUP(J20,CBIMPORT!$A$2:$B$171,2,FALSE))</f>
        <v>0</v>
      </c>
      <c r="AD20" s="56">
        <f>IF(ISERROR(VLOOKUP(K20,CBIMPORT!$A$2:$B$171,2,FALSE)),0,VLOOKUP(K20,CBIMPORT!$A$2:$B$171,2,FALSE))</f>
        <v>0</v>
      </c>
      <c r="AE20" s="56">
        <f>IF(ISERROR(VLOOKUP(L20,CBIMPORT!$A$2:$B$171,2,FALSE)),0,VLOOKUP(L20,CBIMPORT!$A$2:$B$171,2,FALSE))</f>
        <v>0</v>
      </c>
      <c r="AF20" s="56">
        <f>IF(ISERROR(VLOOKUP(M20,CBIMPORT!$A$2:$B$171,2,FALSE)),0,VLOOKUP(M20,CBIMPORT!$A$2:$B$171,2,FALSE))</f>
        <v>0</v>
      </c>
      <c r="AG20" s="56">
        <f>IF(ISERROR(VLOOKUP(N20,CBIMPORT!$A$2:$B$171,2,FALSE)),0,VLOOKUP(N20,CBIMPORT!$A$2:$B$171,2,FALSE))</f>
        <v>0</v>
      </c>
      <c r="AH20" s="56">
        <f>IF(ISERROR(VLOOKUP(O20,CBIMPORT!$A$2:$B$171,2,FALSE)),0,VLOOKUP(O20,CBIMPORT!$A$2:$B$171,2,FALSE))</f>
        <v>0</v>
      </c>
      <c r="AI20" s="56">
        <f>IF(ISERROR(VLOOKUP(P20,CBIMPORT!$A$2:$B$171,2,FALSE)),0,VLOOKUP(P20,CBIMPORT!$A$2:$B$171,2,FALSE))</f>
        <v>0</v>
      </c>
      <c r="AJ20" s="56">
        <f>IF(ISERROR(VLOOKUP(Q20,CBIMPORT!$A$2:$B$171,2,FALSE)),0,VLOOKUP(Q20,CBIMPORT!$A$2:$B$171,2,FALSE))</f>
        <v>0</v>
      </c>
      <c r="AK20" s="56">
        <f>IF(ISERROR(VLOOKUP(R20,CBIMPORT!$A$2:$B$171,2,FALSE)),0,VLOOKUP(R20,CBIMPORT!$A$2:$B$171,2,FALSE))</f>
        <v>0</v>
      </c>
      <c r="AL20" s="56">
        <f>IF(ISERROR(VLOOKUP(S20,CBIMPORT!$A$2:$B$171,2,FALSE)),0,VLOOKUP(S20,CBIMPORT!$A$2:$B$171,2,FALSE))</f>
        <v>0</v>
      </c>
      <c r="AM20" s="60">
        <f t="shared" si="35"/>
        <v>0</v>
      </c>
      <c r="AN20" s="60">
        <f t="shared" si="41"/>
        <v>0</v>
      </c>
      <c r="AO20" s="60">
        <f t="shared" si="41"/>
        <v>1</v>
      </c>
      <c r="AP20" s="60">
        <f t="shared" si="41"/>
        <v>0</v>
      </c>
      <c r="AQ20" s="60">
        <f t="shared" si="41"/>
        <v>0</v>
      </c>
      <c r="AR20" s="60">
        <f t="shared" si="41"/>
        <v>0</v>
      </c>
      <c r="AS20" s="60">
        <f t="shared" si="41"/>
        <v>0</v>
      </c>
      <c r="AT20" s="60">
        <f t="shared" si="41"/>
        <v>0</v>
      </c>
      <c r="AU20" s="60">
        <f t="shared" si="41"/>
        <v>0</v>
      </c>
      <c r="AV20" s="60">
        <f t="shared" si="41"/>
        <v>0</v>
      </c>
      <c r="AW20" s="60">
        <f t="shared" si="41"/>
        <v>0</v>
      </c>
      <c r="AX20" s="60">
        <f t="shared" si="42"/>
        <v>0</v>
      </c>
      <c r="AY20" s="60">
        <f t="shared" si="42"/>
        <v>0</v>
      </c>
      <c r="AZ20" s="60">
        <f t="shared" si="42"/>
        <v>0</v>
      </c>
      <c r="BA20" s="60">
        <f t="shared" si="42"/>
        <v>0</v>
      </c>
      <c r="BB20" s="60">
        <f t="shared" si="42"/>
        <v>0</v>
      </c>
      <c r="BC20" s="60">
        <f t="shared" si="42"/>
        <v>0</v>
      </c>
      <c r="BD20" s="60">
        <f t="shared" si="42"/>
        <v>0</v>
      </c>
      <c r="BE20" s="60">
        <f t="shared" si="42"/>
        <v>0</v>
      </c>
      <c r="BF20" s="60">
        <f t="shared" si="42"/>
        <v>0</v>
      </c>
      <c r="BG20" s="60">
        <f t="shared" si="42"/>
        <v>0</v>
      </c>
      <c r="BH20" s="60">
        <f t="shared" si="43"/>
        <v>0</v>
      </c>
      <c r="BI20" s="60">
        <f t="shared" si="43"/>
        <v>0</v>
      </c>
      <c r="BJ20" s="60">
        <f t="shared" si="43"/>
        <v>0</v>
      </c>
      <c r="BK20" s="60">
        <f t="shared" si="43"/>
        <v>0</v>
      </c>
      <c r="BL20" s="60">
        <f t="shared" si="43"/>
        <v>0</v>
      </c>
      <c r="BM20" s="60">
        <f t="shared" si="43"/>
        <v>0</v>
      </c>
      <c r="BN20" s="60">
        <f t="shared" si="43"/>
        <v>0</v>
      </c>
      <c r="BO20" s="60">
        <f t="shared" si="43"/>
        <v>0</v>
      </c>
      <c r="BP20" s="60">
        <f t="shared" si="43"/>
        <v>0</v>
      </c>
      <c r="BQ20" s="60">
        <f t="shared" si="43"/>
        <v>0</v>
      </c>
      <c r="BR20" s="60">
        <f t="shared" si="44"/>
        <v>0</v>
      </c>
      <c r="BS20" s="60">
        <f t="shared" si="44"/>
        <v>0</v>
      </c>
      <c r="BT20" s="60">
        <f t="shared" si="44"/>
        <v>0</v>
      </c>
      <c r="BU20" s="60">
        <f t="shared" si="44"/>
        <v>0</v>
      </c>
      <c r="BV20" s="60">
        <f t="shared" si="44"/>
        <v>0</v>
      </c>
      <c r="BW20" s="60"/>
      <c r="BX20" s="63">
        <f t="shared" si="40"/>
        <v>0</v>
      </c>
      <c r="BY20" s="63">
        <f t="shared" si="45"/>
        <v>0</v>
      </c>
      <c r="BZ20" s="63">
        <f t="shared" si="46"/>
        <v>1</v>
      </c>
      <c r="CA20" s="63">
        <f t="shared" si="2"/>
        <v>0</v>
      </c>
      <c r="CB20" s="63">
        <f t="shared" si="3"/>
        <v>0</v>
      </c>
      <c r="CC20" s="63">
        <f t="shared" si="4"/>
        <v>0</v>
      </c>
      <c r="CD20" s="63">
        <f t="shared" si="5"/>
        <v>0</v>
      </c>
      <c r="CE20" s="63">
        <f t="shared" si="6"/>
        <v>0</v>
      </c>
      <c r="CF20" s="63">
        <f t="shared" si="7"/>
        <v>0</v>
      </c>
      <c r="CG20" s="63">
        <f t="shared" si="8"/>
        <v>0</v>
      </c>
      <c r="CH20" s="63">
        <f t="shared" si="9"/>
        <v>0</v>
      </c>
      <c r="CI20" s="63">
        <f t="shared" si="10"/>
        <v>0</v>
      </c>
      <c r="CJ20" s="63">
        <f t="shared" si="11"/>
        <v>0</v>
      </c>
      <c r="CK20" s="63">
        <f t="shared" si="12"/>
        <v>0</v>
      </c>
      <c r="CL20" s="63">
        <f t="shared" si="13"/>
        <v>0</v>
      </c>
      <c r="CM20" s="63">
        <f t="shared" si="14"/>
        <v>0</v>
      </c>
      <c r="CN20" s="63">
        <f t="shared" si="15"/>
        <v>0</v>
      </c>
      <c r="CO20" s="63">
        <f t="shared" si="16"/>
        <v>0</v>
      </c>
      <c r="CP20" s="63">
        <f t="shared" si="17"/>
        <v>0</v>
      </c>
      <c r="CQ20" s="63">
        <f t="shared" si="18"/>
        <v>0</v>
      </c>
      <c r="CR20" s="63">
        <f t="shared" si="19"/>
        <v>0</v>
      </c>
      <c r="CS20" s="63">
        <f t="shared" si="20"/>
        <v>0</v>
      </c>
      <c r="CT20" s="63">
        <f t="shared" si="21"/>
        <v>0</v>
      </c>
      <c r="CU20" s="63">
        <f t="shared" si="22"/>
        <v>0</v>
      </c>
      <c r="CV20" s="63">
        <f t="shared" si="23"/>
        <v>0</v>
      </c>
      <c r="CW20" s="63">
        <f t="shared" si="24"/>
        <v>0</v>
      </c>
      <c r="CX20" s="63">
        <f t="shared" si="25"/>
        <v>0</v>
      </c>
      <c r="CY20" s="63">
        <f t="shared" si="26"/>
        <v>0</v>
      </c>
      <c r="CZ20" s="63">
        <f t="shared" si="27"/>
        <v>0</v>
      </c>
      <c r="DA20" s="63">
        <f t="shared" si="28"/>
        <v>0</v>
      </c>
      <c r="DB20" s="63">
        <f t="shared" si="29"/>
        <v>0</v>
      </c>
      <c r="DC20" s="63">
        <f t="shared" si="30"/>
        <v>0</v>
      </c>
      <c r="DD20" s="63">
        <f t="shared" si="31"/>
        <v>0</v>
      </c>
      <c r="DE20" s="63">
        <f t="shared" si="32"/>
        <v>0</v>
      </c>
      <c r="DF20" s="63">
        <f t="shared" si="33"/>
        <v>0</v>
      </c>
      <c r="DG20" s="63">
        <f t="shared" si="34"/>
        <v>0</v>
      </c>
      <c r="DH20" s="57" t="str" cm="1">
        <f t="array" ref="DH20">INDEX(_xlfn.ANCHORARRAY($BX$2),0,MATCH(LARGE($BX20:$DG20,1),$BX20:$DG20,0))</f>
        <v>Transport Operator</v>
      </c>
      <c r="DI20" s="58">
        <f>LARGE('Industries all mentioned partne'!$BX20:$DG20,1)</f>
        <v>1</v>
      </c>
      <c r="DJ20" s="57" t="str" cm="1">
        <f t="array" ref="DJ20">IF(DI20&lt;&gt;100%,INDEX(_xlfn.ANCHORARRAY($BX$2),0,MATCH(LARGE($BX20:$DG20,2),$BX20:$DG20,0)),"")</f>
        <v/>
      </c>
      <c r="DK20" s="58" t="str">
        <f>IF(DI20&lt;&gt;100%,LARGE('Industries all mentioned partne'!$BX20:$DG20,2),"")</f>
        <v/>
      </c>
      <c r="DL20" s="57" t="str" cm="1">
        <f t="array" ref="DL20">IF(DM20="","",INDEX(_xlfn.ANCHORARRAY($BX$2),0,MATCH(LARGE($BX20:$DG20,3),$BX20:$DG20,0)))</f>
        <v/>
      </c>
      <c r="DM20" s="110" t="str">
        <f>IF(LARGE('Industries all mentioned partne'!$BX20:$DG20,3)=0%,"",LARGE('Industries all mentioned partne'!$BX20:$DG20,3))</f>
        <v/>
      </c>
      <c r="DN20" s="52">
        <f>IF(ISTEXT(C20)=TRUE,VLOOKUP(C20,CBIMPORT!$A$2:$AL$171,38,FALSE),"")</f>
        <v>0</v>
      </c>
      <c r="DO20" s="52" t="str">
        <f>IF(ISTEXT(D20)=TRUE,VLOOKUP(D20,CBIMPORT!$A$2:$AL$171,38,FALSE),"")</f>
        <v/>
      </c>
      <c r="DP20" s="52" t="str">
        <f>IF(ISTEXT(E20)=TRUE,VLOOKUP(E20,CBIMPORT!$A$2:$AL$171,38,FALSE),"")</f>
        <v/>
      </c>
      <c r="DQ20" s="52" t="str">
        <f>IF(ISTEXT(F20)=TRUE,VLOOKUP(F20,CBIMPORT!$A$2:$AL$171,38,FALSE),"")</f>
        <v/>
      </c>
      <c r="DR20" s="52" t="str">
        <f>IF(ISTEXT(G20)=TRUE,VLOOKUP(G20,CBIMPORT!$A$2:$AL$171,38,FALSE),"")</f>
        <v/>
      </c>
      <c r="DS20" s="52" t="str">
        <f>IF(ISTEXT(H20)=TRUE,VLOOKUP(H20,CBIMPORT!$A$2:$AL$171,38,FALSE),"")</f>
        <v/>
      </c>
      <c r="DT20" s="52" t="str">
        <f>IF(ISTEXT(I20)=TRUE,VLOOKUP(I20,CBIMPORT!$A$2:$AL$171,38,FALSE),"")</f>
        <v/>
      </c>
      <c r="DU20" s="52" t="str">
        <f>IF(ISTEXT(J20)=TRUE,VLOOKUP(J20,CBIMPORT!$A$2:$AL$171,38,FALSE),"")</f>
        <v/>
      </c>
      <c r="DV20" s="52" t="str">
        <f>IF(ISTEXT(K20)=TRUE,VLOOKUP(K20,CBIMPORT!$A$2:$AL$171,38,FALSE),"")</f>
        <v/>
      </c>
      <c r="DW20" s="52" t="str">
        <f>IF(ISTEXT(L20)=TRUE,VLOOKUP(L20,CBIMPORT!$A$2:$AL$171,38,FALSE),"")</f>
        <v/>
      </c>
      <c r="DX20" s="52" t="str">
        <f>IF(ISTEXT(M20)=TRUE,VLOOKUP(M20,CBIMPORT!$A$2:$AL$171,38,FALSE),"")</f>
        <v/>
      </c>
      <c r="DY20" s="52" t="str">
        <f>IF(ISTEXT(N20)=TRUE,VLOOKUP(N20,CBIMPORT!$A$2:$AL$171,38,FALSE),"")</f>
        <v/>
      </c>
      <c r="DZ20" s="52" t="str">
        <f>IF(ISTEXT(O20)=TRUE,VLOOKUP(O20,CBIMPORT!$A$2:$AL$171,38,FALSE),"")</f>
        <v/>
      </c>
      <c r="EA20" s="52" t="str">
        <f>IF(ISTEXT(P20)=TRUE,VLOOKUP(P20,CBIMPORT!$A$2:$AL$171,38,FALSE),"")</f>
        <v/>
      </c>
      <c r="EB20" s="52" t="str">
        <f>IF(ISTEXT(Q20)=TRUE,VLOOKUP(Q20,CBIMPORT!$A$2:$AL$171,38,FALSE),"")</f>
        <v/>
      </c>
      <c r="EC20" s="52" t="str">
        <f>IF(ISTEXT(R20)=TRUE,VLOOKUP(R20,CBIMPORT!$A$2:$AL$171,38,FALSE),"")</f>
        <v/>
      </c>
      <c r="ED20" s="52" t="str">
        <f>IF(ISTEXT(S20)=TRUE,VLOOKUP(S20,CBIMPORT!$A$2:$AL$171,38,FALSE),"")</f>
        <v/>
      </c>
      <c r="EE20" s="52" t="str">
        <f>IF(ISTEXT(T20)=TRUE,VLOOKUP(T20,CBIMPORT!$A$2:$AL$171,38,FALSE),"")</f>
        <v/>
      </c>
      <c r="EF20" s="64" t="str">
        <f>IF(ISTEXT(U20)=TRUE,VLOOKUP(U20,CBIMPORT!$A$2:$AL$171,38,FALSE),"")</f>
        <v/>
      </c>
      <c r="EG20" s="64"/>
      <c r="EH20" s="64"/>
      <c r="EI20" s="64"/>
      <c r="EJ20" s="64"/>
      <c r="EK20" s="64"/>
      <c r="EL20" s="64"/>
      <c r="EM20" s="64"/>
      <c r="EN20" s="64"/>
      <c r="EO20" s="64"/>
      <c r="EP20" s="64"/>
    </row>
    <row r="21" spans="1:146" x14ac:dyDescent="0.35">
      <c r="A21" s="49" t="str">
        <v>Perrone Robotics-Ridepooling</v>
      </c>
      <c r="B21" s="48" t="str" cm="1">
        <f t="array" ref="B21">_xlfn.TEXTJOIN(";",TRUE,IF(ANNOUNCEMENTS!$AH$2:$AH$180=A21,ANNOUNCEMENTS!$K$2:$K$180,""))</f>
        <v>Mission Secure;Global Finance Group;Western Reserve Transit Authority;GreenPower;SAE;Tropos Technologies;Tropos Technologies;Greenpower;Guident;Lightning eMotors;University of California;Sustainability Partners;Rampini;Tropos Technologies;GreenPower;JTA;UVA Foundation;E Charger Systems</v>
      </c>
      <c r="C21" s="55" t="s">
        <v>563</v>
      </c>
      <c r="D21" s="55" t="s">
        <v>587</v>
      </c>
      <c r="E21" s="55" t="s">
        <v>901</v>
      </c>
      <c r="F21" s="55" t="s">
        <v>786</v>
      </c>
      <c r="G21" s="55" t="s">
        <v>1984</v>
      </c>
      <c r="H21" s="55" t="s">
        <v>808</v>
      </c>
      <c r="I21" s="55" t="s">
        <v>808</v>
      </c>
      <c r="J21" s="55" t="s">
        <v>1989</v>
      </c>
      <c r="K21" s="55" t="s">
        <v>454</v>
      </c>
      <c r="L21" s="55" t="s">
        <v>582</v>
      </c>
      <c r="M21" s="55" t="s">
        <v>1969</v>
      </c>
      <c r="N21" s="55" t="s">
        <v>599</v>
      </c>
      <c r="O21" s="55" t="s">
        <v>549</v>
      </c>
      <c r="P21" s="55" t="s">
        <v>808</v>
      </c>
      <c r="Q21" s="55" t="s">
        <v>786</v>
      </c>
      <c r="R21" s="55" t="s">
        <v>1983</v>
      </c>
      <c r="S21" s="55" t="s">
        <v>602</v>
      </c>
      <c r="T21" s="55" t="s">
        <v>1970</v>
      </c>
      <c r="V21" s="56" t="str">
        <f>IF(ISERROR(VLOOKUP(C21,CBIMPORT!$A$2:$B$171,2,FALSE)),0,VLOOKUP(C21,CBIMPORT!$A$2:$B$171,2,FALSE))</f>
        <v>Cyber Security</v>
      </c>
      <c r="W21" s="56" t="str">
        <f>IF(ISERROR(VLOOKUP(D21,CBIMPORT!$A$2:$B$171,2,FALSE)),0,VLOOKUP(D21,CBIMPORT!$A$2:$B$171,2,FALSE))</f>
        <v>Financial Services</v>
      </c>
      <c r="X21" s="56" t="str">
        <f>IF(ISERROR(VLOOKUP(E21,CBIMPORT!$A$2:$B$171,2,FALSE)),0,VLOOKUP(E21,CBIMPORT!$A$2:$B$171,2,FALSE))</f>
        <v>Transportation Authority</v>
      </c>
      <c r="Y21" s="56" t="str">
        <f>IF(ISERROR(VLOOKUP(F21,CBIMPORT!$A$2:$B$171,2,FALSE)),0,VLOOKUP(F21,CBIMPORT!$A$2:$B$171,2,FALSE))</f>
        <v>OEM Commercial Vehicles</v>
      </c>
      <c r="Z21" s="56" t="str">
        <f>IF(ISERROR(VLOOKUP(G21,CBIMPORT!$A$2:$B$171,2,FALSE)),0,VLOOKUP(G21,CBIMPORT!$A$2:$B$171,2,FALSE))</f>
        <v>NPO</v>
      </c>
      <c r="AA21" s="56" t="str">
        <f>IF(ISERROR(VLOOKUP(H21,CBIMPORT!$A$2:$B$171,2,FALSE)),0,VLOOKUP(H21,CBIMPORT!$A$2:$B$171,2,FALSE))</f>
        <v>OEM Commercial Vehicles</v>
      </c>
      <c r="AB21" s="56" t="str">
        <f>IF(ISERROR(VLOOKUP(I21,CBIMPORT!$A$2:$B$171,2,FALSE)),0,VLOOKUP(I21,CBIMPORT!$A$2:$B$171,2,FALSE))</f>
        <v>OEM Commercial Vehicles</v>
      </c>
      <c r="AC21" s="56" t="str">
        <f>IF(ISERROR(VLOOKUP(J21,CBIMPORT!$A$2:$B$171,2,FALSE)),0,VLOOKUP(J21,CBIMPORT!$A$2:$B$171,2,FALSE))</f>
        <v>OEM Commercial Vehicles</v>
      </c>
      <c r="AD21" s="56" t="str">
        <f>IF(ISERROR(VLOOKUP(K21,CBIMPORT!$A$2:$B$171,2,FALSE)),0,VLOOKUP(K21,CBIMPORT!$A$2:$B$171,2,FALSE))</f>
        <v>Mobility Services</v>
      </c>
      <c r="AE21" s="56" t="str">
        <f>IF(ISERROR(VLOOKUP(L21,CBIMPORT!$A$2:$B$171,2,FALSE)),0,VLOOKUP(L21,CBIMPORT!$A$2:$B$171,2,FALSE))</f>
        <v>Environmental Engineering</v>
      </c>
      <c r="AF21" s="56" t="str">
        <f>IF(ISERROR(VLOOKUP(M21,CBIMPORT!$A$2:$B$171,2,FALSE)),0,VLOOKUP(M21,CBIMPORT!$A$2:$B$171,2,FALSE))</f>
        <v>University</v>
      </c>
      <c r="AG21" s="56" t="str">
        <f>IF(ISERROR(VLOOKUP(N21,CBIMPORT!$A$2:$B$171,2,FALSE)),0,VLOOKUP(N21,CBIMPORT!$A$2:$B$171,2,FALSE))</f>
        <v>Financial Services</v>
      </c>
      <c r="AH21" s="56" t="str">
        <f>IF(ISERROR(VLOOKUP(O21,CBIMPORT!$A$2:$B$171,2,FALSE)),0,VLOOKUP(O21,CBIMPORT!$A$2:$B$171,2,FALSE))</f>
        <v>Construction</v>
      </c>
      <c r="AI21" s="56" t="str">
        <f>IF(ISERROR(VLOOKUP(P21,CBIMPORT!$A$2:$B$171,2,FALSE)),0,VLOOKUP(P21,CBIMPORT!$A$2:$B$171,2,FALSE))</f>
        <v>OEM Commercial Vehicles</v>
      </c>
      <c r="AJ21" s="56" t="str">
        <f>IF(ISERROR(VLOOKUP(Q21,CBIMPORT!$A$2:$B$171,2,FALSE)),0,VLOOKUP(Q21,CBIMPORT!$A$2:$B$171,2,FALSE))</f>
        <v>OEM Commercial Vehicles</v>
      </c>
      <c r="AK21" s="56" t="str">
        <f>IF(ISERROR(VLOOKUP(R21,CBIMPORT!$A$2:$B$171,2,FALSE)),0,VLOOKUP(R21,CBIMPORT!$A$2:$B$171,2,FALSE))</f>
        <v>Transportation Authority</v>
      </c>
      <c r="AL21" s="56" t="str">
        <f>IF(ISERROR(VLOOKUP(S21,CBIMPORT!$A$2:$B$171,2,FALSE)),0,VLOOKUP(S21,CBIMPORT!$A$2:$B$171,2,FALSE))</f>
        <v>Financial Services</v>
      </c>
      <c r="AM21" s="60">
        <f t="shared" si="35"/>
        <v>0</v>
      </c>
      <c r="AN21" s="60">
        <f t="shared" si="41"/>
        <v>6</v>
      </c>
      <c r="AO21" s="60">
        <f t="shared" si="41"/>
        <v>0</v>
      </c>
      <c r="AP21" s="60">
        <f t="shared" si="41"/>
        <v>1</v>
      </c>
      <c r="AQ21" s="60">
        <f t="shared" si="41"/>
        <v>0</v>
      </c>
      <c r="AR21" s="60">
        <f t="shared" si="41"/>
        <v>0</v>
      </c>
      <c r="AS21" s="60">
        <f t="shared" si="41"/>
        <v>0</v>
      </c>
      <c r="AT21" s="60">
        <f t="shared" si="41"/>
        <v>0</v>
      </c>
      <c r="AU21" s="60">
        <f t="shared" si="41"/>
        <v>0</v>
      </c>
      <c r="AV21" s="60">
        <f t="shared" si="41"/>
        <v>0</v>
      </c>
      <c r="AW21" s="60">
        <f t="shared" si="41"/>
        <v>0</v>
      </c>
      <c r="AX21" s="60">
        <f t="shared" si="42"/>
        <v>0</v>
      </c>
      <c r="AY21" s="60">
        <f t="shared" si="42"/>
        <v>0</v>
      </c>
      <c r="AZ21" s="60">
        <f t="shared" si="42"/>
        <v>0</v>
      </c>
      <c r="BA21" s="60">
        <f t="shared" si="42"/>
        <v>1</v>
      </c>
      <c r="BB21" s="60">
        <f t="shared" si="42"/>
        <v>0</v>
      </c>
      <c r="BC21" s="60">
        <f t="shared" si="42"/>
        <v>2</v>
      </c>
      <c r="BD21" s="60">
        <f t="shared" si="42"/>
        <v>0</v>
      </c>
      <c r="BE21" s="60">
        <f t="shared" si="42"/>
        <v>0</v>
      </c>
      <c r="BF21" s="60">
        <f t="shared" si="42"/>
        <v>0</v>
      </c>
      <c r="BG21" s="60">
        <f t="shared" si="42"/>
        <v>0</v>
      </c>
      <c r="BH21" s="60">
        <f t="shared" si="43"/>
        <v>3</v>
      </c>
      <c r="BI21" s="60">
        <f t="shared" si="43"/>
        <v>0</v>
      </c>
      <c r="BJ21" s="60">
        <f t="shared" si="43"/>
        <v>0</v>
      </c>
      <c r="BK21" s="60">
        <f t="shared" si="43"/>
        <v>1</v>
      </c>
      <c r="BL21" s="60">
        <f t="shared" si="43"/>
        <v>0</v>
      </c>
      <c r="BM21" s="60">
        <f t="shared" si="43"/>
        <v>0</v>
      </c>
      <c r="BN21" s="60">
        <f t="shared" si="43"/>
        <v>1</v>
      </c>
      <c r="BO21" s="60">
        <f t="shared" si="43"/>
        <v>1</v>
      </c>
      <c r="BP21" s="60">
        <f t="shared" si="43"/>
        <v>0</v>
      </c>
      <c r="BQ21" s="60">
        <f t="shared" si="43"/>
        <v>0</v>
      </c>
      <c r="BR21" s="60">
        <f t="shared" si="44"/>
        <v>1</v>
      </c>
      <c r="BS21" s="60">
        <f t="shared" si="44"/>
        <v>0</v>
      </c>
      <c r="BT21" s="60">
        <f t="shared" si="44"/>
        <v>0</v>
      </c>
      <c r="BU21" s="60">
        <f t="shared" si="44"/>
        <v>0</v>
      </c>
      <c r="BV21" s="60">
        <f t="shared" si="44"/>
        <v>0</v>
      </c>
      <c r="BW21" s="60"/>
      <c r="BX21" s="63">
        <f t="shared" si="40"/>
        <v>0</v>
      </c>
      <c r="BY21" s="63">
        <f t="shared" si="45"/>
        <v>0.35294117647058826</v>
      </c>
      <c r="BZ21" s="63">
        <f t="shared" si="46"/>
        <v>0</v>
      </c>
      <c r="CA21" s="63">
        <f t="shared" si="2"/>
        <v>5.8823529411764705E-2</v>
      </c>
      <c r="CB21" s="63">
        <f t="shared" si="3"/>
        <v>0</v>
      </c>
      <c r="CC21" s="63">
        <f t="shared" si="4"/>
        <v>0</v>
      </c>
      <c r="CD21" s="63">
        <f t="shared" si="5"/>
        <v>0</v>
      </c>
      <c r="CE21" s="63">
        <f t="shared" si="6"/>
        <v>0</v>
      </c>
      <c r="CF21" s="63">
        <f t="shared" si="7"/>
        <v>0</v>
      </c>
      <c r="CG21" s="63">
        <f t="shared" si="8"/>
        <v>0</v>
      </c>
      <c r="CH21" s="63">
        <f t="shared" si="9"/>
        <v>0</v>
      </c>
      <c r="CI21" s="63">
        <f t="shared" si="10"/>
        <v>0</v>
      </c>
      <c r="CJ21" s="63">
        <f t="shared" si="11"/>
        <v>0</v>
      </c>
      <c r="CK21" s="63">
        <f t="shared" si="12"/>
        <v>0</v>
      </c>
      <c r="CL21" s="63">
        <f t="shared" si="13"/>
        <v>5.8823529411764705E-2</v>
      </c>
      <c r="CM21" s="63">
        <f t="shared" si="14"/>
        <v>0</v>
      </c>
      <c r="CN21" s="63">
        <f t="shared" si="15"/>
        <v>0.11764705882352941</v>
      </c>
      <c r="CO21" s="63">
        <f t="shared" si="16"/>
        <v>0</v>
      </c>
      <c r="CP21" s="63">
        <f t="shared" si="17"/>
        <v>0</v>
      </c>
      <c r="CQ21" s="63">
        <f t="shared" si="18"/>
        <v>0</v>
      </c>
      <c r="CR21" s="63">
        <f t="shared" si="19"/>
        <v>0</v>
      </c>
      <c r="CS21" s="63">
        <f t="shared" si="20"/>
        <v>0.17647058823529413</v>
      </c>
      <c r="CT21" s="63">
        <f t="shared" si="21"/>
        <v>0</v>
      </c>
      <c r="CU21" s="63">
        <f t="shared" si="22"/>
        <v>0</v>
      </c>
      <c r="CV21" s="63">
        <f t="shared" si="23"/>
        <v>5.8823529411764705E-2</v>
      </c>
      <c r="CW21" s="63">
        <f t="shared" si="24"/>
        <v>0</v>
      </c>
      <c r="CX21" s="63">
        <f t="shared" si="25"/>
        <v>0</v>
      </c>
      <c r="CY21" s="63">
        <f t="shared" si="26"/>
        <v>5.8823529411764705E-2</v>
      </c>
      <c r="CZ21" s="63">
        <f t="shared" si="27"/>
        <v>5.8823529411764705E-2</v>
      </c>
      <c r="DA21" s="63">
        <f t="shared" si="28"/>
        <v>0</v>
      </c>
      <c r="DB21" s="63">
        <f t="shared" si="29"/>
        <v>0</v>
      </c>
      <c r="DC21" s="63">
        <f t="shared" si="30"/>
        <v>5.8823529411764705E-2</v>
      </c>
      <c r="DD21" s="63">
        <f t="shared" si="31"/>
        <v>0</v>
      </c>
      <c r="DE21" s="63">
        <f t="shared" si="32"/>
        <v>0</v>
      </c>
      <c r="DF21" s="63">
        <f t="shared" si="33"/>
        <v>0</v>
      </c>
      <c r="DG21" s="63">
        <f t="shared" si="34"/>
        <v>0</v>
      </c>
      <c r="DH21" s="57" t="str" cm="1">
        <f t="array" ref="DH21">INDEX(_xlfn.ANCHORARRAY($BX$2),0,MATCH(LARGE($BX21:$DG21,1),$BX21:$DG21,0))</f>
        <v>OEM Commercial Vehicles</v>
      </c>
      <c r="DI21" s="58">
        <f>LARGE('Industries all mentioned partne'!$BX21:$DG21,1)</f>
        <v>0.35294117647058826</v>
      </c>
      <c r="DJ21" s="57" t="str" cm="1">
        <f t="array" ref="DJ21">IF(DI21&lt;&gt;100%,INDEX(_xlfn.ANCHORARRAY($BX$2),0,MATCH(LARGE($BX21:$DG21,2),$BX21:$DG21,0)),"")</f>
        <v>Financial Services</v>
      </c>
      <c r="DK21" s="58">
        <f>IF(DI21&lt;&gt;100%,LARGE('Industries all mentioned partne'!$BX21:$DG21,2),"")</f>
        <v>0.17647058823529413</v>
      </c>
      <c r="DL21" s="57" t="str" cm="1">
        <f t="array" ref="DL21">IF(DM21="","",INDEX(_xlfn.ANCHORARRAY($BX$2),0,MATCH(LARGE($BX21:$DG21,3),$BX21:$DG21,0)))</f>
        <v>Transportation Authority</v>
      </c>
      <c r="DM21" s="110">
        <f>IF(LARGE('Industries all mentioned partne'!$BX21:$DG21,3)=0%,"",LARGE('Industries all mentioned partne'!$BX21:$DG21,3))</f>
        <v>0.11764705882352941</v>
      </c>
      <c r="DN21" s="52">
        <f>IF(ISTEXT(C21)=TRUE,VLOOKUP(C21,CBIMPORT!$A$2:$AL$171,38,FALSE),"")</f>
        <v>0</v>
      </c>
      <c r="DO21" s="52">
        <f>IF(ISTEXT(D21)=TRUE,VLOOKUP(D21,CBIMPORT!$A$2:$AL$171,38,FALSE),"")</f>
        <v>1</v>
      </c>
      <c r="DP21" s="52">
        <f>IF(ISTEXT(E21)=TRUE,VLOOKUP(E21,CBIMPORT!$A$2:$AL$171,38,FALSE),"")</f>
        <v>0</v>
      </c>
      <c r="DQ21" s="52">
        <f>IF(ISTEXT(F21)=TRUE,VLOOKUP(F21,CBIMPORT!$A$2:$AL$171,38,FALSE),"")</f>
        <v>1</v>
      </c>
      <c r="DR21" s="52">
        <f>IF(ISTEXT(G21)=TRUE,VLOOKUP(G21,CBIMPORT!$A$2:$AL$171,38,FALSE),"")</f>
        <v>0</v>
      </c>
      <c r="DS21" s="52">
        <f>IF(ISTEXT(H21)=TRUE,VLOOKUP(H21,CBIMPORT!$A$2:$AL$171,38,FALSE),"")</f>
        <v>0</v>
      </c>
      <c r="DT21" s="52">
        <f>IF(ISTEXT(I21)=TRUE,VLOOKUP(I21,CBIMPORT!$A$2:$AL$171,38,FALSE),"")</f>
        <v>0</v>
      </c>
      <c r="DU21" s="52">
        <f>IF(ISTEXT(J21)=TRUE,VLOOKUP(J21,CBIMPORT!$A$2:$AL$171,38,FALSE),"")</f>
        <v>1</v>
      </c>
      <c r="DV21" s="52">
        <f>IF(ISTEXT(K21)=TRUE,VLOOKUP(K21,CBIMPORT!$A$2:$AL$171,38,FALSE),"")</f>
        <v>0</v>
      </c>
      <c r="DW21" s="52">
        <f>IF(ISTEXT(L21)=TRUE,VLOOKUP(L21,CBIMPORT!$A$2:$AL$171,38,FALSE),"")</f>
        <v>1</v>
      </c>
      <c r="DX21" s="52">
        <f>IF(ISTEXT(M21)=TRUE,VLOOKUP(M21,CBIMPORT!$A$2:$AL$171,38,FALSE),"")</f>
        <v>0</v>
      </c>
      <c r="DY21" s="52">
        <f>IF(ISTEXT(N21)=TRUE,VLOOKUP(N21,CBIMPORT!$A$2:$AL$171,38,FALSE),"")</f>
        <v>0</v>
      </c>
      <c r="DZ21" s="52">
        <f>IF(ISTEXT(O21)=TRUE,VLOOKUP(O21,CBIMPORT!$A$2:$AL$171,38,FALSE),"")</f>
        <v>0</v>
      </c>
      <c r="EA21" s="52">
        <f>IF(ISTEXT(P21)=TRUE,VLOOKUP(P21,CBIMPORT!$A$2:$AL$171,38,FALSE),"")</f>
        <v>0</v>
      </c>
      <c r="EB21" s="52">
        <f>IF(ISTEXT(Q21)=TRUE,VLOOKUP(Q21,CBIMPORT!$A$2:$AL$171,38,FALSE),"")</f>
        <v>1</v>
      </c>
      <c r="EC21" s="52">
        <f>IF(ISTEXT(R21)=TRUE,VLOOKUP(R21,CBIMPORT!$A$2:$AL$171,38,FALSE),"")</f>
        <v>0</v>
      </c>
      <c r="ED21" s="52">
        <f>IF(ISTEXT(S21)=TRUE,VLOOKUP(S21,CBIMPORT!$A$2:$AL$171,38,FALSE),"")</f>
        <v>0</v>
      </c>
      <c r="EE21" s="52">
        <f>IF(ISTEXT(T21)=TRUE,VLOOKUP(T21,CBIMPORT!$A$2:$AL$171,38,FALSE),"")</f>
        <v>0</v>
      </c>
      <c r="EF21" s="64" t="str">
        <f>IF(ISTEXT(U21)=TRUE,VLOOKUP(U21,CBIMPORT!$A$2:$AL$171,38,FALSE),"")</f>
        <v/>
      </c>
      <c r="EG21" s="64"/>
      <c r="EH21" s="64"/>
      <c r="EI21" s="64"/>
      <c r="EJ21" s="64"/>
      <c r="EK21" s="64"/>
      <c r="EL21" s="64"/>
      <c r="EM21" s="64"/>
      <c r="EN21" s="64"/>
      <c r="EO21" s="64"/>
      <c r="EP21" s="64"/>
    </row>
    <row r="22" spans="1:146" x14ac:dyDescent="0.35">
      <c r="A22" s="49" t="str">
        <v>Mobileye-Last-Mile</v>
      </c>
      <c r="B22" s="48" t="str" cm="1">
        <f t="array" ref="B22">_xlfn.TEXTJOIN(";",TRUE,IF(ANNOUNCEMENTS!$AH$2:$AH$180=A22,ANNOUNCEMENTS!$K$2:$K$180,""))</f>
        <v>Goggo Network</v>
      </c>
      <c r="C22" s="55" t="s">
        <v>519</v>
      </c>
      <c r="D22" s="55"/>
      <c r="E22" s="55"/>
      <c r="F22" s="55"/>
      <c r="G22" s="55"/>
      <c r="H22" s="55"/>
      <c r="I22" s="55"/>
      <c r="J22" s="55"/>
      <c r="K22" s="55"/>
      <c r="L22" s="55"/>
      <c r="M22" s="55"/>
      <c r="N22" s="55"/>
      <c r="O22" s="55"/>
      <c r="P22" s="55"/>
      <c r="Q22" s="55"/>
      <c r="R22" s="55"/>
      <c r="S22" s="55"/>
      <c r="T22" s="55"/>
      <c r="V22" s="56" t="str">
        <f>IF(ISERROR(VLOOKUP(C22,CBIMPORT!$A$2:$B$171,2,FALSE)),0,VLOOKUP(C22,CBIMPORT!$A$2:$B$171,2,FALSE))</f>
        <v>Autonomous mobility network</v>
      </c>
      <c r="W22" s="56">
        <f>IF(ISERROR(VLOOKUP(D22,CBIMPORT!$A$2:$B$171,2,FALSE)),0,VLOOKUP(D22,CBIMPORT!$A$2:$B$171,2,FALSE))</f>
        <v>0</v>
      </c>
      <c r="X22" s="56">
        <f>IF(ISERROR(VLOOKUP(E22,CBIMPORT!$A$2:$B$171,2,FALSE)),0,VLOOKUP(E22,CBIMPORT!$A$2:$B$171,2,FALSE))</f>
        <v>0</v>
      </c>
      <c r="Y22" s="56">
        <f>IF(ISERROR(VLOOKUP(F22,CBIMPORT!$A$2:$B$171,2,FALSE)),0,VLOOKUP(F22,CBIMPORT!$A$2:$B$171,2,FALSE))</f>
        <v>0</v>
      </c>
      <c r="Z22" s="56">
        <f>IF(ISERROR(VLOOKUP(G22,CBIMPORT!$A$2:$B$171,2,FALSE)),0,VLOOKUP(G22,CBIMPORT!$A$2:$B$171,2,FALSE))</f>
        <v>0</v>
      </c>
      <c r="AA22" s="56">
        <f>IF(ISERROR(VLOOKUP(H22,CBIMPORT!$A$2:$B$171,2,FALSE)),0,VLOOKUP(H22,CBIMPORT!$A$2:$B$171,2,FALSE))</f>
        <v>0</v>
      </c>
      <c r="AB22" s="56">
        <f>IF(ISERROR(VLOOKUP(I22,CBIMPORT!$A$2:$B$171,2,FALSE)),0,VLOOKUP(I22,CBIMPORT!$A$2:$B$171,2,FALSE))</f>
        <v>0</v>
      </c>
      <c r="AC22" s="56">
        <f>IF(ISERROR(VLOOKUP(J22,CBIMPORT!$A$2:$B$171,2,FALSE)),0,VLOOKUP(J22,CBIMPORT!$A$2:$B$171,2,FALSE))</f>
        <v>0</v>
      </c>
      <c r="AD22" s="56">
        <f>IF(ISERROR(VLOOKUP(K22,CBIMPORT!$A$2:$B$171,2,FALSE)),0,VLOOKUP(K22,CBIMPORT!$A$2:$B$171,2,FALSE))</f>
        <v>0</v>
      </c>
      <c r="AE22" s="56">
        <f>IF(ISERROR(VLOOKUP(L22,CBIMPORT!$A$2:$B$171,2,FALSE)),0,VLOOKUP(L22,CBIMPORT!$A$2:$B$171,2,FALSE))</f>
        <v>0</v>
      </c>
      <c r="AF22" s="56">
        <f>IF(ISERROR(VLOOKUP(M22,CBIMPORT!$A$2:$B$171,2,FALSE)),0,VLOOKUP(M22,CBIMPORT!$A$2:$B$171,2,FALSE))</f>
        <v>0</v>
      </c>
      <c r="AG22" s="56">
        <f>IF(ISERROR(VLOOKUP(N22,CBIMPORT!$A$2:$B$171,2,FALSE)),0,VLOOKUP(N22,CBIMPORT!$A$2:$B$171,2,FALSE))</f>
        <v>0</v>
      </c>
      <c r="AH22" s="56">
        <f>IF(ISERROR(VLOOKUP(O22,CBIMPORT!$A$2:$B$171,2,FALSE)),0,VLOOKUP(O22,CBIMPORT!$A$2:$B$171,2,FALSE))</f>
        <v>0</v>
      </c>
      <c r="AI22" s="56">
        <f>IF(ISERROR(VLOOKUP(P22,CBIMPORT!$A$2:$B$171,2,FALSE)),0,VLOOKUP(P22,CBIMPORT!$A$2:$B$171,2,FALSE))</f>
        <v>0</v>
      </c>
      <c r="AJ22" s="56">
        <f>IF(ISERROR(VLOOKUP(Q22,CBIMPORT!$A$2:$B$171,2,FALSE)),0,VLOOKUP(Q22,CBIMPORT!$A$2:$B$171,2,FALSE))</f>
        <v>0</v>
      </c>
      <c r="AK22" s="56">
        <f>IF(ISERROR(VLOOKUP(R22,CBIMPORT!$A$2:$B$171,2,FALSE)),0,VLOOKUP(R22,CBIMPORT!$A$2:$B$171,2,FALSE))</f>
        <v>0</v>
      </c>
      <c r="AL22" s="56">
        <f>IF(ISERROR(VLOOKUP(S22,CBIMPORT!$A$2:$B$171,2,FALSE)),0,VLOOKUP(S22,CBIMPORT!$A$2:$B$171,2,FALSE))</f>
        <v>0</v>
      </c>
      <c r="AM22" s="60">
        <f t="shared" si="35"/>
        <v>0</v>
      </c>
      <c r="AN22" s="60">
        <f t="shared" si="41"/>
        <v>0</v>
      </c>
      <c r="AO22" s="60">
        <f t="shared" si="41"/>
        <v>0</v>
      </c>
      <c r="AP22" s="60">
        <f t="shared" si="41"/>
        <v>0</v>
      </c>
      <c r="AQ22" s="60">
        <f t="shared" si="41"/>
        <v>0</v>
      </c>
      <c r="AR22" s="60">
        <f t="shared" si="41"/>
        <v>0</v>
      </c>
      <c r="AS22" s="60">
        <f t="shared" si="41"/>
        <v>0</v>
      </c>
      <c r="AT22" s="60">
        <f t="shared" si="41"/>
        <v>0</v>
      </c>
      <c r="AU22" s="60">
        <f t="shared" si="41"/>
        <v>0</v>
      </c>
      <c r="AV22" s="60">
        <f t="shared" si="41"/>
        <v>0</v>
      </c>
      <c r="AW22" s="60">
        <f t="shared" si="41"/>
        <v>0</v>
      </c>
      <c r="AX22" s="60">
        <f t="shared" si="42"/>
        <v>0</v>
      </c>
      <c r="AY22" s="60">
        <f t="shared" si="42"/>
        <v>0</v>
      </c>
      <c r="AZ22" s="60">
        <f t="shared" si="42"/>
        <v>0</v>
      </c>
      <c r="BA22" s="60">
        <f t="shared" si="42"/>
        <v>0</v>
      </c>
      <c r="BB22" s="60">
        <f t="shared" si="42"/>
        <v>0</v>
      </c>
      <c r="BC22" s="60">
        <f t="shared" si="42"/>
        <v>0</v>
      </c>
      <c r="BD22" s="60">
        <f t="shared" si="42"/>
        <v>0</v>
      </c>
      <c r="BE22" s="60">
        <f t="shared" si="42"/>
        <v>0</v>
      </c>
      <c r="BF22" s="60">
        <f t="shared" si="42"/>
        <v>0</v>
      </c>
      <c r="BG22" s="60">
        <f t="shared" si="42"/>
        <v>0</v>
      </c>
      <c r="BH22" s="60">
        <f t="shared" si="43"/>
        <v>0</v>
      </c>
      <c r="BI22" s="60">
        <f t="shared" si="43"/>
        <v>1</v>
      </c>
      <c r="BJ22" s="60">
        <f t="shared" si="43"/>
        <v>0</v>
      </c>
      <c r="BK22" s="60">
        <f t="shared" si="43"/>
        <v>0</v>
      </c>
      <c r="BL22" s="60">
        <f t="shared" si="43"/>
        <v>0</v>
      </c>
      <c r="BM22" s="60">
        <f t="shared" si="43"/>
        <v>0</v>
      </c>
      <c r="BN22" s="60">
        <f t="shared" si="43"/>
        <v>0</v>
      </c>
      <c r="BO22" s="60">
        <f t="shared" si="43"/>
        <v>0</v>
      </c>
      <c r="BP22" s="60">
        <f t="shared" si="43"/>
        <v>0</v>
      </c>
      <c r="BQ22" s="60">
        <f t="shared" si="43"/>
        <v>0</v>
      </c>
      <c r="BR22" s="60">
        <f t="shared" si="44"/>
        <v>0</v>
      </c>
      <c r="BS22" s="60">
        <f t="shared" si="44"/>
        <v>0</v>
      </c>
      <c r="BT22" s="60">
        <f t="shared" si="44"/>
        <v>0</v>
      </c>
      <c r="BU22" s="60">
        <f t="shared" si="44"/>
        <v>0</v>
      </c>
      <c r="BV22" s="60">
        <f t="shared" si="44"/>
        <v>0</v>
      </c>
      <c r="BW22" s="60"/>
      <c r="BX22" s="63">
        <f t="shared" si="40"/>
        <v>0</v>
      </c>
      <c r="BY22" s="63">
        <f t="shared" si="45"/>
        <v>0</v>
      </c>
      <c r="BZ22" s="63">
        <f t="shared" si="46"/>
        <v>0</v>
      </c>
      <c r="CA22" s="63">
        <f t="shared" si="2"/>
        <v>0</v>
      </c>
      <c r="CB22" s="63">
        <f t="shared" si="3"/>
        <v>0</v>
      </c>
      <c r="CC22" s="63">
        <f t="shared" si="4"/>
        <v>0</v>
      </c>
      <c r="CD22" s="63">
        <f t="shared" si="5"/>
        <v>0</v>
      </c>
      <c r="CE22" s="63">
        <f t="shared" si="6"/>
        <v>0</v>
      </c>
      <c r="CF22" s="63">
        <f t="shared" si="7"/>
        <v>0</v>
      </c>
      <c r="CG22" s="63">
        <f t="shared" si="8"/>
        <v>0</v>
      </c>
      <c r="CH22" s="63">
        <f t="shared" si="9"/>
        <v>0</v>
      </c>
      <c r="CI22" s="63">
        <f t="shared" si="10"/>
        <v>0</v>
      </c>
      <c r="CJ22" s="63">
        <f t="shared" si="11"/>
        <v>0</v>
      </c>
      <c r="CK22" s="63">
        <f t="shared" si="12"/>
        <v>0</v>
      </c>
      <c r="CL22" s="63">
        <f t="shared" si="13"/>
        <v>0</v>
      </c>
      <c r="CM22" s="63">
        <f t="shared" si="14"/>
        <v>0</v>
      </c>
      <c r="CN22" s="63">
        <f t="shared" si="15"/>
        <v>0</v>
      </c>
      <c r="CO22" s="63">
        <f t="shared" si="16"/>
        <v>0</v>
      </c>
      <c r="CP22" s="63">
        <f t="shared" si="17"/>
        <v>0</v>
      </c>
      <c r="CQ22" s="63">
        <f t="shared" si="18"/>
        <v>0</v>
      </c>
      <c r="CR22" s="63">
        <f t="shared" si="19"/>
        <v>0</v>
      </c>
      <c r="CS22" s="63">
        <f t="shared" si="20"/>
        <v>0</v>
      </c>
      <c r="CT22" s="63">
        <f t="shared" si="21"/>
        <v>1</v>
      </c>
      <c r="CU22" s="63">
        <f t="shared" si="22"/>
        <v>0</v>
      </c>
      <c r="CV22" s="63">
        <f t="shared" si="23"/>
        <v>0</v>
      </c>
      <c r="CW22" s="63">
        <f t="shared" si="24"/>
        <v>0</v>
      </c>
      <c r="CX22" s="63">
        <f t="shared" si="25"/>
        <v>0</v>
      </c>
      <c r="CY22" s="63">
        <f t="shared" si="26"/>
        <v>0</v>
      </c>
      <c r="CZ22" s="63">
        <f t="shared" si="27"/>
        <v>0</v>
      </c>
      <c r="DA22" s="63">
        <f t="shared" si="28"/>
        <v>0</v>
      </c>
      <c r="DB22" s="63">
        <f t="shared" si="29"/>
        <v>0</v>
      </c>
      <c r="DC22" s="63">
        <f t="shared" si="30"/>
        <v>0</v>
      </c>
      <c r="DD22" s="63">
        <f t="shared" si="31"/>
        <v>0</v>
      </c>
      <c r="DE22" s="63">
        <f t="shared" si="32"/>
        <v>0</v>
      </c>
      <c r="DF22" s="63">
        <f t="shared" si="33"/>
        <v>0</v>
      </c>
      <c r="DG22" s="63">
        <f t="shared" si="34"/>
        <v>0</v>
      </c>
      <c r="DH22" s="57" t="str" cm="1">
        <f t="array" ref="DH22">INDEX(_xlfn.ANCHORARRAY($BX$2),0,MATCH(LARGE($BX22:$DG22,1),$BX22:$DG22,0))</f>
        <v>Autonomous mobility network</v>
      </c>
      <c r="DI22" s="58">
        <f>LARGE('Industries all mentioned partne'!$BX22:$DG22,1)</f>
        <v>1</v>
      </c>
      <c r="DJ22" s="57" t="str" cm="1">
        <f t="array" ref="DJ22">IF(DI22&lt;&gt;100%,INDEX(_xlfn.ANCHORARRAY($BX$2),0,MATCH(LARGE($BX22:$DG22,2),$BX22:$DG22,0)),"")</f>
        <v/>
      </c>
      <c r="DK22" s="58" t="str">
        <f>IF(DI22&lt;&gt;100%,LARGE('Industries all mentioned partne'!$BX22:$DG22,2),"")</f>
        <v/>
      </c>
      <c r="DL22" s="57" t="str" cm="1">
        <f t="array" ref="DL22">IF(DM22="","",INDEX(_xlfn.ANCHORARRAY($BX$2),0,MATCH(LARGE($BX22:$DG22,3),$BX22:$DG22,0)))</f>
        <v/>
      </c>
      <c r="DM22" s="110" t="str">
        <f>IF(LARGE('Industries all mentioned partne'!$BX22:$DG22,3)=0%,"",LARGE('Industries all mentioned partne'!$BX22:$DG22,3))</f>
        <v/>
      </c>
      <c r="DN22" s="52">
        <f>IF(ISTEXT(C22)=TRUE,VLOOKUP(C22,CBIMPORT!$A$2:$AL$171,38,FALSE),"")</f>
        <v>0</v>
      </c>
      <c r="DO22" s="52" t="str">
        <f>IF(ISTEXT(D22)=TRUE,VLOOKUP(D22,CBIMPORT!$A$2:$AL$171,38,FALSE),"")</f>
        <v/>
      </c>
      <c r="DP22" s="52" t="str">
        <f>IF(ISTEXT(E22)=TRUE,VLOOKUP(E22,CBIMPORT!$A$2:$AL$171,38,FALSE),"")</f>
        <v/>
      </c>
      <c r="DQ22" s="52" t="str">
        <f>IF(ISTEXT(F22)=TRUE,VLOOKUP(F22,CBIMPORT!$A$2:$AL$171,38,FALSE),"")</f>
        <v/>
      </c>
      <c r="DR22" s="52" t="str">
        <f>IF(ISTEXT(G22)=TRUE,VLOOKUP(G22,CBIMPORT!$A$2:$AL$171,38,FALSE),"")</f>
        <v/>
      </c>
      <c r="DS22" s="52" t="str">
        <f>IF(ISTEXT(H22)=TRUE,VLOOKUP(H22,CBIMPORT!$A$2:$AL$171,38,FALSE),"")</f>
        <v/>
      </c>
      <c r="DT22" s="52" t="str">
        <f>IF(ISTEXT(I22)=TRUE,VLOOKUP(I22,CBIMPORT!$A$2:$AL$171,38,FALSE),"")</f>
        <v/>
      </c>
      <c r="DU22" s="52" t="str">
        <f>IF(ISTEXT(J22)=TRUE,VLOOKUP(J22,CBIMPORT!$A$2:$AL$171,38,FALSE),"")</f>
        <v/>
      </c>
      <c r="DV22" s="52" t="str">
        <f>IF(ISTEXT(K22)=TRUE,VLOOKUP(K22,CBIMPORT!$A$2:$AL$171,38,FALSE),"")</f>
        <v/>
      </c>
      <c r="DW22" s="52" t="str">
        <f>IF(ISTEXT(L22)=TRUE,VLOOKUP(L22,CBIMPORT!$A$2:$AL$171,38,FALSE),"")</f>
        <v/>
      </c>
      <c r="DX22" s="52" t="str">
        <f>IF(ISTEXT(M22)=TRUE,VLOOKUP(M22,CBIMPORT!$A$2:$AL$171,38,FALSE),"")</f>
        <v/>
      </c>
      <c r="DY22" s="52" t="str">
        <f>IF(ISTEXT(N22)=TRUE,VLOOKUP(N22,CBIMPORT!$A$2:$AL$171,38,FALSE),"")</f>
        <v/>
      </c>
      <c r="DZ22" s="52" t="str">
        <f>IF(ISTEXT(O22)=TRUE,VLOOKUP(O22,CBIMPORT!$A$2:$AL$171,38,FALSE),"")</f>
        <v/>
      </c>
      <c r="EA22" s="52" t="str">
        <f>IF(ISTEXT(P22)=TRUE,VLOOKUP(P22,CBIMPORT!$A$2:$AL$171,38,FALSE),"")</f>
        <v/>
      </c>
      <c r="EB22" s="52" t="str">
        <f>IF(ISTEXT(Q22)=TRUE,VLOOKUP(Q22,CBIMPORT!$A$2:$AL$171,38,FALSE),"")</f>
        <v/>
      </c>
      <c r="EC22" s="52" t="str">
        <f>IF(ISTEXT(R22)=TRUE,VLOOKUP(R22,CBIMPORT!$A$2:$AL$171,38,FALSE),"")</f>
        <v/>
      </c>
      <c r="ED22" s="52" t="str">
        <f>IF(ISTEXT(S22)=TRUE,VLOOKUP(S22,CBIMPORT!$A$2:$AL$171,38,FALSE),"")</f>
        <v/>
      </c>
      <c r="EE22" s="52" t="str">
        <f>IF(ISTEXT(T22)=TRUE,VLOOKUP(T22,CBIMPORT!$A$2:$AL$171,38,FALSE),"")</f>
        <v/>
      </c>
      <c r="EF22" s="64" t="str">
        <f>IF(ISTEXT(U22)=TRUE,VLOOKUP(U22,CBIMPORT!$A$2:$AL$171,38,FALSE),"")</f>
        <v/>
      </c>
      <c r="EG22" s="64"/>
      <c r="EH22" s="64"/>
      <c r="EI22" s="64"/>
      <c r="EJ22" s="64"/>
      <c r="EK22" s="64"/>
      <c r="EL22" s="64"/>
      <c r="EM22" s="64"/>
      <c r="EN22" s="64"/>
      <c r="EO22" s="64"/>
      <c r="EP22" s="64"/>
    </row>
    <row r="23" spans="1:146" x14ac:dyDescent="0.35">
      <c r="A23" s="49" t="str">
        <v>Mobileye-Ridepooling</v>
      </c>
      <c r="B23" s="48" t="str" cm="1">
        <f t="array" ref="B23">_xlfn.TEXTJOIN(";",TRUE,IF(ANNOUNCEMENTS!$AH$2:$AH$180=A23,ANNOUNCEMENTS!$K$2:$K$180,""))</f>
        <v>MAN Truck &amp; Bus;WILLER</v>
      </c>
      <c r="C23" s="55" t="s">
        <v>793</v>
      </c>
      <c r="D23" s="55" t="s">
        <v>1963</v>
      </c>
      <c r="E23" s="55"/>
      <c r="F23" s="55"/>
      <c r="G23" s="55"/>
      <c r="H23" s="55"/>
      <c r="I23" s="55"/>
      <c r="J23" s="55"/>
      <c r="K23" s="55"/>
      <c r="L23" s="55"/>
      <c r="M23" s="55"/>
      <c r="N23" s="55"/>
      <c r="O23" s="55"/>
      <c r="P23" s="55"/>
      <c r="Q23" s="55"/>
      <c r="R23" s="55"/>
      <c r="S23" s="55"/>
      <c r="T23" s="55"/>
      <c r="V23" s="56" t="str">
        <f>IF(ISERROR(VLOOKUP(C23,CBIMPORT!$A$2:$B$171,2,FALSE)),0,VLOOKUP(C23,CBIMPORT!$A$2:$B$171,2,FALSE))</f>
        <v>OEM Commercial Vehicles</v>
      </c>
      <c r="W23" s="56" t="str">
        <f>IF(ISERROR(VLOOKUP(D23,CBIMPORT!$A$2:$B$171,2,FALSE)),0,VLOOKUP(D23,CBIMPORT!$A$2:$B$171,2,FALSE))</f>
        <v>Mobility Services</v>
      </c>
      <c r="X23" s="56">
        <f>IF(ISERROR(VLOOKUP(E23,CBIMPORT!$A$2:$B$171,2,FALSE)),0,VLOOKUP(E23,CBIMPORT!$A$2:$B$171,2,FALSE))</f>
        <v>0</v>
      </c>
      <c r="Y23" s="56">
        <f>IF(ISERROR(VLOOKUP(F23,CBIMPORT!$A$2:$B$171,2,FALSE)),0,VLOOKUP(F23,CBIMPORT!$A$2:$B$171,2,FALSE))</f>
        <v>0</v>
      </c>
      <c r="Z23" s="56">
        <f>IF(ISERROR(VLOOKUP(G23,CBIMPORT!$A$2:$B$171,2,FALSE)),0,VLOOKUP(G23,CBIMPORT!$A$2:$B$171,2,FALSE))</f>
        <v>0</v>
      </c>
      <c r="AA23" s="56">
        <f>IF(ISERROR(VLOOKUP(H23,CBIMPORT!$A$2:$B$171,2,FALSE)),0,VLOOKUP(H23,CBIMPORT!$A$2:$B$171,2,FALSE))</f>
        <v>0</v>
      </c>
      <c r="AB23" s="56">
        <f>IF(ISERROR(VLOOKUP(I23,CBIMPORT!$A$2:$B$171,2,FALSE)),0,VLOOKUP(I23,CBIMPORT!$A$2:$B$171,2,FALSE))</f>
        <v>0</v>
      </c>
      <c r="AC23" s="56">
        <f>IF(ISERROR(VLOOKUP(J23,CBIMPORT!$A$2:$B$171,2,FALSE)),0,VLOOKUP(J23,CBIMPORT!$A$2:$B$171,2,FALSE))</f>
        <v>0</v>
      </c>
      <c r="AD23" s="56">
        <f>IF(ISERROR(VLOOKUP(K23,CBIMPORT!$A$2:$B$171,2,FALSE)),0,VLOOKUP(K23,CBIMPORT!$A$2:$B$171,2,FALSE))</f>
        <v>0</v>
      </c>
      <c r="AE23" s="56">
        <f>IF(ISERROR(VLOOKUP(L23,CBIMPORT!$A$2:$B$171,2,FALSE)),0,VLOOKUP(L23,CBIMPORT!$A$2:$B$171,2,FALSE))</f>
        <v>0</v>
      </c>
      <c r="AF23" s="56">
        <f>IF(ISERROR(VLOOKUP(M23,CBIMPORT!$A$2:$B$171,2,FALSE)),0,VLOOKUP(M23,CBIMPORT!$A$2:$B$171,2,FALSE))</f>
        <v>0</v>
      </c>
      <c r="AG23" s="56">
        <f>IF(ISERROR(VLOOKUP(N23,CBIMPORT!$A$2:$B$171,2,FALSE)),0,VLOOKUP(N23,CBIMPORT!$A$2:$B$171,2,FALSE))</f>
        <v>0</v>
      </c>
      <c r="AH23" s="56">
        <f>IF(ISERROR(VLOOKUP(O23,CBIMPORT!$A$2:$B$171,2,FALSE)),0,VLOOKUP(O23,CBIMPORT!$A$2:$B$171,2,FALSE))</f>
        <v>0</v>
      </c>
      <c r="AI23" s="56">
        <f>IF(ISERROR(VLOOKUP(P23,CBIMPORT!$A$2:$B$171,2,FALSE)),0,VLOOKUP(P23,CBIMPORT!$A$2:$B$171,2,FALSE))</f>
        <v>0</v>
      </c>
      <c r="AJ23" s="56">
        <f>IF(ISERROR(VLOOKUP(Q23,CBIMPORT!$A$2:$B$171,2,FALSE)),0,VLOOKUP(Q23,CBIMPORT!$A$2:$B$171,2,FALSE))</f>
        <v>0</v>
      </c>
      <c r="AK23" s="56">
        <f>IF(ISERROR(VLOOKUP(R23,CBIMPORT!$A$2:$B$171,2,FALSE)),0,VLOOKUP(R23,CBIMPORT!$A$2:$B$171,2,FALSE))</f>
        <v>0</v>
      </c>
      <c r="AL23" s="56">
        <f>IF(ISERROR(VLOOKUP(S23,CBIMPORT!$A$2:$B$171,2,FALSE)),0,VLOOKUP(S23,CBIMPORT!$A$2:$B$171,2,FALSE))</f>
        <v>0</v>
      </c>
      <c r="AM23" s="60">
        <f t="shared" si="35"/>
        <v>0</v>
      </c>
      <c r="AN23" s="60">
        <f t="shared" ref="AN23:AW32" si="47">COUNTIF($V23:$AL23,AN$2)</f>
        <v>1</v>
      </c>
      <c r="AO23" s="60">
        <f t="shared" si="47"/>
        <v>0</v>
      </c>
      <c r="AP23" s="60">
        <f t="shared" si="47"/>
        <v>1</v>
      </c>
      <c r="AQ23" s="60">
        <f t="shared" si="47"/>
        <v>0</v>
      </c>
      <c r="AR23" s="60">
        <f t="shared" si="47"/>
        <v>0</v>
      </c>
      <c r="AS23" s="60">
        <f t="shared" si="47"/>
        <v>0</v>
      </c>
      <c r="AT23" s="60">
        <f t="shared" si="47"/>
        <v>0</v>
      </c>
      <c r="AU23" s="60">
        <f t="shared" si="47"/>
        <v>0</v>
      </c>
      <c r="AV23" s="60">
        <f t="shared" si="47"/>
        <v>0</v>
      </c>
      <c r="AW23" s="60">
        <f t="shared" si="47"/>
        <v>0</v>
      </c>
      <c r="AX23" s="60">
        <f t="shared" ref="AX23:BG32" si="48">COUNTIF($V23:$AL23,AX$2)</f>
        <v>0</v>
      </c>
      <c r="AY23" s="60">
        <f t="shared" si="48"/>
        <v>0</v>
      </c>
      <c r="AZ23" s="60">
        <f t="shared" si="48"/>
        <v>0</v>
      </c>
      <c r="BA23" s="60">
        <f t="shared" si="48"/>
        <v>0</v>
      </c>
      <c r="BB23" s="60">
        <f t="shared" si="48"/>
        <v>0</v>
      </c>
      <c r="BC23" s="60">
        <f t="shared" si="48"/>
        <v>0</v>
      </c>
      <c r="BD23" s="60">
        <f t="shared" si="48"/>
        <v>0</v>
      </c>
      <c r="BE23" s="60">
        <f t="shared" si="48"/>
        <v>0</v>
      </c>
      <c r="BF23" s="60">
        <f t="shared" si="48"/>
        <v>0</v>
      </c>
      <c r="BG23" s="60">
        <f t="shared" si="48"/>
        <v>0</v>
      </c>
      <c r="BH23" s="60">
        <f t="shared" ref="BH23:BQ32" si="49">COUNTIF($V23:$AL23,BH$2)</f>
        <v>0</v>
      </c>
      <c r="BI23" s="60">
        <f t="shared" si="49"/>
        <v>0</v>
      </c>
      <c r="BJ23" s="60">
        <f t="shared" si="49"/>
        <v>0</v>
      </c>
      <c r="BK23" s="60">
        <f t="shared" si="49"/>
        <v>0</v>
      </c>
      <c r="BL23" s="60">
        <f t="shared" si="49"/>
        <v>0</v>
      </c>
      <c r="BM23" s="60">
        <f t="shared" si="49"/>
        <v>0</v>
      </c>
      <c r="BN23" s="60">
        <f t="shared" si="49"/>
        <v>0</v>
      </c>
      <c r="BO23" s="60">
        <f t="shared" si="49"/>
        <v>0</v>
      </c>
      <c r="BP23" s="60">
        <f t="shared" si="49"/>
        <v>0</v>
      </c>
      <c r="BQ23" s="60">
        <f t="shared" si="49"/>
        <v>0</v>
      </c>
      <c r="BR23" s="60">
        <f t="shared" ref="BR23:BV32" si="50">COUNTIF($V23:$AL23,BR$2)</f>
        <v>0</v>
      </c>
      <c r="BS23" s="60">
        <f t="shared" si="50"/>
        <v>0</v>
      </c>
      <c r="BT23" s="60">
        <f t="shared" si="50"/>
        <v>0</v>
      </c>
      <c r="BU23" s="60">
        <f t="shared" si="50"/>
        <v>0</v>
      </c>
      <c r="BV23" s="60">
        <f t="shared" si="50"/>
        <v>0</v>
      </c>
      <c r="BW23" s="60"/>
      <c r="BX23" s="63">
        <f t="shared" si="40"/>
        <v>0</v>
      </c>
      <c r="BY23" s="63">
        <f t="shared" si="45"/>
        <v>0.5</v>
      </c>
      <c r="BZ23" s="63">
        <f t="shared" si="46"/>
        <v>0</v>
      </c>
      <c r="CA23" s="63">
        <f t="shared" si="2"/>
        <v>0.5</v>
      </c>
      <c r="CB23" s="63">
        <f t="shared" si="3"/>
        <v>0</v>
      </c>
      <c r="CC23" s="63">
        <f t="shared" si="4"/>
        <v>0</v>
      </c>
      <c r="CD23" s="63">
        <f t="shared" si="5"/>
        <v>0</v>
      </c>
      <c r="CE23" s="63">
        <f t="shared" si="6"/>
        <v>0</v>
      </c>
      <c r="CF23" s="63">
        <f t="shared" si="7"/>
        <v>0</v>
      </c>
      <c r="CG23" s="63">
        <f t="shared" si="8"/>
        <v>0</v>
      </c>
      <c r="CH23" s="63">
        <f t="shared" si="9"/>
        <v>0</v>
      </c>
      <c r="CI23" s="63">
        <f t="shared" si="10"/>
        <v>0</v>
      </c>
      <c r="CJ23" s="63">
        <f t="shared" si="11"/>
        <v>0</v>
      </c>
      <c r="CK23" s="63">
        <f t="shared" si="12"/>
        <v>0</v>
      </c>
      <c r="CL23" s="63">
        <f t="shared" si="13"/>
        <v>0</v>
      </c>
      <c r="CM23" s="63">
        <f t="shared" si="14"/>
        <v>0</v>
      </c>
      <c r="CN23" s="63">
        <f t="shared" si="15"/>
        <v>0</v>
      </c>
      <c r="CO23" s="63">
        <f t="shared" si="16"/>
        <v>0</v>
      </c>
      <c r="CP23" s="63">
        <f t="shared" si="17"/>
        <v>0</v>
      </c>
      <c r="CQ23" s="63">
        <f t="shared" si="18"/>
        <v>0</v>
      </c>
      <c r="CR23" s="63">
        <f t="shared" si="19"/>
        <v>0</v>
      </c>
      <c r="CS23" s="63">
        <f t="shared" si="20"/>
        <v>0</v>
      </c>
      <c r="CT23" s="63">
        <f t="shared" si="21"/>
        <v>0</v>
      </c>
      <c r="CU23" s="63">
        <f t="shared" si="22"/>
        <v>0</v>
      </c>
      <c r="CV23" s="63">
        <f t="shared" si="23"/>
        <v>0</v>
      </c>
      <c r="CW23" s="63">
        <f t="shared" si="24"/>
        <v>0</v>
      </c>
      <c r="CX23" s="63">
        <f t="shared" si="25"/>
        <v>0</v>
      </c>
      <c r="CY23" s="63">
        <f t="shared" si="26"/>
        <v>0</v>
      </c>
      <c r="CZ23" s="63">
        <f t="shared" si="27"/>
        <v>0</v>
      </c>
      <c r="DA23" s="63">
        <f t="shared" si="28"/>
        <v>0</v>
      </c>
      <c r="DB23" s="63">
        <f t="shared" si="29"/>
        <v>0</v>
      </c>
      <c r="DC23" s="63">
        <f t="shared" si="30"/>
        <v>0</v>
      </c>
      <c r="DD23" s="63">
        <f t="shared" si="31"/>
        <v>0</v>
      </c>
      <c r="DE23" s="63">
        <f t="shared" si="32"/>
        <v>0</v>
      </c>
      <c r="DF23" s="63">
        <f t="shared" si="33"/>
        <v>0</v>
      </c>
      <c r="DG23" s="63">
        <f t="shared" si="34"/>
        <v>0</v>
      </c>
      <c r="DH23" s="57" t="str" cm="1">
        <f t="array" ref="DH23">INDEX(_xlfn.ANCHORARRAY($BX$2),0,MATCH(LARGE($BX23:$DG23,1),$BX23:$DG23,0))</f>
        <v>OEM Commercial Vehicles</v>
      </c>
      <c r="DI23" s="58">
        <f>LARGE('Industries all mentioned partne'!$BX23:$DG23,1)</f>
        <v>0.5</v>
      </c>
      <c r="DJ23" s="57" t="str" cm="1">
        <f t="array" ref="DJ23">IF(DI23&lt;&gt;100%,INDEX(_xlfn.ANCHORARRAY($BX$2),0,MATCH(LARGE($BX23:$DG23,2),$BX23:$DG23,0)),"")</f>
        <v>OEM Commercial Vehicles</v>
      </c>
      <c r="DK23" s="58">
        <f>IF(DI23&lt;&gt;100%,LARGE('Industries all mentioned partne'!$BX23:$DG23,2),"")</f>
        <v>0.5</v>
      </c>
      <c r="DL23" s="57" t="str" cm="1">
        <f t="array" ref="DL23">IF(DM23="","",INDEX(_xlfn.ANCHORARRAY($BX$2),0,MATCH(LARGE($BX23:$DG23,3),$BX23:$DG23,0)))</f>
        <v/>
      </c>
      <c r="DM23" s="110" t="str">
        <f>IF(LARGE('Industries all mentioned partne'!$BX23:$DG23,3)=0%,"",LARGE('Industries all mentioned partne'!$BX23:$DG23,3))</f>
        <v/>
      </c>
      <c r="DN23" s="52">
        <f>IF(ISTEXT(C23)=TRUE,VLOOKUP(C23,CBIMPORT!$A$2:$AL$171,38,FALSE),"")</f>
        <v>0</v>
      </c>
      <c r="DO23" s="52">
        <f>IF(ISTEXT(D23)=TRUE,VLOOKUP(D23,CBIMPORT!$A$2:$AL$171,38,FALSE),"")</f>
        <v>0</v>
      </c>
      <c r="DP23" s="52" t="str">
        <f>IF(ISTEXT(E23)=TRUE,VLOOKUP(E23,CBIMPORT!$A$2:$AL$171,38,FALSE),"")</f>
        <v/>
      </c>
      <c r="DQ23" s="52" t="str">
        <f>IF(ISTEXT(F23)=TRUE,VLOOKUP(F23,CBIMPORT!$A$2:$AL$171,38,FALSE),"")</f>
        <v/>
      </c>
      <c r="DR23" s="52" t="str">
        <f>IF(ISTEXT(G23)=TRUE,VLOOKUP(G23,CBIMPORT!$A$2:$AL$171,38,FALSE),"")</f>
        <v/>
      </c>
      <c r="DS23" s="52" t="str">
        <f>IF(ISTEXT(H23)=TRUE,VLOOKUP(H23,CBIMPORT!$A$2:$AL$171,38,FALSE),"")</f>
        <v/>
      </c>
      <c r="DT23" s="52" t="str">
        <f>IF(ISTEXT(I23)=TRUE,VLOOKUP(I23,CBIMPORT!$A$2:$AL$171,38,FALSE),"")</f>
        <v/>
      </c>
      <c r="DU23" s="52" t="str">
        <f>IF(ISTEXT(J23)=TRUE,VLOOKUP(J23,CBIMPORT!$A$2:$AL$171,38,FALSE),"")</f>
        <v/>
      </c>
      <c r="DV23" s="52" t="str">
        <f>IF(ISTEXT(K23)=TRUE,VLOOKUP(K23,CBIMPORT!$A$2:$AL$171,38,FALSE),"")</f>
        <v/>
      </c>
      <c r="DW23" s="52" t="str">
        <f>IF(ISTEXT(L23)=TRUE,VLOOKUP(L23,CBIMPORT!$A$2:$AL$171,38,FALSE),"")</f>
        <v/>
      </c>
      <c r="DX23" s="52" t="str">
        <f>IF(ISTEXT(M23)=TRUE,VLOOKUP(M23,CBIMPORT!$A$2:$AL$171,38,FALSE),"")</f>
        <v/>
      </c>
      <c r="DY23" s="52" t="str">
        <f>IF(ISTEXT(N23)=TRUE,VLOOKUP(N23,CBIMPORT!$A$2:$AL$171,38,FALSE),"")</f>
        <v/>
      </c>
      <c r="DZ23" s="52" t="str">
        <f>IF(ISTEXT(O23)=TRUE,VLOOKUP(O23,CBIMPORT!$A$2:$AL$171,38,FALSE),"")</f>
        <v/>
      </c>
      <c r="EA23" s="52" t="str">
        <f>IF(ISTEXT(P23)=TRUE,VLOOKUP(P23,CBIMPORT!$A$2:$AL$171,38,FALSE),"")</f>
        <v/>
      </c>
      <c r="EB23" s="52" t="str">
        <f>IF(ISTEXT(Q23)=TRUE,VLOOKUP(Q23,CBIMPORT!$A$2:$AL$171,38,FALSE),"")</f>
        <v/>
      </c>
      <c r="EC23" s="52" t="str">
        <f>IF(ISTEXT(R23)=TRUE,VLOOKUP(R23,CBIMPORT!$A$2:$AL$171,38,FALSE),"")</f>
        <v/>
      </c>
      <c r="ED23" s="52" t="str">
        <f>IF(ISTEXT(S23)=TRUE,VLOOKUP(S23,CBIMPORT!$A$2:$AL$171,38,FALSE),"")</f>
        <v/>
      </c>
      <c r="EE23" s="52" t="str">
        <f>IF(ISTEXT(T23)=TRUE,VLOOKUP(T23,CBIMPORT!$A$2:$AL$171,38,FALSE),"")</f>
        <v/>
      </c>
      <c r="EF23" s="64" t="str">
        <f>IF(ISTEXT(U23)=TRUE,VLOOKUP(U23,CBIMPORT!$A$2:$AL$171,38,FALSE),"")</f>
        <v/>
      </c>
      <c r="EG23" s="64"/>
      <c r="EH23" s="64"/>
      <c r="EI23" s="64"/>
      <c r="EJ23" s="64"/>
      <c r="EK23" s="64"/>
      <c r="EL23" s="64"/>
      <c r="EM23" s="64"/>
      <c r="EN23" s="64"/>
      <c r="EO23" s="64"/>
      <c r="EP23" s="64"/>
    </row>
    <row r="24" spans="1:146" x14ac:dyDescent="0.35">
      <c r="A24" s="49" t="str">
        <v>Mobileye-Other</v>
      </c>
      <c r="B24" s="48" t="str" cm="1">
        <f t="array" ref="B24">_xlfn.TEXTJOIN(";",TRUE,IF(ANNOUNCEMENTS!$AH$2:$AH$180=A24,ANNOUNCEMENTS!$K$2:$K$180,""))</f>
        <v>Porsche;Ecarx;FAW Group;Wistron NeWeb Corp ;Geely;Zeekr;Valeo;Zeekr</v>
      </c>
      <c r="C24" s="55" t="s">
        <v>762</v>
      </c>
      <c r="D24" s="55" t="s">
        <v>1961</v>
      </c>
      <c r="E24" s="55" t="s">
        <v>1962</v>
      </c>
      <c r="F24" s="55" t="s">
        <v>1964</v>
      </c>
      <c r="G24" s="55" t="s">
        <v>748</v>
      </c>
      <c r="H24" s="55" t="s">
        <v>780</v>
      </c>
      <c r="I24" s="55" t="s">
        <v>868</v>
      </c>
      <c r="J24" s="55" t="s">
        <v>780</v>
      </c>
      <c r="K24" s="55"/>
      <c r="L24" s="55"/>
      <c r="M24" s="55"/>
      <c r="N24" s="55"/>
      <c r="O24" s="55"/>
      <c r="P24" s="55"/>
      <c r="Q24" s="55"/>
      <c r="R24" s="55"/>
      <c r="S24" s="55"/>
      <c r="T24" s="55"/>
      <c r="V24" s="56" t="str">
        <f>IF(ISERROR(VLOOKUP(C24,CBIMPORT!$A$2:$B$171,2,FALSE)),0,VLOOKUP(C24,CBIMPORT!$A$2:$B$171,2,FALSE))</f>
        <v>OEM</v>
      </c>
      <c r="W24" s="56" t="str">
        <f>IF(ISERROR(VLOOKUP(D24,CBIMPORT!$A$2:$B$171,2,FALSE)),0,VLOOKUP(D24,CBIMPORT!$A$2:$B$171,2,FALSE))</f>
        <v>Automotive Supplier</v>
      </c>
      <c r="X24" s="56" t="str">
        <f>IF(ISERROR(VLOOKUP(E24,CBIMPORT!$A$2:$B$171,2,FALSE)),0,VLOOKUP(E24,CBIMPORT!$A$2:$B$171,2,FALSE))</f>
        <v>OEM</v>
      </c>
      <c r="Y24" s="56" t="str">
        <f>IF(ISERROR(VLOOKUP(F24,CBIMPORT!$A$2:$B$171,2,FALSE)),0,VLOOKUP(F24,CBIMPORT!$A$2:$B$171,2,FALSE))</f>
        <v>Sensor</v>
      </c>
      <c r="Z24" s="56" t="str">
        <f>IF(ISERROR(VLOOKUP(G24,CBIMPORT!$A$2:$B$171,2,FALSE)),0,VLOOKUP(G24,CBIMPORT!$A$2:$B$171,2,FALSE))</f>
        <v>OEM</v>
      </c>
      <c r="AA24" s="56" t="str">
        <f>IF(ISERROR(VLOOKUP(H24,CBIMPORT!$A$2:$B$171,2,FALSE)),0,VLOOKUP(H24,CBIMPORT!$A$2:$B$171,2,FALSE))</f>
        <v>OEM</v>
      </c>
      <c r="AB24" s="56" t="str">
        <f>IF(ISERROR(VLOOKUP(I24,CBIMPORT!$A$2:$B$171,2,FALSE)),0,VLOOKUP(I24,CBIMPORT!$A$2:$B$171,2,FALSE))</f>
        <v>Sensor</v>
      </c>
      <c r="AC24" s="56" t="str">
        <f>IF(ISERROR(VLOOKUP(J24,CBIMPORT!$A$2:$B$171,2,FALSE)),0,VLOOKUP(J24,CBIMPORT!$A$2:$B$171,2,FALSE))</f>
        <v>OEM</v>
      </c>
      <c r="AD24" s="56">
        <f>IF(ISERROR(VLOOKUP(K24,CBIMPORT!$A$2:$B$171,2,FALSE)),0,VLOOKUP(K24,CBIMPORT!$A$2:$B$171,2,FALSE))</f>
        <v>0</v>
      </c>
      <c r="AE24" s="56">
        <f>IF(ISERROR(VLOOKUP(L24,CBIMPORT!$A$2:$B$171,2,FALSE)),0,VLOOKUP(L24,CBIMPORT!$A$2:$B$171,2,FALSE))</f>
        <v>0</v>
      </c>
      <c r="AF24" s="56">
        <f>IF(ISERROR(VLOOKUP(M24,CBIMPORT!$A$2:$B$171,2,FALSE)),0,VLOOKUP(M24,CBIMPORT!$A$2:$B$171,2,FALSE))</f>
        <v>0</v>
      </c>
      <c r="AG24" s="56">
        <f>IF(ISERROR(VLOOKUP(N24,CBIMPORT!$A$2:$B$171,2,FALSE)),0,VLOOKUP(N24,CBIMPORT!$A$2:$B$171,2,FALSE))</f>
        <v>0</v>
      </c>
      <c r="AH24" s="56">
        <f>IF(ISERROR(VLOOKUP(O24,CBIMPORT!$A$2:$B$171,2,FALSE)),0,VLOOKUP(O24,CBIMPORT!$A$2:$B$171,2,FALSE))</f>
        <v>0</v>
      </c>
      <c r="AI24" s="56">
        <f>IF(ISERROR(VLOOKUP(P24,CBIMPORT!$A$2:$B$171,2,FALSE)),0,VLOOKUP(P24,CBIMPORT!$A$2:$B$171,2,FALSE))</f>
        <v>0</v>
      </c>
      <c r="AJ24" s="56">
        <f>IF(ISERROR(VLOOKUP(Q24,CBIMPORT!$A$2:$B$171,2,FALSE)),0,VLOOKUP(Q24,CBIMPORT!$A$2:$B$171,2,FALSE))</f>
        <v>0</v>
      </c>
      <c r="AK24" s="56">
        <f>IF(ISERROR(VLOOKUP(R24,CBIMPORT!$A$2:$B$171,2,FALSE)),0,VLOOKUP(R24,CBIMPORT!$A$2:$B$171,2,FALSE))</f>
        <v>0</v>
      </c>
      <c r="AL24" s="56">
        <f>IF(ISERROR(VLOOKUP(S24,CBIMPORT!$A$2:$B$171,2,FALSE)),0,VLOOKUP(S24,CBIMPORT!$A$2:$B$171,2,FALSE))</f>
        <v>0</v>
      </c>
      <c r="AM24" s="60">
        <f t="shared" si="35"/>
        <v>0</v>
      </c>
      <c r="AN24" s="60">
        <f t="shared" si="47"/>
        <v>0</v>
      </c>
      <c r="AO24" s="60">
        <f t="shared" si="47"/>
        <v>0</v>
      </c>
      <c r="AP24" s="60">
        <f t="shared" si="47"/>
        <v>0</v>
      </c>
      <c r="AQ24" s="60">
        <f t="shared" si="47"/>
        <v>0</v>
      </c>
      <c r="AR24" s="60">
        <f t="shared" si="47"/>
        <v>0</v>
      </c>
      <c r="AS24" s="60">
        <f t="shared" si="47"/>
        <v>0</v>
      </c>
      <c r="AT24" s="60">
        <f t="shared" si="47"/>
        <v>0</v>
      </c>
      <c r="AU24" s="60">
        <f t="shared" si="47"/>
        <v>0</v>
      </c>
      <c r="AV24" s="60">
        <f t="shared" si="47"/>
        <v>0</v>
      </c>
      <c r="AW24" s="60">
        <f t="shared" si="47"/>
        <v>0</v>
      </c>
      <c r="AX24" s="60">
        <f t="shared" si="48"/>
        <v>0</v>
      </c>
      <c r="AY24" s="60">
        <f t="shared" si="48"/>
        <v>0</v>
      </c>
      <c r="AZ24" s="60">
        <f t="shared" si="48"/>
        <v>1</v>
      </c>
      <c r="BA24" s="60">
        <f t="shared" si="48"/>
        <v>0</v>
      </c>
      <c r="BB24" s="60">
        <f t="shared" si="48"/>
        <v>0</v>
      </c>
      <c r="BC24" s="60">
        <f t="shared" si="48"/>
        <v>0</v>
      </c>
      <c r="BD24" s="60">
        <f t="shared" si="48"/>
        <v>0</v>
      </c>
      <c r="BE24" s="60">
        <f t="shared" si="48"/>
        <v>5</v>
      </c>
      <c r="BF24" s="60">
        <f t="shared" si="48"/>
        <v>0</v>
      </c>
      <c r="BG24" s="60">
        <f t="shared" si="48"/>
        <v>0</v>
      </c>
      <c r="BH24" s="60">
        <f t="shared" si="49"/>
        <v>0</v>
      </c>
      <c r="BI24" s="60">
        <f t="shared" si="49"/>
        <v>0</v>
      </c>
      <c r="BJ24" s="60">
        <f t="shared" si="49"/>
        <v>0</v>
      </c>
      <c r="BK24" s="60">
        <f t="shared" si="49"/>
        <v>0</v>
      </c>
      <c r="BL24" s="60">
        <f t="shared" si="49"/>
        <v>2</v>
      </c>
      <c r="BM24" s="60">
        <f t="shared" si="49"/>
        <v>0</v>
      </c>
      <c r="BN24" s="60">
        <f t="shared" si="49"/>
        <v>0</v>
      </c>
      <c r="BO24" s="60">
        <f t="shared" si="49"/>
        <v>0</v>
      </c>
      <c r="BP24" s="60">
        <f t="shared" si="49"/>
        <v>0</v>
      </c>
      <c r="BQ24" s="60">
        <f t="shared" si="49"/>
        <v>0</v>
      </c>
      <c r="BR24" s="60">
        <f t="shared" si="50"/>
        <v>0</v>
      </c>
      <c r="BS24" s="60">
        <f t="shared" si="50"/>
        <v>0</v>
      </c>
      <c r="BT24" s="60">
        <f t="shared" si="50"/>
        <v>0</v>
      </c>
      <c r="BU24" s="60">
        <f t="shared" si="50"/>
        <v>0</v>
      </c>
      <c r="BV24" s="60">
        <f t="shared" si="50"/>
        <v>0</v>
      </c>
      <c r="BW24" s="60"/>
      <c r="BX24" s="63">
        <f t="shared" si="40"/>
        <v>0</v>
      </c>
      <c r="BY24" s="63">
        <f t="shared" si="45"/>
        <v>0</v>
      </c>
      <c r="BZ24" s="63">
        <f t="shared" si="46"/>
        <v>0</v>
      </c>
      <c r="CA24" s="63">
        <f t="shared" si="2"/>
        <v>0</v>
      </c>
      <c r="CB24" s="63">
        <f t="shared" si="3"/>
        <v>0</v>
      </c>
      <c r="CC24" s="63">
        <f t="shared" si="4"/>
        <v>0</v>
      </c>
      <c r="CD24" s="63">
        <f t="shared" si="5"/>
        <v>0</v>
      </c>
      <c r="CE24" s="63">
        <f t="shared" si="6"/>
        <v>0</v>
      </c>
      <c r="CF24" s="63">
        <f t="shared" si="7"/>
        <v>0</v>
      </c>
      <c r="CG24" s="63">
        <f t="shared" si="8"/>
        <v>0</v>
      </c>
      <c r="CH24" s="63">
        <f t="shared" si="9"/>
        <v>0</v>
      </c>
      <c r="CI24" s="63">
        <f t="shared" si="10"/>
        <v>0</v>
      </c>
      <c r="CJ24" s="63">
        <f t="shared" si="11"/>
        <v>0</v>
      </c>
      <c r="CK24" s="63">
        <f t="shared" si="12"/>
        <v>0.125</v>
      </c>
      <c r="CL24" s="63">
        <f t="shared" si="13"/>
        <v>0</v>
      </c>
      <c r="CM24" s="63">
        <f t="shared" si="14"/>
        <v>0</v>
      </c>
      <c r="CN24" s="63">
        <f t="shared" si="15"/>
        <v>0</v>
      </c>
      <c r="CO24" s="63">
        <f t="shared" si="16"/>
        <v>0</v>
      </c>
      <c r="CP24" s="63">
        <f t="shared" si="17"/>
        <v>0.625</v>
      </c>
      <c r="CQ24" s="63">
        <f t="shared" si="18"/>
        <v>0</v>
      </c>
      <c r="CR24" s="63">
        <f t="shared" si="19"/>
        <v>0</v>
      </c>
      <c r="CS24" s="63">
        <f t="shared" si="20"/>
        <v>0</v>
      </c>
      <c r="CT24" s="63">
        <f t="shared" si="21"/>
        <v>0</v>
      </c>
      <c r="CU24" s="63">
        <f t="shared" si="22"/>
        <v>0</v>
      </c>
      <c r="CV24" s="63">
        <f t="shared" si="23"/>
        <v>0</v>
      </c>
      <c r="CW24" s="63">
        <f t="shared" si="24"/>
        <v>0.25</v>
      </c>
      <c r="CX24" s="63">
        <f t="shared" si="25"/>
        <v>0</v>
      </c>
      <c r="CY24" s="63">
        <f t="shared" si="26"/>
        <v>0</v>
      </c>
      <c r="CZ24" s="63">
        <f t="shared" si="27"/>
        <v>0</v>
      </c>
      <c r="DA24" s="63">
        <f t="shared" si="28"/>
        <v>0</v>
      </c>
      <c r="DB24" s="63">
        <f t="shared" si="29"/>
        <v>0</v>
      </c>
      <c r="DC24" s="63">
        <f t="shared" si="30"/>
        <v>0</v>
      </c>
      <c r="DD24" s="63">
        <f t="shared" si="31"/>
        <v>0</v>
      </c>
      <c r="DE24" s="63">
        <f t="shared" si="32"/>
        <v>0</v>
      </c>
      <c r="DF24" s="63">
        <f t="shared" si="33"/>
        <v>0</v>
      </c>
      <c r="DG24" s="63">
        <f t="shared" si="34"/>
        <v>0</v>
      </c>
      <c r="DH24" s="57" t="str" cm="1">
        <f t="array" ref="DH24">INDEX(_xlfn.ANCHORARRAY($BX$2),0,MATCH(LARGE($BX24:$DG24,1),$BX24:$DG24,0))</f>
        <v>OEM</v>
      </c>
      <c r="DI24" s="58">
        <f>LARGE('Industries all mentioned partne'!$BX24:$DG24,1)</f>
        <v>0.625</v>
      </c>
      <c r="DJ24" s="57" t="str" cm="1">
        <f t="array" ref="DJ24">IF(DI24&lt;&gt;100%,INDEX(_xlfn.ANCHORARRAY($BX$2),0,MATCH(LARGE($BX24:$DG24,2),$BX24:$DG24,0)),"")</f>
        <v>Sensor</v>
      </c>
      <c r="DK24" s="58">
        <f>IF(DI24&lt;&gt;100%,LARGE('Industries all mentioned partne'!$BX24:$DG24,2),"")</f>
        <v>0.25</v>
      </c>
      <c r="DL24" s="57" t="str" cm="1">
        <f t="array" ref="DL24">IF(DM24="","",INDEX(_xlfn.ANCHORARRAY($BX$2),0,MATCH(LARGE($BX24:$DG24,3),$BX24:$DG24,0)))</f>
        <v>Automotive Supplier</v>
      </c>
      <c r="DM24" s="110">
        <f>IF(LARGE('Industries all mentioned partne'!$BX24:$DG24,3)=0%,"",LARGE('Industries all mentioned partne'!$BX24:$DG24,3))</f>
        <v>0.125</v>
      </c>
      <c r="DN24" s="52">
        <f>IF(ISTEXT(C24)=TRUE,VLOOKUP(C24,CBIMPORT!$A$2:$AL$171,38,FALSE),"")</f>
        <v>1</v>
      </c>
      <c r="DO24" s="52">
        <f>IF(ISTEXT(D24)=TRUE,VLOOKUP(D24,CBIMPORT!$A$2:$AL$171,38,FALSE),"")</f>
        <v>1</v>
      </c>
      <c r="DP24" s="52">
        <f>IF(ISTEXT(E24)=TRUE,VLOOKUP(E24,CBIMPORT!$A$2:$AL$171,38,FALSE),"")</f>
        <v>1</v>
      </c>
      <c r="DQ24" s="52">
        <f>IF(ISTEXT(F24)=TRUE,VLOOKUP(F24,CBIMPORT!$A$2:$AL$171,38,FALSE),"")</f>
        <v>1</v>
      </c>
      <c r="DR24" s="52">
        <f>IF(ISTEXT(G24)=TRUE,VLOOKUP(G24,CBIMPORT!$A$2:$AL$171,38,FALSE),"")</f>
        <v>0</v>
      </c>
      <c r="DS24" s="52">
        <f>IF(ISTEXT(H24)=TRUE,VLOOKUP(H24,CBIMPORT!$A$2:$AL$171,38,FALSE),"")</f>
        <v>0</v>
      </c>
      <c r="DT24" s="52">
        <f>IF(ISTEXT(I24)=TRUE,VLOOKUP(I24,CBIMPORT!$A$2:$AL$171,38,FALSE),"")</f>
        <v>1</v>
      </c>
      <c r="DU24" s="52">
        <f>IF(ISTEXT(J24)=TRUE,VLOOKUP(J24,CBIMPORT!$A$2:$AL$171,38,FALSE),"")</f>
        <v>0</v>
      </c>
      <c r="DV24" s="52" t="str">
        <f>IF(ISTEXT(K24)=TRUE,VLOOKUP(K24,CBIMPORT!$A$2:$AL$171,38,FALSE),"")</f>
        <v/>
      </c>
      <c r="DW24" s="52" t="str">
        <f>IF(ISTEXT(L24)=TRUE,VLOOKUP(L24,CBIMPORT!$A$2:$AL$171,38,FALSE),"")</f>
        <v/>
      </c>
      <c r="DX24" s="52" t="str">
        <f>IF(ISTEXT(M24)=TRUE,VLOOKUP(M24,CBIMPORT!$A$2:$AL$171,38,FALSE),"")</f>
        <v/>
      </c>
      <c r="DY24" s="52" t="str">
        <f>IF(ISTEXT(N24)=TRUE,VLOOKUP(N24,CBIMPORT!$A$2:$AL$171,38,FALSE),"")</f>
        <v/>
      </c>
      <c r="DZ24" s="52" t="str">
        <f>IF(ISTEXT(O24)=TRUE,VLOOKUP(O24,CBIMPORT!$A$2:$AL$171,38,FALSE),"")</f>
        <v/>
      </c>
      <c r="EA24" s="52" t="str">
        <f>IF(ISTEXT(P24)=TRUE,VLOOKUP(P24,CBIMPORT!$A$2:$AL$171,38,FALSE),"")</f>
        <v/>
      </c>
      <c r="EB24" s="52" t="str">
        <f>IF(ISTEXT(Q24)=TRUE,VLOOKUP(Q24,CBIMPORT!$A$2:$AL$171,38,FALSE),"")</f>
        <v/>
      </c>
      <c r="EC24" s="52" t="str">
        <f>IF(ISTEXT(R24)=TRUE,VLOOKUP(R24,CBIMPORT!$A$2:$AL$171,38,FALSE),"")</f>
        <v/>
      </c>
      <c r="ED24" s="52" t="str">
        <f>IF(ISTEXT(S24)=TRUE,VLOOKUP(S24,CBIMPORT!$A$2:$AL$171,38,FALSE),"")</f>
        <v/>
      </c>
      <c r="EE24" s="52" t="str">
        <f>IF(ISTEXT(T24)=TRUE,VLOOKUP(T24,CBIMPORT!$A$2:$AL$171,38,FALSE),"")</f>
        <v/>
      </c>
      <c r="EF24" s="64" t="str">
        <f>IF(ISTEXT(U24)=TRUE,VLOOKUP(U24,CBIMPORT!$A$2:$AL$171,38,FALSE),"")</f>
        <v/>
      </c>
      <c r="EG24" s="64"/>
      <c r="EH24" s="64"/>
      <c r="EI24" s="64"/>
      <c r="EJ24" s="64"/>
      <c r="EK24" s="64"/>
      <c r="EL24" s="64"/>
      <c r="EM24" s="64"/>
      <c r="EN24" s="64"/>
      <c r="EO24" s="64"/>
      <c r="EP24" s="64"/>
    </row>
    <row r="25" spans="1:146" x14ac:dyDescent="0.35">
      <c r="A25" s="49" t="str">
        <v>Mobileye-Ridehailing</v>
      </c>
      <c r="B25" s="48" t="str" cm="1">
        <f t="array" ref="B25">_xlfn.TEXTJOIN(";",TRUE,IF(ANNOUNCEMENTS!$AH$2:$AH$180=A25,ANNOUNCEMENTS!$K$2:$K$180,""))</f>
        <v>WILLER</v>
      </c>
      <c r="C25" s="55" t="s">
        <v>1963</v>
      </c>
      <c r="D25" s="55"/>
      <c r="E25" s="55"/>
      <c r="F25" s="55"/>
      <c r="G25" s="55"/>
      <c r="H25" s="55"/>
      <c r="I25" s="55"/>
      <c r="J25" s="55"/>
      <c r="K25" s="55"/>
      <c r="L25" s="55"/>
      <c r="M25" s="55"/>
      <c r="N25" s="55"/>
      <c r="O25" s="55"/>
      <c r="P25" s="55"/>
      <c r="Q25" s="55"/>
      <c r="R25" s="55"/>
      <c r="S25" s="55"/>
      <c r="T25" s="55"/>
      <c r="V25" s="56" t="str">
        <f>IF(ISERROR(VLOOKUP(C25,CBIMPORT!$A$2:$B$171,2,FALSE)),0,VLOOKUP(C25,CBIMPORT!$A$2:$B$171,2,FALSE))</f>
        <v>Mobility Services</v>
      </c>
      <c r="W25" s="56">
        <f>IF(ISERROR(VLOOKUP(D25,CBIMPORT!$A$2:$B$171,2,FALSE)),0,VLOOKUP(D25,CBIMPORT!$A$2:$B$171,2,FALSE))</f>
        <v>0</v>
      </c>
      <c r="X25" s="56">
        <f>IF(ISERROR(VLOOKUP(E25,CBIMPORT!$A$2:$B$171,2,FALSE)),0,VLOOKUP(E25,CBIMPORT!$A$2:$B$171,2,FALSE))</f>
        <v>0</v>
      </c>
      <c r="Y25" s="56">
        <f>IF(ISERROR(VLOOKUP(F25,CBIMPORT!$A$2:$B$171,2,FALSE)),0,VLOOKUP(F25,CBIMPORT!$A$2:$B$171,2,FALSE))</f>
        <v>0</v>
      </c>
      <c r="Z25" s="56">
        <f>IF(ISERROR(VLOOKUP(G25,CBIMPORT!$A$2:$B$171,2,FALSE)),0,VLOOKUP(G25,CBIMPORT!$A$2:$B$171,2,FALSE))</f>
        <v>0</v>
      </c>
      <c r="AA25" s="56">
        <f>IF(ISERROR(VLOOKUP(H25,CBIMPORT!$A$2:$B$171,2,FALSE)),0,VLOOKUP(H25,CBIMPORT!$A$2:$B$171,2,FALSE))</f>
        <v>0</v>
      </c>
      <c r="AB25" s="56">
        <f>IF(ISERROR(VLOOKUP(I25,CBIMPORT!$A$2:$B$171,2,FALSE)),0,VLOOKUP(I25,CBIMPORT!$A$2:$B$171,2,FALSE))</f>
        <v>0</v>
      </c>
      <c r="AC25" s="56">
        <f>IF(ISERROR(VLOOKUP(J25,CBIMPORT!$A$2:$B$171,2,FALSE)),0,VLOOKUP(J25,CBIMPORT!$A$2:$B$171,2,FALSE))</f>
        <v>0</v>
      </c>
      <c r="AD25" s="56">
        <f>IF(ISERROR(VLOOKUP(K25,CBIMPORT!$A$2:$B$171,2,FALSE)),0,VLOOKUP(K25,CBIMPORT!$A$2:$B$171,2,FALSE))</f>
        <v>0</v>
      </c>
      <c r="AE25" s="56">
        <f>IF(ISERROR(VLOOKUP(L25,CBIMPORT!$A$2:$B$171,2,FALSE)),0,VLOOKUP(L25,CBIMPORT!$A$2:$B$171,2,FALSE))</f>
        <v>0</v>
      </c>
      <c r="AF25" s="56">
        <f>IF(ISERROR(VLOOKUP(M25,CBIMPORT!$A$2:$B$171,2,FALSE)),0,VLOOKUP(M25,CBIMPORT!$A$2:$B$171,2,FALSE))</f>
        <v>0</v>
      </c>
      <c r="AG25" s="56">
        <f>IF(ISERROR(VLOOKUP(N25,CBIMPORT!$A$2:$B$171,2,FALSE)),0,VLOOKUP(N25,CBIMPORT!$A$2:$B$171,2,FALSE))</f>
        <v>0</v>
      </c>
      <c r="AH25" s="56">
        <f>IF(ISERROR(VLOOKUP(O25,CBIMPORT!$A$2:$B$171,2,FALSE)),0,VLOOKUP(O25,CBIMPORT!$A$2:$B$171,2,FALSE))</f>
        <v>0</v>
      </c>
      <c r="AI25" s="56">
        <f>IF(ISERROR(VLOOKUP(P25,CBIMPORT!$A$2:$B$171,2,FALSE)),0,VLOOKUP(P25,CBIMPORT!$A$2:$B$171,2,FALSE))</f>
        <v>0</v>
      </c>
      <c r="AJ25" s="56">
        <f>IF(ISERROR(VLOOKUP(Q25,CBIMPORT!$A$2:$B$171,2,FALSE)),0,VLOOKUP(Q25,CBIMPORT!$A$2:$B$171,2,FALSE))</f>
        <v>0</v>
      </c>
      <c r="AK25" s="56">
        <f>IF(ISERROR(VLOOKUP(R25,CBIMPORT!$A$2:$B$171,2,FALSE)),0,VLOOKUP(R25,CBIMPORT!$A$2:$B$171,2,FALSE))</f>
        <v>0</v>
      </c>
      <c r="AL25" s="56">
        <f>IF(ISERROR(VLOOKUP(S25,CBIMPORT!$A$2:$B$171,2,FALSE)),0,VLOOKUP(S25,CBIMPORT!$A$2:$B$171,2,FALSE))</f>
        <v>0</v>
      </c>
      <c r="AM25" s="60">
        <f t="shared" si="35"/>
        <v>0</v>
      </c>
      <c r="AN25" s="60">
        <f t="shared" si="47"/>
        <v>0</v>
      </c>
      <c r="AO25" s="60">
        <f t="shared" si="47"/>
        <v>0</v>
      </c>
      <c r="AP25" s="60">
        <f t="shared" si="47"/>
        <v>1</v>
      </c>
      <c r="AQ25" s="60">
        <f t="shared" si="47"/>
        <v>0</v>
      </c>
      <c r="AR25" s="60">
        <f t="shared" si="47"/>
        <v>0</v>
      </c>
      <c r="AS25" s="60">
        <f t="shared" si="47"/>
        <v>0</v>
      </c>
      <c r="AT25" s="60">
        <f t="shared" si="47"/>
        <v>0</v>
      </c>
      <c r="AU25" s="60">
        <f t="shared" si="47"/>
        <v>0</v>
      </c>
      <c r="AV25" s="60">
        <f t="shared" si="47"/>
        <v>0</v>
      </c>
      <c r="AW25" s="60">
        <f t="shared" si="47"/>
        <v>0</v>
      </c>
      <c r="AX25" s="60">
        <f t="shared" si="48"/>
        <v>0</v>
      </c>
      <c r="AY25" s="60">
        <f t="shared" si="48"/>
        <v>0</v>
      </c>
      <c r="AZ25" s="60">
        <f t="shared" si="48"/>
        <v>0</v>
      </c>
      <c r="BA25" s="60">
        <f t="shared" si="48"/>
        <v>0</v>
      </c>
      <c r="BB25" s="60">
        <f t="shared" si="48"/>
        <v>0</v>
      </c>
      <c r="BC25" s="60">
        <f t="shared" si="48"/>
        <v>0</v>
      </c>
      <c r="BD25" s="60">
        <f t="shared" si="48"/>
        <v>0</v>
      </c>
      <c r="BE25" s="60">
        <f t="shared" si="48"/>
        <v>0</v>
      </c>
      <c r="BF25" s="60">
        <f t="shared" si="48"/>
        <v>0</v>
      </c>
      <c r="BG25" s="60">
        <f t="shared" si="48"/>
        <v>0</v>
      </c>
      <c r="BH25" s="60">
        <f t="shared" si="49"/>
        <v>0</v>
      </c>
      <c r="BI25" s="60">
        <f t="shared" si="49"/>
        <v>0</v>
      </c>
      <c r="BJ25" s="60">
        <f t="shared" si="49"/>
        <v>0</v>
      </c>
      <c r="BK25" s="60">
        <f t="shared" si="49"/>
        <v>0</v>
      </c>
      <c r="BL25" s="60">
        <f t="shared" si="49"/>
        <v>0</v>
      </c>
      <c r="BM25" s="60">
        <f t="shared" si="49"/>
        <v>0</v>
      </c>
      <c r="BN25" s="60">
        <f t="shared" si="49"/>
        <v>0</v>
      </c>
      <c r="BO25" s="60">
        <f t="shared" si="49"/>
        <v>0</v>
      </c>
      <c r="BP25" s="60">
        <f t="shared" si="49"/>
        <v>0</v>
      </c>
      <c r="BQ25" s="60">
        <f t="shared" si="49"/>
        <v>0</v>
      </c>
      <c r="BR25" s="60">
        <f t="shared" si="50"/>
        <v>0</v>
      </c>
      <c r="BS25" s="60">
        <f t="shared" si="50"/>
        <v>0</v>
      </c>
      <c r="BT25" s="60">
        <f t="shared" si="50"/>
        <v>0</v>
      </c>
      <c r="BU25" s="60">
        <f t="shared" si="50"/>
        <v>0</v>
      </c>
      <c r="BV25" s="60">
        <f t="shared" si="50"/>
        <v>0</v>
      </c>
      <c r="BW25" s="60"/>
      <c r="BX25" s="63">
        <f t="shared" si="40"/>
        <v>0</v>
      </c>
      <c r="BY25" s="63">
        <f t="shared" si="45"/>
        <v>0</v>
      </c>
      <c r="BZ25" s="63">
        <f t="shared" si="46"/>
        <v>0</v>
      </c>
      <c r="CA25" s="63">
        <f t="shared" si="2"/>
        <v>1</v>
      </c>
      <c r="CB25" s="63">
        <f t="shared" si="3"/>
        <v>0</v>
      </c>
      <c r="CC25" s="63">
        <f t="shared" si="4"/>
        <v>0</v>
      </c>
      <c r="CD25" s="63">
        <f t="shared" si="5"/>
        <v>0</v>
      </c>
      <c r="CE25" s="63">
        <f t="shared" si="6"/>
        <v>0</v>
      </c>
      <c r="CF25" s="63">
        <f t="shared" si="7"/>
        <v>0</v>
      </c>
      <c r="CG25" s="63">
        <f t="shared" si="8"/>
        <v>0</v>
      </c>
      <c r="CH25" s="63">
        <f t="shared" si="9"/>
        <v>0</v>
      </c>
      <c r="CI25" s="63">
        <f t="shared" si="10"/>
        <v>0</v>
      </c>
      <c r="CJ25" s="63">
        <f t="shared" si="11"/>
        <v>0</v>
      </c>
      <c r="CK25" s="63">
        <f t="shared" si="12"/>
        <v>0</v>
      </c>
      <c r="CL25" s="63">
        <f t="shared" si="13"/>
        <v>0</v>
      </c>
      <c r="CM25" s="63">
        <f t="shared" si="14"/>
        <v>0</v>
      </c>
      <c r="CN25" s="63">
        <f t="shared" si="15"/>
        <v>0</v>
      </c>
      <c r="CO25" s="63">
        <f t="shared" si="16"/>
        <v>0</v>
      </c>
      <c r="CP25" s="63">
        <f t="shared" si="17"/>
        <v>0</v>
      </c>
      <c r="CQ25" s="63">
        <f t="shared" si="18"/>
        <v>0</v>
      </c>
      <c r="CR25" s="63">
        <f t="shared" si="19"/>
        <v>0</v>
      </c>
      <c r="CS25" s="63">
        <f t="shared" si="20"/>
        <v>0</v>
      </c>
      <c r="CT25" s="63">
        <f t="shared" si="21"/>
        <v>0</v>
      </c>
      <c r="CU25" s="63">
        <f t="shared" si="22"/>
        <v>0</v>
      </c>
      <c r="CV25" s="63">
        <f t="shared" si="23"/>
        <v>0</v>
      </c>
      <c r="CW25" s="63">
        <f t="shared" si="24"/>
        <v>0</v>
      </c>
      <c r="CX25" s="63">
        <f t="shared" si="25"/>
        <v>0</v>
      </c>
      <c r="CY25" s="63">
        <f t="shared" si="26"/>
        <v>0</v>
      </c>
      <c r="CZ25" s="63">
        <f t="shared" si="27"/>
        <v>0</v>
      </c>
      <c r="DA25" s="63">
        <f t="shared" si="28"/>
        <v>0</v>
      </c>
      <c r="DB25" s="63">
        <f t="shared" si="29"/>
        <v>0</v>
      </c>
      <c r="DC25" s="63">
        <f t="shared" si="30"/>
        <v>0</v>
      </c>
      <c r="DD25" s="63">
        <f t="shared" si="31"/>
        <v>0</v>
      </c>
      <c r="DE25" s="63">
        <f t="shared" si="32"/>
        <v>0</v>
      </c>
      <c r="DF25" s="63">
        <f t="shared" si="33"/>
        <v>0</v>
      </c>
      <c r="DG25" s="63">
        <f t="shared" si="34"/>
        <v>0</v>
      </c>
      <c r="DH25" s="57" t="str" cm="1">
        <f t="array" ref="DH25">INDEX(_xlfn.ANCHORARRAY($BX$2),0,MATCH(LARGE($BX25:$DG25,1),$BX25:$DG25,0))</f>
        <v>Mobility Services</v>
      </c>
      <c r="DI25" s="58">
        <f>LARGE('Industries all mentioned partne'!$BX25:$DG25,1)</f>
        <v>1</v>
      </c>
      <c r="DJ25" s="57" t="str" cm="1">
        <f t="array" ref="DJ25">IF(DI25&lt;&gt;100%,INDEX(_xlfn.ANCHORARRAY($BX$2),0,MATCH(LARGE($BX25:$DG25,2),$BX25:$DG25,0)),"")</f>
        <v/>
      </c>
      <c r="DK25" s="58" t="str">
        <f>IF(DI25&lt;&gt;100%,LARGE('Industries all mentioned partne'!$BX25:$DG25,2),"")</f>
        <v/>
      </c>
      <c r="DL25" s="57" t="str" cm="1">
        <f t="array" ref="DL25">IF(DM25="","",INDEX(_xlfn.ANCHORARRAY($BX$2),0,MATCH(LARGE($BX25:$DG25,3),$BX25:$DG25,0)))</f>
        <v/>
      </c>
      <c r="DM25" s="110" t="str">
        <f>IF(LARGE('Industries all mentioned partne'!$BX25:$DG25,3)=0%,"",LARGE('Industries all mentioned partne'!$BX25:$DG25,3))</f>
        <v/>
      </c>
      <c r="DN25" s="52">
        <f>IF(ISTEXT(C25)=TRUE,VLOOKUP(C25,CBIMPORT!$A$2:$AL$171,38,FALSE),"")</f>
        <v>0</v>
      </c>
      <c r="DO25" s="52" t="str">
        <f>IF(ISTEXT(D25)=TRUE,VLOOKUP(D25,CBIMPORT!$A$2:$AL$171,38,FALSE),"")</f>
        <v/>
      </c>
      <c r="DP25" s="52" t="str">
        <f>IF(ISTEXT(E25)=TRUE,VLOOKUP(E25,CBIMPORT!$A$2:$AL$171,38,FALSE),"")</f>
        <v/>
      </c>
      <c r="DQ25" s="52" t="str">
        <f>IF(ISTEXT(F25)=TRUE,VLOOKUP(F25,CBIMPORT!$A$2:$AL$171,38,FALSE),"")</f>
        <v/>
      </c>
      <c r="DR25" s="52" t="str">
        <f>IF(ISTEXT(G25)=TRUE,VLOOKUP(G25,CBIMPORT!$A$2:$AL$171,38,FALSE),"")</f>
        <v/>
      </c>
      <c r="DS25" s="52" t="str">
        <f>IF(ISTEXT(H25)=TRUE,VLOOKUP(H25,CBIMPORT!$A$2:$AL$171,38,FALSE),"")</f>
        <v/>
      </c>
      <c r="DT25" s="52" t="str">
        <f>IF(ISTEXT(I25)=TRUE,VLOOKUP(I25,CBIMPORT!$A$2:$AL$171,38,FALSE),"")</f>
        <v/>
      </c>
      <c r="DU25" s="52" t="str">
        <f>IF(ISTEXT(J25)=TRUE,VLOOKUP(J25,CBIMPORT!$A$2:$AL$171,38,FALSE),"")</f>
        <v/>
      </c>
      <c r="DV25" s="52" t="str">
        <f>IF(ISTEXT(K25)=TRUE,VLOOKUP(K25,CBIMPORT!$A$2:$AL$171,38,FALSE),"")</f>
        <v/>
      </c>
      <c r="DW25" s="52" t="str">
        <f>IF(ISTEXT(L25)=TRUE,VLOOKUP(L25,CBIMPORT!$A$2:$AL$171,38,FALSE),"")</f>
        <v/>
      </c>
      <c r="DX25" s="52" t="str">
        <f>IF(ISTEXT(M25)=TRUE,VLOOKUP(M25,CBIMPORT!$A$2:$AL$171,38,FALSE),"")</f>
        <v/>
      </c>
      <c r="DY25" s="52" t="str">
        <f>IF(ISTEXT(N25)=TRUE,VLOOKUP(N25,CBIMPORT!$A$2:$AL$171,38,FALSE),"")</f>
        <v/>
      </c>
      <c r="DZ25" s="52" t="str">
        <f>IF(ISTEXT(O25)=TRUE,VLOOKUP(O25,CBIMPORT!$A$2:$AL$171,38,FALSE),"")</f>
        <v/>
      </c>
      <c r="EA25" s="52" t="str">
        <f>IF(ISTEXT(P25)=TRUE,VLOOKUP(P25,CBIMPORT!$A$2:$AL$171,38,FALSE),"")</f>
        <v/>
      </c>
      <c r="EB25" s="52" t="str">
        <f>IF(ISTEXT(Q25)=TRUE,VLOOKUP(Q25,CBIMPORT!$A$2:$AL$171,38,FALSE),"")</f>
        <v/>
      </c>
      <c r="EC25" s="52" t="str">
        <f>IF(ISTEXT(R25)=TRUE,VLOOKUP(R25,CBIMPORT!$A$2:$AL$171,38,FALSE),"")</f>
        <v/>
      </c>
      <c r="ED25" s="52" t="str">
        <f>IF(ISTEXT(S25)=TRUE,VLOOKUP(S25,CBIMPORT!$A$2:$AL$171,38,FALSE),"")</f>
        <v/>
      </c>
      <c r="EE25" s="52" t="str">
        <f>IF(ISTEXT(T25)=TRUE,VLOOKUP(T25,CBIMPORT!$A$2:$AL$171,38,FALSE),"")</f>
        <v/>
      </c>
      <c r="EF25" s="64" t="str">
        <f>IF(ISTEXT(U25)=TRUE,VLOOKUP(U25,CBIMPORT!$A$2:$AL$171,38,FALSE),"")</f>
        <v/>
      </c>
      <c r="EG25" s="64"/>
      <c r="EH25" s="64"/>
      <c r="EI25" s="64"/>
      <c r="EJ25" s="64"/>
      <c r="EK25" s="64"/>
      <c r="EL25" s="64"/>
      <c r="EM25" s="64"/>
      <c r="EN25" s="64"/>
      <c r="EO25" s="64"/>
      <c r="EP25" s="64"/>
    </row>
    <row r="26" spans="1:146" x14ac:dyDescent="0.35">
      <c r="A26" s="49" t="str">
        <v>MOIA-Ridepooling</v>
      </c>
      <c r="B26" s="48" t="str" cm="1">
        <f t="array" ref="B26">_xlfn.TEXTJOIN(";",TRUE,IF(ANNOUNCEMENTS!$AH$2:$AH$180=A26,ANNOUNCEMENTS!$K$2:$K$180,""))</f>
        <v>HOCHBAHN;Volkswagen Commercial Vehicles</v>
      </c>
      <c r="C26" s="55" t="s">
        <v>1965</v>
      </c>
      <c r="D26" s="55" t="s">
        <v>1981</v>
      </c>
      <c r="E26" s="55"/>
      <c r="F26" s="55"/>
      <c r="G26" s="55"/>
      <c r="H26" s="55"/>
      <c r="I26" s="55"/>
      <c r="J26" s="55"/>
      <c r="K26" s="55"/>
      <c r="L26" s="55"/>
      <c r="M26" s="55"/>
      <c r="N26" s="55"/>
      <c r="O26" s="55"/>
      <c r="P26" s="55"/>
      <c r="Q26" s="55"/>
      <c r="R26" s="55"/>
      <c r="S26" s="55"/>
      <c r="T26" s="55"/>
      <c r="V26" s="56" t="str">
        <f>IF(ISERROR(VLOOKUP(C26,CBIMPORT!$A$2:$B$171,2,FALSE)),0,VLOOKUP(C26,CBIMPORT!$A$2:$B$171,2,FALSE))</f>
        <v>Transport Operator</v>
      </c>
      <c r="W26" s="56" t="str">
        <f>IF(ISERROR(VLOOKUP(D26,CBIMPORT!$A$2:$B$171,2,FALSE)),0,VLOOKUP(D26,CBIMPORT!$A$2:$B$171,2,FALSE))</f>
        <v>OEM Commercial Vehicles</v>
      </c>
      <c r="X26" s="56">
        <f>IF(ISERROR(VLOOKUP(E26,CBIMPORT!$A$2:$B$171,2,FALSE)),0,VLOOKUP(E26,CBIMPORT!$A$2:$B$171,2,FALSE))</f>
        <v>0</v>
      </c>
      <c r="Y26" s="56">
        <f>IF(ISERROR(VLOOKUP(F26,CBIMPORT!$A$2:$B$171,2,FALSE)),0,VLOOKUP(F26,CBIMPORT!$A$2:$B$171,2,FALSE))</f>
        <v>0</v>
      </c>
      <c r="Z26" s="56">
        <f>IF(ISERROR(VLOOKUP(G26,CBIMPORT!$A$2:$B$171,2,FALSE)),0,VLOOKUP(G26,CBIMPORT!$A$2:$B$171,2,FALSE))</f>
        <v>0</v>
      </c>
      <c r="AA26" s="56">
        <f>IF(ISERROR(VLOOKUP(H26,CBIMPORT!$A$2:$B$171,2,FALSE)),0,VLOOKUP(H26,CBIMPORT!$A$2:$B$171,2,FALSE))</f>
        <v>0</v>
      </c>
      <c r="AB26" s="56">
        <f>IF(ISERROR(VLOOKUP(I26,CBIMPORT!$A$2:$B$171,2,FALSE)),0,VLOOKUP(I26,CBIMPORT!$A$2:$B$171,2,FALSE))</f>
        <v>0</v>
      </c>
      <c r="AC26" s="56">
        <f>IF(ISERROR(VLOOKUP(J26,CBIMPORT!$A$2:$B$171,2,FALSE)),0,VLOOKUP(J26,CBIMPORT!$A$2:$B$171,2,FALSE))</f>
        <v>0</v>
      </c>
      <c r="AD26" s="56">
        <f>IF(ISERROR(VLOOKUP(K26,CBIMPORT!$A$2:$B$171,2,FALSE)),0,VLOOKUP(K26,CBIMPORT!$A$2:$B$171,2,FALSE))</f>
        <v>0</v>
      </c>
      <c r="AE26" s="56">
        <f>IF(ISERROR(VLOOKUP(L26,CBIMPORT!$A$2:$B$171,2,FALSE)),0,VLOOKUP(L26,CBIMPORT!$A$2:$B$171,2,FALSE))</f>
        <v>0</v>
      </c>
      <c r="AF26" s="56">
        <f>IF(ISERROR(VLOOKUP(M26,CBIMPORT!$A$2:$B$171,2,FALSE)),0,VLOOKUP(M26,CBIMPORT!$A$2:$B$171,2,FALSE))</f>
        <v>0</v>
      </c>
      <c r="AG26" s="56">
        <f>IF(ISERROR(VLOOKUP(N26,CBIMPORT!$A$2:$B$171,2,FALSE)),0,VLOOKUP(N26,CBIMPORT!$A$2:$B$171,2,FALSE))</f>
        <v>0</v>
      </c>
      <c r="AH26" s="56">
        <f>IF(ISERROR(VLOOKUP(O26,CBIMPORT!$A$2:$B$171,2,FALSE)),0,VLOOKUP(O26,CBIMPORT!$A$2:$B$171,2,FALSE))</f>
        <v>0</v>
      </c>
      <c r="AI26" s="56">
        <f>IF(ISERROR(VLOOKUP(P26,CBIMPORT!$A$2:$B$171,2,FALSE)),0,VLOOKUP(P26,CBIMPORT!$A$2:$B$171,2,FALSE))</f>
        <v>0</v>
      </c>
      <c r="AJ26" s="56">
        <f>IF(ISERROR(VLOOKUP(Q26,CBIMPORT!$A$2:$B$171,2,FALSE)),0,VLOOKUP(Q26,CBIMPORT!$A$2:$B$171,2,FALSE))</f>
        <v>0</v>
      </c>
      <c r="AK26" s="56">
        <f>IF(ISERROR(VLOOKUP(R26,CBIMPORT!$A$2:$B$171,2,FALSE)),0,VLOOKUP(R26,CBIMPORT!$A$2:$B$171,2,FALSE))</f>
        <v>0</v>
      </c>
      <c r="AL26" s="56">
        <f>IF(ISERROR(VLOOKUP(S26,CBIMPORT!$A$2:$B$171,2,FALSE)),0,VLOOKUP(S26,CBIMPORT!$A$2:$B$171,2,FALSE))</f>
        <v>0</v>
      </c>
      <c r="AM26" s="60">
        <f t="shared" si="35"/>
        <v>0</v>
      </c>
      <c r="AN26" s="60">
        <f t="shared" si="47"/>
        <v>1</v>
      </c>
      <c r="AO26" s="60">
        <f t="shared" si="47"/>
        <v>1</v>
      </c>
      <c r="AP26" s="60">
        <f t="shared" si="47"/>
        <v>0</v>
      </c>
      <c r="AQ26" s="60">
        <f t="shared" si="47"/>
        <v>0</v>
      </c>
      <c r="AR26" s="60">
        <f t="shared" si="47"/>
        <v>0</v>
      </c>
      <c r="AS26" s="60">
        <f t="shared" si="47"/>
        <v>0</v>
      </c>
      <c r="AT26" s="60">
        <f t="shared" si="47"/>
        <v>0</v>
      </c>
      <c r="AU26" s="60">
        <f t="shared" si="47"/>
        <v>0</v>
      </c>
      <c r="AV26" s="60">
        <f t="shared" si="47"/>
        <v>0</v>
      </c>
      <c r="AW26" s="60">
        <f t="shared" si="47"/>
        <v>0</v>
      </c>
      <c r="AX26" s="60">
        <f t="shared" si="48"/>
        <v>0</v>
      </c>
      <c r="AY26" s="60">
        <f t="shared" si="48"/>
        <v>0</v>
      </c>
      <c r="AZ26" s="60">
        <f t="shared" si="48"/>
        <v>0</v>
      </c>
      <c r="BA26" s="60">
        <f t="shared" si="48"/>
        <v>0</v>
      </c>
      <c r="BB26" s="60">
        <f t="shared" si="48"/>
        <v>0</v>
      </c>
      <c r="BC26" s="60">
        <f t="shared" si="48"/>
        <v>0</v>
      </c>
      <c r="BD26" s="60">
        <f t="shared" si="48"/>
        <v>0</v>
      </c>
      <c r="BE26" s="60">
        <f t="shared" si="48"/>
        <v>0</v>
      </c>
      <c r="BF26" s="60">
        <f t="shared" si="48"/>
        <v>0</v>
      </c>
      <c r="BG26" s="60">
        <f t="shared" si="48"/>
        <v>0</v>
      </c>
      <c r="BH26" s="60">
        <f t="shared" si="49"/>
        <v>0</v>
      </c>
      <c r="BI26" s="60">
        <f t="shared" si="49"/>
        <v>0</v>
      </c>
      <c r="BJ26" s="60">
        <f t="shared" si="49"/>
        <v>0</v>
      </c>
      <c r="BK26" s="60">
        <f t="shared" si="49"/>
        <v>0</v>
      </c>
      <c r="BL26" s="60">
        <f t="shared" si="49"/>
        <v>0</v>
      </c>
      <c r="BM26" s="60">
        <f t="shared" si="49"/>
        <v>0</v>
      </c>
      <c r="BN26" s="60">
        <f t="shared" si="49"/>
        <v>0</v>
      </c>
      <c r="BO26" s="60">
        <f t="shared" si="49"/>
        <v>0</v>
      </c>
      <c r="BP26" s="60">
        <f t="shared" si="49"/>
        <v>0</v>
      </c>
      <c r="BQ26" s="60">
        <f t="shared" si="49"/>
        <v>0</v>
      </c>
      <c r="BR26" s="60">
        <f t="shared" si="50"/>
        <v>0</v>
      </c>
      <c r="BS26" s="60">
        <f t="shared" si="50"/>
        <v>0</v>
      </c>
      <c r="BT26" s="60">
        <f t="shared" si="50"/>
        <v>0</v>
      </c>
      <c r="BU26" s="60">
        <f t="shared" si="50"/>
        <v>0</v>
      </c>
      <c r="BV26" s="60">
        <f t="shared" si="50"/>
        <v>0</v>
      </c>
      <c r="BW26" s="60"/>
      <c r="BX26" s="63">
        <f t="shared" si="40"/>
        <v>0</v>
      </c>
      <c r="BY26" s="63">
        <f t="shared" si="45"/>
        <v>0.5</v>
      </c>
      <c r="BZ26" s="63">
        <f t="shared" si="46"/>
        <v>0.5</v>
      </c>
      <c r="CA26" s="63">
        <f t="shared" si="2"/>
        <v>0</v>
      </c>
      <c r="CB26" s="63">
        <f t="shared" si="3"/>
        <v>0</v>
      </c>
      <c r="CC26" s="63">
        <f t="shared" si="4"/>
        <v>0</v>
      </c>
      <c r="CD26" s="63">
        <f t="shared" si="5"/>
        <v>0</v>
      </c>
      <c r="CE26" s="63">
        <f t="shared" si="6"/>
        <v>0</v>
      </c>
      <c r="CF26" s="63">
        <f t="shared" si="7"/>
        <v>0</v>
      </c>
      <c r="CG26" s="63">
        <f t="shared" si="8"/>
        <v>0</v>
      </c>
      <c r="CH26" s="63">
        <f t="shared" si="9"/>
        <v>0</v>
      </c>
      <c r="CI26" s="63">
        <f t="shared" si="10"/>
        <v>0</v>
      </c>
      <c r="CJ26" s="63">
        <f t="shared" si="11"/>
        <v>0</v>
      </c>
      <c r="CK26" s="63">
        <f t="shared" si="12"/>
        <v>0</v>
      </c>
      <c r="CL26" s="63">
        <f t="shared" si="13"/>
        <v>0</v>
      </c>
      <c r="CM26" s="63">
        <f t="shared" si="14"/>
        <v>0</v>
      </c>
      <c r="CN26" s="63">
        <f t="shared" si="15"/>
        <v>0</v>
      </c>
      <c r="CO26" s="63">
        <f t="shared" si="16"/>
        <v>0</v>
      </c>
      <c r="CP26" s="63">
        <f t="shared" si="17"/>
        <v>0</v>
      </c>
      <c r="CQ26" s="63">
        <f t="shared" si="18"/>
        <v>0</v>
      </c>
      <c r="CR26" s="63">
        <f t="shared" si="19"/>
        <v>0</v>
      </c>
      <c r="CS26" s="63">
        <f t="shared" si="20"/>
        <v>0</v>
      </c>
      <c r="CT26" s="63">
        <f t="shared" si="21"/>
        <v>0</v>
      </c>
      <c r="CU26" s="63">
        <f t="shared" si="22"/>
        <v>0</v>
      </c>
      <c r="CV26" s="63">
        <f t="shared" si="23"/>
        <v>0</v>
      </c>
      <c r="CW26" s="63">
        <f t="shared" si="24"/>
        <v>0</v>
      </c>
      <c r="CX26" s="63">
        <f t="shared" si="25"/>
        <v>0</v>
      </c>
      <c r="CY26" s="63">
        <f t="shared" si="26"/>
        <v>0</v>
      </c>
      <c r="CZ26" s="63">
        <f t="shared" si="27"/>
        <v>0</v>
      </c>
      <c r="DA26" s="63">
        <f t="shared" si="28"/>
        <v>0</v>
      </c>
      <c r="DB26" s="63">
        <f t="shared" si="29"/>
        <v>0</v>
      </c>
      <c r="DC26" s="63">
        <f t="shared" si="30"/>
        <v>0</v>
      </c>
      <c r="DD26" s="63">
        <f t="shared" si="31"/>
        <v>0</v>
      </c>
      <c r="DE26" s="63">
        <f t="shared" si="32"/>
        <v>0</v>
      </c>
      <c r="DF26" s="63">
        <f t="shared" si="33"/>
        <v>0</v>
      </c>
      <c r="DG26" s="63">
        <f t="shared" si="34"/>
        <v>0</v>
      </c>
      <c r="DH26" s="57" t="str" cm="1">
        <f t="array" ref="DH26">INDEX(_xlfn.ANCHORARRAY($BX$2),0,MATCH(LARGE($BX26:$DG26,1),$BX26:$DG26,0))</f>
        <v>OEM Commercial Vehicles</v>
      </c>
      <c r="DI26" s="58">
        <f>LARGE('Industries all mentioned partne'!$BX26:$DG26,1)</f>
        <v>0.5</v>
      </c>
      <c r="DJ26" s="57" t="str" cm="1">
        <f t="array" ref="DJ26">IF(DI26&lt;&gt;100%,INDEX(_xlfn.ANCHORARRAY($BX$2),0,MATCH(LARGE($BX26:$DG26,2),$BX26:$DG26,0)),"")</f>
        <v>OEM Commercial Vehicles</v>
      </c>
      <c r="DK26" s="58">
        <f>IF(DI26&lt;&gt;100%,LARGE('Industries all mentioned partne'!$BX26:$DG26,2),"")</f>
        <v>0.5</v>
      </c>
      <c r="DL26" s="57" t="str" cm="1">
        <f t="array" ref="DL26">IF(DM26="","",INDEX(_xlfn.ANCHORARRAY($BX$2),0,MATCH(LARGE($BX26:$DG26,3),$BX26:$DG26,0)))</f>
        <v/>
      </c>
      <c r="DM26" s="110" t="str">
        <f>IF(LARGE('Industries all mentioned partne'!$BX26:$DG26,3)=0%,"",LARGE('Industries all mentioned partne'!$BX26:$DG26,3))</f>
        <v/>
      </c>
      <c r="DN26" s="52">
        <f>IF(ISTEXT(C26)=TRUE,VLOOKUP(C26,CBIMPORT!$A$2:$AL$171,38,FALSE),"")</f>
        <v>0</v>
      </c>
      <c r="DO26" s="52">
        <f>IF(ISTEXT(D26)=TRUE,VLOOKUP(D26,CBIMPORT!$A$2:$AL$171,38,FALSE),"")</f>
        <v>0</v>
      </c>
      <c r="DP26" s="52" t="str">
        <f>IF(ISTEXT(E26)=TRUE,VLOOKUP(E26,CBIMPORT!$A$2:$AL$171,38,FALSE),"")</f>
        <v/>
      </c>
      <c r="DQ26" s="52" t="str">
        <f>IF(ISTEXT(F26)=TRUE,VLOOKUP(F26,CBIMPORT!$A$2:$AL$171,38,FALSE),"")</f>
        <v/>
      </c>
      <c r="DR26" s="52" t="str">
        <f>IF(ISTEXT(G26)=TRUE,VLOOKUP(G26,CBIMPORT!$A$2:$AL$171,38,FALSE),"")</f>
        <v/>
      </c>
      <c r="DS26" s="52" t="str">
        <f>IF(ISTEXT(H26)=TRUE,VLOOKUP(H26,CBIMPORT!$A$2:$AL$171,38,FALSE),"")</f>
        <v/>
      </c>
      <c r="DT26" s="52" t="str">
        <f>IF(ISTEXT(I26)=TRUE,VLOOKUP(I26,CBIMPORT!$A$2:$AL$171,38,FALSE),"")</f>
        <v/>
      </c>
      <c r="DU26" s="52" t="str">
        <f>IF(ISTEXT(J26)=TRUE,VLOOKUP(J26,CBIMPORT!$A$2:$AL$171,38,FALSE),"")</f>
        <v/>
      </c>
      <c r="DV26" s="52" t="str">
        <f>IF(ISTEXT(K26)=TRUE,VLOOKUP(K26,CBIMPORT!$A$2:$AL$171,38,FALSE),"")</f>
        <v/>
      </c>
      <c r="DW26" s="52" t="str">
        <f>IF(ISTEXT(L26)=TRUE,VLOOKUP(L26,CBIMPORT!$A$2:$AL$171,38,FALSE),"")</f>
        <v/>
      </c>
      <c r="DX26" s="52" t="str">
        <f>IF(ISTEXT(M26)=TRUE,VLOOKUP(M26,CBIMPORT!$A$2:$AL$171,38,FALSE),"")</f>
        <v/>
      </c>
      <c r="DY26" s="52" t="str">
        <f>IF(ISTEXT(N26)=TRUE,VLOOKUP(N26,CBIMPORT!$A$2:$AL$171,38,FALSE),"")</f>
        <v/>
      </c>
      <c r="DZ26" s="52" t="str">
        <f>IF(ISTEXT(O26)=TRUE,VLOOKUP(O26,CBIMPORT!$A$2:$AL$171,38,FALSE),"")</f>
        <v/>
      </c>
      <c r="EA26" s="52" t="str">
        <f>IF(ISTEXT(P26)=TRUE,VLOOKUP(P26,CBIMPORT!$A$2:$AL$171,38,FALSE),"")</f>
        <v/>
      </c>
      <c r="EB26" s="52" t="str">
        <f>IF(ISTEXT(Q26)=TRUE,VLOOKUP(Q26,CBIMPORT!$A$2:$AL$171,38,FALSE),"")</f>
        <v/>
      </c>
      <c r="EC26" s="52" t="str">
        <f>IF(ISTEXT(R26)=TRUE,VLOOKUP(R26,CBIMPORT!$A$2:$AL$171,38,FALSE),"")</f>
        <v/>
      </c>
      <c r="ED26" s="52" t="str">
        <f>IF(ISTEXT(S26)=TRUE,VLOOKUP(S26,CBIMPORT!$A$2:$AL$171,38,FALSE),"")</f>
        <v/>
      </c>
      <c r="EE26" s="52" t="str">
        <f>IF(ISTEXT(T26)=TRUE,VLOOKUP(T26,CBIMPORT!$A$2:$AL$171,38,FALSE),"")</f>
        <v/>
      </c>
      <c r="EF26" s="64" t="str">
        <f>IF(ISTEXT(U26)=TRUE,VLOOKUP(U26,CBIMPORT!$A$2:$AL$171,38,FALSE),"")</f>
        <v/>
      </c>
      <c r="EG26" s="64"/>
      <c r="EH26" s="64"/>
      <c r="EI26" s="64"/>
      <c r="EJ26" s="64"/>
      <c r="EK26" s="64"/>
      <c r="EL26" s="64"/>
      <c r="EM26" s="64"/>
      <c r="EN26" s="64"/>
      <c r="EO26" s="64"/>
      <c r="EP26" s="64"/>
    </row>
    <row r="27" spans="1:146" x14ac:dyDescent="0.35">
      <c r="A27" s="49" t="str">
        <v>Motional-Ridehailing</v>
      </c>
      <c r="B27" s="48" t="str" cm="1">
        <f t="array" ref="B27">_xlfn.TEXTJOIN(";",TRUE,IF(ANNOUNCEMENTS!$AH$2:$AH$180=A27,ANNOUNCEMENTS!$K$2:$K$180,""))</f>
        <v>Derq;Boston University;tfnsw</v>
      </c>
      <c r="C27" s="55" t="s">
        <v>459</v>
      </c>
      <c r="D27" s="55" t="s">
        <v>924</v>
      </c>
      <c r="E27" s="55" t="s">
        <v>1966</v>
      </c>
      <c r="F27" s="55"/>
      <c r="G27" s="55"/>
      <c r="H27" s="55"/>
      <c r="I27" s="55"/>
      <c r="J27" s="55"/>
      <c r="K27" s="55"/>
      <c r="L27" s="55"/>
      <c r="M27" s="55"/>
      <c r="N27" s="55"/>
      <c r="O27" s="55"/>
      <c r="P27" s="55"/>
      <c r="Q27" s="55"/>
      <c r="R27" s="55"/>
      <c r="S27" s="55"/>
      <c r="T27" s="55"/>
      <c r="V27" s="56" t="str">
        <f>IF(ISERROR(VLOOKUP(C27,CBIMPORT!$A$2:$B$171,2,FALSE)),0,VLOOKUP(C27,CBIMPORT!$A$2:$B$171,2,FALSE))</f>
        <v>Artificial Intelligence (AI)</v>
      </c>
      <c r="W27" s="56" t="str">
        <f>IF(ISERROR(VLOOKUP(D27,CBIMPORT!$A$2:$B$171,2,FALSE)),0,VLOOKUP(D27,CBIMPORT!$A$2:$B$171,2,FALSE))</f>
        <v>University</v>
      </c>
      <c r="X27" s="56" t="str">
        <f>IF(ISERROR(VLOOKUP(E27,CBIMPORT!$A$2:$B$171,2,FALSE)),0,VLOOKUP(E27,CBIMPORT!$A$2:$B$171,2,FALSE))</f>
        <v>Transport Operator</v>
      </c>
      <c r="Y27" s="56">
        <f>IF(ISERROR(VLOOKUP(F27,CBIMPORT!$A$2:$B$171,2,FALSE)),0,VLOOKUP(F27,CBIMPORT!$A$2:$B$171,2,FALSE))</f>
        <v>0</v>
      </c>
      <c r="Z27" s="56">
        <f>IF(ISERROR(VLOOKUP(G27,CBIMPORT!$A$2:$B$171,2,FALSE)),0,VLOOKUP(G27,CBIMPORT!$A$2:$B$171,2,FALSE))</f>
        <v>0</v>
      </c>
      <c r="AA27" s="56">
        <f>IF(ISERROR(VLOOKUP(H27,CBIMPORT!$A$2:$B$171,2,FALSE)),0,VLOOKUP(H27,CBIMPORT!$A$2:$B$171,2,FALSE))</f>
        <v>0</v>
      </c>
      <c r="AB27" s="56">
        <f>IF(ISERROR(VLOOKUP(I27,CBIMPORT!$A$2:$B$171,2,FALSE)),0,VLOOKUP(I27,CBIMPORT!$A$2:$B$171,2,FALSE))</f>
        <v>0</v>
      </c>
      <c r="AC27" s="56">
        <f>IF(ISERROR(VLOOKUP(J27,CBIMPORT!$A$2:$B$171,2,FALSE)),0,VLOOKUP(J27,CBIMPORT!$A$2:$B$171,2,FALSE))</f>
        <v>0</v>
      </c>
      <c r="AD27" s="56">
        <f>IF(ISERROR(VLOOKUP(K27,CBIMPORT!$A$2:$B$171,2,FALSE)),0,VLOOKUP(K27,CBIMPORT!$A$2:$B$171,2,FALSE))</f>
        <v>0</v>
      </c>
      <c r="AE27" s="56">
        <f>IF(ISERROR(VLOOKUP(L27,CBIMPORT!$A$2:$B$171,2,FALSE)),0,VLOOKUP(L27,CBIMPORT!$A$2:$B$171,2,FALSE))</f>
        <v>0</v>
      </c>
      <c r="AF27" s="56">
        <f>IF(ISERROR(VLOOKUP(M27,CBIMPORT!$A$2:$B$171,2,FALSE)),0,VLOOKUP(M27,CBIMPORT!$A$2:$B$171,2,FALSE))</f>
        <v>0</v>
      </c>
      <c r="AG27" s="56">
        <f>IF(ISERROR(VLOOKUP(N27,CBIMPORT!$A$2:$B$171,2,FALSE)),0,VLOOKUP(N27,CBIMPORT!$A$2:$B$171,2,FALSE))</f>
        <v>0</v>
      </c>
      <c r="AH27" s="56">
        <f>IF(ISERROR(VLOOKUP(O27,CBIMPORT!$A$2:$B$171,2,FALSE)),0,VLOOKUP(O27,CBIMPORT!$A$2:$B$171,2,FALSE))</f>
        <v>0</v>
      </c>
      <c r="AI27" s="56">
        <f>IF(ISERROR(VLOOKUP(P27,CBIMPORT!$A$2:$B$171,2,FALSE)),0,VLOOKUP(P27,CBIMPORT!$A$2:$B$171,2,FALSE))</f>
        <v>0</v>
      </c>
      <c r="AJ27" s="56">
        <f>IF(ISERROR(VLOOKUP(Q27,CBIMPORT!$A$2:$B$171,2,FALSE)),0,VLOOKUP(Q27,CBIMPORT!$A$2:$B$171,2,FALSE))</f>
        <v>0</v>
      </c>
      <c r="AK27" s="56">
        <f>IF(ISERROR(VLOOKUP(R27,CBIMPORT!$A$2:$B$171,2,FALSE)),0,VLOOKUP(R27,CBIMPORT!$A$2:$B$171,2,FALSE))</f>
        <v>0</v>
      </c>
      <c r="AL27" s="56">
        <f>IF(ISERROR(VLOOKUP(S27,CBIMPORT!$A$2:$B$171,2,FALSE)),0,VLOOKUP(S27,CBIMPORT!$A$2:$B$171,2,FALSE))</f>
        <v>0</v>
      </c>
      <c r="AM27" s="60">
        <f t="shared" si="35"/>
        <v>0</v>
      </c>
      <c r="AN27" s="60">
        <f t="shared" si="47"/>
        <v>0</v>
      </c>
      <c r="AO27" s="60">
        <f t="shared" si="47"/>
        <v>1</v>
      </c>
      <c r="AP27" s="60">
        <f t="shared" si="47"/>
        <v>0</v>
      </c>
      <c r="AQ27" s="60">
        <f t="shared" si="47"/>
        <v>0</v>
      </c>
      <c r="AR27" s="60">
        <f t="shared" si="47"/>
        <v>0</v>
      </c>
      <c r="AS27" s="60">
        <f t="shared" si="47"/>
        <v>0</v>
      </c>
      <c r="AT27" s="60">
        <f t="shared" si="47"/>
        <v>0</v>
      </c>
      <c r="AU27" s="60">
        <f t="shared" si="47"/>
        <v>0</v>
      </c>
      <c r="AV27" s="60">
        <f t="shared" si="47"/>
        <v>0</v>
      </c>
      <c r="AW27" s="60">
        <f t="shared" si="47"/>
        <v>0</v>
      </c>
      <c r="AX27" s="60">
        <f t="shared" si="48"/>
        <v>0</v>
      </c>
      <c r="AY27" s="60">
        <f t="shared" si="48"/>
        <v>0</v>
      </c>
      <c r="AZ27" s="60">
        <f t="shared" si="48"/>
        <v>0</v>
      </c>
      <c r="BA27" s="60">
        <f t="shared" si="48"/>
        <v>1</v>
      </c>
      <c r="BB27" s="60">
        <f t="shared" si="48"/>
        <v>0</v>
      </c>
      <c r="BC27" s="60">
        <f t="shared" si="48"/>
        <v>0</v>
      </c>
      <c r="BD27" s="60">
        <f t="shared" si="48"/>
        <v>1</v>
      </c>
      <c r="BE27" s="60">
        <f t="shared" si="48"/>
        <v>0</v>
      </c>
      <c r="BF27" s="60">
        <f t="shared" si="48"/>
        <v>0</v>
      </c>
      <c r="BG27" s="60">
        <f t="shared" si="48"/>
        <v>0</v>
      </c>
      <c r="BH27" s="60">
        <f t="shared" si="49"/>
        <v>0</v>
      </c>
      <c r="BI27" s="60">
        <f t="shared" si="49"/>
        <v>0</v>
      </c>
      <c r="BJ27" s="60">
        <f t="shared" si="49"/>
        <v>0</v>
      </c>
      <c r="BK27" s="60">
        <f t="shared" si="49"/>
        <v>0</v>
      </c>
      <c r="BL27" s="60">
        <f t="shared" si="49"/>
        <v>0</v>
      </c>
      <c r="BM27" s="60">
        <f t="shared" si="49"/>
        <v>0</v>
      </c>
      <c r="BN27" s="60">
        <f t="shared" si="49"/>
        <v>0</v>
      </c>
      <c r="BO27" s="60">
        <f t="shared" si="49"/>
        <v>0</v>
      </c>
      <c r="BP27" s="60">
        <f t="shared" si="49"/>
        <v>0</v>
      </c>
      <c r="BQ27" s="60">
        <f t="shared" si="49"/>
        <v>0</v>
      </c>
      <c r="BR27" s="60">
        <f t="shared" si="50"/>
        <v>0</v>
      </c>
      <c r="BS27" s="60">
        <f t="shared" si="50"/>
        <v>0</v>
      </c>
      <c r="BT27" s="60">
        <f t="shared" si="50"/>
        <v>0</v>
      </c>
      <c r="BU27" s="60">
        <f t="shared" si="50"/>
        <v>0</v>
      </c>
      <c r="BV27" s="60">
        <f t="shared" si="50"/>
        <v>0</v>
      </c>
      <c r="BW27" s="60"/>
      <c r="BX27" s="63">
        <f t="shared" si="40"/>
        <v>0</v>
      </c>
      <c r="BY27" s="63">
        <f t="shared" si="45"/>
        <v>0</v>
      </c>
      <c r="BZ27" s="63">
        <f t="shared" si="46"/>
        <v>0.33333333333333331</v>
      </c>
      <c r="CA27" s="63">
        <f t="shared" si="2"/>
        <v>0</v>
      </c>
      <c r="CB27" s="63">
        <f t="shared" si="3"/>
        <v>0</v>
      </c>
      <c r="CC27" s="63">
        <f t="shared" si="4"/>
        <v>0</v>
      </c>
      <c r="CD27" s="63">
        <f t="shared" si="5"/>
        <v>0</v>
      </c>
      <c r="CE27" s="63">
        <f t="shared" si="6"/>
        <v>0</v>
      </c>
      <c r="CF27" s="63">
        <f t="shared" si="7"/>
        <v>0</v>
      </c>
      <c r="CG27" s="63">
        <f t="shared" si="8"/>
        <v>0</v>
      </c>
      <c r="CH27" s="63">
        <f t="shared" si="9"/>
        <v>0</v>
      </c>
      <c r="CI27" s="63">
        <f t="shared" si="10"/>
        <v>0</v>
      </c>
      <c r="CJ27" s="63">
        <f t="shared" si="11"/>
        <v>0</v>
      </c>
      <c r="CK27" s="63">
        <f t="shared" si="12"/>
        <v>0</v>
      </c>
      <c r="CL27" s="63">
        <f t="shared" si="13"/>
        <v>0.33333333333333331</v>
      </c>
      <c r="CM27" s="63">
        <f t="shared" si="14"/>
        <v>0</v>
      </c>
      <c r="CN27" s="63">
        <f t="shared" si="15"/>
        <v>0</v>
      </c>
      <c r="CO27" s="63">
        <f t="shared" si="16"/>
        <v>0.33333333333333331</v>
      </c>
      <c r="CP27" s="63">
        <f t="shared" si="17"/>
        <v>0</v>
      </c>
      <c r="CQ27" s="63">
        <f t="shared" si="18"/>
        <v>0</v>
      </c>
      <c r="CR27" s="63">
        <f t="shared" si="19"/>
        <v>0</v>
      </c>
      <c r="CS27" s="63">
        <f t="shared" si="20"/>
        <v>0</v>
      </c>
      <c r="CT27" s="63">
        <f t="shared" si="21"/>
        <v>0</v>
      </c>
      <c r="CU27" s="63">
        <f t="shared" si="22"/>
        <v>0</v>
      </c>
      <c r="CV27" s="63">
        <f t="shared" si="23"/>
        <v>0</v>
      </c>
      <c r="CW27" s="63">
        <f t="shared" si="24"/>
        <v>0</v>
      </c>
      <c r="CX27" s="63">
        <f t="shared" si="25"/>
        <v>0</v>
      </c>
      <c r="CY27" s="63">
        <f t="shared" si="26"/>
        <v>0</v>
      </c>
      <c r="CZ27" s="63">
        <f t="shared" si="27"/>
        <v>0</v>
      </c>
      <c r="DA27" s="63">
        <f t="shared" si="28"/>
        <v>0</v>
      </c>
      <c r="DB27" s="63">
        <f t="shared" si="29"/>
        <v>0</v>
      </c>
      <c r="DC27" s="63">
        <f t="shared" si="30"/>
        <v>0</v>
      </c>
      <c r="DD27" s="63">
        <f t="shared" si="31"/>
        <v>0</v>
      </c>
      <c r="DE27" s="63">
        <f t="shared" si="32"/>
        <v>0</v>
      </c>
      <c r="DF27" s="63">
        <f t="shared" si="33"/>
        <v>0</v>
      </c>
      <c r="DG27" s="63">
        <f t="shared" si="34"/>
        <v>0</v>
      </c>
      <c r="DH27" s="57" t="str" cm="1">
        <f t="array" ref="DH27">INDEX(_xlfn.ANCHORARRAY($BX$2),0,MATCH(LARGE($BX27:$DG27,1),$BX27:$DG27,0))</f>
        <v>Transport Operator</v>
      </c>
      <c r="DI27" s="58">
        <f>LARGE('Industries all mentioned partne'!$BX27:$DG27,1)</f>
        <v>0.33333333333333331</v>
      </c>
      <c r="DJ27" s="57" t="str" cm="1">
        <f t="array" ref="DJ27">IF(DI27&lt;&gt;100%,INDEX(_xlfn.ANCHORARRAY($BX$2),0,MATCH(LARGE($BX27:$DG27,2),$BX27:$DG27,0)),"")</f>
        <v>Transport Operator</v>
      </c>
      <c r="DK27" s="58">
        <f>IF(DI27&lt;&gt;100%,LARGE('Industries all mentioned partne'!$BX27:$DG27,2),"")</f>
        <v>0.33333333333333331</v>
      </c>
      <c r="DL27" s="57" t="str" cm="1">
        <f t="array" ref="DL27">IF(DM27="","",INDEX(_xlfn.ANCHORARRAY($BX$2),0,MATCH(LARGE($BX27:$DG27,3),$BX27:$DG27,0)))</f>
        <v>Transport Operator</v>
      </c>
      <c r="DM27" s="110">
        <f>IF(LARGE('Industries all mentioned partne'!$BX27:$DG27,3)=0%,"",LARGE('Industries all mentioned partne'!$BX27:$DG27,3))</f>
        <v>0.33333333333333331</v>
      </c>
      <c r="DN27" s="52">
        <f>IF(ISTEXT(C27)=TRUE,VLOOKUP(C27,CBIMPORT!$A$2:$AL$171,38,FALSE),"")</f>
        <v>0</v>
      </c>
      <c r="DO27" s="52">
        <f>IF(ISTEXT(D27)=TRUE,VLOOKUP(D27,CBIMPORT!$A$2:$AL$171,38,FALSE),"")</f>
        <v>0</v>
      </c>
      <c r="DP27" s="52">
        <f>IF(ISTEXT(E27)=TRUE,VLOOKUP(E27,CBIMPORT!$A$2:$AL$171,38,FALSE),"")</f>
        <v>0</v>
      </c>
      <c r="DQ27" s="52" t="str">
        <f>IF(ISTEXT(F27)=TRUE,VLOOKUP(F27,CBIMPORT!$A$2:$AL$171,38,FALSE),"")</f>
        <v/>
      </c>
      <c r="DR27" s="52" t="str">
        <f>IF(ISTEXT(G27)=TRUE,VLOOKUP(G27,CBIMPORT!$A$2:$AL$171,38,FALSE),"")</f>
        <v/>
      </c>
      <c r="DS27" s="52" t="str">
        <f>IF(ISTEXT(H27)=TRUE,VLOOKUP(H27,CBIMPORT!$A$2:$AL$171,38,FALSE),"")</f>
        <v/>
      </c>
      <c r="DT27" s="52" t="str">
        <f>IF(ISTEXT(I27)=TRUE,VLOOKUP(I27,CBIMPORT!$A$2:$AL$171,38,FALSE),"")</f>
        <v/>
      </c>
      <c r="DU27" s="52" t="str">
        <f>IF(ISTEXT(J27)=TRUE,VLOOKUP(J27,CBIMPORT!$A$2:$AL$171,38,FALSE),"")</f>
        <v/>
      </c>
      <c r="DV27" s="52" t="str">
        <f>IF(ISTEXT(K27)=TRUE,VLOOKUP(K27,CBIMPORT!$A$2:$AL$171,38,FALSE),"")</f>
        <v/>
      </c>
      <c r="DW27" s="52" t="str">
        <f>IF(ISTEXT(L27)=TRUE,VLOOKUP(L27,CBIMPORT!$A$2:$AL$171,38,FALSE),"")</f>
        <v/>
      </c>
      <c r="DX27" s="52" t="str">
        <f>IF(ISTEXT(M27)=TRUE,VLOOKUP(M27,CBIMPORT!$A$2:$AL$171,38,FALSE),"")</f>
        <v/>
      </c>
      <c r="DY27" s="52" t="str">
        <f>IF(ISTEXT(N27)=TRUE,VLOOKUP(N27,CBIMPORT!$A$2:$AL$171,38,FALSE),"")</f>
        <v/>
      </c>
      <c r="DZ27" s="52" t="str">
        <f>IF(ISTEXT(O27)=TRUE,VLOOKUP(O27,CBIMPORT!$A$2:$AL$171,38,FALSE),"")</f>
        <v/>
      </c>
      <c r="EA27" s="52" t="str">
        <f>IF(ISTEXT(P27)=TRUE,VLOOKUP(P27,CBIMPORT!$A$2:$AL$171,38,FALSE),"")</f>
        <v/>
      </c>
      <c r="EB27" s="52" t="str">
        <f>IF(ISTEXT(Q27)=TRUE,VLOOKUP(Q27,CBIMPORT!$A$2:$AL$171,38,FALSE),"")</f>
        <v/>
      </c>
      <c r="EC27" s="52" t="str">
        <f>IF(ISTEXT(R27)=TRUE,VLOOKUP(R27,CBIMPORT!$A$2:$AL$171,38,FALSE),"")</f>
        <v/>
      </c>
      <c r="ED27" s="52" t="str">
        <f>IF(ISTEXT(S27)=TRUE,VLOOKUP(S27,CBIMPORT!$A$2:$AL$171,38,FALSE),"")</f>
        <v/>
      </c>
      <c r="EE27" s="52" t="str">
        <f>IF(ISTEXT(T27)=TRUE,VLOOKUP(T27,CBIMPORT!$A$2:$AL$171,38,FALSE),"")</f>
        <v/>
      </c>
      <c r="EF27" s="64" t="str">
        <f>IF(ISTEXT(U27)=TRUE,VLOOKUP(U27,CBIMPORT!$A$2:$AL$171,38,FALSE),"")</f>
        <v/>
      </c>
      <c r="EG27" s="64"/>
      <c r="EH27" s="64"/>
      <c r="EI27" s="64"/>
      <c r="EJ27" s="64"/>
      <c r="EK27" s="64"/>
      <c r="EL27" s="64"/>
      <c r="EM27" s="64"/>
      <c r="EN27" s="64"/>
      <c r="EO27" s="64"/>
      <c r="EP27" s="64"/>
    </row>
    <row r="28" spans="1:146" x14ac:dyDescent="0.35">
      <c r="A28" s="49" t="str">
        <v>Motional-Last-Mile</v>
      </c>
      <c r="B28" s="48" t="str" cm="1">
        <f t="array" ref="B28">_xlfn.TEXTJOIN(";",TRUE,IF(ANNOUNCEMENTS!$AH$2:$AH$180=A28,ANNOUNCEMENTS!$K$2:$K$180,""))</f>
        <v>Uber</v>
      </c>
      <c r="C28" s="55" t="s">
        <v>318</v>
      </c>
      <c r="D28" s="55"/>
      <c r="E28" s="55"/>
      <c r="F28" s="55"/>
      <c r="G28" s="55"/>
      <c r="H28" s="55"/>
      <c r="I28" s="55"/>
      <c r="J28" s="55"/>
      <c r="K28" s="55"/>
      <c r="L28" s="55"/>
      <c r="M28" s="55"/>
      <c r="N28" s="55"/>
      <c r="O28" s="55"/>
      <c r="P28" s="55"/>
      <c r="Q28" s="55"/>
      <c r="R28" s="55"/>
      <c r="S28" s="55"/>
      <c r="T28" s="55"/>
      <c r="V28" s="56" t="str">
        <f>IF(ISERROR(VLOOKUP(C28,CBIMPORT!$A$2:$B$171,2,FALSE)),0,VLOOKUP(C28,CBIMPORT!$A$2:$B$171,2,FALSE))</f>
        <v>Mobility Services Booking</v>
      </c>
      <c r="W28" s="56">
        <f>IF(ISERROR(VLOOKUP(D28,CBIMPORT!$A$2:$B$171,2,FALSE)),0,VLOOKUP(D28,CBIMPORT!$A$2:$B$171,2,FALSE))</f>
        <v>0</v>
      </c>
      <c r="X28" s="56">
        <f>IF(ISERROR(VLOOKUP(E28,CBIMPORT!$A$2:$B$171,2,FALSE)),0,VLOOKUP(E28,CBIMPORT!$A$2:$B$171,2,FALSE))</f>
        <v>0</v>
      </c>
      <c r="Y28" s="56">
        <f>IF(ISERROR(VLOOKUP(F28,CBIMPORT!$A$2:$B$171,2,FALSE)),0,VLOOKUP(F28,CBIMPORT!$A$2:$B$171,2,FALSE))</f>
        <v>0</v>
      </c>
      <c r="Z28" s="56">
        <f>IF(ISERROR(VLOOKUP(G28,CBIMPORT!$A$2:$B$171,2,FALSE)),0,VLOOKUP(G28,CBIMPORT!$A$2:$B$171,2,FALSE))</f>
        <v>0</v>
      </c>
      <c r="AA28" s="56">
        <f>IF(ISERROR(VLOOKUP(H28,CBIMPORT!$A$2:$B$171,2,FALSE)),0,VLOOKUP(H28,CBIMPORT!$A$2:$B$171,2,FALSE))</f>
        <v>0</v>
      </c>
      <c r="AB28" s="56">
        <f>IF(ISERROR(VLOOKUP(I28,CBIMPORT!$A$2:$B$171,2,FALSE)),0,VLOOKUP(I28,CBIMPORT!$A$2:$B$171,2,FALSE))</f>
        <v>0</v>
      </c>
      <c r="AC28" s="56">
        <f>IF(ISERROR(VLOOKUP(J28,CBIMPORT!$A$2:$B$171,2,FALSE)),0,VLOOKUP(J28,CBIMPORT!$A$2:$B$171,2,FALSE))</f>
        <v>0</v>
      </c>
      <c r="AD28" s="56">
        <f>IF(ISERROR(VLOOKUP(K28,CBIMPORT!$A$2:$B$171,2,FALSE)),0,VLOOKUP(K28,CBIMPORT!$A$2:$B$171,2,FALSE))</f>
        <v>0</v>
      </c>
      <c r="AE28" s="56">
        <f>IF(ISERROR(VLOOKUP(L28,CBIMPORT!$A$2:$B$171,2,FALSE)),0,VLOOKUP(L28,CBIMPORT!$A$2:$B$171,2,FALSE))</f>
        <v>0</v>
      </c>
      <c r="AF28" s="56">
        <f>IF(ISERROR(VLOOKUP(M28,CBIMPORT!$A$2:$B$171,2,FALSE)),0,VLOOKUP(M28,CBIMPORT!$A$2:$B$171,2,FALSE))</f>
        <v>0</v>
      </c>
      <c r="AG28" s="56">
        <f>IF(ISERROR(VLOOKUP(N28,CBIMPORT!$A$2:$B$171,2,FALSE)),0,VLOOKUP(N28,CBIMPORT!$A$2:$B$171,2,FALSE))</f>
        <v>0</v>
      </c>
      <c r="AH28" s="56">
        <f>IF(ISERROR(VLOOKUP(O28,CBIMPORT!$A$2:$B$171,2,FALSE)),0,VLOOKUP(O28,CBIMPORT!$A$2:$B$171,2,FALSE))</f>
        <v>0</v>
      </c>
      <c r="AI28" s="56">
        <f>IF(ISERROR(VLOOKUP(P28,CBIMPORT!$A$2:$B$171,2,FALSE)),0,VLOOKUP(P28,CBIMPORT!$A$2:$B$171,2,FALSE))</f>
        <v>0</v>
      </c>
      <c r="AJ28" s="56">
        <f>IF(ISERROR(VLOOKUP(Q28,CBIMPORT!$A$2:$B$171,2,FALSE)),0,VLOOKUP(Q28,CBIMPORT!$A$2:$B$171,2,FALSE))</f>
        <v>0</v>
      </c>
      <c r="AK28" s="56">
        <f>IF(ISERROR(VLOOKUP(R28,CBIMPORT!$A$2:$B$171,2,FALSE)),0,VLOOKUP(R28,CBIMPORT!$A$2:$B$171,2,FALSE))</f>
        <v>0</v>
      </c>
      <c r="AL28" s="56">
        <f>IF(ISERROR(VLOOKUP(S28,CBIMPORT!$A$2:$B$171,2,FALSE)),0,VLOOKUP(S28,CBIMPORT!$A$2:$B$171,2,FALSE))</f>
        <v>0</v>
      </c>
      <c r="AM28" s="60">
        <f t="shared" si="35"/>
        <v>0</v>
      </c>
      <c r="AN28" s="60">
        <f t="shared" si="47"/>
        <v>0</v>
      </c>
      <c r="AO28" s="60">
        <f t="shared" si="47"/>
        <v>0</v>
      </c>
      <c r="AP28" s="60">
        <f t="shared" si="47"/>
        <v>0</v>
      </c>
      <c r="AQ28" s="60">
        <f t="shared" si="47"/>
        <v>1</v>
      </c>
      <c r="AR28" s="60">
        <f t="shared" si="47"/>
        <v>0</v>
      </c>
      <c r="AS28" s="60">
        <f t="shared" si="47"/>
        <v>0</v>
      </c>
      <c r="AT28" s="60">
        <f t="shared" si="47"/>
        <v>0</v>
      </c>
      <c r="AU28" s="60">
        <f t="shared" si="47"/>
        <v>0</v>
      </c>
      <c r="AV28" s="60">
        <f t="shared" si="47"/>
        <v>0</v>
      </c>
      <c r="AW28" s="60">
        <f t="shared" si="47"/>
        <v>0</v>
      </c>
      <c r="AX28" s="60">
        <f t="shared" si="48"/>
        <v>0</v>
      </c>
      <c r="AY28" s="60">
        <f t="shared" si="48"/>
        <v>0</v>
      </c>
      <c r="AZ28" s="60">
        <f t="shared" si="48"/>
        <v>0</v>
      </c>
      <c r="BA28" s="60">
        <f t="shared" si="48"/>
        <v>0</v>
      </c>
      <c r="BB28" s="60">
        <f t="shared" si="48"/>
        <v>0</v>
      </c>
      <c r="BC28" s="60">
        <f t="shared" si="48"/>
        <v>0</v>
      </c>
      <c r="BD28" s="60">
        <f t="shared" si="48"/>
        <v>0</v>
      </c>
      <c r="BE28" s="60">
        <f t="shared" si="48"/>
        <v>0</v>
      </c>
      <c r="BF28" s="60">
        <f t="shared" si="48"/>
        <v>0</v>
      </c>
      <c r="BG28" s="60">
        <f t="shared" si="48"/>
        <v>0</v>
      </c>
      <c r="BH28" s="60">
        <f t="shared" si="49"/>
        <v>0</v>
      </c>
      <c r="BI28" s="60">
        <f t="shared" si="49"/>
        <v>0</v>
      </c>
      <c r="BJ28" s="60">
        <f t="shared" si="49"/>
        <v>0</v>
      </c>
      <c r="BK28" s="60">
        <f t="shared" si="49"/>
        <v>0</v>
      </c>
      <c r="BL28" s="60">
        <f t="shared" si="49"/>
        <v>0</v>
      </c>
      <c r="BM28" s="60">
        <f t="shared" si="49"/>
        <v>0</v>
      </c>
      <c r="BN28" s="60">
        <f t="shared" si="49"/>
        <v>0</v>
      </c>
      <c r="BO28" s="60">
        <f t="shared" si="49"/>
        <v>0</v>
      </c>
      <c r="BP28" s="60">
        <f t="shared" si="49"/>
        <v>0</v>
      </c>
      <c r="BQ28" s="60">
        <f t="shared" si="49"/>
        <v>0</v>
      </c>
      <c r="BR28" s="60">
        <f t="shared" si="50"/>
        <v>0</v>
      </c>
      <c r="BS28" s="60">
        <f t="shared" si="50"/>
        <v>0</v>
      </c>
      <c r="BT28" s="60">
        <f t="shared" si="50"/>
        <v>0</v>
      </c>
      <c r="BU28" s="60">
        <f t="shared" si="50"/>
        <v>0</v>
      </c>
      <c r="BV28" s="60">
        <f t="shared" si="50"/>
        <v>0</v>
      </c>
      <c r="BW28" s="60"/>
      <c r="BX28" s="63">
        <f t="shared" si="40"/>
        <v>0</v>
      </c>
      <c r="BY28" s="63">
        <f t="shared" si="45"/>
        <v>0</v>
      </c>
      <c r="BZ28" s="63">
        <f t="shared" si="46"/>
        <v>0</v>
      </c>
      <c r="CA28" s="63">
        <f t="shared" si="2"/>
        <v>0</v>
      </c>
      <c r="CB28" s="63">
        <f t="shared" si="3"/>
        <v>1</v>
      </c>
      <c r="CC28" s="63">
        <f t="shared" si="4"/>
        <v>0</v>
      </c>
      <c r="CD28" s="63">
        <f t="shared" si="5"/>
        <v>0</v>
      </c>
      <c r="CE28" s="63">
        <f t="shared" si="6"/>
        <v>0</v>
      </c>
      <c r="CF28" s="63">
        <f t="shared" si="7"/>
        <v>0</v>
      </c>
      <c r="CG28" s="63">
        <f t="shared" si="8"/>
        <v>0</v>
      </c>
      <c r="CH28" s="63">
        <f t="shared" si="9"/>
        <v>0</v>
      </c>
      <c r="CI28" s="63">
        <f t="shared" si="10"/>
        <v>0</v>
      </c>
      <c r="CJ28" s="63">
        <f t="shared" si="11"/>
        <v>0</v>
      </c>
      <c r="CK28" s="63">
        <f t="shared" si="12"/>
        <v>0</v>
      </c>
      <c r="CL28" s="63">
        <f t="shared" si="13"/>
        <v>0</v>
      </c>
      <c r="CM28" s="63">
        <f t="shared" si="14"/>
        <v>0</v>
      </c>
      <c r="CN28" s="63">
        <f t="shared" si="15"/>
        <v>0</v>
      </c>
      <c r="CO28" s="63">
        <f t="shared" si="16"/>
        <v>0</v>
      </c>
      <c r="CP28" s="63">
        <f t="shared" si="17"/>
        <v>0</v>
      </c>
      <c r="CQ28" s="63">
        <f t="shared" si="18"/>
        <v>0</v>
      </c>
      <c r="CR28" s="63">
        <f t="shared" si="19"/>
        <v>0</v>
      </c>
      <c r="CS28" s="63">
        <f t="shared" si="20"/>
        <v>0</v>
      </c>
      <c r="CT28" s="63">
        <f t="shared" si="21"/>
        <v>0</v>
      </c>
      <c r="CU28" s="63">
        <f t="shared" si="22"/>
        <v>0</v>
      </c>
      <c r="CV28" s="63">
        <f t="shared" si="23"/>
        <v>0</v>
      </c>
      <c r="CW28" s="63">
        <f t="shared" si="24"/>
        <v>0</v>
      </c>
      <c r="CX28" s="63">
        <f t="shared" si="25"/>
        <v>0</v>
      </c>
      <c r="CY28" s="63">
        <f t="shared" si="26"/>
        <v>0</v>
      </c>
      <c r="CZ28" s="63">
        <f t="shared" si="27"/>
        <v>0</v>
      </c>
      <c r="DA28" s="63">
        <f t="shared" si="28"/>
        <v>0</v>
      </c>
      <c r="DB28" s="63">
        <f t="shared" si="29"/>
        <v>0</v>
      </c>
      <c r="DC28" s="63">
        <f t="shared" si="30"/>
        <v>0</v>
      </c>
      <c r="DD28" s="63">
        <f t="shared" si="31"/>
        <v>0</v>
      </c>
      <c r="DE28" s="63">
        <f t="shared" si="32"/>
        <v>0</v>
      </c>
      <c r="DF28" s="63">
        <f t="shared" si="33"/>
        <v>0</v>
      </c>
      <c r="DG28" s="63">
        <f t="shared" si="34"/>
        <v>0</v>
      </c>
      <c r="DH28" s="57" t="str" cm="1">
        <f t="array" ref="DH28">INDEX(_xlfn.ANCHORARRAY($BX$2),0,MATCH(LARGE($BX28:$DG28,1),$BX28:$DG28,0))</f>
        <v>Mobility Services Booking</v>
      </c>
      <c r="DI28" s="58">
        <f>LARGE('Industries all mentioned partne'!$BX28:$DG28,1)</f>
        <v>1</v>
      </c>
      <c r="DJ28" s="57" t="str" cm="1">
        <f t="array" ref="DJ28">IF(DI28&lt;&gt;100%,INDEX(_xlfn.ANCHORARRAY($BX$2),0,MATCH(LARGE($BX28:$DG28,2),$BX28:$DG28,0)),"")</f>
        <v/>
      </c>
      <c r="DK28" s="58" t="str">
        <f>IF(DI28&lt;&gt;100%,LARGE('Industries all mentioned partne'!$BX28:$DG28,2),"")</f>
        <v/>
      </c>
      <c r="DL28" s="57" t="str" cm="1">
        <f t="array" ref="DL28">IF(DM28="","",INDEX(_xlfn.ANCHORARRAY($BX$2),0,MATCH(LARGE($BX28:$DG28,3),$BX28:$DG28,0)))</f>
        <v/>
      </c>
      <c r="DM28" s="110" t="str">
        <f>IF(LARGE('Industries all mentioned partne'!$BX28:$DG28,3)=0%,"",LARGE('Industries all mentioned partne'!$BX28:$DG28,3))</f>
        <v/>
      </c>
      <c r="DN28" s="52">
        <f>IF(ISTEXT(C28)=TRUE,VLOOKUP(C28,CBIMPORT!$A$2:$AL$171,38,FALSE),"")</f>
        <v>1</v>
      </c>
      <c r="DO28" s="52" t="str">
        <f>IF(ISTEXT(D28)=TRUE,VLOOKUP(D28,CBIMPORT!$A$2:$AL$171,38,FALSE),"")</f>
        <v/>
      </c>
      <c r="DP28" s="52" t="str">
        <f>IF(ISTEXT(E28)=TRUE,VLOOKUP(E28,CBIMPORT!$A$2:$AL$171,38,FALSE),"")</f>
        <v/>
      </c>
      <c r="DQ28" s="52" t="str">
        <f>IF(ISTEXT(F28)=TRUE,VLOOKUP(F28,CBIMPORT!$A$2:$AL$171,38,FALSE),"")</f>
        <v/>
      </c>
      <c r="DR28" s="52" t="str">
        <f>IF(ISTEXT(G28)=TRUE,VLOOKUP(G28,CBIMPORT!$A$2:$AL$171,38,FALSE),"")</f>
        <v/>
      </c>
      <c r="DS28" s="52" t="str">
        <f>IF(ISTEXT(H28)=TRUE,VLOOKUP(H28,CBIMPORT!$A$2:$AL$171,38,FALSE),"")</f>
        <v/>
      </c>
      <c r="DT28" s="52" t="str">
        <f>IF(ISTEXT(I28)=TRUE,VLOOKUP(I28,CBIMPORT!$A$2:$AL$171,38,FALSE),"")</f>
        <v/>
      </c>
      <c r="DU28" s="52" t="str">
        <f>IF(ISTEXT(J28)=TRUE,VLOOKUP(J28,CBIMPORT!$A$2:$AL$171,38,FALSE),"")</f>
        <v/>
      </c>
      <c r="DV28" s="52" t="str">
        <f>IF(ISTEXT(K28)=TRUE,VLOOKUP(K28,CBIMPORT!$A$2:$AL$171,38,FALSE),"")</f>
        <v/>
      </c>
      <c r="DW28" s="52" t="str">
        <f>IF(ISTEXT(L28)=TRUE,VLOOKUP(L28,CBIMPORT!$A$2:$AL$171,38,FALSE),"")</f>
        <v/>
      </c>
      <c r="DX28" s="52" t="str">
        <f>IF(ISTEXT(M28)=TRUE,VLOOKUP(M28,CBIMPORT!$A$2:$AL$171,38,FALSE),"")</f>
        <v/>
      </c>
      <c r="DY28" s="52" t="str">
        <f>IF(ISTEXT(N28)=TRUE,VLOOKUP(N28,CBIMPORT!$A$2:$AL$171,38,FALSE),"")</f>
        <v/>
      </c>
      <c r="DZ28" s="52" t="str">
        <f>IF(ISTEXT(O28)=TRUE,VLOOKUP(O28,CBIMPORT!$A$2:$AL$171,38,FALSE),"")</f>
        <v/>
      </c>
      <c r="EA28" s="52" t="str">
        <f>IF(ISTEXT(P28)=TRUE,VLOOKUP(P28,CBIMPORT!$A$2:$AL$171,38,FALSE),"")</f>
        <v/>
      </c>
      <c r="EB28" s="52" t="str">
        <f>IF(ISTEXT(Q28)=TRUE,VLOOKUP(Q28,CBIMPORT!$A$2:$AL$171,38,FALSE),"")</f>
        <v/>
      </c>
      <c r="EC28" s="52" t="str">
        <f>IF(ISTEXT(R28)=TRUE,VLOOKUP(R28,CBIMPORT!$A$2:$AL$171,38,FALSE),"")</f>
        <v/>
      </c>
      <c r="ED28" s="52" t="str">
        <f>IF(ISTEXT(S28)=TRUE,VLOOKUP(S28,CBIMPORT!$A$2:$AL$171,38,FALSE),"")</f>
        <v/>
      </c>
      <c r="EE28" s="52" t="str">
        <f>IF(ISTEXT(T28)=TRUE,VLOOKUP(T28,CBIMPORT!$A$2:$AL$171,38,FALSE),"")</f>
        <v/>
      </c>
      <c r="EF28" s="64" t="str">
        <f>IF(ISTEXT(U28)=TRUE,VLOOKUP(U28,CBIMPORT!$A$2:$AL$171,38,FALSE),"")</f>
        <v/>
      </c>
      <c r="EG28" s="64"/>
      <c r="EH28" s="64"/>
      <c r="EI28" s="64"/>
      <c r="EJ28" s="64"/>
      <c r="EK28" s="64"/>
      <c r="EL28" s="64"/>
      <c r="EM28" s="64"/>
      <c r="EN28" s="64"/>
      <c r="EO28" s="64"/>
      <c r="EP28" s="64"/>
    </row>
    <row r="29" spans="1:146" x14ac:dyDescent="0.35">
      <c r="A29" s="49" t="str">
        <v>Navya-Ridepooling</v>
      </c>
      <c r="B29" s="48" t="str" cm="1">
        <f t="array" ref="B29">_xlfn.TEXTJOIN(";",TRUE,IF(ANNOUNCEMENTS!$AH$2:$AH$180=A29,ANNOUNCEMENTS!$K$2:$K$180,""))</f>
        <v>Valeo;Ion;Valeo;Lohr;Michelin;Beti</v>
      </c>
      <c r="C29" s="55" t="s">
        <v>868</v>
      </c>
      <c r="D29" s="55" t="s">
        <v>1967</v>
      </c>
      <c r="E29" s="55" t="s">
        <v>868</v>
      </c>
      <c r="F29" s="55" t="s">
        <v>1951</v>
      </c>
      <c r="G29" s="55" t="s">
        <v>510</v>
      </c>
      <c r="H29" s="55" t="s">
        <v>1206</v>
      </c>
      <c r="I29" s="55"/>
      <c r="J29" s="55"/>
      <c r="K29" s="55"/>
      <c r="L29" s="55"/>
      <c r="M29" s="55"/>
      <c r="N29" s="55"/>
      <c r="O29" s="55"/>
      <c r="P29" s="55"/>
      <c r="Q29" s="55"/>
      <c r="R29" s="55"/>
      <c r="S29" s="55"/>
      <c r="T29" s="55"/>
      <c r="V29" s="56" t="str">
        <f>IF(ISERROR(VLOOKUP(C29,CBIMPORT!$A$2:$B$171,2,FALSE)),0,VLOOKUP(C29,CBIMPORT!$A$2:$B$171,2,FALSE))</f>
        <v>Sensor</v>
      </c>
      <c r="W29" s="56" t="str">
        <f>IF(ISERROR(VLOOKUP(D29,CBIMPORT!$A$2:$B$171,2,FALSE)),0,VLOOKUP(D29,CBIMPORT!$A$2:$B$171,2,FALSE))</f>
        <v>Mobility Services</v>
      </c>
      <c r="X29" s="56" t="str">
        <f>IF(ISERROR(VLOOKUP(E29,CBIMPORT!$A$2:$B$171,2,FALSE)),0,VLOOKUP(E29,CBIMPORT!$A$2:$B$171,2,FALSE))</f>
        <v>Sensor</v>
      </c>
      <c r="Y29" s="56" t="str">
        <f>IF(ISERROR(VLOOKUP(F29,CBIMPORT!$A$2:$B$171,2,FALSE)),0,VLOOKUP(F29,CBIMPORT!$A$2:$B$171,2,FALSE))</f>
        <v>OEM Commercial Vehicles</v>
      </c>
      <c r="Z29" s="56" t="str">
        <f>IF(ISERROR(VLOOKUP(G29,CBIMPORT!$A$2:$B$171,2,FALSE)),0,VLOOKUP(G29,CBIMPORT!$A$2:$B$171,2,FALSE))</f>
        <v>Automotive Supplier</v>
      </c>
      <c r="AA29" s="56" t="str">
        <f>IF(ISERROR(VLOOKUP(H29,CBIMPORT!$A$2:$B$171,2,FALSE)),0,VLOOKUP(H29,CBIMPORT!$A$2:$B$171,2,FALSE))</f>
        <v>Mobility Services</v>
      </c>
      <c r="AB29" s="56">
        <f>IF(ISERROR(VLOOKUP(I29,CBIMPORT!$A$2:$B$171,2,FALSE)),0,VLOOKUP(I29,CBIMPORT!$A$2:$B$171,2,FALSE))</f>
        <v>0</v>
      </c>
      <c r="AC29" s="56">
        <f>IF(ISERROR(VLOOKUP(J29,CBIMPORT!$A$2:$B$171,2,FALSE)),0,VLOOKUP(J29,CBIMPORT!$A$2:$B$171,2,FALSE))</f>
        <v>0</v>
      </c>
      <c r="AD29" s="56">
        <f>IF(ISERROR(VLOOKUP(K29,CBIMPORT!$A$2:$B$171,2,FALSE)),0,VLOOKUP(K29,CBIMPORT!$A$2:$B$171,2,FALSE))</f>
        <v>0</v>
      </c>
      <c r="AE29" s="56">
        <f>IF(ISERROR(VLOOKUP(L29,CBIMPORT!$A$2:$B$171,2,FALSE)),0,VLOOKUP(L29,CBIMPORT!$A$2:$B$171,2,FALSE))</f>
        <v>0</v>
      </c>
      <c r="AF29" s="56">
        <f>IF(ISERROR(VLOOKUP(M29,CBIMPORT!$A$2:$B$171,2,FALSE)),0,VLOOKUP(M29,CBIMPORT!$A$2:$B$171,2,FALSE))</f>
        <v>0</v>
      </c>
      <c r="AG29" s="56">
        <f>IF(ISERROR(VLOOKUP(N29,CBIMPORT!$A$2:$B$171,2,FALSE)),0,VLOOKUP(N29,CBIMPORT!$A$2:$B$171,2,FALSE))</f>
        <v>0</v>
      </c>
      <c r="AH29" s="56">
        <f>IF(ISERROR(VLOOKUP(O29,CBIMPORT!$A$2:$B$171,2,FALSE)),0,VLOOKUP(O29,CBIMPORT!$A$2:$B$171,2,FALSE))</f>
        <v>0</v>
      </c>
      <c r="AI29" s="56">
        <f>IF(ISERROR(VLOOKUP(P29,CBIMPORT!$A$2:$B$171,2,FALSE)),0,VLOOKUP(P29,CBIMPORT!$A$2:$B$171,2,FALSE))</f>
        <v>0</v>
      </c>
      <c r="AJ29" s="56">
        <f>IF(ISERROR(VLOOKUP(Q29,CBIMPORT!$A$2:$B$171,2,FALSE)),0,VLOOKUP(Q29,CBIMPORT!$A$2:$B$171,2,FALSE))</f>
        <v>0</v>
      </c>
      <c r="AK29" s="56">
        <f>IF(ISERROR(VLOOKUP(R29,CBIMPORT!$A$2:$B$171,2,FALSE)),0,VLOOKUP(R29,CBIMPORT!$A$2:$B$171,2,FALSE))</f>
        <v>0</v>
      </c>
      <c r="AL29" s="56">
        <f>IF(ISERROR(VLOOKUP(S29,CBIMPORT!$A$2:$B$171,2,FALSE)),0,VLOOKUP(S29,CBIMPORT!$A$2:$B$171,2,FALSE))</f>
        <v>0</v>
      </c>
      <c r="AM29" s="60">
        <f t="shared" si="35"/>
        <v>0</v>
      </c>
      <c r="AN29" s="60">
        <f t="shared" si="47"/>
        <v>1</v>
      </c>
      <c r="AO29" s="60">
        <f t="shared" si="47"/>
        <v>0</v>
      </c>
      <c r="AP29" s="60">
        <f t="shared" si="47"/>
        <v>2</v>
      </c>
      <c r="AQ29" s="60">
        <f t="shared" si="47"/>
        <v>0</v>
      </c>
      <c r="AR29" s="60">
        <f t="shared" si="47"/>
        <v>0</v>
      </c>
      <c r="AS29" s="60">
        <f t="shared" si="47"/>
        <v>0</v>
      </c>
      <c r="AT29" s="60">
        <f t="shared" si="47"/>
        <v>0</v>
      </c>
      <c r="AU29" s="60">
        <f t="shared" si="47"/>
        <v>0</v>
      </c>
      <c r="AV29" s="60">
        <f t="shared" si="47"/>
        <v>0</v>
      </c>
      <c r="AW29" s="60">
        <f t="shared" si="47"/>
        <v>0</v>
      </c>
      <c r="AX29" s="60">
        <f t="shared" si="48"/>
        <v>0</v>
      </c>
      <c r="AY29" s="60">
        <f t="shared" si="48"/>
        <v>0</v>
      </c>
      <c r="AZ29" s="60">
        <f t="shared" si="48"/>
        <v>1</v>
      </c>
      <c r="BA29" s="60">
        <f t="shared" si="48"/>
        <v>0</v>
      </c>
      <c r="BB29" s="60">
        <f t="shared" si="48"/>
        <v>0</v>
      </c>
      <c r="BC29" s="60">
        <f t="shared" si="48"/>
        <v>0</v>
      </c>
      <c r="BD29" s="60">
        <f t="shared" si="48"/>
        <v>0</v>
      </c>
      <c r="BE29" s="60">
        <f t="shared" si="48"/>
        <v>0</v>
      </c>
      <c r="BF29" s="60">
        <f t="shared" si="48"/>
        <v>0</v>
      </c>
      <c r="BG29" s="60">
        <f t="shared" si="48"/>
        <v>0</v>
      </c>
      <c r="BH29" s="60">
        <f t="shared" si="49"/>
        <v>0</v>
      </c>
      <c r="BI29" s="60">
        <f t="shared" si="49"/>
        <v>0</v>
      </c>
      <c r="BJ29" s="60">
        <f t="shared" si="49"/>
        <v>0</v>
      </c>
      <c r="BK29" s="60">
        <f t="shared" si="49"/>
        <v>0</v>
      </c>
      <c r="BL29" s="60">
        <f t="shared" si="49"/>
        <v>2</v>
      </c>
      <c r="BM29" s="60">
        <f t="shared" si="49"/>
        <v>0</v>
      </c>
      <c r="BN29" s="60">
        <f t="shared" si="49"/>
        <v>0</v>
      </c>
      <c r="BO29" s="60">
        <f t="shared" si="49"/>
        <v>0</v>
      </c>
      <c r="BP29" s="60">
        <f t="shared" si="49"/>
        <v>0</v>
      </c>
      <c r="BQ29" s="60">
        <f t="shared" si="49"/>
        <v>0</v>
      </c>
      <c r="BR29" s="60">
        <f t="shared" si="50"/>
        <v>0</v>
      </c>
      <c r="BS29" s="60">
        <f t="shared" si="50"/>
        <v>0</v>
      </c>
      <c r="BT29" s="60">
        <f t="shared" si="50"/>
        <v>0</v>
      </c>
      <c r="BU29" s="60">
        <f t="shared" si="50"/>
        <v>0</v>
      </c>
      <c r="BV29" s="60">
        <f t="shared" si="50"/>
        <v>0</v>
      </c>
      <c r="BW29" s="60"/>
      <c r="BX29" s="63">
        <f t="shared" si="40"/>
        <v>0</v>
      </c>
      <c r="BY29" s="63">
        <f t="shared" si="45"/>
        <v>0.16666666666666666</v>
      </c>
      <c r="BZ29" s="63">
        <f t="shared" si="46"/>
        <v>0</v>
      </c>
      <c r="CA29" s="63">
        <f t="shared" si="2"/>
        <v>0.33333333333333331</v>
      </c>
      <c r="CB29" s="63">
        <f t="shared" si="3"/>
        <v>0</v>
      </c>
      <c r="CC29" s="63">
        <f t="shared" si="4"/>
        <v>0</v>
      </c>
      <c r="CD29" s="63">
        <f t="shared" si="5"/>
        <v>0</v>
      </c>
      <c r="CE29" s="63">
        <f t="shared" si="6"/>
        <v>0</v>
      </c>
      <c r="CF29" s="63">
        <f t="shared" si="7"/>
        <v>0</v>
      </c>
      <c r="CG29" s="63">
        <f t="shared" si="8"/>
        <v>0</v>
      </c>
      <c r="CH29" s="63">
        <f t="shared" si="9"/>
        <v>0</v>
      </c>
      <c r="CI29" s="63">
        <f t="shared" si="10"/>
        <v>0</v>
      </c>
      <c r="CJ29" s="63">
        <f t="shared" si="11"/>
        <v>0</v>
      </c>
      <c r="CK29" s="63">
        <f t="shared" si="12"/>
        <v>0.16666666666666666</v>
      </c>
      <c r="CL29" s="63">
        <f t="shared" si="13"/>
        <v>0</v>
      </c>
      <c r="CM29" s="63">
        <f t="shared" si="14"/>
        <v>0</v>
      </c>
      <c r="CN29" s="63">
        <f t="shared" si="15"/>
        <v>0</v>
      </c>
      <c r="CO29" s="63">
        <f t="shared" si="16"/>
        <v>0</v>
      </c>
      <c r="CP29" s="63">
        <f t="shared" si="17"/>
        <v>0</v>
      </c>
      <c r="CQ29" s="63">
        <f t="shared" si="18"/>
        <v>0</v>
      </c>
      <c r="CR29" s="63">
        <f t="shared" si="19"/>
        <v>0</v>
      </c>
      <c r="CS29" s="63">
        <f t="shared" si="20"/>
        <v>0</v>
      </c>
      <c r="CT29" s="63">
        <f t="shared" si="21"/>
        <v>0</v>
      </c>
      <c r="CU29" s="63">
        <f t="shared" si="22"/>
        <v>0</v>
      </c>
      <c r="CV29" s="63">
        <f t="shared" si="23"/>
        <v>0</v>
      </c>
      <c r="CW29" s="63">
        <f t="shared" si="24"/>
        <v>0.33333333333333331</v>
      </c>
      <c r="CX29" s="63">
        <f t="shared" si="25"/>
        <v>0</v>
      </c>
      <c r="CY29" s="63">
        <f t="shared" si="26"/>
        <v>0</v>
      </c>
      <c r="CZ29" s="63">
        <f t="shared" si="27"/>
        <v>0</v>
      </c>
      <c r="DA29" s="63">
        <f t="shared" si="28"/>
        <v>0</v>
      </c>
      <c r="DB29" s="63">
        <f t="shared" si="29"/>
        <v>0</v>
      </c>
      <c r="DC29" s="63">
        <f t="shared" si="30"/>
        <v>0</v>
      </c>
      <c r="DD29" s="63">
        <f t="shared" si="31"/>
        <v>0</v>
      </c>
      <c r="DE29" s="63">
        <f t="shared" si="32"/>
        <v>0</v>
      </c>
      <c r="DF29" s="63">
        <f t="shared" si="33"/>
        <v>0</v>
      </c>
      <c r="DG29" s="63">
        <f t="shared" si="34"/>
        <v>0</v>
      </c>
      <c r="DH29" s="57" t="str" cm="1">
        <f t="array" ref="DH29">INDEX(_xlfn.ANCHORARRAY($BX$2),0,MATCH(LARGE($BX29:$DG29,1),$BX29:$DG29,0))</f>
        <v>Mobility Services</v>
      </c>
      <c r="DI29" s="58">
        <f>LARGE('Industries all mentioned partne'!$BX29:$DG29,1)</f>
        <v>0.33333333333333331</v>
      </c>
      <c r="DJ29" s="57" t="str" cm="1">
        <f t="array" ref="DJ29">IF(DI29&lt;&gt;100%,INDEX(_xlfn.ANCHORARRAY($BX$2),0,MATCH(LARGE($BX29:$DG29,2),$BX29:$DG29,0)),"")</f>
        <v>Mobility Services</v>
      </c>
      <c r="DK29" s="58">
        <f>IF(DI29&lt;&gt;100%,LARGE('Industries all mentioned partne'!$BX29:$DG29,2),"")</f>
        <v>0.33333333333333331</v>
      </c>
      <c r="DL29" s="57" t="str" cm="1">
        <f t="array" ref="DL29">IF(DM29="","",INDEX(_xlfn.ANCHORARRAY($BX$2),0,MATCH(LARGE($BX29:$DG29,3),$BX29:$DG29,0)))</f>
        <v>OEM Commercial Vehicles</v>
      </c>
      <c r="DM29" s="110">
        <f>IF(LARGE('Industries all mentioned partne'!$BX29:$DG29,3)=0%,"",LARGE('Industries all mentioned partne'!$BX29:$DG29,3))</f>
        <v>0.16666666666666666</v>
      </c>
      <c r="DN29" s="52">
        <f>IF(ISTEXT(C29)=TRUE,VLOOKUP(C29,CBIMPORT!$A$2:$AL$171,38,FALSE),"")</f>
        <v>1</v>
      </c>
      <c r="DO29" s="52">
        <f>IF(ISTEXT(D29)=TRUE,VLOOKUP(D29,CBIMPORT!$A$2:$AL$171,38,FALSE),"")</f>
        <v>0</v>
      </c>
      <c r="DP29" s="52">
        <f>IF(ISTEXT(E29)=TRUE,VLOOKUP(E29,CBIMPORT!$A$2:$AL$171,38,FALSE),"")</f>
        <v>1</v>
      </c>
      <c r="DQ29" s="52">
        <f>IF(ISTEXT(F29)=TRUE,VLOOKUP(F29,CBIMPORT!$A$2:$AL$171,38,FALSE),"")</f>
        <v>0</v>
      </c>
      <c r="DR29" s="52">
        <f>IF(ISTEXT(G29)=TRUE,VLOOKUP(G29,CBIMPORT!$A$2:$AL$171,38,FALSE),"")</f>
        <v>1</v>
      </c>
      <c r="DS29" s="52">
        <f>IF(ISTEXT(H29)=TRUE,VLOOKUP(H29,CBIMPORT!$A$2:$AL$171,38,FALSE),"")</f>
        <v>0</v>
      </c>
      <c r="DT29" s="52" t="str">
        <f>IF(ISTEXT(I29)=TRUE,VLOOKUP(I29,CBIMPORT!$A$2:$AL$171,38,FALSE),"")</f>
        <v/>
      </c>
      <c r="DU29" s="52" t="str">
        <f>IF(ISTEXT(J29)=TRUE,VLOOKUP(J29,CBIMPORT!$A$2:$AL$171,38,FALSE),"")</f>
        <v/>
      </c>
      <c r="DV29" s="52" t="str">
        <f>IF(ISTEXT(K29)=TRUE,VLOOKUP(K29,CBIMPORT!$A$2:$AL$171,38,FALSE),"")</f>
        <v/>
      </c>
      <c r="DW29" s="52" t="str">
        <f>IF(ISTEXT(L29)=TRUE,VLOOKUP(L29,CBIMPORT!$A$2:$AL$171,38,FALSE),"")</f>
        <v/>
      </c>
      <c r="DX29" s="52" t="str">
        <f>IF(ISTEXT(M29)=TRUE,VLOOKUP(M29,CBIMPORT!$A$2:$AL$171,38,FALSE),"")</f>
        <v/>
      </c>
      <c r="DY29" s="52" t="str">
        <f>IF(ISTEXT(N29)=TRUE,VLOOKUP(N29,CBIMPORT!$A$2:$AL$171,38,FALSE),"")</f>
        <v/>
      </c>
      <c r="DZ29" s="52" t="str">
        <f>IF(ISTEXT(O29)=TRUE,VLOOKUP(O29,CBIMPORT!$A$2:$AL$171,38,FALSE),"")</f>
        <v/>
      </c>
      <c r="EA29" s="52" t="str">
        <f>IF(ISTEXT(P29)=TRUE,VLOOKUP(P29,CBIMPORT!$A$2:$AL$171,38,FALSE),"")</f>
        <v/>
      </c>
      <c r="EB29" s="52" t="str">
        <f>IF(ISTEXT(Q29)=TRUE,VLOOKUP(Q29,CBIMPORT!$A$2:$AL$171,38,FALSE),"")</f>
        <v/>
      </c>
      <c r="EC29" s="52" t="str">
        <f>IF(ISTEXT(R29)=TRUE,VLOOKUP(R29,CBIMPORT!$A$2:$AL$171,38,FALSE),"")</f>
        <v/>
      </c>
      <c r="ED29" s="52" t="str">
        <f>IF(ISTEXT(S29)=TRUE,VLOOKUP(S29,CBIMPORT!$A$2:$AL$171,38,FALSE),"")</f>
        <v/>
      </c>
      <c r="EE29" s="52" t="str">
        <f>IF(ISTEXT(T29)=TRUE,VLOOKUP(T29,CBIMPORT!$A$2:$AL$171,38,FALSE),"")</f>
        <v/>
      </c>
      <c r="EF29" s="64" t="str">
        <f>IF(ISTEXT(U29)=TRUE,VLOOKUP(U29,CBIMPORT!$A$2:$AL$171,38,FALSE),"")</f>
        <v/>
      </c>
      <c r="EG29" s="64"/>
      <c r="EH29" s="64"/>
      <c r="EI29" s="64"/>
      <c r="EJ29" s="64"/>
      <c r="EK29" s="64"/>
      <c r="EL29" s="64"/>
      <c r="EM29" s="64"/>
      <c r="EN29" s="64"/>
      <c r="EO29" s="64"/>
      <c r="EP29" s="64"/>
    </row>
    <row r="30" spans="1:146" x14ac:dyDescent="0.35">
      <c r="A30" s="49" t="str">
        <v>Nuro-Last-Mile</v>
      </c>
      <c r="B30" s="48" t="str" cm="1">
        <f t="array" ref="B30">_xlfn.TEXTJOIN(";",TRUE,IF(ANNOUNCEMENTS!$AH$2:$AH$180=A30,ANNOUNCEMENTS!$K$2:$K$180,""))</f>
        <v>Uber Eats</v>
      </c>
      <c r="C30" s="55" t="s">
        <v>580</v>
      </c>
      <c r="D30" s="55"/>
      <c r="E30" s="55"/>
      <c r="F30" s="55"/>
      <c r="G30" s="55"/>
      <c r="H30" s="55"/>
      <c r="I30" s="55"/>
      <c r="J30" s="55"/>
      <c r="K30" s="55"/>
      <c r="L30" s="55"/>
      <c r="M30" s="55"/>
      <c r="N30" s="55"/>
      <c r="O30" s="55"/>
      <c r="P30" s="55"/>
      <c r="Q30" s="55"/>
      <c r="R30" s="55"/>
      <c r="S30" s="55"/>
      <c r="T30" s="55"/>
      <c r="V30" s="56" t="str">
        <f>IF(ISERROR(VLOOKUP(C30,CBIMPORT!$A$2:$B$171,2,FALSE)),0,VLOOKUP(C30,CBIMPORT!$A$2:$B$171,2,FALSE))</f>
        <v>Delivery Service</v>
      </c>
      <c r="W30" s="56">
        <f>IF(ISERROR(VLOOKUP(D30,CBIMPORT!$A$2:$B$171,2,FALSE)),0,VLOOKUP(D30,CBIMPORT!$A$2:$B$171,2,FALSE))</f>
        <v>0</v>
      </c>
      <c r="X30" s="56">
        <f>IF(ISERROR(VLOOKUP(E30,CBIMPORT!$A$2:$B$171,2,FALSE)),0,VLOOKUP(E30,CBIMPORT!$A$2:$B$171,2,FALSE))</f>
        <v>0</v>
      </c>
      <c r="Y30" s="56">
        <f>IF(ISERROR(VLOOKUP(F30,CBIMPORT!$A$2:$B$171,2,FALSE)),0,VLOOKUP(F30,CBIMPORT!$A$2:$B$171,2,FALSE))</f>
        <v>0</v>
      </c>
      <c r="Z30" s="56">
        <f>IF(ISERROR(VLOOKUP(G30,CBIMPORT!$A$2:$B$171,2,FALSE)),0,VLOOKUP(G30,CBIMPORT!$A$2:$B$171,2,FALSE))</f>
        <v>0</v>
      </c>
      <c r="AA30" s="56">
        <f>IF(ISERROR(VLOOKUP(H30,CBIMPORT!$A$2:$B$171,2,FALSE)),0,VLOOKUP(H30,CBIMPORT!$A$2:$B$171,2,FALSE))</f>
        <v>0</v>
      </c>
      <c r="AB30" s="56">
        <f>IF(ISERROR(VLOOKUP(I30,CBIMPORT!$A$2:$B$171,2,FALSE)),0,VLOOKUP(I30,CBIMPORT!$A$2:$B$171,2,FALSE))</f>
        <v>0</v>
      </c>
      <c r="AC30" s="56">
        <f>IF(ISERROR(VLOOKUP(J30,CBIMPORT!$A$2:$B$171,2,FALSE)),0,VLOOKUP(J30,CBIMPORT!$A$2:$B$171,2,FALSE))</f>
        <v>0</v>
      </c>
      <c r="AD30" s="56">
        <f>IF(ISERROR(VLOOKUP(K30,CBIMPORT!$A$2:$B$171,2,FALSE)),0,VLOOKUP(K30,CBIMPORT!$A$2:$B$171,2,FALSE))</f>
        <v>0</v>
      </c>
      <c r="AE30" s="56">
        <f>IF(ISERROR(VLOOKUP(L30,CBIMPORT!$A$2:$B$171,2,FALSE)),0,VLOOKUP(L30,CBIMPORT!$A$2:$B$171,2,FALSE))</f>
        <v>0</v>
      </c>
      <c r="AF30" s="56">
        <f>IF(ISERROR(VLOOKUP(M30,CBIMPORT!$A$2:$B$171,2,FALSE)),0,VLOOKUP(M30,CBIMPORT!$A$2:$B$171,2,FALSE))</f>
        <v>0</v>
      </c>
      <c r="AG30" s="56">
        <f>IF(ISERROR(VLOOKUP(N30,CBIMPORT!$A$2:$B$171,2,FALSE)),0,VLOOKUP(N30,CBIMPORT!$A$2:$B$171,2,FALSE))</f>
        <v>0</v>
      </c>
      <c r="AH30" s="56">
        <f>IF(ISERROR(VLOOKUP(O30,CBIMPORT!$A$2:$B$171,2,FALSE)),0,VLOOKUP(O30,CBIMPORT!$A$2:$B$171,2,FALSE))</f>
        <v>0</v>
      </c>
      <c r="AI30" s="56">
        <f>IF(ISERROR(VLOOKUP(P30,CBIMPORT!$A$2:$B$171,2,FALSE)),0,VLOOKUP(P30,CBIMPORT!$A$2:$B$171,2,FALSE))</f>
        <v>0</v>
      </c>
      <c r="AJ30" s="56">
        <f>IF(ISERROR(VLOOKUP(Q30,CBIMPORT!$A$2:$B$171,2,FALSE)),0,VLOOKUP(Q30,CBIMPORT!$A$2:$B$171,2,FALSE))</f>
        <v>0</v>
      </c>
      <c r="AK30" s="56">
        <f>IF(ISERROR(VLOOKUP(R30,CBIMPORT!$A$2:$B$171,2,FALSE)),0,VLOOKUP(R30,CBIMPORT!$A$2:$B$171,2,FALSE))</f>
        <v>0</v>
      </c>
      <c r="AL30" s="56">
        <f>IF(ISERROR(VLOOKUP(S30,CBIMPORT!$A$2:$B$171,2,FALSE)),0,VLOOKUP(S30,CBIMPORT!$A$2:$B$171,2,FALSE))</f>
        <v>0</v>
      </c>
      <c r="AM30" s="60">
        <f t="shared" si="35"/>
        <v>0</v>
      </c>
      <c r="AN30" s="60">
        <f t="shared" si="47"/>
        <v>0</v>
      </c>
      <c r="AO30" s="60">
        <f t="shared" si="47"/>
        <v>0</v>
      </c>
      <c r="AP30" s="60">
        <f t="shared" si="47"/>
        <v>0</v>
      </c>
      <c r="AQ30" s="60">
        <f t="shared" si="47"/>
        <v>0</v>
      </c>
      <c r="AR30" s="60">
        <f t="shared" si="47"/>
        <v>1</v>
      </c>
      <c r="AS30" s="60">
        <f t="shared" si="47"/>
        <v>0</v>
      </c>
      <c r="AT30" s="60">
        <f t="shared" si="47"/>
        <v>0</v>
      </c>
      <c r="AU30" s="60">
        <f t="shared" si="47"/>
        <v>0</v>
      </c>
      <c r="AV30" s="60">
        <f t="shared" si="47"/>
        <v>0</v>
      </c>
      <c r="AW30" s="60">
        <f t="shared" si="47"/>
        <v>0</v>
      </c>
      <c r="AX30" s="60">
        <f t="shared" si="48"/>
        <v>0</v>
      </c>
      <c r="AY30" s="60">
        <f t="shared" si="48"/>
        <v>0</v>
      </c>
      <c r="AZ30" s="60">
        <f t="shared" si="48"/>
        <v>0</v>
      </c>
      <c r="BA30" s="60">
        <f t="shared" si="48"/>
        <v>0</v>
      </c>
      <c r="BB30" s="60">
        <f t="shared" si="48"/>
        <v>0</v>
      </c>
      <c r="BC30" s="60">
        <f t="shared" si="48"/>
        <v>0</v>
      </c>
      <c r="BD30" s="60">
        <f t="shared" si="48"/>
        <v>0</v>
      </c>
      <c r="BE30" s="60">
        <f t="shared" si="48"/>
        <v>0</v>
      </c>
      <c r="BF30" s="60">
        <f t="shared" si="48"/>
        <v>0</v>
      </c>
      <c r="BG30" s="60">
        <f t="shared" si="48"/>
        <v>0</v>
      </c>
      <c r="BH30" s="60">
        <f t="shared" si="49"/>
        <v>0</v>
      </c>
      <c r="BI30" s="60">
        <f t="shared" si="49"/>
        <v>0</v>
      </c>
      <c r="BJ30" s="60">
        <f t="shared" si="49"/>
        <v>0</v>
      </c>
      <c r="BK30" s="60">
        <f t="shared" si="49"/>
        <v>0</v>
      </c>
      <c r="BL30" s="60">
        <f t="shared" si="49"/>
        <v>0</v>
      </c>
      <c r="BM30" s="60">
        <f t="shared" si="49"/>
        <v>0</v>
      </c>
      <c r="BN30" s="60">
        <f t="shared" si="49"/>
        <v>0</v>
      </c>
      <c r="BO30" s="60">
        <f t="shared" si="49"/>
        <v>0</v>
      </c>
      <c r="BP30" s="60">
        <f t="shared" si="49"/>
        <v>0</v>
      </c>
      <c r="BQ30" s="60">
        <f t="shared" si="49"/>
        <v>0</v>
      </c>
      <c r="BR30" s="60">
        <f t="shared" si="50"/>
        <v>0</v>
      </c>
      <c r="BS30" s="60">
        <f t="shared" si="50"/>
        <v>0</v>
      </c>
      <c r="BT30" s="60">
        <f t="shared" si="50"/>
        <v>0</v>
      </c>
      <c r="BU30" s="60">
        <f t="shared" si="50"/>
        <v>0</v>
      </c>
      <c r="BV30" s="60">
        <f t="shared" si="50"/>
        <v>0</v>
      </c>
      <c r="BW30" s="60"/>
      <c r="BX30" s="63">
        <f t="shared" si="40"/>
        <v>0</v>
      </c>
      <c r="BY30" s="63">
        <f t="shared" si="45"/>
        <v>0</v>
      </c>
      <c r="BZ30" s="63">
        <f t="shared" si="46"/>
        <v>0</v>
      </c>
      <c r="CA30" s="63">
        <f t="shared" si="2"/>
        <v>0</v>
      </c>
      <c r="CB30" s="63">
        <f t="shared" si="3"/>
        <v>0</v>
      </c>
      <c r="CC30" s="63">
        <f t="shared" si="4"/>
        <v>1</v>
      </c>
      <c r="CD30" s="63">
        <f t="shared" si="5"/>
        <v>0</v>
      </c>
      <c r="CE30" s="63">
        <f t="shared" si="6"/>
        <v>0</v>
      </c>
      <c r="CF30" s="63">
        <f t="shared" si="7"/>
        <v>0</v>
      </c>
      <c r="CG30" s="63">
        <f t="shared" si="8"/>
        <v>0</v>
      </c>
      <c r="CH30" s="63">
        <f t="shared" si="9"/>
        <v>0</v>
      </c>
      <c r="CI30" s="63">
        <f t="shared" si="10"/>
        <v>0</v>
      </c>
      <c r="CJ30" s="63">
        <f t="shared" si="11"/>
        <v>0</v>
      </c>
      <c r="CK30" s="63">
        <f t="shared" si="12"/>
        <v>0</v>
      </c>
      <c r="CL30" s="63">
        <f t="shared" si="13"/>
        <v>0</v>
      </c>
      <c r="CM30" s="63">
        <f t="shared" si="14"/>
        <v>0</v>
      </c>
      <c r="CN30" s="63">
        <f t="shared" si="15"/>
        <v>0</v>
      </c>
      <c r="CO30" s="63">
        <f t="shared" si="16"/>
        <v>0</v>
      </c>
      <c r="CP30" s="63">
        <f t="shared" si="17"/>
        <v>0</v>
      </c>
      <c r="CQ30" s="63">
        <f t="shared" si="18"/>
        <v>0</v>
      </c>
      <c r="CR30" s="63">
        <f t="shared" si="19"/>
        <v>0</v>
      </c>
      <c r="CS30" s="63">
        <f t="shared" si="20"/>
        <v>0</v>
      </c>
      <c r="CT30" s="63">
        <f t="shared" si="21"/>
        <v>0</v>
      </c>
      <c r="CU30" s="63">
        <f t="shared" si="22"/>
        <v>0</v>
      </c>
      <c r="CV30" s="63">
        <f t="shared" si="23"/>
        <v>0</v>
      </c>
      <c r="CW30" s="63">
        <f t="shared" si="24"/>
        <v>0</v>
      </c>
      <c r="CX30" s="63">
        <f t="shared" si="25"/>
        <v>0</v>
      </c>
      <c r="CY30" s="63">
        <f t="shared" si="26"/>
        <v>0</v>
      </c>
      <c r="CZ30" s="63">
        <f t="shared" si="27"/>
        <v>0</v>
      </c>
      <c r="DA30" s="63">
        <f t="shared" si="28"/>
        <v>0</v>
      </c>
      <c r="DB30" s="63">
        <f t="shared" si="29"/>
        <v>0</v>
      </c>
      <c r="DC30" s="63">
        <f t="shared" si="30"/>
        <v>0</v>
      </c>
      <c r="DD30" s="63">
        <f t="shared" si="31"/>
        <v>0</v>
      </c>
      <c r="DE30" s="63">
        <f t="shared" si="32"/>
        <v>0</v>
      </c>
      <c r="DF30" s="63">
        <f t="shared" si="33"/>
        <v>0</v>
      </c>
      <c r="DG30" s="63">
        <f t="shared" si="34"/>
        <v>0</v>
      </c>
      <c r="DH30" s="57" t="str" cm="1">
        <f t="array" ref="DH30">INDEX(_xlfn.ANCHORARRAY($BX$2),0,MATCH(LARGE($BX30:$DG30,1),$BX30:$DG30,0))</f>
        <v>Delivery Service</v>
      </c>
      <c r="DI30" s="58">
        <f>LARGE('Industries all mentioned partne'!$BX30:$DG30,1)</f>
        <v>1</v>
      </c>
      <c r="DJ30" s="57" t="str" cm="1">
        <f t="array" ref="DJ30">IF(DI30&lt;&gt;100%,INDEX(_xlfn.ANCHORARRAY($BX$2),0,MATCH(LARGE($BX30:$DG30,2),$BX30:$DG30,0)),"")</f>
        <v/>
      </c>
      <c r="DK30" s="58" t="str">
        <f>IF(DI30&lt;&gt;100%,LARGE('Industries all mentioned partne'!$BX30:$DG30,2),"")</f>
        <v/>
      </c>
      <c r="DL30" s="57" t="str" cm="1">
        <f t="array" ref="DL30">IF(DM30="","",INDEX(_xlfn.ANCHORARRAY($BX$2),0,MATCH(LARGE($BX30:$DG30,3),$BX30:$DG30,0)))</f>
        <v/>
      </c>
      <c r="DM30" s="110" t="str">
        <f>IF(LARGE('Industries all mentioned partne'!$BX30:$DG30,3)=0%,"",LARGE('Industries all mentioned partne'!$BX30:$DG30,3))</f>
        <v/>
      </c>
      <c r="DN30" s="52">
        <f>IF(ISTEXT(C30)=TRUE,VLOOKUP(C30,CBIMPORT!$A$2:$AL$171,38,FALSE),"")</f>
        <v>0</v>
      </c>
      <c r="DO30" s="52" t="str">
        <f>IF(ISTEXT(D30)=TRUE,VLOOKUP(D30,CBIMPORT!$A$2:$AL$171,38,FALSE),"")</f>
        <v/>
      </c>
      <c r="DP30" s="52" t="str">
        <f>IF(ISTEXT(E30)=TRUE,VLOOKUP(E30,CBIMPORT!$A$2:$AL$171,38,FALSE),"")</f>
        <v/>
      </c>
      <c r="DQ30" s="52" t="str">
        <f>IF(ISTEXT(F30)=TRUE,VLOOKUP(F30,CBIMPORT!$A$2:$AL$171,38,FALSE),"")</f>
        <v/>
      </c>
      <c r="DR30" s="52" t="str">
        <f>IF(ISTEXT(G30)=TRUE,VLOOKUP(G30,CBIMPORT!$A$2:$AL$171,38,FALSE),"")</f>
        <v/>
      </c>
      <c r="DS30" s="52" t="str">
        <f>IF(ISTEXT(H30)=TRUE,VLOOKUP(H30,CBIMPORT!$A$2:$AL$171,38,FALSE),"")</f>
        <v/>
      </c>
      <c r="DT30" s="52" t="str">
        <f>IF(ISTEXT(I30)=TRUE,VLOOKUP(I30,CBIMPORT!$A$2:$AL$171,38,FALSE),"")</f>
        <v/>
      </c>
      <c r="DU30" s="52" t="str">
        <f>IF(ISTEXT(J30)=TRUE,VLOOKUP(J30,CBIMPORT!$A$2:$AL$171,38,FALSE),"")</f>
        <v/>
      </c>
      <c r="DV30" s="52" t="str">
        <f>IF(ISTEXT(K30)=TRUE,VLOOKUP(K30,CBIMPORT!$A$2:$AL$171,38,FALSE),"")</f>
        <v/>
      </c>
      <c r="DW30" s="52" t="str">
        <f>IF(ISTEXT(L30)=TRUE,VLOOKUP(L30,CBIMPORT!$A$2:$AL$171,38,FALSE),"")</f>
        <v/>
      </c>
      <c r="DX30" s="52" t="str">
        <f>IF(ISTEXT(M30)=TRUE,VLOOKUP(M30,CBIMPORT!$A$2:$AL$171,38,FALSE),"")</f>
        <v/>
      </c>
      <c r="DY30" s="52" t="str">
        <f>IF(ISTEXT(N30)=TRUE,VLOOKUP(N30,CBIMPORT!$A$2:$AL$171,38,FALSE),"")</f>
        <v/>
      </c>
      <c r="DZ30" s="52" t="str">
        <f>IF(ISTEXT(O30)=TRUE,VLOOKUP(O30,CBIMPORT!$A$2:$AL$171,38,FALSE),"")</f>
        <v/>
      </c>
      <c r="EA30" s="52" t="str">
        <f>IF(ISTEXT(P30)=TRUE,VLOOKUP(P30,CBIMPORT!$A$2:$AL$171,38,FALSE),"")</f>
        <v/>
      </c>
      <c r="EB30" s="52" t="str">
        <f>IF(ISTEXT(Q30)=TRUE,VLOOKUP(Q30,CBIMPORT!$A$2:$AL$171,38,FALSE),"")</f>
        <v/>
      </c>
      <c r="EC30" s="52" t="str">
        <f>IF(ISTEXT(R30)=TRUE,VLOOKUP(R30,CBIMPORT!$A$2:$AL$171,38,FALSE),"")</f>
        <v/>
      </c>
      <c r="ED30" s="52" t="str">
        <f>IF(ISTEXT(S30)=TRUE,VLOOKUP(S30,CBIMPORT!$A$2:$AL$171,38,FALSE),"")</f>
        <v/>
      </c>
      <c r="EE30" s="52" t="str">
        <f>IF(ISTEXT(T30)=TRUE,VLOOKUP(T30,CBIMPORT!$A$2:$AL$171,38,FALSE),"")</f>
        <v/>
      </c>
      <c r="EF30" s="64" t="str">
        <f>IF(ISTEXT(U30)=TRUE,VLOOKUP(U30,CBIMPORT!$A$2:$AL$171,38,FALSE),"")</f>
        <v/>
      </c>
      <c r="EG30" s="64"/>
      <c r="EH30" s="64"/>
      <c r="EI30" s="64"/>
      <c r="EJ30" s="64"/>
      <c r="EK30" s="64"/>
      <c r="EL30" s="64"/>
      <c r="EM30" s="64"/>
      <c r="EN30" s="64"/>
      <c r="EO30" s="64"/>
      <c r="EP30" s="64"/>
    </row>
    <row r="31" spans="1:146" x14ac:dyDescent="0.35">
      <c r="A31" s="50" t="str">
        <v>Oxa-Ridepooling</v>
      </c>
      <c r="B31" s="48" t="str" cm="1">
        <f t="array" ref="B31">_xlfn.TEXTJOIN(";",TRUE,IF(ANNOUNCEMENTS!$AH$2:$AH$180=A31,ANNOUNCEMENTS!$K$2:$K$180,""))</f>
        <v>eVersum;NEVS;Beep</v>
      </c>
      <c r="C31" s="55" t="s">
        <v>523</v>
      </c>
      <c r="D31" s="55" t="s">
        <v>1968</v>
      </c>
      <c r="E31" s="55" t="s">
        <v>379</v>
      </c>
      <c r="F31" s="55"/>
      <c r="G31" s="55"/>
      <c r="H31" s="55"/>
      <c r="I31" s="55"/>
      <c r="J31" s="55"/>
      <c r="K31" s="55"/>
      <c r="L31" s="55"/>
      <c r="M31" s="55"/>
      <c r="N31" s="55"/>
      <c r="O31" s="55"/>
      <c r="P31" s="55"/>
      <c r="Q31" s="55"/>
      <c r="R31" s="55"/>
      <c r="S31" s="55"/>
      <c r="T31" s="55"/>
      <c r="V31" s="56" t="str">
        <f>IF(ISERROR(VLOOKUP(C31,CBIMPORT!$A$2:$B$171,2,FALSE)),0,VLOOKUP(C31,CBIMPORT!$A$2:$B$171,2,FALSE))</f>
        <v>Autonomous Vehicles</v>
      </c>
      <c r="W31" s="56" t="str">
        <f>IF(ISERROR(VLOOKUP(D31,CBIMPORT!$A$2:$B$171,2,FALSE)),0,VLOOKUP(D31,CBIMPORT!$A$2:$B$171,2,FALSE))</f>
        <v>OEM Commercial Vehicles</v>
      </c>
      <c r="X31" s="56" t="str">
        <f>IF(ISERROR(VLOOKUP(E31,CBIMPORT!$A$2:$B$171,2,FALSE)),0,VLOOKUP(E31,CBIMPORT!$A$2:$B$171,2,FALSE))</f>
        <v>Transport Operator</v>
      </c>
      <c r="Y31" s="56">
        <f>IF(ISERROR(VLOOKUP(F31,CBIMPORT!$A$2:$B$171,2,FALSE)),0,VLOOKUP(F31,CBIMPORT!$A$2:$B$171,2,FALSE))</f>
        <v>0</v>
      </c>
      <c r="Z31" s="56">
        <f>IF(ISERROR(VLOOKUP(G31,CBIMPORT!$A$2:$B$171,2,FALSE)),0,VLOOKUP(G31,CBIMPORT!$A$2:$B$171,2,FALSE))</f>
        <v>0</v>
      </c>
      <c r="AA31" s="56">
        <f>IF(ISERROR(VLOOKUP(H31,CBIMPORT!$A$2:$B$171,2,FALSE)),0,VLOOKUP(H31,CBIMPORT!$A$2:$B$171,2,FALSE))</f>
        <v>0</v>
      </c>
      <c r="AB31" s="56">
        <f>IF(ISERROR(VLOOKUP(I31,CBIMPORT!$A$2:$B$171,2,FALSE)),0,VLOOKUP(I31,CBIMPORT!$A$2:$B$171,2,FALSE))</f>
        <v>0</v>
      </c>
      <c r="AC31" s="56">
        <f>IF(ISERROR(VLOOKUP(J31,CBIMPORT!$A$2:$B$171,2,FALSE)),0,VLOOKUP(J31,CBIMPORT!$A$2:$B$171,2,FALSE))</f>
        <v>0</v>
      </c>
      <c r="AD31" s="56">
        <f>IF(ISERROR(VLOOKUP(K31,CBIMPORT!$A$2:$B$171,2,FALSE)),0,VLOOKUP(K31,CBIMPORT!$A$2:$B$171,2,FALSE))</f>
        <v>0</v>
      </c>
      <c r="AE31" s="56">
        <f>IF(ISERROR(VLOOKUP(L31,CBIMPORT!$A$2:$B$171,2,FALSE)),0,VLOOKUP(L31,CBIMPORT!$A$2:$B$171,2,FALSE))</f>
        <v>0</v>
      </c>
      <c r="AF31" s="56">
        <f>IF(ISERROR(VLOOKUP(M31,CBIMPORT!$A$2:$B$171,2,FALSE)),0,VLOOKUP(M31,CBIMPORT!$A$2:$B$171,2,FALSE))</f>
        <v>0</v>
      </c>
      <c r="AG31" s="56">
        <f>IF(ISERROR(VLOOKUP(N31,CBIMPORT!$A$2:$B$171,2,FALSE)),0,VLOOKUP(N31,CBIMPORT!$A$2:$B$171,2,FALSE))</f>
        <v>0</v>
      </c>
      <c r="AH31" s="56">
        <f>IF(ISERROR(VLOOKUP(O31,CBIMPORT!$A$2:$B$171,2,FALSE)),0,VLOOKUP(O31,CBIMPORT!$A$2:$B$171,2,FALSE))</f>
        <v>0</v>
      </c>
      <c r="AI31" s="56">
        <f>IF(ISERROR(VLOOKUP(P31,CBIMPORT!$A$2:$B$171,2,FALSE)),0,VLOOKUP(P31,CBIMPORT!$A$2:$B$171,2,FALSE))</f>
        <v>0</v>
      </c>
      <c r="AJ31" s="56">
        <f>IF(ISERROR(VLOOKUP(Q31,CBIMPORT!$A$2:$B$171,2,FALSE)),0,VLOOKUP(Q31,CBIMPORT!$A$2:$B$171,2,FALSE))</f>
        <v>0</v>
      </c>
      <c r="AK31" s="56">
        <f>IF(ISERROR(VLOOKUP(R31,CBIMPORT!$A$2:$B$171,2,FALSE)),0,VLOOKUP(R31,CBIMPORT!$A$2:$B$171,2,FALSE))</f>
        <v>0</v>
      </c>
      <c r="AL31" s="56">
        <f>IF(ISERROR(VLOOKUP(S31,CBIMPORT!$A$2:$B$171,2,FALSE)),0,VLOOKUP(S31,CBIMPORT!$A$2:$B$171,2,FALSE))</f>
        <v>0</v>
      </c>
      <c r="AM31" s="60">
        <f t="shared" si="35"/>
        <v>1</v>
      </c>
      <c r="AN31" s="60">
        <f t="shared" si="47"/>
        <v>1</v>
      </c>
      <c r="AO31" s="60">
        <f t="shared" si="47"/>
        <v>1</v>
      </c>
      <c r="AP31" s="60">
        <f t="shared" si="47"/>
        <v>0</v>
      </c>
      <c r="AQ31" s="60">
        <f t="shared" si="47"/>
        <v>0</v>
      </c>
      <c r="AR31" s="60">
        <f t="shared" si="47"/>
        <v>0</v>
      </c>
      <c r="AS31" s="60">
        <f t="shared" si="47"/>
        <v>0</v>
      </c>
      <c r="AT31" s="60">
        <f t="shared" si="47"/>
        <v>0</v>
      </c>
      <c r="AU31" s="60">
        <f t="shared" si="47"/>
        <v>0</v>
      </c>
      <c r="AV31" s="60">
        <f t="shared" si="47"/>
        <v>0</v>
      </c>
      <c r="AW31" s="60">
        <f t="shared" si="47"/>
        <v>0</v>
      </c>
      <c r="AX31" s="60">
        <f t="shared" si="48"/>
        <v>0</v>
      </c>
      <c r="AY31" s="60">
        <f t="shared" si="48"/>
        <v>0</v>
      </c>
      <c r="AZ31" s="60">
        <f t="shared" si="48"/>
        <v>0</v>
      </c>
      <c r="BA31" s="60">
        <f t="shared" si="48"/>
        <v>0</v>
      </c>
      <c r="BB31" s="60">
        <f t="shared" si="48"/>
        <v>0</v>
      </c>
      <c r="BC31" s="60">
        <f t="shared" si="48"/>
        <v>0</v>
      </c>
      <c r="BD31" s="60">
        <f t="shared" si="48"/>
        <v>0</v>
      </c>
      <c r="BE31" s="60">
        <f t="shared" si="48"/>
        <v>0</v>
      </c>
      <c r="BF31" s="60">
        <f t="shared" si="48"/>
        <v>0</v>
      </c>
      <c r="BG31" s="60">
        <f t="shared" si="48"/>
        <v>0</v>
      </c>
      <c r="BH31" s="60">
        <f t="shared" si="49"/>
        <v>0</v>
      </c>
      <c r="BI31" s="60">
        <f t="shared" si="49"/>
        <v>0</v>
      </c>
      <c r="BJ31" s="60">
        <f t="shared" si="49"/>
        <v>0</v>
      </c>
      <c r="BK31" s="60">
        <f t="shared" si="49"/>
        <v>0</v>
      </c>
      <c r="BL31" s="60">
        <f t="shared" si="49"/>
        <v>0</v>
      </c>
      <c r="BM31" s="60">
        <f t="shared" si="49"/>
        <v>0</v>
      </c>
      <c r="BN31" s="60">
        <f t="shared" si="49"/>
        <v>0</v>
      </c>
      <c r="BO31" s="60">
        <f t="shared" si="49"/>
        <v>0</v>
      </c>
      <c r="BP31" s="60">
        <f t="shared" si="49"/>
        <v>0</v>
      </c>
      <c r="BQ31" s="60">
        <f t="shared" si="49"/>
        <v>0</v>
      </c>
      <c r="BR31" s="60">
        <f t="shared" si="50"/>
        <v>0</v>
      </c>
      <c r="BS31" s="60">
        <f t="shared" si="50"/>
        <v>0</v>
      </c>
      <c r="BT31" s="60">
        <f t="shared" si="50"/>
        <v>0</v>
      </c>
      <c r="BU31" s="60">
        <f t="shared" si="50"/>
        <v>0</v>
      </c>
      <c r="BV31" s="60">
        <f t="shared" si="50"/>
        <v>0</v>
      </c>
      <c r="BW31" s="60"/>
      <c r="BX31" s="63">
        <f t="shared" si="40"/>
        <v>0.33333333333333331</v>
      </c>
      <c r="BY31" s="63">
        <f t="shared" si="45"/>
        <v>0.33333333333333331</v>
      </c>
      <c r="BZ31" s="63">
        <f t="shared" si="46"/>
        <v>0.33333333333333331</v>
      </c>
      <c r="CA31" s="63">
        <f t="shared" si="2"/>
        <v>0</v>
      </c>
      <c r="CB31" s="63">
        <f t="shared" si="3"/>
        <v>0</v>
      </c>
      <c r="CC31" s="63">
        <f t="shared" si="4"/>
        <v>0</v>
      </c>
      <c r="CD31" s="63">
        <f t="shared" si="5"/>
        <v>0</v>
      </c>
      <c r="CE31" s="63">
        <f t="shared" si="6"/>
        <v>0</v>
      </c>
      <c r="CF31" s="63">
        <f t="shared" si="7"/>
        <v>0</v>
      </c>
      <c r="CG31" s="63">
        <f t="shared" si="8"/>
        <v>0</v>
      </c>
      <c r="CH31" s="63">
        <f t="shared" si="9"/>
        <v>0</v>
      </c>
      <c r="CI31" s="63">
        <f t="shared" si="10"/>
        <v>0</v>
      </c>
      <c r="CJ31" s="63">
        <f t="shared" si="11"/>
        <v>0</v>
      </c>
      <c r="CK31" s="63">
        <f t="shared" si="12"/>
        <v>0</v>
      </c>
      <c r="CL31" s="63">
        <f t="shared" si="13"/>
        <v>0</v>
      </c>
      <c r="CM31" s="63">
        <f t="shared" si="14"/>
        <v>0</v>
      </c>
      <c r="CN31" s="63">
        <f t="shared" si="15"/>
        <v>0</v>
      </c>
      <c r="CO31" s="63">
        <f t="shared" si="16"/>
        <v>0</v>
      </c>
      <c r="CP31" s="63">
        <f t="shared" si="17"/>
        <v>0</v>
      </c>
      <c r="CQ31" s="63">
        <f t="shared" si="18"/>
        <v>0</v>
      </c>
      <c r="CR31" s="63">
        <f t="shared" si="19"/>
        <v>0</v>
      </c>
      <c r="CS31" s="63">
        <f t="shared" si="20"/>
        <v>0</v>
      </c>
      <c r="CT31" s="63">
        <f t="shared" si="21"/>
        <v>0</v>
      </c>
      <c r="CU31" s="63">
        <f t="shared" si="22"/>
        <v>0</v>
      </c>
      <c r="CV31" s="63">
        <f t="shared" si="23"/>
        <v>0</v>
      </c>
      <c r="CW31" s="63">
        <f t="shared" si="24"/>
        <v>0</v>
      </c>
      <c r="CX31" s="63">
        <f t="shared" si="25"/>
        <v>0</v>
      </c>
      <c r="CY31" s="63">
        <f t="shared" si="26"/>
        <v>0</v>
      </c>
      <c r="CZ31" s="63">
        <f t="shared" si="27"/>
        <v>0</v>
      </c>
      <c r="DA31" s="63">
        <f t="shared" si="28"/>
        <v>0</v>
      </c>
      <c r="DB31" s="63">
        <f t="shared" si="29"/>
        <v>0</v>
      </c>
      <c r="DC31" s="63">
        <f t="shared" si="30"/>
        <v>0</v>
      </c>
      <c r="DD31" s="63">
        <f t="shared" si="31"/>
        <v>0</v>
      </c>
      <c r="DE31" s="63">
        <f t="shared" si="32"/>
        <v>0</v>
      </c>
      <c r="DF31" s="63">
        <f t="shared" si="33"/>
        <v>0</v>
      </c>
      <c r="DG31" s="63">
        <f t="shared" si="34"/>
        <v>0</v>
      </c>
      <c r="DH31" s="57" t="str" cm="1">
        <f t="array" ref="DH31">INDEX(_xlfn.ANCHORARRAY($BX$2),0,MATCH(LARGE($BX31:$DG31,1),$BX31:$DG31,0))</f>
        <v>Autonomous Vehicles</v>
      </c>
      <c r="DI31" s="58">
        <f>LARGE('Industries all mentioned partne'!$BX31:$DG31,1)</f>
        <v>0.33333333333333331</v>
      </c>
      <c r="DJ31" s="57" t="str" cm="1">
        <f t="array" ref="DJ31">IF(DI31&lt;&gt;100%,INDEX(_xlfn.ANCHORARRAY($BX$2),0,MATCH(LARGE($BX31:$DG31,2),$BX31:$DG31,0)),"")</f>
        <v>Autonomous Vehicles</v>
      </c>
      <c r="DK31" s="58">
        <f>IF(DI31&lt;&gt;100%,LARGE('Industries all mentioned partne'!$BX31:$DG31,2),"")</f>
        <v>0.33333333333333331</v>
      </c>
      <c r="DL31" s="57" t="str" cm="1">
        <f t="array" ref="DL31">IF(DM31="","",INDEX(_xlfn.ANCHORARRAY($BX$2),0,MATCH(LARGE($BX31:$DG31,3),$BX31:$DG31,0)))</f>
        <v>Autonomous Vehicles</v>
      </c>
      <c r="DM31" s="110">
        <f>IF(LARGE('Industries all mentioned partne'!$BX31:$DG31,3)=0%,"",LARGE('Industries all mentioned partne'!$BX31:$DG31,3))</f>
        <v>0.33333333333333331</v>
      </c>
      <c r="DN31" s="52">
        <f>IF(ISTEXT(C31)=TRUE,VLOOKUP(C31,CBIMPORT!$A$2:$AL$171,38,FALSE),"")</f>
        <v>0</v>
      </c>
      <c r="DO31" s="52">
        <f>IF(ISTEXT(D31)=TRUE,VLOOKUP(D31,CBIMPORT!$A$2:$AL$171,38,FALSE),"")</f>
        <v>0</v>
      </c>
      <c r="DP31" s="52">
        <f>IF(ISTEXT(E31)=TRUE,VLOOKUP(E31,CBIMPORT!$A$2:$AL$171,38,FALSE),"")</f>
        <v>0</v>
      </c>
      <c r="DQ31" s="52" t="str">
        <f>IF(ISTEXT(F31)=TRUE,VLOOKUP(F31,CBIMPORT!$A$2:$AL$171,38,FALSE),"")</f>
        <v/>
      </c>
      <c r="DR31" s="52" t="str">
        <f>IF(ISTEXT(G31)=TRUE,VLOOKUP(G31,CBIMPORT!$A$2:$AL$171,38,FALSE),"")</f>
        <v/>
      </c>
      <c r="DS31" s="52" t="str">
        <f>IF(ISTEXT(H31)=TRUE,VLOOKUP(H31,CBIMPORT!$A$2:$AL$171,38,FALSE),"")</f>
        <v/>
      </c>
      <c r="DT31" s="52" t="str">
        <f>IF(ISTEXT(I31)=TRUE,VLOOKUP(I31,CBIMPORT!$A$2:$AL$171,38,FALSE),"")</f>
        <v/>
      </c>
      <c r="DU31" s="52" t="str">
        <f>IF(ISTEXT(J31)=TRUE,VLOOKUP(J31,CBIMPORT!$A$2:$AL$171,38,FALSE),"")</f>
        <v/>
      </c>
      <c r="DV31" s="52" t="str">
        <f>IF(ISTEXT(K31)=TRUE,VLOOKUP(K31,CBIMPORT!$A$2:$AL$171,38,FALSE),"")</f>
        <v/>
      </c>
      <c r="DW31" s="52" t="str">
        <f>IF(ISTEXT(L31)=TRUE,VLOOKUP(L31,CBIMPORT!$A$2:$AL$171,38,FALSE),"")</f>
        <v/>
      </c>
      <c r="DX31" s="52" t="str">
        <f>IF(ISTEXT(M31)=TRUE,VLOOKUP(M31,CBIMPORT!$A$2:$AL$171,38,FALSE),"")</f>
        <v/>
      </c>
      <c r="DY31" s="52" t="str">
        <f>IF(ISTEXT(N31)=TRUE,VLOOKUP(N31,CBIMPORT!$A$2:$AL$171,38,FALSE),"")</f>
        <v/>
      </c>
      <c r="DZ31" s="52" t="str">
        <f>IF(ISTEXT(O31)=TRUE,VLOOKUP(O31,CBIMPORT!$A$2:$AL$171,38,FALSE),"")</f>
        <v/>
      </c>
      <c r="EA31" s="52" t="str">
        <f>IF(ISTEXT(P31)=TRUE,VLOOKUP(P31,CBIMPORT!$A$2:$AL$171,38,FALSE),"")</f>
        <v/>
      </c>
      <c r="EB31" s="52" t="str">
        <f>IF(ISTEXT(Q31)=TRUE,VLOOKUP(Q31,CBIMPORT!$A$2:$AL$171,38,FALSE),"")</f>
        <v/>
      </c>
      <c r="EC31" s="52" t="str">
        <f>IF(ISTEXT(R31)=TRUE,VLOOKUP(R31,CBIMPORT!$A$2:$AL$171,38,FALSE),"")</f>
        <v/>
      </c>
      <c r="ED31" s="52" t="str">
        <f>IF(ISTEXT(S31)=TRUE,VLOOKUP(S31,CBIMPORT!$A$2:$AL$171,38,FALSE),"")</f>
        <v/>
      </c>
      <c r="EE31" s="52" t="str">
        <f>IF(ISTEXT(T31)=TRUE,VLOOKUP(T31,CBIMPORT!$A$2:$AL$171,38,FALSE),"")</f>
        <v/>
      </c>
      <c r="EF31" s="64" t="str">
        <f>IF(ISTEXT(U31)=TRUE,VLOOKUP(U31,CBIMPORT!$A$2:$AL$171,38,FALSE),"")</f>
        <v/>
      </c>
      <c r="EG31" s="64"/>
      <c r="EH31" s="64"/>
      <c r="EI31" s="64"/>
      <c r="EJ31" s="64"/>
      <c r="EK31" s="64"/>
      <c r="EL31" s="64"/>
      <c r="EM31" s="64"/>
      <c r="EN31" s="64"/>
      <c r="EO31" s="64"/>
      <c r="EP31" s="64"/>
    </row>
    <row r="32" spans="1:146" x14ac:dyDescent="0.35">
      <c r="A32" s="49" t="str">
        <v>Oxa-Last-Mile</v>
      </c>
      <c r="B32" s="48" t="str" cm="1">
        <f t="array" ref="B32">_xlfn.TEXTJOIN(";",TRUE,IF(ANNOUNCEMENTS!$AH$2:$AH$180=A32,ANNOUNCEMENTS!$K$2:$K$180,""))</f>
        <v>Goggo Network;Ocado Group</v>
      </c>
      <c r="C32" s="55" t="s">
        <v>519</v>
      </c>
      <c r="D32" s="55" t="s">
        <v>837</v>
      </c>
      <c r="E32" s="55"/>
      <c r="F32" s="55"/>
      <c r="G32" s="55"/>
      <c r="H32" s="55"/>
      <c r="I32" s="55"/>
      <c r="J32" s="55"/>
      <c r="K32" s="55"/>
      <c r="L32" s="55"/>
      <c r="M32" s="55"/>
      <c r="N32" s="55"/>
      <c r="O32" s="55"/>
      <c r="P32" s="55"/>
      <c r="Q32" s="55"/>
      <c r="R32" s="55"/>
      <c r="S32" s="55"/>
      <c r="T32" s="55"/>
      <c r="V32" s="56" t="str">
        <f>IF(ISERROR(VLOOKUP(C32,CBIMPORT!$A$2:$B$171,2,FALSE)),0,VLOOKUP(C32,CBIMPORT!$A$2:$B$171,2,FALSE))</f>
        <v>Autonomous mobility network</v>
      </c>
      <c r="W32" s="56" t="str">
        <f>IF(ISERROR(VLOOKUP(D32,CBIMPORT!$A$2:$B$171,2,FALSE)),0,VLOOKUP(D32,CBIMPORT!$A$2:$B$171,2,FALSE))</f>
        <v>Retail</v>
      </c>
      <c r="X32" s="56">
        <f>IF(ISERROR(VLOOKUP(E32,CBIMPORT!$A$2:$B$171,2,FALSE)),0,VLOOKUP(E32,CBIMPORT!$A$2:$B$171,2,FALSE))</f>
        <v>0</v>
      </c>
      <c r="Y32" s="56">
        <f>IF(ISERROR(VLOOKUP(F32,CBIMPORT!$A$2:$B$171,2,FALSE)),0,VLOOKUP(F32,CBIMPORT!$A$2:$B$171,2,FALSE))</f>
        <v>0</v>
      </c>
      <c r="Z32" s="56">
        <f>IF(ISERROR(VLOOKUP(G32,CBIMPORT!$A$2:$B$171,2,FALSE)),0,VLOOKUP(G32,CBIMPORT!$A$2:$B$171,2,FALSE))</f>
        <v>0</v>
      </c>
      <c r="AA32" s="56">
        <f>IF(ISERROR(VLOOKUP(H32,CBIMPORT!$A$2:$B$171,2,FALSE)),0,VLOOKUP(H32,CBIMPORT!$A$2:$B$171,2,FALSE))</f>
        <v>0</v>
      </c>
      <c r="AB32" s="56">
        <f>IF(ISERROR(VLOOKUP(I32,CBIMPORT!$A$2:$B$171,2,FALSE)),0,VLOOKUP(I32,CBIMPORT!$A$2:$B$171,2,FALSE))</f>
        <v>0</v>
      </c>
      <c r="AC32" s="56">
        <f>IF(ISERROR(VLOOKUP(J32,CBIMPORT!$A$2:$B$171,2,FALSE)),0,VLOOKUP(J32,CBIMPORT!$A$2:$B$171,2,FALSE))</f>
        <v>0</v>
      </c>
      <c r="AD32" s="56">
        <f>IF(ISERROR(VLOOKUP(K32,CBIMPORT!$A$2:$B$171,2,FALSE)),0,VLOOKUP(K32,CBIMPORT!$A$2:$B$171,2,FALSE))</f>
        <v>0</v>
      </c>
      <c r="AE32" s="56">
        <f>IF(ISERROR(VLOOKUP(L32,CBIMPORT!$A$2:$B$171,2,FALSE)),0,VLOOKUP(L32,CBIMPORT!$A$2:$B$171,2,FALSE))</f>
        <v>0</v>
      </c>
      <c r="AF32" s="56">
        <f>IF(ISERROR(VLOOKUP(M32,CBIMPORT!$A$2:$B$171,2,FALSE)),0,VLOOKUP(M32,CBIMPORT!$A$2:$B$171,2,FALSE))</f>
        <v>0</v>
      </c>
      <c r="AG32" s="56">
        <f>IF(ISERROR(VLOOKUP(N32,CBIMPORT!$A$2:$B$171,2,FALSE)),0,VLOOKUP(N32,CBIMPORT!$A$2:$B$171,2,FALSE))</f>
        <v>0</v>
      </c>
      <c r="AH32" s="56">
        <f>IF(ISERROR(VLOOKUP(O32,CBIMPORT!$A$2:$B$171,2,FALSE)),0,VLOOKUP(O32,CBIMPORT!$A$2:$B$171,2,FALSE))</f>
        <v>0</v>
      </c>
      <c r="AI32" s="56">
        <f>IF(ISERROR(VLOOKUP(P32,CBIMPORT!$A$2:$B$171,2,FALSE)),0,VLOOKUP(P32,CBIMPORT!$A$2:$B$171,2,FALSE))</f>
        <v>0</v>
      </c>
      <c r="AJ32" s="56">
        <f>IF(ISERROR(VLOOKUP(Q32,CBIMPORT!$A$2:$B$171,2,FALSE)),0,VLOOKUP(Q32,CBIMPORT!$A$2:$B$171,2,FALSE))</f>
        <v>0</v>
      </c>
      <c r="AK32" s="56">
        <f>IF(ISERROR(VLOOKUP(R32,CBIMPORT!$A$2:$B$171,2,FALSE)),0,VLOOKUP(R32,CBIMPORT!$A$2:$B$171,2,FALSE))</f>
        <v>0</v>
      </c>
      <c r="AL32" s="56">
        <f>IF(ISERROR(VLOOKUP(S32,CBIMPORT!$A$2:$B$171,2,FALSE)),0,VLOOKUP(S32,CBIMPORT!$A$2:$B$171,2,FALSE))</f>
        <v>0</v>
      </c>
      <c r="AM32" s="60">
        <f t="shared" si="35"/>
        <v>0</v>
      </c>
      <c r="AN32" s="60">
        <f t="shared" si="47"/>
        <v>0</v>
      </c>
      <c r="AO32" s="60">
        <f t="shared" si="47"/>
        <v>0</v>
      </c>
      <c r="AP32" s="60">
        <f t="shared" si="47"/>
        <v>0</v>
      </c>
      <c r="AQ32" s="60">
        <f t="shared" si="47"/>
        <v>0</v>
      </c>
      <c r="AR32" s="60">
        <f t="shared" si="47"/>
        <v>0</v>
      </c>
      <c r="AS32" s="60">
        <f t="shared" si="47"/>
        <v>0</v>
      </c>
      <c r="AT32" s="60">
        <f t="shared" si="47"/>
        <v>0</v>
      </c>
      <c r="AU32" s="60">
        <f t="shared" si="47"/>
        <v>0</v>
      </c>
      <c r="AV32" s="60">
        <f t="shared" si="47"/>
        <v>0</v>
      </c>
      <c r="AW32" s="60">
        <f t="shared" si="47"/>
        <v>0</v>
      </c>
      <c r="AX32" s="60">
        <f t="shared" si="48"/>
        <v>1</v>
      </c>
      <c r="AY32" s="60">
        <f t="shared" si="48"/>
        <v>0</v>
      </c>
      <c r="AZ32" s="60">
        <f t="shared" si="48"/>
        <v>0</v>
      </c>
      <c r="BA32" s="60">
        <f t="shared" si="48"/>
        <v>0</v>
      </c>
      <c r="BB32" s="60">
        <f t="shared" si="48"/>
        <v>0</v>
      </c>
      <c r="BC32" s="60">
        <f t="shared" si="48"/>
        <v>0</v>
      </c>
      <c r="BD32" s="60">
        <f t="shared" si="48"/>
        <v>0</v>
      </c>
      <c r="BE32" s="60">
        <f t="shared" si="48"/>
        <v>0</v>
      </c>
      <c r="BF32" s="60">
        <f t="shared" si="48"/>
        <v>0</v>
      </c>
      <c r="BG32" s="60">
        <f t="shared" si="48"/>
        <v>0</v>
      </c>
      <c r="BH32" s="60">
        <f t="shared" si="49"/>
        <v>0</v>
      </c>
      <c r="BI32" s="60">
        <f t="shared" si="49"/>
        <v>1</v>
      </c>
      <c r="BJ32" s="60">
        <f t="shared" si="49"/>
        <v>0</v>
      </c>
      <c r="BK32" s="60">
        <f t="shared" si="49"/>
        <v>0</v>
      </c>
      <c r="BL32" s="60">
        <f t="shared" si="49"/>
        <v>0</v>
      </c>
      <c r="BM32" s="60">
        <f t="shared" si="49"/>
        <v>0</v>
      </c>
      <c r="BN32" s="60">
        <f t="shared" si="49"/>
        <v>0</v>
      </c>
      <c r="BO32" s="60">
        <f t="shared" si="49"/>
        <v>0</v>
      </c>
      <c r="BP32" s="60">
        <f t="shared" si="49"/>
        <v>0</v>
      </c>
      <c r="BQ32" s="60">
        <f t="shared" si="49"/>
        <v>0</v>
      </c>
      <c r="BR32" s="60">
        <f t="shared" si="50"/>
        <v>0</v>
      </c>
      <c r="BS32" s="60">
        <f t="shared" si="50"/>
        <v>0</v>
      </c>
      <c r="BT32" s="60">
        <f t="shared" si="50"/>
        <v>0</v>
      </c>
      <c r="BU32" s="60">
        <f t="shared" si="50"/>
        <v>0</v>
      </c>
      <c r="BV32" s="60">
        <f t="shared" si="50"/>
        <v>0</v>
      </c>
      <c r="BW32" s="60"/>
      <c r="BX32" s="63">
        <f t="shared" si="40"/>
        <v>0</v>
      </c>
      <c r="BY32" s="63">
        <f t="shared" si="45"/>
        <v>0</v>
      </c>
      <c r="BZ32" s="63">
        <f t="shared" si="46"/>
        <v>0</v>
      </c>
      <c r="CA32" s="63">
        <f t="shared" si="2"/>
        <v>0</v>
      </c>
      <c r="CB32" s="63">
        <f t="shared" si="3"/>
        <v>0</v>
      </c>
      <c r="CC32" s="63">
        <f t="shared" si="4"/>
        <v>0</v>
      </c>
      <c r="CD32" s="63">
        <f t="shared" si="5"/>
        <v>0</v>
      </c>
      <c r="CE32" s="63">
        <f t="shared" si="6"/>
        <v>0</v>
      </c>
      <c r="CF32" s="63">
        <f t="shared" si="7"/>
        <v>0</v>
      </c>
      <c r="CG32" s="63">
        <f t="shared" si="8"/>
        <v>0</v>
      </c>
      <c r="CH32" s="63">
        <f t="shared" si="9"/>
        <v>0</v>
      </c>
      <c r="CI32" s="63">
        <f t="shared" si="10"/>
        <v>0.5</v>
      </c>
      <c r="CJ32" s="63">
        <f t="shared" si="11"/>
        <v>0</v>
      </c>
      <c r="CK32" s="63">
        <f t="shared" si="12"/>
        <v>0</v>
      </c>
      <c r="CL32" s="63">
        <f t="shared" si="13"/>
        <v>0</v>
      </c>
      <c r="CM32" s="63">
        <f t="shared" si="14"/>
        <v>0</v>
      </c>
      <c r="CN32" s="63">
        <f t="shared" si="15"/>
        <v>0</v>
      </c>
      <c r="CO32" s="63">
        <f t="shared" si="16"/>
        <v>0</v>
      </c>
      <c r="CP32" s="63">
        <f t="shared" si="17"/>
        <v>0</v>
      </c>
      <c r="CQ32" s="63">
        <f t="shared" si="18"/>
        <v>0</v>
      </c>
      <c r="CR32" s="63">
        <f t="shared" si="19"/>
        <v>0</v>
      </c>
      <c r="CS32" s="63">
        <f t="shared" si="20"/>
        <v>0</v>
      </c>
      <c r="CT32" s="63">
        <f t="shared" si="21"/>
        <v>0.5</v>
      </c>
      <c r="CU32" s="63">
        <f t="shared" si="22"/>
        <v>0</v>
      </c>
      <c r="CV32" s="63">
        <f t="shared" si="23"/>
        <v>0</v>
      </c>
      <c r="CW32" s="63">
        <f t="shared" si="24"/>
        <v>0</v>
      </c>
      <c r="CX32" s="63">
        <f t="shared" si="25"/>
        <v>0</v>
      </c>
      <c r="CY32" s="63">
        <f t="shared" si="26"/>
        <v>0</v>
      </c>
      <c r="CZ32" s="63">
        <f t="shared" si="27"/>
        <v>0</v>
      </c>
      <c r="DA32" s="63">
        <f t="shared" si="28"/>
        <v>0</v>
      </c>
      <c r="DB32" s="63">
        <f t="shared" si="29"/>
        <v>0</v>
      </c>
      <c r="DC32" s="63">
        <f t="shared" si="30"/>
        <v>0</v>
      </c>
      <c r="DD32" s="63">
        <f t="shared" si="31"/>
        <v>0</v>
      </c>
      <c r="DE32" s="63">
        <f t="shared" si="32"/>
        <v>0</v>
      </c>
      <c r="DF32" s="63">
        <f t="shared" si="33"/>
        <v>0</v>
      </c>
      <c r="DG32" s="63">
        <f t="shared" si="34"/>
        <v>0</v>
      </c>
      <c r="DH32" s="57" t="str" cm="1">
        <f t="array" ref="DH32">INDEX(_xlfn.ANCHORARRAY($BX$2),0,MATCH(LARGE($BX32:$DG32,1),$BX32:$DG32,0))</f>
        <v>Retail</v>
      </c>
      <c r="DI32" s="58">
        <f>LARGE('Industries all mentioned partne'!$BX32:$DG32,1)</f>
        <v>0.5</v>
      </c>
      <c r="DJ32" s="57" t="str" cm="1">
        <f t="array" ref="DJ32">INDEX(_xlfn.ANCHORARRAY($BX$2),0,MATCH(LARGE($BX32:$DG32,1),$BX32:$DG32,0))</f>
        <v>Retail</v>
      </c>
      <c r="DK32" s="58">
        <f>IF(DI32&lt;&gt;100%,LARGE('Industries all mentioned partne'!$BX32:$DG32,2),"")</f>
        <v>0.5</v>
      </c>
      <c r="DL32" s="57" t="str" cm="1">
        <f t="array" ref="DL32">IF(DM32="","",INDEX(_xlfn.ANCHORARRAY($BX$2),0,MATCH(LARGE($BX32:$DG32,3),$BX32:$DG32,0)))</f>
        <v/>
      </c>
      <c r="DM32" s="110" t="str">
        <f>IF(LARGE('Industries all mentioned partne'!$BX32:$DG32,3)=0%,"",LARGE('Industries all mentioned partne'!$BX32:$DG32,3))</f>
        <v/>
      </c>
      <c r="DN32" s="52">
        <f>IF(ISTEXT(C32)=TRUE,VLOOKUP(C32,CBIMPORT!$A$2:$AL$171,38,FALSE),"")</f>
        <v>0</v>
      </c>
      <c r="DO32" s="52">
        <f>IF(ISTEXT(D32)=TRUE,VLOOKUP(D32,CBIMPORT!$A$2:$AL$171,38,FALSE),"")</f>
        <v>1</v>
      </c>
      <c r="DP32" s="52" t="str">
        <f>IF(ISTEXT(E32)=TRUE,VLOOKUP(E32,CBIMPORT!$A$2:$AL$171,38,FALSE),"")</f>
        <v/>
      </c>
      <c r="DQ32" s="52" t="str">
        <f>IF(ISTEXT(F32)=TRUE,VLOOKUP(F32,CBIMPORT!$A$2:$AL$171,38,FALSE),"")</f>
        <v/>
      </c>
      <c r="DR32" s="52" t="str">
        <f>IF(ISTEXT(G32)=TRUE,VLOOKUP(G32,CBIMPORT!$A$2:$AL$171,38,FALSE),"")</f>
        <v/>
      </c>
      <c r="DS32" s="52" t="str">
        <f>IF(ISTEXT(H32)=TRUE,VLOOKUP(H32,CBIMPORT!$A$2:$AL$171,38,FALSE),"")</f>
        <v/>
      </c>
      <c r="DT32" s="52" t="str">
        <f>IF(ISTEXT(I32)=TRUE,VLOOKUP(I32,CBIMPORT!$A$2:$AL$171,38,FALSE),"")</f>
        <v/>
      </c>
      <c r="DU32" s="52" t="str">
        <f>IF(ISTEXT(J32)=TRUE,VLOOKUP(J32,CBIMPORT!$A$2:$AL$171,38,FALSE),"")</f>
        <v/>
      </c>
      <c r="DV32" s="52" t="str">
        <f>IF(ISTEXT(K32)=TRUE,VLOOKUP(K32,CBIMPORT!$A$2:$AL$171,38,FALSE),"")</f>
        <v/>
      </c>
      <c r="DW32" s="52" t="str">
        <f>IF(ISTEXT(L32)=TRUE,VLOOKUP(L32,CBIMPORT!$A$2:$AL$171,38,FALSE),"")</f>
        <v/>
      </c>
      <c r="DX32" s="52" t="str">
        <f>IF(ISTEXT(M32)=TRUE,VLOOKUP(M32,CBIMPORT!$A$2:$AL$171,38,FALSE),"")</f>
        <v/>
      </c>
      <c r="DY32" s="52" t="str">
        <f>IF(ISTEXT(N32)=TRUE,VLOOKUP(N32,CBIMPORT!$A$2:$AL$171,38,FALSE),"")</f>
        <v/>
      </c>
      <c r="DZ32" s="52" t="str">
        <f>IF(ISTEXT(O32)=TRUE,VLOOKUP(O32,CBIMPORT!$A$2:$AL$171,38,FALSE),"")</f>
        <v/>
      </c>
      <c r="EA32" s="52" t="str">
        <f>IF(ISTEXT(P32)=TRUE,VLOOKUP(P32,CBIMPORT!$A$2:$AL$171,38,FALSE),"")</f>
        <v/>
      </c>
      <c r="EB32" s="52" t="str">
        <f>IF(ISTEXT(Q32)=TRUE,VLOOKUP(Q32,CBIMPORT!$A$2:$AL$171,38,FALSE),"")</f>
        <v/>
      </c>
      <c r="EC32" s="52" t="str">
        <f>IF(ISTEXT(R32)=TRUE,VLOOKUP(R32,CBIMPORT!$A$2:$AL$171,38,FALSE),"")</f>
        <v/>
      </c>
      <c r="ED32" s="52" t="str">
        <f>IF(ISTEXT(S32)=TRUE,VLOOKUP(S32,CBIMPORT!$A$2:$AL$171,38,FALSE),"")</f>
        <v/>
      </c>
      <c r="EE32" s="52" t="str">
        <f>IF(ISTEXT(T32)=TRUE,VLOOKUP(T32,CBIMPORT!$A$2:$AL$171,38,FALSE),"")</f>
        <v/>
      </c>
      <c r="EF32" s="64" t="str">
        <f>IF(ISTEXT(U32)=TRUE,VLOOKUP(U32,CBIMPORT!$A$2:$AL$171,38,FALSE),"")</f>
        <v/>
      </c>
      <c r="EG32" s="64"/>
      <c r="EH32" s="64"/>
      <c r="EI32" s="64"/>
      <c r="EJ32" s="64"/>
      <c r="EK32" s="64"/>
      <c r="EL32" s="64"/>
      <c r="EM32" s="64"/>
      <c r="EN32" s="64"/>
      <c r="EO32" s="64"/>
      <c r="EP32" s="64"/>
    </row>
    <row r="33" spans="1:146" x14ac:dyDescent="0.35">
      <c r="A33" s="49" t="str">
        <v>Oxa-Other</v>
      </c>
      <c r="B33" s="48" t="str" cm="1">
        <f t="array" ref="B33">_xlfn.TEXTJOIN(";",TRUE,IF(ANNOUNCEMENTS!$AH$2:$AH$180=A33,ANNOUNCEMENTS!$K$2:$K$180,""))</f>
        <v>Navtech Radar</v>
      </c>
      <c r="C33" s="55" t="s">
        <v>866</v>
      </c>
      <c r="D33" s="55"/>
      <c r="E33" s="55"/>
      <c r="F33" s="55"/>
      <c r="G33" s="55"/>
      <c r="H33" s="55"/>
      <c r="I33" s="55"/>
      <c r="J33" s="55"/>
      <c r="K33" s="55"/>
      <c r="L33" s="55"/>
      <c r="M33" s="55"/>
      <c r="N33" s="55"/>
      <c r="O33" s="55"/>
      <c r="P33" s="55"/>
      <c r="Q33" s="55"/>
      <c r="R33" s="55"/>
      <c r="S33" s="55"/>
      <c r="T33" s="55"/>
      <c r="V33" s="56" t="str">
        <f>IF(ISERROR(VLOOKUP(C33,CBIMPORT!$A$2:$B$171,2,FALSE)),0,VLOOKUP(C33,CBIMPORT!$A$2:$B$171,2,FALSE))</f>
        <v>Sensor</v>
      </c>
      <c r="W33" s="56">
        <f>IF(ISERROR(VLOOKUP(D33,CBIMPORT!$A$2:$B$171,2,FALSE)),0,VLOOKUP(D33,CBIMPORT!$A$2:$B$171,2,FALSE))</f>
        <v>0</v>
      </c>
      <c r="X33" s="56">
        <f>IF(ISERROR(VLOOKUP(E33,CBIMPORT!$A$2:$B$171,2,FALSE)),0,VLOOKUP(E33,CBIMPORT!$A$2:$B$171,2,FALSE))</f>
        <v>0</v>
      </c>
      <c r="Y33" s="56">
        <f>IF(ISERROR(VLOOKUP(F33,CBIMPORT!$A$2:$B$171,2,FALSE)),0,VLOOKUP(F33,CBIMPORT!$A$2:$B$171,2,FALSE))</f>
        <v>0</v>
      </c>
      <c r="Z33" s="56">
        <f>IF(ISERROR(VLOOKUP(G33,CBIMPORT!$A$2:$B$171,2,FALSE)),0,VLOOKUP(G33,CBIMPORT!$A$2:$B$171,2,FALSE))</f>
        <v>0</v>
      </c>
      <c r="AA33" s="56">
        <f>IF(ISERROR(VLOOKUP(H33,CBIMPORT!$A$2:$B$171,2,FALSE)),0,VLOOKUP(H33,CBIMPORT!$A$2:$B$171,2,FALSE))</f>
        <v>0</v>
      </c>
      <c r="AB33" s="56">
        <f>IF(ISERROR(VLOOKUP(I33,CBIMPORT!$A$2:$B$171,2,FALSE)),0,VLOOKUP(I33,CBIMPORT!$A$2:$B$171,2,FALSE))</f>
        <v>0</v>
      </c>
      <c r="AC33" s="56">
        <f>IF(ISERROR(VLOOKUP(J33,CBIMPORT!$A$2:$B$171,2,FALSE)),0,VLOOKUP(J33,CBIMPORT!$A$2:$B$171,2,FALSE))</f>
        <v>0</v>
      </c>
      <c r="AD33" s="56">
        <f>IF(ISERROR(VLOOKUP(K33,CBIMPORT!$A$2:$B$171,2,FALSE)),0,VLOOKUP(K33,CBIMPORT!$A$2:$B$171,2,FALSE))</f>
        <v>0</v>
      </c>
      <c r="AE33" s="56">
        <f>IF(ISERROR(VLOOKUP(L33,CBIMPORT!$A$2:$B$171,2,FALSE)),0,VLOOKUP(L33,CBIMPORT!$A$2:$B$171,2,FALSE))</f>
        <v>0</v>
      </c>
      <c r="AF33" s="56">
        <f>IF(ISERROR(VLOOKUP(M33,CBIMPORT!$A$2:$B$171,2,FALSE)),0,VLOOKUP(M33,CBIMPORT!$A$2:$B$171,2,FALSE))</f>
        <v>0</v>
      </c>
      <c r="AG33" s="56">
        <f>IF(ISERROR(VLOOKUP(N33,CBIMPORT!$A$2:$B$171,2,FALSE)),0,VLOOKUP(N33,CBIMPORT!$A$2:$B$171,2,FALSE))</f>
        <v>0</v>
      </c>
      <c r="AH33" s="56">
        <f>IF(ISERROR(VLOOKUP(O33,CBIMPORT!$A$2:$B$171,2,FALSE)),0,VLOOKUP(O33,CBIMPORT!$A$2:$B$171,2,FALSE))</f>
        <v>0</v>
      </c>
      <c r="AI33" s="56">
        <f>IF(ISERROR(VLOOKUP(P33,CBIMPORT!$A$2:$B$171,2,FALSE)),0,VLOOKUP(P33,CBIMPORT!$A$2:$B$171,2,FALSE))</f>
        <v>0</v>
      </c>
      <c r="AJ33" s="56">
        <f>IF(ISERROR(VLOOKUP(Q33,CBIMPORT!$A$2:$B$171,2,FALSE)),0,VLOOKUP(Q33,CBIMPORT!$A$2:$B$171,2,FALSE))</f>
        <v>0</v>
      </c>
      <c r="AK33" s="56">
        <f>IF(ISERROR(VLOOKUP(R33,CBIMPORT!$A$2:$B$171,2,FALSE)),0,VLOOKUP(R33,CBIMPORT!$A$2:$B$171,2,FALSE))</f>
        <v>0</v>
      </c>
      <c r="AL33" s="56">
        <f>IF(ISERROR(VLOOKUP(S33,CBIMPORT!$A$2:$B$171,2,FALSE)),0,VLOOKUP(S33,CBIMPORT!$A$2:$B$171,2,FALSE))</f>
        <v>0</v>
      </c>
      <c r="AM33" s="60">
        <f t="shared" si="35"/>
        <v>0</v>
      </c>
      <c r="AN33" s="60">
        <f t="shared" ref="AN33:AW58" si="51">COUNTIF($V33:$AL33,AN$2)</f>
        <v>0</v>
      </c>
      <c r="AO33" s="60">
        <f t="shared" si="51"/>
        <v>0</v>
      </c>
      <c r="AP33" s="60">
        <f t="shared" si="51"/>
        <v>0</v>
      </c>
      <c r="AQ33" s="60">
        <f t="shared" si="51"/>
        <v>0</v>
      </c>
      <c r="AR33" s="60">
        <f t="shared" si="51"/>
        <v>0</v>
      </c>
      <c r="AS33" s="60">
        <f t="shared" si="51"/>
        <v>0</v>
      </c>
      <c r="AT33" s="60">
        <f t="shared" si="51"/>
        <v>0</v>
      </c>
      <c r="AU33" s="60">
        <f t="shared" si="51"/>
        <v>0</v>
      </c>
      <c r="AV33" s="60">
        <f t="shared" si="51"/>
        <v>0</v>
      </c>
      <c r="AW33" s="60">
        <f t="shared" si="51"/>
        <v>0</v>
      </c>
      <c r="AX33" s="60">
        <f t="shared" ref="AX33:BG58" si="52">COUNTIF($V33:$AL33,AX$2)</f>
        <v>0</v>
      </c>
      <c r="AY33" s="60">
        <f t="shared" si="52"/>
        <v>0</v>
      </c>
      <c r="AZ33" s="60">
        <f t="shared" si="52"/>
        <v>0</v>
      </c>
      <c r="BA33" s="60">
        <f t="shared" si="52"/>
        <v>0</v>
      </c>
      <c r="BB33" s="60">
        <f t="shared" si="52"/>
        <v>0</v>
      </c>
      <c r="BC33" s="60">
        <f t="shared" si="52"/>
        <v>0</v>
      </c>
      <c r="BD33" s="60">
        <f t="shared" si="52"/>
        <v>0</v>
      </c>
      <c r="BE33" s="60">
        <f t="shared" si="52"/>
        <v>0</v>
      </c>
      <c r="BF33" s="60">
        <f t="shared" si="52"/>
        <v>0</v>
      </c>
      <c r="BG33" s="60">
        <f t="shared" si="52"/>
        <v>0</v>
      </c>
      <c r="BH33" s="60">
        <f t="shared" ref="BH33:BQ58" si="53">COUNTIF($V33:$AL33,BH$2)</f>
        <v>0</v>
      </c>
      <c r="BI33" s="60">
        <f t="shared" si="53"/>
        <v>0</v>
      </c>
      <c r="BJ33" s="60">
        <f t="shared" si="53"/>
        <v>0</v>
      </c>
      <c r="BK33" s="60">
        <f t="shared" si="53"/>
        <v>0</v>
      </c>
      <c r="BL33" s="60">
        <f t="shared" si="53"/>
        <v>1</v>
      </c>
      <c r="BM33" s="60">
        <f t="shared" si="53"/>
        <v>0</v>
      </c>
      <c r="BN33" s="60">
        <f t="shared" si="53"/>
        <v>0</v>
      </c>
      <c r="BO33" s="60">
        <f t="shared" si="53"/>
        <v>0</v>
      </c>
      <c r="BP33" s="60">
        <f t="shared" si="53"/>
        <v>0</v>
      </c>
      <c r="BQ33" s="60">
        <f t="shared" si="53"/>
        <v>0</v>
      </c>
      <c r="BR33" s="60">
        <f t="shared" ref="BR33:BV58" si="54">COUNTIF($V33:$AL33,BR$2)</f>
        <v>0</v>
      </c>
      <c r="BS33" s="60">
        <f t="shared" si="54"/>
        <v>0</v>
      </c>
      <c r="BT33" s="60">
        <f t="shared" si="54"/>
        <v>0</v>
      </c>
      <c r="BU33" s="60">
        <f t="shared" si="54"/>
        <v>0</v>
      </c>
      <c r="BV33" s="60">
        <f t="shared" si="54"/>
        <v>0</v>
      </c>
      <c r="BW33" s="60"/>
      <c r="BX33" s="63">
        <f t="shared" si="40"/>
        <v>0</v>
      </c>
      <c r="BY33" s="63">
        <f t="shared" si="45"/>
        <v>0</v>
      </c>
      <c r="BZ33" s="63">
        <f t="shared" si="46"/>
        <v>0</v>
      </c>
      <c r="CA33" s="63">
        <f t="shared" si="2"/>
        <v>0</v>
      </c>
      <c r="CB33" s="63">
        <f t="shared" si="3"/>
        <v>0</v>
      </c>
      <c r="CC33" s="63">
        <f t="shared" si="4"/>
        <v>0</v>
      </c>
      <c r="CD33" s="63">
        <f t="shared" si="5"/>
        <v>0</v>
      </c>
      <c r="CE33" s="63">
        <f t="shared" si="6"/>
        <v>0</v>
      </c>
      <c r="CF33" s="63">
        <f t="shared" si="7"/>
        <v>0</v>
      </c>
      <c r="CG33" s="63">
        <f t="shared" si="8"/>
        <v>0</v>
      </c>
      <c r="CH33" s="63">
        <f t="shared" si="9"/>
        <v>0</v>
      </c>
      <c r="CI33" s="63">
        <f t="shared" si="10"/>
        <v>0</v>
      </c>
      <c r="CJ33" s="63">
        <f t="shared" si="11"/>
        <v>0</v>
      </c>
      <c r="CK33" s="63">
        <f t="shared" si="12"/>
        <v>0</v>
      </c>
      <c r="CL33" s="63">
        <f t="shared" si="13"/>
        <v>0</v>
      </c>
      <c r="CM33" s="63">
        <f t="shared" si="14"/>
        <v>0</v>
      </c>
      <c r="CN33" s="63">
        <f t="shared" si="15"/>
        <v>0</v>
      </c>
      <c r="CO33" s="63">
        <f t="shared" si="16"/>
        <v>0</v>
      </c>
      <c r="CP33" s="63">
        <f t="shared" si="17"/>
        <v>0</v>
      </c>
      <c r="CQ33" s="63">
        <f t="shared" si="18"/>
        <v>0</v>
      </c>
      <c r="CR33" s="63">
        <f t="shared" si="19"/>
        <v>0</v>
      </c>
      <c r="CS33" s="63">
        <f t="shared" si="20"/>
        <v>0</v>
      </c>
      <c r="CT33" s="63">
        <f t="shared" si="21"/>
        <v>0</v>
      </c>
      <c r="CU33" s="63">
        <f t="shared" si="22"/>
        <v>0</v>
      </c>
      <c r="CV33" s="63">
        <f t="shared" si="23"/>
        <v>0</v>
      </c>
      <c r="CW33" s="63">
        <f t="shared" si="24"/>
        <v>1</v>
      </c>
      <c r="CX33" s="63">
        <f t="shared" si="25"/>
        <v>0</v>
      </c>
      <c r="CY33" s="63">
        <f t="shared" si="26"/>
        <v>0</v>
      </c>
      <c r="CZ33" s="63">
        <f t="shared" si="27"/>
        <v>0</v>
      </c>
      <c r="DA33" s="63">
        <f t="shared" si="28"/>
        <v>0</v>
      </c>
      <c r="DB33" s="63">
        <f t="shared" si="29"/>
        <v>0</v>
      </c>
      <c r="DC33" s="63">
        <f t="shared" si="30"/>
        <v>0</v>
      </c>
      <c r="DD33" s="63">
        <f t="shared" si="31"/>
        <v>0</v>
      </c>
      <c r="DE33" s="63">
        <f t="shared" si="32"/>
        <v>0</v>
      </c>
      <c r="DF33" s="63">
        <f t="shared" si="33"/>
        <v>0</v>
      </c>
      <c r="DG33" s="63">
        <f t="shared" si="34"/>
        <v>0</v>
      </c>
      <c r="DH33" s="57" t="str" cm="1">
        <f t="array" ref="DH33">INDEX(_xlfn.ANCHORARRAY($BX$2),0,MATCH(LARGE($BX33:$DG33,1),$BX33:$DG33,0))</f>
        <v>Sensor</v>
      </c>
      <c r="DI33" s="58">
        <f>LARGE('Industries all mentioned partne'!$BX33:$DG33,1)</f>
        <v>1</v>
      </c>
      <c r="DJ33" s="57" t="str" cm="1">
        <f t="array" ref="DJ33">IF(DI33&lt;&gt;100%,INDEX(_xlfn.ANCHORARRAY($BX$2),0,MATCH(LARGE($BX33:$DG33,2),$BX33:$DG33,0)),"")</f>
        <v/>
      </c>
      <c r="DK33" s="58" t="str">
        <f>IF(DI33&lt;&gt;100%,LARGE('Industries all mentioned partne'!$BX33:$DG33,2),"")</f>
        <v/>
      </c>
      <c r="DL33" s="57" t="str" cm="1">
        <f t="array" ref="DL33">IF(DM33="","",INDEX(_xlfn.ANCHORARRAY($BX$2),0,MATCH(LARGE($BX33:$DG33,3),$BX33:$DG33,0)))</f>
        <v/>
      </c>
      <c r="DM33" s="110" t="str">
        <f>IF(LARGE('Industries all mentioned partne'!$BX33:$DG33,3)=0%,"",LARGE('Industries all mentioned partne'!$BX33:$DG33,3))</f>
        <v/>
      </c>
      <c r="DN33" s="52">
        <f>IF(ISTEXT(C33)=TRUE,VLOOKUP(C33,CBIMPORT!$A$2:$AL$171,38,FALSE),"")</f>
        <v>0</v>
      </c>
      <c r="DO33" s="52" t="str">
        <f>IF(ISTEXT(D33)=TRUE,VLOOKUP(D33,CBIMPORT!$A$2:$AL$171,38,FALSE),"")</f>
        <v/>
      </c>
      <c r="DP33" s="52" t="str">
        <f>IF(ISTEXT(E33)=TRUE,VLOOKUP(E33,CBIMPORT!$A$2:$AL$171,38,FALSE),"")</f>
        <v/>
      </c>
      <c r="DQ33" s="52" t="str">
        <f>IF(ISTEXT(F33)=TRUE,VLOOKUP(F33,CBIMPORT!$A$2:$AL$171,38,FALSE),"")</f>
        <v/>
      </c>
      <c r="DR33" s="52" t="str">
        <f>IF(ISTEXT(G33)=TRUE,VLOOKUP(G33,CBIMPORT!$A$2:$AL$171,38,FALSE),"")</f>
        <v/>
      </c>
      <c r="DS33" s="52" t="str">
        <f>IF(ISTEXT(H33)=TRUE,VLOOKUP(H33,CBIMPORT!$A$2:$AL$171,38,FALSE),"")</f>
        <v/>
      </c>
      <c r="DT33" s="52" t="str">
        <f>IF(ISTEXT(I33)=TRUE,VLOOKUP(I33,CBIMPORT!$A$2:$AL$171,38,FALSE),"")</f>
        <v/>
      </c>
      <c r="DU33" s="52" t="str">
        <f>IF(ISTEXT(J33)=TRUE,VLOOKUP(J33,CBIMPORT!$A$2:$AL$171,38,FALSE),"")</f>
        <v/>
      </c>
      <c r="DV33" s="52" t="str">
        <f>IF(ISTEXT(K33)=TRUE,VLOOKUP(K33,CBIMPORT!$A$2:$AL$171,38,FALSE),"")</f>
        <v/>
      </c>
      <c r="DW33" s="52" t="str">
        <f>IF(ISTEXT(L33)=TRUE,VLOOKUP(L33,CBIMPORT!$A$2:$AL$171,38,FALSE),"")</f>
        <v/>
      </c>
      <c r="DX33" s="52" t="str">
        <f>IF(ISTEXT(M33)=TRUE,VLOOKUP(M33,CBIMPORT!$A$2:$AL$171,38,FALSE),"")</f>
        <v/>
      </c>
      <c r="DY33" s="52" t="str">
        <f>IF(ISTEXT(N33)=TRUE,VLOOKUP(N33,CBIMPORT!$A$2:$AL$171,38,FALSE),"")</f>
        <v/>
      </c>
      <c r="DZ33" s="52" t="str">
        <f>IF(ISTEXT(O33)=TRUE,VLOOKUP(O33,CBIMPORT!$A$2:$AL$171,38,FALSE),"")</f>
        <v/>
      </c>
      <c r="EA33" s="52" t="str">
        <f>IF(ISTEXT(P33)=TRUE,VLOOKUP(P33,CBIMPORT!$A$2:$AL$171,38,FALSE),"")</f>
        <v/>
      </c>
      <c r="EB33" s="52" t="str">
        <f>IF(ISTEXT(Q33)=TRUE,VLOOKUP(Q33,CBIMPORT!$A$2:$AL$171,38,FALSE),"")</f>
        <v/>
      </c>
      <c r="EC33" s="52" t="str">
        <f>IF(ISTEXT(R33)=TRUE,VLOOKUP(R33,CBIMPORT!$A$2:$AL$171,38,FALSE),"")</f>
        <v/>
      </c>
      <c r="ED33" s="52" t="str">
        <f>IF(ISTEXT(S33)=TRUE,VLOOKUP(S33,CBIMPORT!$A$2:$AL$171,38,FALSE),"")</f>
        <v/>
      </c>
      <c r="EE33" s="52" t="str">
        <f>IF(ISTEXT(T33)=TRUE,VLOOKUP(T33,CBIMPORT!$A$2:$AL$171,38,FALSE),"")</f>
        <v/>
      </c>
      <c r="EF33" s="64" t="str">
        <f>IF(ISTEXT(U33)=TRUE,VLOOKUP(U33,CBIMPORT!$A$2:$AL$171,38,FALSE),"")</f>
        <v/>
      </c>
      <c r="EG33" s="64"/>
      <c r="EH33" s="64"/>
      <c r="EI33" s="64"/>
      <c r="EJ33" s="64"/>
      <c r="EK33" s="64"/>
      <c r="EL33" s="64"/>
      <c r="EM33" s="64"/>
      <c r="EN33" s="64"/>
      <c r="EO33" s="64"/>
      <c r="EP33" s="64"/>
    </row>
    <row r="34" spans="1:146" x14ac:dyDescent="0.35">
      <c r="A34" s="49" t="str">
        <v>Plus.ai-Trucking</v>
      </c>
      <c r="B34" s="48" t="str" cm="1">
        <f t="array" ref="B34">_xlfn.TEXTJOIN(";",TRUE,IF(ANNOUNCEMENTS!$AH$2:$AH$180=A34,ANNOUNCEMENTS!$K$2:$K$180,""))</f>
        <v>Bosch;Minnesota Department of Transportation;Transurban;Goodyear;IVECO;Cummins;Luminar</v>
      </c>
      <c r="C34" s="55" t="s">
        <v>497</v>
      </c>
      <c r="D34" s="55" t="s">
        <v>1971</v>
      </c>
      <c r="E34" s="55" t="s">
        <v>1972</v>
      </c>
      <c r="F34" s="55" t="s">
        <v>507</v>
      </c>
      <c r="G34" s="55" t="s">
        <v>1973</v>
      </c>
      <c r="H34" s="55" t="s">
        <v>480</v>
      </c>
      <c r="I34" s="55" t="s">
        <v>863</v>
      </c>
      <c r="J34" s="55"/>
      <c r="K34" s="55"/>
      <c r="L34" s="55"/>
      <c r="M34" s="55"/>
      <c r="N34" s="55"/>
      <c r="O34" s="55"/>
      <c r="P34" s="55"/>
      <c r="Q34" s="55"/>
      <c r="R34" s="55"/>
      <c r="S34" s="55"/>
      <c r="T34" s="55"/>
      <c r="V34" s="56" t="str">
        <f>IF(ISERROR(VLOOKUP(C34,CBIMPORT!$A$2:$B$171,2,FALSE)),0,VLOOKUP(C34,CBIMPORT!$A$2:$B$171,2,FALSE))</f>
        <v>Automotive Supplier</v>
      </c>
      <c r="W34" s="56" t="str">
        <f>IF(ISERROR(VLOOKUP(D34,CBIMPORT!$A$2:$B$171,2,FALSE)),0,VLOOKUP(D34,CBIMPORT!$A$2:$B$171,2,FALSE))</f>
        <v>Transport Operator</v>
      </c>
      <c r="X34" s="56" t="str">
        <f>IF(ISERROR(VLOOKUP(E34,CBIMPORT!$A$2:$B$171,2,FALSE)),0,VLOOKUP(E34,CBIMPORT!$A$2:$B$171,2,FALSE))</f>
        <v>Transport Operator</v>
      </c>
      <c r="Y34" s="56" t="str">
        <f>IF(ISERROR(VLOOKUP(F34,CBIMPORT!$A$2:$B$171,2,FALSE)),0,VLOOKUP(F34,CBIMPORT!$A$2:$B$171,2,FALSE))</f>
        <v>Automotive Supplier</v>
      </c>
      <c r="Z34" s="56" t="str">
        <f>IF(ISERROR(VLOOKUP(G34,CBIMPORT!$A$2:$B$171,2,FALSE)),0,VLOOKUP(G34,CBIMPORT!$A$2:$B$171,2,FALSE))</f>
        <v>OEM Commercial Vehicles</v>
      </c>
      <c r="AA34" s="56" t="str">
        <f>IF(ISERROR(VLOOKUP(H34,CBIMPORT!$A$2:$B$171,2,FALSE)),0,VLOOKUP(H34,CBIMPORT!$A$2:$B$171,2,FALSE))</f>
        <v>Automotive Supplier</v>
      </c>
      <c r="AB34" s="56" t="str">
        <f>IF(ISERROR(VLOOKUP(I34,CBIMPORT!$A$2:$B$171,2,FALSE)),0,VLOOKUP(I34,CBIMPORT!$A$2:$B$171,2,FALSE))</f>
        <v>Sensor</v>
      </c>
      <c r="AC34" s="56">
        <f>IF(ISERROR(VLOOKUP(J34,CBIMPORT!$A$2:$B$171,2,FALSE)),0,VLOOKUP(J34,CBIMPORT!$A$2:$B$171,2,FALSE))</f>
        <v>0</v>
      </c>
      <c r="AD34" s="56">
        <f>IF(ISERROR(VLOOKUP(K34,CBIMPORT!$A$2:$B$171,2,FALSE)),0,VLOOKUP(K34,CBIMPORT!$A$2:$B$171,2,FALSE))</f>
        <v>0</v>
      </c>
      <c r="AE34" s="56">
        <f>IF(ISERROR(VLOOKUP(L34,CBIMPORT!$A$2:$B$171,2,FALSE)),0,VLOOKUP(L34,CBIMPORT!$A$2:$B$171,2,FALSE))</f>
        <v>0</v>
      </c>
      <c r="AF34" s="56">
        <f>IF(ISERROR(VLOOKUP(M34,CBIMPORT!$A$2:$B$171,2,FALSE)),0,VLOOKUP(M34,CBIMPORT!$A$2:$B$171,2,FALSE))</f>
        <v>0</v>
      </c>
      <c r="AG34" s="56">
        <f>IF(ISERROR(VLOOKUP(N34,CBIMPORT!$A$2:$B$171,2,FALSE)),0,VLOOKUP(N34,CBIMPORT!$A$2:$B$171,2,FALSE))</f>
        <v>0</v>
      </c>
      <c r="AH34" s="56">
        <f>IF(ISERROR(VLOOKUP(O34,CBIMPORT!$A$2:$B$171,2,FALSE)),0,VLOOKUP(O34,CBIMPORT!$A$2:$B$171,2,FALSE))</f>
        <v>0</v>
      </c>
      <c r="AI34" s="56">
        <f>IF(ISERROR(VLOOKUP(P34,CBIMPORT!$A$2:$B$171,2,FALSE)),0,VLOOKUP(P34,CBIMPORT!$A$2:$B$171,2,FALSE))</f>
        <v>0</v>
      </c>
      <c r="AJ34" s="56">
        <f>IF(ISERROR(VLOOKUP(Q34,CBIMPORT!$A$2:$B$171,2,FALSE)),0,VLOOKUP(Q34,CBIMPORT!$A$2:$B$171,2,FALSE))</f>
        <v>0</v>
      </c>
      <c r="AK34" s="56">
        <f>IF(ISERROR(VLOOKUP(R34,CBIMPORT!$A$2:$B$171,2,FALSE)),0,VLOOKUP(R34,CBIMPORT!$A$2:$B$171,2,FALSE))</f>
        <v>0</v>
      </c>
      <c r="AL34" s="56">
        <f>IF(ISERROR(VLOOKUP(S34,CBIMPORT!$A$2:$B$171,2,FALSE)),0,VLOOKUP(S34,CBIMPORT!$A$2:$B$171,2,FALSE))</f>
        <v>0</v>
      </c>
      <c r="AM34" s="60">
        <f t="shared" si="35"/>
        <v>0</v>
      </c>
      <c r="AN34" s="60">
        <f t="shared" si="51"/>
        <v>1</v>
      </c>
      <c r="AO34" s="60">
        <f t="shared" si="51"/>
        <v>2</v>
      </c>
      <c r="AP34" s="60">
        <f t="shared" si="51"/>
        <v>0</v>
      </c>
      <c r="AQ34" s="60">
        <f t="shared" si="51"/>
        <v>0</v>
      </c>
      <c r="AR34" s="60">
        <f t="shared" si="51"/>
        <v>0</v>
      </c>
      <c r="AS34" s="60">
        <f t="shared" si="51"/>
        <v>0</v>
      </c>
      <c r="AT34" s="60">
        <f t="shared" si="51"/>
        <v>0</v>
      </c>
      <c r="AU34" s="60">
        <f t="shared" si="51"/>
        <v>0</v>
      </c>
      <c r="AV34" s="60">
        <f t="shared" si="51"/>
        <v>0</v>
      </c>
      <c r="AW34" s="60">
        <f t="shared" si="51"/>
        <v>0</v>
      </c>
      <c r="AX34" s="60">
        <f t="shared" si="52"/>
        <v>0</v>
      </c>
      <c r="AY34" s="60">
        <f t="shared" si="52"/>
        <v>0</v>
      </c>
      <c r="AZ34" s="60">
        <f t="shared" si="52"/>
        <v>3</v>
      </c>
      <c r="BA34" s="60">
        <f t="shared" si="52"/>
        <v>0</v>
      </c>
      <c r="BB34" s="60">
        <f t="shared" si="52"/>
        <v>0</v>
      </c>
      <c r="BC34" s="60">
        <f t="shared" si="52"/>
        <v>0</v>
      </c>
      <c r="BD34" s="60">
        <f t="shared" si="52"/>
        <v>0</v>
      </c>
      <c r="BE34" s="60">
        <f t="shared" si="52"/>
        <v>0</v>
      </c>
      <c r="BF34" s="60">
        <f t="shared" si="52"/>
        <v>0</v>
      </c>
      <c r="BG34" s="60">
        <f t="shared" si="52"/>
        <v>0</v>
      </c>
      <c r="BH34" s="60">
        <f t="shared" si="53"/>
        <v>0</v>
      </c>
      <c r="BI34" s="60">
        <f t="shared" si="53"/>
        <v>0</v>
      </c>
      <c r="BJ34" s="60">
        <f t="shared" si="53"/>
        <v>0</v>
      </c>
      <c r="BK34" s="60">
        <f t="shared" si="53"/>
        <v>0</v>
      </c>
      <c r="BL34" s="60">
        <f t="shared" si="53"/>
        <v>1</v>
      </c>
      <c r="BM34" s="60">
        <f t="shared" si="53"/>
        <v>0</v>
      </c>
      <c r="BN34" s="60">
        <f t="shared" si="53"/>
        <v>0</v>
      </c>
      <c r="BO34" s="60">
        <f t="shared" si="53"/>
        <v>0</v>
      </c>
      <c r="BP34" s="60">
        <f t="shared" si="53"/>
        <v>0</v>
      </c>
      <c r="BQ34" s="60">
        <f t="shared" si="53"/>
        <v>0</v>
      </c>
      <c r="BR34" s="60">
        <f t="shared" si="54"/>
        <v>0</v>
      </c>
      <c r="BS34" s="60">
        <f t="shared" si="54"/>
        <v>0</v>
      </c>
      <c r="BT34" s="60">
        <f t="shared" si="54"/>
        <v>0</v>
      </c>
      <c r="BU34" s="60">
        <f t="shared" si="54"/>
        <v>0</v>
      </c>
      <c r="BV34" s="60">
        <f t="shared" si="54"/>
        <v>0</v>
      </c>
      <c r="BW34" s="60"/>
      <c r="BX34" s="63">
        <f t="shared" si="40"/>
        <v>0</v>
      </c>
      <c r="BY34" s="63">
        <f t="shared" si="45"/>
        <v>0.14285714285714285</v>
      </c>
      <c r="BZ34" s="63">
        <f t="shared" si="46"/>
        <v>0.2857142857142857</v>
      </c>
      <c r="CA34" s="63">
        <f t="shared" si="2"/>
        <v>0</v>
      </c>
      <c r="CB34" s="63">
        <f t="shared" si="3"/>
        <v>0</v>
      </c>
      <c r="CC34" s="63">
        <f t="shared" si="4"/>
        <v>0</v>
      </c>
      <c r="CD34" s="63">
        <f t="shared" si="5"/>
        <v>0</v>
      </c>
      <c r="CE34" s="63">
        <f t="shared" si="6"/>
        <v>0</v>
      </c>
      <c r="CF34" s="63">
        <f t="shared" si="7"/>
        <v>0</v>
      </c>
      <c r="CG34" s="63">
        <f t="shared" si="8"/>
        <v>0</v>
      </c>
      <c r="CH34" s="63">
        <f t="shared" si="9"/>
        <v>0</v>
      </c>
      <c r="CI34" s="63">
        <f t="shared" si="10"/>
        <v>0</v>
      </c>
      <c r="CJ34" s="63">
        <f t="shared" si="11"/>
        <v>0</v>
      </c>
      <c r="CK34" s="63">
        <f t="shared" si="12"/>
        <v>0.42857142857142855</v>
      </c>
      <c r="CL34" s="63">
        <f t="shared" si="13"/>
        <v>0</v>
      </c>
      <c r="CM34" s="63">
        <f t="shared" si="14"/>
        <v>0</v>
      </c>
      <c r="CN34" s="63">
        <f t="shared" si="15"/>
        <v>0</v>
      </c>
      <c r="CO34" s="63">
        <f t="shared" si="16"/>
        <v>0</v>
      </c>
      <c r="CP34" s="63">
        <f t="shared" si="17"/>
        <v>0</v>
      </c>
      <c r="CQ34" s="63">
        <f t="shared" si="18"/>
        <v>0</v>
      </c>
      <c r="CR34" s="63">
        <f t="shared" si="19"/>
        <v>0</v>
      </c>
      <c r="CS34" s="63">
        <f t="shared" si="20"/>
        <v>0</v>
      </c>
      <c r="CT34" s="63">
        <f t="shared" si="21"/>
        <v>0</v>
      </c>
      <c r="CU34" s="63">
        <f t="shared" si="22"/>
        <v>0</v>
      </c>
      <c r="CV34" s="63">
        <f t="shared" si="23"/>
        <v>0</v>
      </c>
      <c r="CW34" s="63">
        <f t="shared" si="24"/>
        <v>0.14285714285714285</v>
      </c>
      <c r="CX34" s="63">
        <f t="shared" si="25"/>
        <v>0</v>
      </c>
      <c r="CY34" s="63">
        <f t="shared" si="26"/>
        <v>0</v>
      </c>
      <c r="CZ34" s="63">
        <f t="shared" si="27"/>
        <v>0</v>
      </c>
      <c r="DA34" s="63">
        <f t="shared" si="28"/>
        <v>0</v>
      </c>
      <c r="DB34" s="63">
        <f t="shared" si="29"/>
        <v>0</v>
      </c>
      <c r="DC34" s="63">
        <f t="shared" si="30"/>
        <v>0</v>
      </c>
      <c r="DD34" s="63">
        <f t="shared" si="31"/>
        <v>0</v>
      </c>
      <c r="DE34" s="63">
        <f t="shared" si="32"/>
        <v>0</v>
      </c>
      <c r="DF34" s="63">
        <f t="shared" si="33"/>
        <v>0</v>
      </c>
      <c r="DG34" s="63">
        <f t="shared" si="34"/>
        <v>0</v>
      </c>
      <c r="DH34" s="57" t="str" cm="1">
        <f t="array" ref="DH34">INDEX(_xlfn.ANCHORARRAY($BX$2),0,MATCH(LARGE($BX34:$DG34,1),$BX34:$DG34,0))</f>
        <v>Automotive Supplier</v>
      </c>
      <c r="DI34" s="58">
        <f>LARGE('Industries all mentioned partne'!$BX34:$DG34,1)</f>
        <v>0.42857142857142855</v>
      </c>
      <c r="DJ34" s="57" t="str" cm="1">
        <f t="array" ref="DJ34">IF(DI34&lt;&gt;100%,INDEX(_xlfn.ANCHORARRAY($BX$2),0,MATCH(LARGE($BX34:$DG34,2),$BX34:$DG34,0)),"")</f>
        <v>Transport Operator</v>
      </c>
      <c r="DK34" s="58">
        <f>IF(DI34&lt;&gt;100%,LARGE('Industries all mentioned partne'!$BX34:$DG34,2),"")</f>
        <v>0.2857142857142857</v>
      </c>
      <c r="DL34" s="57" t="str" cm="1">
        <f t="array" ref="DL34">IF(DM34="","",INDEX(_xlfn.ANCHORARRAY($BX$2),0,MATCH(LARGE($BX34:$DG34,3),$BX34:$DG34,0)))</f>
        <v>OEM Commercial Vehicles</v>
      </c>
      <c r="DM34" s="110">
        <f>IF(LARGE('Industries all mentioned partne'!$BX34:$DG34,3)=0%,"",LARGE('Industries all mentioned partne'!$BX34:$DG34,3))</f>
        <v>0.14285714285714285</v>
      </c>
      <c r="DN34" s="52">
        <f>IF(ISTEXT(C34)=TRUE,VLOOKUP(C34,CBIMPORT!$A$2:$AL$171,38,FALSE),"")</f>
        <v>0</v>
      </c>
      <c r="DO34" s="52">
        <f>IF(ISTEXT(D34)=TRUE,VLOOKUP(D34,CBIMPORT!$A$2:$AL$171,38,FALSE),"")</f>
        <v>0</v>
      </c>
      <c r="DP34" s="52">
        <f>IF(ISTEXT(E34)=TRUE,VLOOKUP(E34,CBIMPORT!$A$2:$AL$171,38,FALSE),"")</f>
        <v>0</v>
      </c>
      <c r="DQ34" s="52">
        <f>IF(ISTEXT(F34)=TRUE,VLOOKUP(F34,CBIMPORT!$A$2:$AL$171,38,FALSE),"")</f>
        <v>0</v>
      </c>
      <c r="DR34" s="52">
        <f>IF(ISTEXT(G34)=TRUE,VLOOKUP(G34,CBIMPORT!$A$2:$AL$171,38,FALSE),"")</f>
        <v>0</v>
      </c>
      <c r="DS34" s="52">
        <f>IF(ISTEXT(H34)=TRUE,VLOOKUP(H34,CBIMPORT!$A$2:$AL$171,38,FALSE),"")</f>
        <v>1</v>
      </c>
      <c r="DT34" s="52">
        <f>IF(ISTEXT(I34)=TRUE,VLOOKUP(I34,CBIMPORT!$A$2:$AL$171,38,FALSE),"")</f>
        <v>1</v>
      </c>
      <c r="DU34" s="52" t="str">
        <f>IF(ISTEXT(J34)=TRUE,VLOOKUP(J34,CBIMPORT!$A$2:$AL$171,38,FALSE),"")</f>
        <v/>
      </c>
      <c r="DV34" s="52" t="str">
        <f>IF(ISTEXT(K34)=TRUE,VLOOKUP(K34,CBIMPORT!$A$2:$AL$171,38,FALSE),"")</f>
        <v/>
      </c>
      <c r="DW34" s="52" t="str">
        <f>IF(ISTEXT(L34)=TRUE,VLOOKUP(L34,CBIMPORT!$A$2:$AL$171,38,FALSE),"")</f>
        <v/>
      </c>
      <c r="DX34" s="52" t="str">
        <f>IF(ISTEXT(M34)=TRUE,VLOOKUP(M34,CBIMPORT!$A$2:$AL$171,38,FALSE),"")</f>
        <v/>
      </c>
      <c r="DY34" s="52" t="str">
        <f>IF(ISTEXT(N34)=TRUE,VLOOKUP(N34,CBIMPORT!$A$2:$AL$171,38,FALSE),"")</f>
        <v/>
      </c>
      <c r="DZ34" s="52" t="str">
        <f>IF(ISTEXT(O34)=TRUE,VLOOKUP(O34,CBIMPORT!$A$2:$AL$171,38,FALSE),"")</f>
        <v/>
      </c>
      <c r="EA34" s="52" t="str">
        <f>IF(ISTEXT(P34)=TRUE,VLOOKUP(P34,CBIMPORT!$A$2:$AL$171,38,FALSE),"")</f>
        <v/>
      </c>
      <c r="EB34" s="52" t="str">
        <f>IF(ISTEXT(Q34)=TRUE,VLOOKUP(Q34,CBIMPORT!$A$2:$AL$171,38,FALSE),"")</f>
        <v/>
      </c>
      <c r="EC34" s="52" t="str">
        <f>IF(ISTEXT(R34)=TRUE,VLOOKUP(R34,CBIMPORT!$A$2:$AL$171,38,FALSE),"")</f>
        <v/>
      </c>
      <c r="ED34" s="52" t="str">
        <f>IF(ISTEXT(S34)=TRUE,VLOOKUP(S34,CBIMPORT!$A$2:$AL$171,38,FALSE),"")</f>
        <v/>
      </c>
      <c r="EE34" s="52" t="str">
        <f>IF(ISTEXT(T34)=TRUE,VLOOKUP(T34,CBIMPORT!$A$2:$AL$171,38,FALSE),"")</f>
        <v/>
      </c>
      <c r="EF34" s="64" t="str">
        <f>IF(ISTEXT(U34)=TRUE,VLOOKUP(U34,CBIMPORT!$A$2:$AL$171,38,FALSE),"")</f>
        <v/>
      </c>
      <c r="EG34" s="64"/>
      <c r="EH34" s="64"/>
      <c r="EI34" s="64"/>
      <c r="EJ34" s="64"/>
      <c r="EK34" s="64"/>
      <c r="EL34" s="64"/>
      <c r="EM34" s="64"/>
      <c r="EN34" s="64"/>
      <c r="EO34" s="64"/>
      <c r="EP34" s="64"/>
    </row>
    <row r="35" spans="1:146" x14ac:dyDescent="0.35">
      <c r="A35" s="49" t="str">
        <v>Pony.ai-Ridehailing</v>
      </c>
      <c r="B35" s="48" t="str" cm="1">
        <f t="array" ref="B35">_xlfn.TEXTJOIN(";",TRUE,IF(ANNOUNCEMENTS!$AH$2:$AH$180=A35,ANNOUNCEMENTS!$K$2:$K$180,""))</f>
        <v>Toyota;Onsemi;Horizon Robotics;Toyota;Luminar;Sinotrans</v>
      </c>
      <c r="C35" s="55" t="s">
        <v>774</v>
      </c>
      <c r="D35" s="55" t="s">
        <v>859</v>
      </c>
      <c r="E35" s="55" t="s">
        <v>527</v>
      </c>
      <c r="F35" s="55" t="s">
        <v>774</v>
      </c>
      <c r="G35" s="55" t="s">
        <v>863</v>
      </c>
      <c r="H35" s="55" t="s">
        <v>702</v>
      </c>
      <c r="I35" s="55"/>
      <c r="J35" s="55"/>
      <c r="K35" s="55"/>
      <c r="L35" s="55"/>
      <c r="M35" s="55"/>
      <c r="N35" s="55"/>
      <c r="O35" s="55"/>
      <c r="P35" s="55"/>
      <c r="Q35" s="55"/>
      <c r="R35" s="55"/>
      <c r="S35" s="55"/>
      <c r="T35" s="55"/>
      <c r="V35" s="56" t="str">
        <f>IF(ISERROR(VLOOKUP(C35,CBIMPORT!$A$2:$B$171,2,FALSE)),0,VLOOKUP(C35,CBIMPORT!$A$2:$B$171,2,FALSE))</f>
        <v>OEM</v>
      </c>
      <c r="W35" s="56" t="str">
        <f>IF(ISERROR(VLOOKUP(D35,CBIMPORT!$A$2:$B$171,2,FALSE)),0,VLOOKUP(D35,CBIMPORT!$A$2:$B$171,2,FALSE))</f>
        <v>Semiconductor</v>
      </c>
      <c r="X35" s="56" t="str">
        <f>IF(ISERROR(VLOOKUP(E35,CBIMPORT!$A$2:$B$171,2,FALSE)),0,VLOOKUP(E35,CBIMPORT!$A$2:$B$171,2,FALSE))</f>
        <v>Autonomous Vehicles</v>
      </c>
      <c r="Y35" s="56" t="str">
        <f>IF(ISERROR(VLOOKUP(F35,CBIMPORT!$A$2:$B$171,2,FALSE)),0,VLOOKUP(F35,CBIMPORT!$A$2:$B$171,2,FALSE))</f>
        <v>OEM</v>
      </c>
      <c r="Z35" s="56" t="str">
        <f>IF(ISERROR(VLOOKUP(G35,CBIMPORT!$A$2:$B$171,2,FALSE)),0,VLOOKUP(G35,CBIMPORT!$A$2:$B$171,2,FALSE))</f>
        <v>Sensor</v>
      </c>
      <c r="AA35" s="56" t="str">
        <f>IF(ISERROR(VLOOKUP(H35,CBIMPORT!$A$2:$B$171,2,FALSE)),0,VLOOKUP(H35,CBIMPORT!$A$2:$B$171,2,FALSE))</f>
        <v>Logistics</v>
      </c>
      <c r="AB35" s="56">
        <f>IF(ISERROR(VLOOKUP(I35,CBIMPORT!$A$2:$B$171,2,FALSE)),0,VLOOKUP(I35,CBIMPORT!$A$2:$B$171,2,FALSE))</f>
        <v>0</v>
      </c>
      <c r="AC35" s="56">
        <f>IF(ISERROR(VLOOKUP(J35,CBIMPORT!$A$2:$B$171,2,FALSE)),0,VLOOKUP(J35,CBIMPORT!$A$2:$B$171,2,FALSE))</f>
        <v>0</v>
      </c>
      <c r="AD35" s="56">
        <f>IF(ISERROR(VLOOKUP(K35,CBIMPORT!$A$2:$B$171,2,FALSE)),0,VLOOKUP(K35,CBIMPORT!$A$2:$B$171,2,FALSE))</f>
        <v>0</v>
      </c>
      <c r="AE35" s="56">
        <f>IF(ISERROR(VLOOKUP(L35,CBIMPORT!$A$2:$B$171,2,FALSE)),0,VLOOKUP(L35,CBIMPORT!$A$2:$B$171,2,FALSE))</f>
        <v>0</v>
      </c>
      <c r="AF35" s="56">
        <f>IF(ISERROR(VLOOKUP(M35,CBIMPORT!$A$2:$B$171,2,FALSE)),0,VLOOKUP(M35,CBIMPORT!$A$2:$B$171,2,FALSE))</f>
        <v>0</v>
      </c>
      <c r="AG35" s="56">
        <f>IF(ISERROR(VLOOKUP(N35,CBIMPORT!$A$2:$B$171,2,FALSE)),0,VLOOKUP(N35,CBIMPORT!$A$2:$B$171,2,FALSE))</f>
        <v>0</v>
      </c>
      <c r="AH35" s="56">
        <f>IF(ISERROR(VLOOKUP(O35,CBIMPORT!$A$2:$B$171,2,FALSE)),0,VLOOKUP(O35,CBIMPORT!$A$2:$B$171,2,FALSE))</f>
        <v>0</v>
      </c>
      <c r="AI35" s="56">
        <f>IF(ISERROR(VLOOKUP(P35,CBIMPORT!$A$2:$B$171,2,FALSE)),0,VLOOKUP(P35,CBIMPORT!$A$2:$B$171,2,FALSE))</f>
        <v>0</v>
      </c>
      <c r="AJ35" s="56">
        <f>IF(ISERROR(VLOOKUP(Q35,CBIMPORT!$A$2:$B$171,2,FALSE)),0,VLOOKUP(Q35,CBIMPORT!$A$2:$B$171,2,FALSE))</f>
        <v>0</v>
      </c>
      <c r="AK35" s="56">
        <f>IF(ISERROR(VLOOKUP(R35,CBIMPORT!$A$2:$B$171,2,FALSE)),0,VLOOKUP(R35,CBIMPORT!$A$2:$B$171,2,FALSE))</f>
        <v>0</v>
      </c>
      <c r="AL35" s="56">
        <f>IF(ISERROR(VLOOKUP(S35,CBIMPORT!$A$2:$B$171,2,FALSE)),0,VLOOKUP(S35,CBIMPORT!$A$2:$B$171,2,FALSE))</f>
        <v>0</v>
      </c>
      <c r="AM35" s="60">
        <f t="shared" si="35"/>
        <v>1</v>
      </c>
      <c r="AN35" s="60">
        <f t="shared" si="51"/>
        <v>0</v>
      </c>
      <c r="AO35" s="60">
        <f t="shared" si="51"/>
        <v>0</v>
      </c>
      <c r="AP35" s="60">
        <f t="shared" si="51"/>
        <v>0</v>
      </c>
      <c r="AQ35" s="60">
        <f t="shared" si="51"/>
        <v>0</v>
      </c>
      <c r="AR35" s="60">
        <f t="shared" si="51"/>
        <v>0</v>
      </c>
      <c r="AS35" s="60">
        <f t="shared" si="51"/>
        <v>1</v>
      </c>
      <c r="AT35" s="60">
        <f t="shared" si="51"/>
        <v>0</v>
      </c>
      <c r="AU35" s="60">
        <f t="shared" si="51"/>
        <v>0</v>
      </c>
      <c r="AV35" s="60">
        <f t="shared" si="51"/>
        <v>0</v>
      </c>
      <c r="AW35" s="60">
        <f t="shared" si="51"/>
        <v>0</v>
      </c>
      <c r="AX35" s="60">
        <f t="shared" si="52"/>
        <v>0</v>
      </c>
      <c r="AY35" s="60">
        <f t="shared" si="52"/>
        <v>0</v>
      </c>
      <c r="AZ35" s="60">
        <f t="shared" si="52"/>
        <v>0</v>
      </c>
      <c r="BA35" s="60">
        <f t="shared" si="52"/>
        <v>0</v>
      </c>
      <c r="BB35" s="60">
        <f t="shared" si="52"/>
        <v>0</v>
      </c>
      <c r="BC35" s="60">
        <f t="shared" si="52"/>
        <v>0</v>
      </c>
      <c r="BD35" s="60">
        <f t="shared" si="52"/>
        <v>0</v>
      </c>
      <c r="BE35" s="60">
        <f t="shared" si="52"/>
        <v>2</v>
      </c>
      <c r="BF35" s="60">
        <f t="shared" si="52"/>
        <v>0</v>
      </c>
      <c r="BG35" s="60">
        <f t="shared" si="52"/>
        <v>0</v>
      </c>
      <c r="BH35" s="60">
        <f t="shared" si="53"/>
        <v>0</v>
      </c>
      <c r="BI35" s="60">
        <f t="shared" si="53"/>
        <v>0</v>
      </c>
      <c r="BJ35" s="60">
        <f t="shared" si="53"/>
        <v>1</v>
      </c>
      <c r="BK35" s="60">
        <f t="shared" si="53"/>
        <v>0</v>
      </c>
      <c r="BL35" s="60">
        <f t="shared" si="53"/>
        <v>1</v>
      </c>
      <c r="BM35" s="60">
        <f t="shared" si="53"/>
        <v>0</v>
      </c>
      <c r="BN35" s="60">
        <f t="shared" si="53"/>
        <v>0</v>
      </c>
      <c r="BO35" s="60">
        <f t="shared" si="53"/>
        <v>0</v>
      </c>
      <c r="BP35" s="60">
        <f t="shared" si="53"/>
        <v>0</v>
      </c>
      <c r="BQ35" s="60">
        <f t="shared" si="53"/>
        <v>0</v>
      </c>
      <c r="BR35" s="60">
        <f t="shared" si="54"/>
        <v>0</v>
      </c>
      <c r="BS35" s="60">
        <f t="shared" si="54"/>
        <v>0</v>
      </c>
      <c r="BT35" s="60">
        <f t="shared" si="54"/>
        <v>0</v>
      </c>
      <c r="BU35" s="60">
        <f t="shared" si="54"/>
        <v>0</v>
      </c>
      <c r="BV35" s="60">
        <f t="shared" si="54"/>
        <v>0</v>
      </c>
      <c r="BW35" s="60"/>
      <c r="BX35" s="63">
        <f t="shared" si="40"/>
        <v>0.16666666666666666</v>
      </c>
      <c r="BY35" s="63">
        <f t="shared" si="45"/>
        <v>0</v>
      </c>
      <c r="BZ35" s="63">
        <f t="shared" si="46"/>
        <v>0</v>
      </c>
      <c r="CA35" s="63">
        <f t="shared" si="2"/>
        <v>0</v>
      </c>
      <c r="CB35" s="63">
        <f t="shared" si="3"/>
        <v>0</v>
      </c>
      <c r="CC35" s="63">
        <f t="shared" si="4"/>
        <v>0</v>
      </c>
      <c r="CD35" s="63">
        <f t="shared" si="5"/>
        <v>0.16666666666666666</v>
      </c>
      <c r="CE35" s="63">
        <f t="shared" si="6"/>
        <v>0</v>
      </c>
      <c r="CF35" s="63">
        <f t="shared" si="7"/>
        <v>0</v>
      </c>
      <c r="CG35" s="63">
        <f t="shared" si="8"/>
        <v>0</v>
      </c>
      <c r="CH35" s="63">
        <f t="shared" si="9"/>
        <v>0</v>
      </c>
      <c r="CI35" s="63">
        <f t="shared" si="10"/>
        <v>0</v>
      </c>
      <c r="CJ35" s="63">
        <f t="shared" si="11"/>
        <v>0</v>
      </c>
      <c r="CK35" s="63">
        <f t="shared" si="12"/>
        <v>0</v>
      </c>
      <c r="CL35" s="63">
        <f t="shared" si="13"/>
        <v>0</v>
      </c>
      <c r="CM35" s="63">
        <f t="shared" si="14"/>
        <v>0</v>
      </c>
      <c r="CN35" s="63">
        <f t="shared" si="15"/>
        <v>0</v>
      </c>
      <c r="CO35" s="63">
        <f t="shared" si="16"/>
        <v>0</v>
      </c>
      <c r="CP35" s="63">
        <f t="shared" si="17"/>
        <v>0.33333333333333331</v>
      </c>
      <c r="CQ35" s="63">
        <f t="shared" si="18"/>
        <v>0</v>
      </c>
      <c r="CR35" s="63">
        <f t="shared" si="19"/>
        <v>0</v>
      </c>
      <c r="CS35" s="63">
        <f t="shared" si="20"/>
        <v>0</v>
      </c>
      <c r="CT35" s="63">
        <f t="shared" si="21"/>
        <v>0</v>
      </c>
      <c r="CU35" s="63">
        <f t="shared" si="22"/>
        <v>0.16666666666666666</v>
      </c>
      <c r="CV35" s="63">
        <f t="shared" si="23"/>
        <v>0</v>
      </c>
      <c r="CW35" s="63">
        <f t="shared" si="24"/>
        <v>0.16666666666666666</v>
      </c>
      <c r="CX35" s="63">
        <f t="shared" si="25"/>
        <v>0</v>
      </c>
      <c r="CY35" s="63">
        <f t="shared" si="26"/>
        <v>0</v>
      </c>
      <c r="CZ35" s="63">
        <f t="shared" si="27"/>
        <v>0</v>
      </c>
      <c r="DA35" s="63">
        <f t="shared" si="28"/>
        <v>0</v>
      </c>
      <c r="DB35" s="63">
        <f t="shared" si="29"/>
        <v>0</v>
      </c>
      <c r="DC35" s="63">
        <f t="shared" si="30"/>
        <v>0</v>
      </c>
      <c r="DD35" s="63">
        <f t="shared" si="31"/>
        <v>0</v>
      </c>
      <c r="DE35" s="63">
        <f t="shared" si="32"/>
        <v>0</v>
      </c>
      <c r="DF35" s="63">
        <f t="shared" si="33"/>
        <v>0</v>
      </c>
      <c r="DG35" s="63">
        <f t="shared" si="34"/>
        <v>0</v>
      </c>
      <c r="DH35" s="57" t="str" cm="1">
        <f t="array" ref="DH35">INDEX(_xlfn.ANCHORARRAY($BX$2),0,MATCH(LARGE($BX35:$DG35,1),$BX35:$DG35,0))</f>
        <v>OEM</v>
      </c>
      <c r="DI35" s="58">
        <f>LARGE('Industries all mentioned partne'!$BX35:$DG35,1)</f>
        <v>0.33333333333333331</v>
      </c>
      <c r="DJ35" s="57" t="str" cm="1">
        <f t="array" ref="DJ35">IF(DI35&lt;&gt;100%,INDEX(_xlfn.ANCHORARRAY($BX$2),0,MATCH(LARGE($BX35:$DG35,2),$BX35:$DG35,0)),"")</f>
        <v>Autonomous Vehicles</v>
      </c>
      <c r="DK35" s="58">
        <f>IF(DI35&lt;&gt;100%,LARGE('Industries all mentioned partne'!$BX35:$DG35,2),"")</f>
        <v>0.16666666666666666</v>
      </c>
      <c r="DL35" s="57" t="str" cm="1">
        <f t="array" ref="DL35">IF(DM35="","",INDEX(_xlfn.ANCHORARRAY($BX$2),0,MATCH(LARGE($BX35:$DG35,3),$BX35:$DG35,0)))</f>
        <v>Autonomous Vehicles</v>
      </c>
      <c r="DM35" s="110">
        <f>IF(LARGE('Industries all mentioned partne'!$BX35:$DG35,3)=0%,"",LARGE('Industries all mentioned partne'!$BX35:$DG35,3))</f>
        <v>0.16666666666666666</v>
      </c>
      <c r="DN35" s="52">
        <f>IF(ISTEXT(C35)=TRUE,VLOOKUP(C35,CBIMPORT!$A$2:$AL$171,38,FALSE),"")</f>
        <v>0</v>
      </c>
      <c r="DO35" s="52">
        <f>IF(ISTEXT(D35)=TRUE,VLOOKUP(D35,CBIMPORT!$A$2:$AL$171,38,FALSE),"")</f>
        <v>1</v>
      </c>
      <c r="DP35" s="52">
        <f>IF(ISTEXT(E35)=TRUE,VLOOKUP(E35,CBIMPORT!$A$2:$AL$171,38,FALSE),"")</f>
        <v>0</v>
      </c>
      <c r="DQ35" s="52">
        <f>IF(ISTEXT(F35)=TRUE,VLOOKUP(F35,CBIMPORT!$A$2:$AL$171,38,FALSE),"")</f>
        <v>0</v>
      </c>
      <c r="DR35" s="52">
        <f>IF(ISTEXT(G35)=TRUE,VLOOKUP(G35,CBIMPORT!$A$2:$AL$171,38,FALSE),"")</f>
        <v>1</v>
      </c>
      <c r="DS35" s="52">
        <f>IF(ISTEXT(H35)=TRUE,VLOOKUP(H35,CBIMPORT!$A$2:$AL$171,38,FALSE),"")</f>
        <v>1</v>
      </c>
      <c r="DT35" s="52" t="str">
        <f>IF(ISTEXT(I35)=TRUE,VLOOKUP(I35,CBIMPORT!$A$2:$AL$171,38,FALSE),"")</f>
        <v/>
      </c>
      <c r="DU35" s="52" t="str">
        <f>IF(ISTEXT(J35)=TRUE,VLOOKUP(J35,CBIMPORT!$A$2:$AL$171,38,FALSE),"")</f>
        <v/>
      </c>
      <c r="DV35" s="52" t="str">
        <f>IF(ISTEXT(K35)=TRUE,VLOOKUP(K35,CBIMPORT!$A$2:$AL$171,38,FALSE),"")</f>
        <v/>
      </c>
      <c r="DW35" s="52" t="str">
        <f>IF(ISTEXT(L35)=TRUE,VLOOKUP(L35,CBIMPORT!$A$2:$AL$171,38,FALSE),"")</f>
        <v/>
      </c>
      <c r="DX35" s="52" t="str">
        <f>IF(ISTEXT(M35)=TRUE,VLOOKUP(M35,CBIMPORT!$A$2:$AL$171,38,FALSE),"")</f>
        <v/>
      </c>
      <c r="DY35" s="52" t="str">
        <f>IF(ISTEXT(N35)=TRUE,VLOOKUP(N35,CBIMPORT!$A$2:$AL$171,38,FALSE),"")</f>
        <v/>
      </c>
      <c r="DZ35" s="52" t="str">
        <f>IF(ISTEXT(O35)=TRUE,VLOOKUP(O35,CBIMPORT!$A$2:$AL$171,38,FALSE),"")</f>
        <v/>
      </c>
      <c r="EA35" s="52" t="str">
        <f>IF(ISTEXT(P35)=TRUE,VLOOKUP(P35,CBIMPORT!$A$2:$AL$171,38,FALSE),"")</f>
        <v/>
      </c>
      <c r="EB35" s="52" t="str">
        <f>IF(ISTEXT(Q35)=TRUE,VLOOKUP(Q35,CBIMPORT!$A$2:$AL$171,38,FALSE),"")</f>
        <v/>
      </c>
      <c r="EC35" s="52" t="str">
        <f>IF(ISTEXT(R35)=TRUE,VLOOKUP(R35,CBIMPORT!$A$2:$AL$171,38,FALSE),"")</f>
        <v/>
      </c>
      <c r="ED35" s="52" t="str">
        <f>IF(ISTEXT(S35)=TRUE,VLOOKUP(S35,CBIMPORT!$A$2:$AL$171,38,FALSE),"")</f>
        <v/>
      </c>
      <c r="EE35" s="52" t="str">
        <f>IF(ISTEXT(T35)=TRUE,VLOOKUP(T35,CBIMPORT!$A$2:$AL$171,38,FALSE),"")</f>
        <v/>
      </c>
      <c r="EF35" s="64" t="str">
        <f>IF(ISTEXT(U35)=TRUE,VLOOKUP(U35,CBIMPORT!$A$2:$AL$171,38,FALSE),"")</f>
        <v/>
      </c>
      <c r="EG35" s="64"/>
      <c r="EH35" s="64"/>
      <c r="EI35" s="64"/>
      <c r="EJ35" s="64"/>
      <c r="EK35" s="64"/>
      <c r="EL35" s="64"/>
      <c r="EM35" s="64"/>
      <c r="EN35" s="64"/>
      <c r="EO35" s="64"/>
      <c r="EP35" s="64"/>
    </row>
    <row r="36" spans="1:146" x14ac:dyDescent="0.35">
      <c r="A36" s="49" t="str">
        <v>Pony.ai-Trucking</v>
      </c>
      <c r="B36" s="48" t="str" cm="1">
        <f t="array" ref="B36">_xlfn.TEXTJOIN(";",TRUE,IF(ANNOUNCEMENTS!$AH$2:$AH$180=A36,ANNOUNCEMENTS!$K$2:$K$180,""))</f>
        <v>SANY Heavy Truck</v>
      </c>
      <c r="C36" s="55" t="s">
        <v>1975</v>
      </c>
      <c r="D36" s="55"/>
      <c r="E36" s="55"/>
      <c r="F36" s="55"/>
      <c r="G36" s="55"/>
      <c r="H36" s="55"/>
      <c r="I36" s="55"/>
      <c r="J36" s="55"/>
      <c r="K36" s="55"/>
      <c r="L36" s="55"/>
      <c r="M36" s="55"/>
      <c r="N36" s="55"/>
      <c r="O36" s="55"/>
      <c r="P36" s="55"/>
      <c r="Q36" s="55"/>
      <c r="R36" s="55"/>
      <c r="S36" s="55"/>
      <c r="T36" s="55"/>
      <c r="V36" s="56" t="str">
        <f>IF(ISERROR(VLOOKUP(C36,CBIMPORT!$A$2:$B$171,2,FALSE)),0,VLOOKUP(C36,CBIMPORT!$A$2:$B$171,2,FALSE))</f>
        <v>OEM Commercial Vehicles</v>
      </c>
      <c r="W36" s="56">
        <f>IF(ISERROR(VLOOKUP(D36,CBIMPORT!$A$2:$B$171,2,FALSE)),0,VLOOKUP(D36,CBIMPORT!$A$2:$B$171,2,FALSE))</f>
        <v>0</v>
      </c>
      <c r="X36" s="56">
        <f>IF(ISERROR(VLOOKUP(E36,CBIMPORT!$A$2:$B$171,2,FALSE)),0,VLOOKUP(E36,CBIMPORT!$A$2:$B$171,2,FALSE))</f>
        <v>0</v>
      </c>
      <c r="Y36" s="56">
        <f>IF(ISERROR(VLOOKUP(F36,CBIMPORT!$A$2:$B$171,2,FALSE)),0,VLOOKUP(F36,CBIMPORT!$A$2:$B$171,2,FALSE))</f>
        <v>0</v>
      </c>
      <c r="Z36" s="56">
        <f>IF(ISERROR(VLOOKUP(G36,CBIMPORT!$A$2:$B$171,2,FALSE)),0,VLOOKUP(G36,CBIMPORT!$A$2:$B$171,2,FALSE))</f>
        <v>0</v>
      </c>
      <c r="AA36" s="56">
        <f>IF(ISERROR(VLOOKUP(H36,CBIMPORT!$A$2:$B$171,2,FALSE)),0,VLOOKUP(H36,CBIMPORT!$A$2:$B$171,2,FALSE))</f>
        <v>0</v>
      </c>
      <c r="AB36" s="56">
        <f>IF(ISERROR(VLOOKUP(I36,CBIMPORT!$A$2:$B$171,2,FALSE)),0,VLOOKUP(I36,CBIMPORT!$A$2:$B$171,2,FALSE))</f>
        <v>0</v>
      </c>
      <c r="AC36" s="56">
        <f>IF(ISERROR(VLOOKUP(J36,CBIMPORT!$A$2:$B$171,2,FALSE)),0,VLOOKUP(J36,CBIMPORT!$A$2:$B$171,2,FALSE))</f>
        <v>0</v>
      </c>
      <c r="AD36" s="56">
        <f>IF(ISERROR(VLOOKUP(K36,CBIMPORT!$A$2:$B$171,2,FALSE)),0,VLOOKUP(K36,CBIMPORT!$A$2:$B$171,2,FALSE))</f>
        <v>0</v>
      </c>
      <c r="AE36" s="56">
        <f>IF(ISERROR(VLOOKUP(L36,CBIMPORT!$A$2:$B$171,2,FALSE)),0,VLOOKUP(L36,CBIMPORT!$A$2:$B$171,2,FALSE))</f>
        <v>0</v>
      </c>
      <c r="AF36" s="56">
        <f>IF(ISERROR(VLOOKUP(M36,CBIMPORT!$A$2:$B$171,2,FALSE)),0,VLOOKUP(M36,CBIMPORT!$A$2:$B$171,2,FALSE))</f>
        <v>0</v>
      </c>
      <c r="AG36" s="56">
        <f>IF(ISERROR(VLOOKUP(N36,CBIMPORT!$A$2:$B$171,2,FALSE)),0,VLOOKUP(N36,CBIMPORT!$A$2:$B$171,2,FALSE))</f>
        <v>0</v>
      </c>
      <c r="AH36" s="56">
        <f>IF(ISERROR(VLOOKUP(O36,CBIMPORT!$A$2:$B$171,2,FALSE)),0,VLOOKUP(O36,CBIMPORT!$A$2:$B$171,2,FALSE))</f>
        <v>0</v>
      </c>
      <c r="AI36" s="56">
        <f>IF(ISERROR(VLOOKUP(P36,CBIMPORT!$A$2:$B$171,2,FALSE)),0,VLOOKUP(P36,CBIMPORT!$A$2:$B$171,2,FALSE))</f>
        <v>0</v>
      </c>
      <c r="AJ36" s="56">
        <f>IF(ISERROR(VLOOKUP(Q36,CBIMPORT!$A$2:$B$171,2,FALSE)),0,VLOOKUP(Q36,CBIMPORT!$A$2:$B$171,2,FALSE))</f>
        <v>0</v>
      </c>
      <c r="AK36" s="56">
        <f>IF(ISERROR(VLOOKUP(R36,CBIMPORT!$A$2:$B$171,2,FALSE)),0,VLOOKUP(R36,CBIMPORT!$A$2:$B$171,2,FALSE))</f>
        <v>0</v>
      </c>
      <c r="AL36" s="56">
        <f>IF(ISERROR(VLOOKUP(S36,CBIMPORT!$A$2:$B$171,2,FALSE)),0,VLOOKUP(S36,CBIMPORT!$A$2:$B$171,2,FALSE))</f>
        <v>0</v>
      </c>
      <c r="AM36" s="60">
        <f t="shared" si="35"/>
        <v>0</v>
      </c>
      <c r="AN36" s="60">
        <f t="shared" si="51"/>
        <v>1</v>
      </c>
      <c r="AO36" s="60">
        <f t="shared" si="51"/>
        <v>0</v>
      </c>
      <c r="AP36" s="60">
        <f t="shared" si="51"/>
        <v>0</v>
      </c>
      <c r="AQ36" s="60">
        <f t="shared" si="51"/>
        <v>0</v>
      </c>
      <c r="AR36" s="60">
        <f t="shared" si="51"/>
        <v>0</v>
      </c>
      <c r="AS36" s="60">
        <f t="shared" si="51"/>
        <v>0</v>
      </c>
      <c r="AT36" s="60">
        <f t="shared" si="51"/>
        <v>0</v>
      </c>
      <c r="AU36" s="60">
        <f t="shared" si="51"/>
        <v>0</v>
      </c>
      <c r="AV36" s="60">
        <f t="shared" si="51"/>
        <v>0</v>
      </c>
      <c r="AW36" s="60">
        <f t="shared" si="51"/>
        <v>0</v>
      </c>
      <c r="AX36" s="60">
        <f t="shared" si="52"/>
        <v>0</v>
      </c>
      <c r="AY36" s="60">
        <f t="shared" si="52"/>
        <v>0</v>
      </c>
      <c r="AZ36" s="60">
        <f t="shared" si="52"/>
        <v>0</v>
      </c>
      <c r="BA36" s="60">
        <f t="shared" si="52"/>
        <v>0</v>
      </c>
      <c r="BB36" s="60">
        <f t="shared" si="52"/>
        <v>0</v>
      </c>
      <c r="BC36" s="60">
        <f t="shared" si="52"/>
        <v>0</v>
      </c>
      <c r="BD36" s="60">
        <f t="shared" si="52"/>
        <v>0</v>
      </c>
      <c r="BE36" s="60">
        <f t="shared" si="52"/>
        <v>0</v>
      </c>
      <c r="BF36" s="60">
        <f t="shared" si="52"/>
        <v>0</v>
      </c>
      <c r="BG36" s="60">
        <f t="shared" si="52"/>
        <v>0</v>
      </c>
      <c r="BH36" s="60">
        <f t="shared" si="53"/>
        <v>0</v>
      </c>
      <c r="BI36" s="60">
        <f t="shared" si="53"/>
        <v>0</v>
      </c>
      <c r="BJ36" s="60">
        <f t="shared" si="53"/>
        <v>0</v>
      </c>
      <c r="BK36" s="60">
        <f t="shared" si="53"/>
        <v>0</v>
      </c>
      <c r="BL36" s="60">
        <f t="shared" si="53"/>
        <v>0</v>
      </c>
      <c r="BM36" s="60">
        <f t="shared" si="53"/>
        <v>0</v>
      </c>
      <c r="BN36" s="60">
        <f t="shared" si="53"/>
        <v>0</v>
      </c>
      <c r="BO36" s="60">
        <f t="shared" si="53"/>
        <v>0</v>
      </c>
      <c r="BP36" s="60">
        <f t="shared" si="53"/>
        <v>0</v>
      </c>
      <c r="BQ36" s="60">
        <f t="shared" si="53"/>
        <v>0</v>
      </c>
      <c r="BR36" s="60">
        <f t="shared" si="54"/>
        <v>0</v>
      </c>
      <c r="BS36" s="60">
        <f t="shared" si="54"/>
        <v>0</v>
      </c>
      <c r="BT36" s="60">
        <f t="shared" si="54"/>
        <v>0</v>
      </c>
      <c r="BU36" s="60">
        <f t="shared" si="54"/>
        <v>0</v>
      </c>
      <c r="BV36" s="60">
        <f t="shared" si="54"/>
        <v>0</v>
      </c>
      <c r="BW36" s="60"/>
      <c r="BX36" s="63">
        <f t="shared" si="40"/>
        <v>0</v>
      </c>
      <c r="BY36" s="63">
        <f t="shared" si="45"/>
        <v>1</v>
      </c>
      <c r="BZ36" s="63">
        <f t="shared" si="46"/>
        <v>0</v>
      </c>
      <c r="CA36" s="63">
        <f t="shared" si="2"/>
        <v>0</v>
      </c>
      <c r="CB36" s="63">
        <f t="shared" si="3"/>
        <v>0</v>
      </c>
      <c r="CC36" s="63">
        <f t="shared" si="4"/>
        <v>0</v>
      </c>
      <c r="CD36" s="63">
        <f t="shared" si="5"/>
        <v>0</v>
      </c>
      <c r="CE36" s="63">
        <f t="shared" si="6"/>
        <v>0</v>
      </c>
      <c r="CF36" s="63">
        <f t="shared" si="7"/>
        <v>0</v>
      </c>
      <c r="CG36" s="63">
        <f t="shared" si="8"/>
        <v>0</v>
      </c>
      <c r="CH36" s="63">
        <f t="shared" si="9"/>
        <v>0</v>
      </c>
      <c r="CI36" s="63">
        <f t="shared" si="10"/>
        <v>0</v>
      </c>
      <c r="CJ36" s="63">
        <f t="shared" si="11"/>
        <v>0</v>
      </c>
      <c r="CK36" s="63">
        <f t="shared" si="12"/>
        <v>0</v>
      </c>
      <c r="CL36" s="63">
        <f t="shared" si="13"/>
        <v>0</v>
      </c>
      <c r="CM36" s="63">
        <f t="shared" si="14"/>
        <v>0</v>
      </c>
      <c r="CN36" s="63">
        <f t="shared" si="15"/>
        <v>0</v>
      </c>
      <c r="CO36" s="63">
        <f t="shared" si="16"/>
        <v>0</v>
      </c>
      <c r="CP36" s="63">
        <f t="shared" si="17"/>
        <v>0</v>
      </c>
      <c r="CQ36" s="63">
        <f t="shared" si="18"/>
        <v>0</v>
      </c>
      <c r="CR36" s="63">
        <f t="shared" si="19"/>
        <v>0</v>
      </c>
      <c r="CS36" s="63">
        <f t="shared" si="20"/>
        <v>0</v>
      </c>
      <c r="CT36" s="63">
        <f t="shared" si="21"/>
        <v>0</v>
      </c>
      <c r="CU36" s="63">
        <f t="shared" si="22"/>
        <v>0</v>
      </c>
      <c r="CV36" s="63">
        <f t="shared" si="23"/>
        <v>0</v>
      </c>
      <c r="CW36" s="63">
        <f t="shared" si="24"/>
        <v>0</v>
      </c>
      <c r="CX36" s="63">
        <f t="shared" si="25"/>
        <v>0</v>
      </c>
      <c r="CY36" s="63">
        <f t="shared" si="26"/>
        <v>0</v>
      </c>
      <c r="CZ36" s="63">
        <f t="shared" si="27"/>
        <v>0</v>
      </c>
      <c r="DA36" s="63">
        <f t="shared" si="28"/>
        <v>0</v>
      </c>
      <c r="DB36" s="63">
        <f t="shared" si="29"/>
        <v>0</v>
      </c>
      <c r="DC36" s="63">
        <f t="shared" si="30"/>
        <v>0</v>
      </c>
      <c r="DD36" s="63">
        <f t="shared" si="31"/>
        <v>0</v>
      </c>
      <c r="DE36" s="63">
        <f t="shared" si="32"/>
        <v>0</v>
      </c>
      <c r="DF36" s="63">
        <f t="shared" si="33"/>
        <v>0</v>
      </c>
      <c r="DG36" s="63">
        <f t="shared" si="34"/>
        <v>0</v>
      </c>
      <c r="DH36" s="57" t="str" cm="1">
        <f t="array" ref="DH36">INDEX(_xlfn.ANCHORARRAY($BX$2),0,MATCH(LARGE($BX36:$DG36,1),$BX36:$DG36,0))</f>
        <v>OEM Commercial Vehicles</v>
      </c>
      <c r="DI36" s="58">
        <f>LARGE('Industries all mentioned partne'!$BX36:$DG36,1)</f>
        <v>1</v>
      </c>
      <c r="DJ36" s="57" t="str" cm="1">
        <f t="array" ref="DJ36">IF(DI36&lt;&gt;100%,INDEX(_xlfn.ANCHORARRAY($BX$2),0,MATCH(LARGE($BX36:$DG36,2),$BX36:$DG36,0)),"")</f>
        <v/>
      </c>
      <c r="DK36" s="58" t="str">
        <f>IF(DI36&lt;&gt;100%,LARGE('Industries all mentioned partne'!$BX36:$DG36,2),"")</f>
        <v/>
      </c>
      <c r="DL36" s="57" t="str" cm="1">
        <f t="array" ref="DL36">IF(DM36="","",INDEX(_xlfn.ANCHORARRAY($BX$2),0,MATCH(LARGE($BX36:$DG36,3),$BX36:$DG36,0)))</f>
        <v/>
      </c>
      <c r="DM36" s="110" t="str">
        <f>IF(LARGE('Industries all mentioned partne'!$BX36:$DG36,3)=0%,"",LARGE('Industries all mentioned partne'!$BX36:$DG36,3))</f>
        <v/>
      </c>
      <c r="DN36" s="52">
        <f>IF(ISTEXT(C36)=TRUE,VLOOKUP(C36,CBIMPORT!$A$2:$AL$171,38,FALSE),"")</f>
        <v>1</v>
      </c>
      <c r="DO36" s="52" t="str">
        <f>IF(ISTEXT(D36)=TRUE,VLOOKUP(D36,CBIMPORT!$A$2:$AL$171,38,FALSE),"")</f>
        <v/>
      </c>
      <c r="DP36" s="52" t="str">
        <f>IF(ISTEXT(E36)=TRUE,VLOOKUP(E36,CBIMPORT!$A$2:$AL$171,38,FALSE),"")</f>
        <v/>
      </c>
      <c r="DQ36" s="52" t="str">
        <f>IF(ISTEXT(F36)=TRUE,VLOOKUP(F36,CBIMPORT!$A$2:$AL$171,38,FALSE),"")</f>
        <v/>
      </c>
      <c r="DR36" s="52" t="str">
        <f>IF(ISTEXT(G36)=TRUE,VLOOKUP(G36,CBIMPORT!$A$2:$AL$171,38,FALSE),"")</f>
        <v/>
      </c>
      <c r="DS36" s="52" t="str">
        <f>IF(ISTEXT(H36)=TRUE,VLOOKUP(H36,CBIMPORT!$A$2:$AL$171,38,FALSE),"")</f>
        <v/>
      </c>
      <c r="DT36" s="52" t="str">
        <f>IF(ISTEXT(I36)=TRUE,VLOOKUP(I36,CBIMPORT!$A$2:$AL$171,38,FALSE),"")</f>
        <v/>
      </c>
      <c r="DU36" s="52" t="str">
        <f>IF(ISTEXT(J36)=TRUE,VLOOKUP(J36,CBIMPORT!$A$2:$AL$171,38,FALSE),"")</f>
        <v/>
      </c>
      <c r="DV36" s="52" t="str">
        <f>IF(ISTEXT(K36)=TRUE,VLOOKUP(K36,CBIMPORT!$A$2:$AL$171,38,FALSE),"")</f>
        <v/>
      </c>
      <c r="DW36" s="52" t="str">
        <f>IF(ISTEXT(L36)=TRUE,VLOOKUP(L36,CBIMPORT!$A$2:$AL$171,38,FALSE),"")</f>
        <v/>
      </c>
      <c r="DX36" s="52" t="str">
        <f>IF(ISTEXT(M36)=TRUE,VLOOKUP(M36,CBIMPORT!$A$2:$AL$171,38,FALSE),"")</f>
        <v/>
      </c>
      <c r="DY36" s="52" t="str">
        <f>IF(ISTEXT(N36)=TRUE,VLOOKUP(N36,CBIMPORT!$A$2:$AL$171,38,FALSE),"")</f>
        <v/>
      </c>
      <c r="DZ36" s="52" t="str">
        <f>IF(ISTEXT(O36)=TRUE,VLOOKUP(O36,CBIMPORT!$A$2:$AL$171,38,FALSE),"")</f>
        <v/>
      </c>
      <c r="EA36" s="52" t="str">
        <f>IF(ISTEXT(P36)=TRUE,VLOOKUP(P36,CBIMPORT!$A$2:$AL$171,38,FALSE),"")</f>
        <v/>
      </c>
      <c r="EB36" s="52" t="str">
        <f>IF(ISTEXT(Q36)=TRUE,VLOOKUP(Q36,CBIMPORT!$A$2:$AL$171,38,FALSE),"")</f>
        <v/>
      </c>
      <c r="EC36" s="52" t="str">
        <f>IF(ISTEXT(R36)=TRUE,VLOOKUP(R36,CBIMPORT!$A$2:$AL$171,38,FALSE),"")</f>
        <v/>
      </c>
      <c r="ED36" s="52" t="str">
        <f>IF(ISTEXT(S36)=TRUE,VLOOKUP(S36,CBIMPORT!$A$2:$AL$171,38,FALSE),"")</f>
        <v/>
      </c>
      <c r="EE36" s="52" t="str">
        <f>IF(ISTEXT(T36)=TRUE,VLOOKUP(T36,CBIMPORT!$A$2:$AL$171,38,FALSE),"")</f>
        <v/>
      </c>
      <c r="EF36" s="64" t="str">
        <f>IF(ISTEXT(U36)=TRUE,VLOOKUP(U36,CBIMPORT!$A$2:$AL$171,38,FALSE),"")</f>
        <v/>
      </c>
      <c r="EG36" s="64"/>
      <c r="EH36" s="64"/>
      <c r="EI36" s="64"/>
      <c r="EJ36" s="64"/>
      <c r="EK36" s="64"/>
      <c r="EL36" s="64"/>
      <c r="EM36" s="64"/>
      <c r="EN36" s="64"/>
      <c r="EO36" s="64"/>
      <c r="EP36" s="64"/>
    </row>
    <row r="37" spans="1:146" x14ac:dyDescent="0.35">
      <c r="A37" s="50" t="str">
        <v>ServeRobotics-Last-Mile</v>
      </c>
      <c r="B37" s="48" t="str" cm="1">
        <f t="array" ref="B37">_xlfn.TEXTJOIN(";",TRUE,IF(ANNOUNCEMENTS!$AH$2:$AH$180=A37,ANNOUNCEMENTS!$K$2:$K$180,""))</f>
        <v>Nickelytics;The Ad Council;Pizza Hut;Uber Eats;Piestro</v>
      </c>
      <c r="C37" s="55" t="s">
        <v>440</v>
      </c>
      <c r="D37" s="55" t="s">
        <v>1982</v>
      </c>
      <c r="E37" s="55" t="s">
        <v>627</v>
      </c>
      <c r="F37" s="55" t="s">
        <v>580</v>
      </c>
      <c r="G37" s="55" t="s">
        <v>622</v>
      </c>
      <c r="H37" s="55"/>
      <c r="I37" s="55"/>
      <c r="J37" s="55"/>
      <c r="K37" s="55"/>
      <c r="L37" s="55"/>
      <c r="M37" s="55"/>
      <c r="N37" s="55"/>
      <c r="O37" s="55"/>
      <c r="P37" s="55"/>
      <c r="Q37" s="55"/>
      <c r="R37" s="55"/>
      <c r="S37" s="55"/>
      <c r="T37" s="55"/>
      <c r="V37" s="56" t="str">
        <f>IF(ISERROR(VLOOKUP(C37,CBIMPORT!$A$2:$B$171,2,FALSE)),0,VLOOKUP(C37,CBIMPORT!$A$2:$B$171,2,FALSE))</f>
        <v>Advertising</v>
      </c>
      <c r="W37" s="56" t="str">
        <f>IF(ISERROR(VLOOKUP(D37,CBIMPORT!$A$2:$B$171,2,FALSE)),0,VLOOKUP(D37,CBIMPORT!$A$2:$B$171,2,FALSE))</f>
        <v>Advertising</v>
      </c>
      <c r="X37" s="56" t="str">
        <f>IF(ISERROR(VLOOKUP(E37,CBIMPORT!$A$2:$B$171,2,FALSE)),0,VLOOKUP(E37,CBIMPORT!$A$2:$B$171,2,FALSE))</f>
        <v>Food &amp; Beverage</v>
      </c>
      <c r="Y37" s="56" t="str">
        <f>IF(ISERROR(VLOOKUP(F37,CBIMPORT!$A$2:$B$171,2,FALSE)),0,VLOOKUP(F37,CBIMPORT!$A$2:$B$171,2,FALSE))</f>
        <v>Delivery Service</v>
      </c>
      <c r="Z37" s="56" t="str">
        <f>IF(ISERROR(VLOOKUP(G37,CBIMPORT!$A$2:$B$171,2,FALSE)),0,VLOOKUP(G37,CBIMPORT!$A$2:$B$171,2,FALSE))</f>
        <v>Food &amp; Beverage</v>
      </c>
      <c r="AA37" s="56">
        <f>IF(ISERROR(VLOOKUP(H37,CBIMPORT!$A$2:$B$171,2,FALSE)),0,VLOOKUP(H37,CBIMPORT!$A$2:$B$171,2,FALSE))</f>
        <v>0</v>
      </c>
      <c r="AB37" s="56">
        <f>IF(ISERROR(VLOOKUP(I37,CBIMPORT!$A$2:$B$171,2,FALSE)),0,VLOOKUP(I37,CBIMPORT!$A$2:$B$171,2,FALSE))</f>
        <v>0</v>
      </c>
      <c r="AC37" s="56">
        <f>IF(ISERROR(VLOOKUP(J37,CBIMPORT!$A$2:$B$171,2,FALSE)),0,VLOOKUP(J37,CBIMPORT!$A$2:$B$171,2,FALSE))</f>
        <v>0</v>
      </c>
      <c r="AD37" s="56">
        <f>IF(ISERROR(VLOOKUP(K37,CBIMPORT!$A$2:$B$171,2,FALSE)),0,VLOOKUP(K37,CBIMPORT!$A$2:$B$171,2,FALSE))</f>
        <v>0</v>
      </c>
      <c r="AE37" s="56">
        <f>IF(ISERROR(VLOOKUP(L37,CBIMPORT!$A$2:$B$171,2,FALSE)),0,VLOOKUP(L37,CBIMPORT!$A$2:$B$171,2,FALSE))</f>
        <v>0</v>
      </c>
      <c r="AF37" s="56">
        <f>IF(ISERROR(VLOOKUP(M37,CBIMPORT!$A$2:$B$171,2,FALSE)),0,VLOOKUP(M37,CBIMPORT!$A$2:$B$171,2,FALSE))</f>
        <v>0</v>
      </c>
      <c r="AG37" s="56">
        <f>IF(ISERROR(VLOOKUP(N37,CBIMPORT!$A$2:$B$171,2,FALSE)),0,VLOOKUP(N37,CBIMPORT!$A$2:$B$171,2,FALSE))</f>
        <v>0</v>
      </c>
      <c r="AH37" s="56">
        <f>IF(ISERROR(VLOOKUP(O37,CBIMPORT!$A$2:$B$171,2,FALSE)),0,VLOOKUP(O37,CBIMPORT!$A$2:$B$171,2,FALSE))</f>
        <v>0</v>
      </c>
      <c r="AI37" s="56">
        <f>IF(ISERROR(VLOOKUP(P37,CBIMPORT!$A$2:$B$171,2,FALSE)),0,VLOOKUP(P37,CBIMPORT!$A$2:$B$171,2,FALSE))</f>
        <v>0</v>
      </c>
      <c r="AJ37" s="56">
        <f>IF(ISERROR(VLOOKUP(Q37,CBIMPORT!$A$2:$B$171,2,FALSE)),0,VLOOKUP(Q37,CBIMPORT!$A$2:$B$171,2,FALSE))</f>
        <v>0</v>
      </c>
      <c r="AK37" s="56">
        <f>IF(ISERROR(VLOOKUP(R37,CBIMPORT!$A$2:$B$171,2,FALSE)),0,VLOOKUP(R37,CBIMPORT!$A$2:$B$171,2,FALSE))</f>
        <v>0</v>
      </c>
      <c r="AL37" s="56">
        <f>IF(ISERROR(VLOOKUP(S37,CBIMPORT!$A$2:$B$171,2,FALSE)),0,VLOOKUP(S37,CBIMPORT!$A$2:$B$171,2,FALSE))</f>
        <v>0</v>
      </c>
      <c r="AM37" s="60">
        <f t="shared" si="35"/>
        <v>0</v>
      </c>
      <c r="AN37" s="60">
        <f t="shared" si="51"/>
        <v>0</v>
      </c>
      <c r="AO37" s="60">
        <f t="shared" si="51"/>
        <v>0</v>
      </c>
      <c r="AP37" s="60">
        <f t="shared" si="51"/>
        <v>0</v>
      </c>
      <c r="AQ37" s="60">
        <f t="shared" si="51"/>
        <v>0</v>
      </c>
      <c r="AR37" s="60">
        <f t="shared" si="51"/>
        <v>1</v>
      </c>
      <c r="AS37" s="60">
        <f t="shared" si="51"/>
        <v>0</v>
      </c>
      <c r="AT37" s="60">
        <f t="shared" si="51"/>
        <v>0</v>
      </c>
      <c r="AU37" s="60">
        <f t="shared" si="51"/>
        <v>0</v>
      </c>
      <c r="AV37" s="60">
        <f t="shared" si="51"/>
        <v>2</v>
      </c>
      <c r="AW37" s="60">
        <f t="shared" si="51"/>
        <v>0</v>
      </c>
      <c r="AX37" s="60">
        <f t="shared" si="52"/>
        <v>0</v>
      </c>
      <c r="AY37" s="60">
        <f t="shared" si="52"/>
        <v>0</v>
      </c>
      <c r="AZ37" s="60">
        <f t="shared" si="52"/>
        <v>0</v>
      </c>
      <c r="BA37" s="60">
        <f t="shared" si="52"/>
        <v>0</v>
      </c>
      <c r="BB37" s="60">
        <f t="shared" si="52"/>
        <v>0</v>
      </c>
      <c r="BC37" s="60">
        <f t="shared" si="52"/>
        <v>0</v>
      </c>
      <c r="BD37" s="60">
        <f t="shared" si="52"/>
        <v>0</v>
      </c>
      <c r="BE37" s="60">
        <f t="shared" si="52"/>
        <v>0</v>
      </c>
      <c r="BF37" s="60">
        <f t="shared" si="52"/>
        <v>0</v>
      </c>
      <c r="BG37" s="60">
        <f t="shared" si="52"/>
        <v>0</v>
      </c>
      <c r="BH37" s="60">
        <f t="shared" si="53"/>
        <v>0</v>
      </c>
      <c r="BI37" s="60">
        <f t="shared" si="53"/>
        <v>0</v>
      </c>
      <c r="BJ37" s="60">
        <f t="shared" si="53"/>
        <v>0</v>
      </c>
      <c r="BK37" s="60">
        <f t="shared" si="53"/>
        <v>0</v>
      </c>
      <c r="BL37" s="60">
        <f t="shared" si="53"/>
        <v>0</v>
      </c>
      <c r="BM37" s="60">
        <f t="shared" si="53"/>
        <v>0</v>
      </c>
      <c r="BN37" s="60">
        <f t="shared" si="53"/>
        <v>0</v>
      </c>
      <c r="BO37" s="60">
        <f t="shared" si="53"/>
        <v>0</v>
      </c>
      <c r="BP37" s="60">
        <f t="shared" si="53"/>
        <v>2</v>
      </c>
      <c r="BQ37" s="60">
        <f t="shared" si="53"/>
        <v>0</v>
      </c>
      <c r="BR37" s="60">
        <f t="shared" si="54"/>
        <v>0</v>
      </c>
      <c r="BS37" s="60">
        <f t="shared" si="54"/>
        <v>0</v>
      </c>
      <c r="BT37" s="60">
        <f t="shared" si="54"/>
        <v>0</v>
      </c>
      <c r="BU37" s="60">
        <f t="shared" si="54"/>
        <v>0</v>
      </c>
      <c r="BV37" s="60">
        <f t="shared" si="54"/>
        <v>0</v>
      </c>
      <c r="BW37" s="60"/>
      <c r="BX37" s="63">
        <f t="shared" si="40"/>
        <v>0</v>
      </c>
      <c r="BY37" s="63">
        <f t="shared" si="45"/>
        <v>0</v>
      </c>
      <c r="BZ37" s="63">
        <f t="shared" si="46"/>
        <v>0</v>
      </c>
      <c r="CA37" s="63">
        <f t="shared" si="2"/>
        <v>0</v>
      </c>
      <c r="CB37" s="63">
        <f t="shared" si="3"/>
        <v>0</v>
      </c>
      <c r="CC37" s="63">
        <f t="shared" si="4"/>
        <v>0.2</v>
      </c>
      <c r="CD37" s="63">
        <f t="shared" si="5"/>
        <v>0</v>
      </c>
      <c r="CE37" s="63">
        <f t="shared" si="6"/>
        <v>0</v>
      </c>
      <c r="CF37" s="63">
        <f t="shared" si="7"/>
        <v>0</v>
      </c>
      <c r="CG37" s="63">
        <f t="shared" si="8"/>
        <v>0.4</v>
      </c>
      <c r="CH37" s="63">
        <f t="shared" si="9"/>
        <v>0</v>
      </c>
      <c r="CI37" s="63">
        <f t="shared" si="10"/>
        <v>0</v>
      </c>
      <c r="CJ37" s="63">
        <f t="shared" si="11"/>
        <v>0</v>
      </c>
      <c r="CK37" s="63">
        <f t="shared" si="12"/>
        <v>0</v>
      </c>
      <c r="CL37" s="63">
        <f t="shared" si="13"/>
        <v>0</v>
      </c>
      <c r="CM37" s="63">
        <f t="shared" si="14"/>
        <v>0</v>
      </c>
      <c r="CN37" s="63">
        <f t="shared" si="15"/>
        <v>0</v>
      </c>
      <c r="CO37" s="63">
        <f t="shared" si="16"/>
        <v>0</v>
      </c>
      <c r="CP37" s="63">
        <f t="shared" si="17"/>
        <v>0</v>
      </c>
      <c r="CQ37" s="63">
        <f t="shared" si="18"/>
        <v>0</v>
      </c>
      <c r="CR37" s="63">
        <f t="shared" si="19"/>
        <v>0</v>
      </c>
      <c r="CS37" s="63">
        <f t="shared" si="20"/>
        <v>0</v>
      </c>
      <c r="CT37" s="63">
        <f t="shared" si="21"/>
        <v>0</v>
      </c>
      <c r="CU37" s="63">
        <f t="shared" si="22"/>
        <v>0</v>
      </c>
      <c r="CV37" s="63">
        <f t="shared" si="23"/>
        <v>0</v>
      </c>
      <c r="CW37" s="63">
        <f t="shared" si="24"/>
        <v>0</v>
      </c>
      <c r="CX37" s="63">
        <f t="shared" si="25"/>
        <v>0</v>
      </c>
      <c r="CY37" s="63">
        <f t="shared" si="26"/>
        <v>0</v>
      </c>
      <c r="CZ37" s="63">
        <f t="shared" si="27"/>
        <v>0</v>
      </c>
      <c r="DA37" s="63">
        <f t="shared" si="28"/>
        <v>0.4</v>
      </c>
      <c r="DB37" s="63">
        <f t="shared" si="29"/>
        <v>0</v>
      </c>
      <c r="DC37" s="63">
        <f t="shared" si="30"/>
        <v>0</v>
      </c>
      <c r="DD37" s="63">
        <f t="shared" si="31"/>
        <v>0</v>
      </c>
      <c r="DE37" s="63">
        <f t="shared" si="32"/>
        <v>0</v>
      </c>
      <c r="DF37" s="63">
        <f t="shared" si="33"/>
        <v>0</v>
      </c>
      <c r="DG37" s="63">
        <f t="shared" si="34"/>
        <v>0</v>
      </c>
      <c r="DH37" s="57" t="str" cm="1">
        <f t="array" ref="DH37">INDEX(_xlfn.ANCHORARRAY($BX$2),0,MATCH(LARGE($BX37:$DG37,1),$BX37:$DG37,0))</f>
        <v>Food &amp; Beverage</v>
      </c>
      <c r="DI37" s="58">
        <f>LARGE('Industries all mentioned partne'!$BX37:$DG37,1)</f>
        <v>0.4</v>
      </c>
      <c r="DJ37" s="57" t="str" cm="1">
        <f t="array" ref="DJ37">IF(DI37&lt;&gt;100%,INDEX(_xlfn.ANCHORARRAY($BX$2),0,MATCH(LARGE($BX37:$DG37,2),$BX37:$DG37,0)),"")</f>
        <v>Food &amp; Beverage</v>
      </c>
      <c r="DK37" s="58">
        <f>IF(DI37&lt;&gt;100%,LARGE('Industries all mentioned partne'!$BX37:$DG37,2),"")</f>
        <v>0.4</v>
      </c>
      <c r="DL37" s="57" t="str" cm="1">
        <f t="array" ref="DL37">IF(DM37="","",INDEX(_xlfn.ANCHORARRAY($BX$2),0,MATCH(LARGE($BX37:$DG37,3),$BX37:$DG37,0)))</f>
        <v>Delivery Service</v>
      </c>
      <c r="DM37" s="110">
        <f>IF(LARGE('Industries all mentioned partne'!$BX37:$DG37,3)=0%,"",LARGE('Industries all mentioned partne'!$BX37:$DG37,3))</f>
        <v>0.2</v>
      </c>
      <c r="DN37" s="52">
        <f>IF(ISTEXT(C37)=TRUE,VLOOKUP(C37,CBIMPORT!$A$2:$AL$171,38,FALSE),"")</f>
        <v>0</v>
      </c>
      <c r="DO37" s="52">
        <f>IF(ISTEXT(D37)=TRUE,VLOOKUP(D37,CBIMPORT!$A$2:$AL$171,38,FALSE),"")</f>
        <v>0</v>
      </c>
      <c r="DP37" s="52">
        <f>IF(ISTEXT(E37)=TRUE,VLOOKUP(E37,CBIMPORT!$A$2:$AL$171,38,FALSE),"")</f>
        <v>0</v>
      </c>
      <c r="DQ37" s="52">
        <f>IF(ISTEXT(F37)=TRUE,VLOOKUP(F37,CBIMPORT!$A$2:$AL$171,38,FALSE),"")</f>
        <v>0</v>
      </c>
      <c r="DR37" s="52">
        <f>IF(ISTEXT(G37)=TRUE,VLOOKUP(G37,CBIMPORT!$A$2:$AL$171,38,FALSE),"")</f>
        <v>0</v>
      </c>
      <c r="DS37" s="52" t="str">
        <f>IF(ISTEXT(H37)=TRUE,VLOOKUP(H37,CBIMPORT!$A$2:$AL$171,38,FALSE),"")</f>
        <v/>
      </c>
      <c r="DT37" s="52" t="str">
        <f>IF(ISTEXT(I37)=TRUE,VLOOKUP(I37,CBIMPORT!$A$2:$AL$171,38,FALSE),"")</f>
        <v/>
      </c>
      <c r="DU37" s="52" t="str">
        <f>IF(ISTEXT(J37)=TRUE,VLOOKUP(J37,CBIMPORT!$A$2:$AL$171,38,FALSE),"")</f>
        <v/>
      </c>
      <c r="DV37" s="52" t="str">
        <f>IF(ISTEXT(K37)=TRUE,VLOOKUP(K37,CBIMPORT!$A$2:$AL$171,38,FALSE),"")</f>
        <v/>
      </c>
      <c r="DW37" s="52" t="str">
        <f>IF(ISTEXT(L37)=TRUE,VLOOKUP(L37,CBIMPORT!$A$2:$AL$171,38,FALSE),"")</f>
        <v/>
      </c>
      <c r="DX37" s="52" t="str">
        <f>IF(ISTEXT(M37)=TRUE,VLOOKUP(M37,CBIMPORT!$A$2:$AL$171,38,FALSE),"")</f>
        <v/>
      </c>
      <c r="DY37" s="52" t="str">
        <f>IF(ISTEXT(N37)=TRUE,VLOOKUP(N37,CBIMPORT!$A$2:$AL$171,38,FALSE),"")</f>
        <v/>
      </c>
      <c r="DZ37" s="52" t="str">
        <f>IF(ISTEXT(O37)=TRUE,VLOOKUP(O37,CBIMPORT!$A$2:$AL$171,38,FALSE),"")</f>
        <v/>
      </c>
      <c r="EA37" s="52" t="str">
        <f>IF(ISTEXT(P37)=TRUE,VLOOKUP(P37,CBIMPORT!$A$2:$AL$171,38,FALSE),"")</f>
        <v/>
      </c>
      <c r="EB37" s="52" t="str">
        <f>IF(ISTEXT(Q37)=TRUE,VLOOKUP(Q37,CBIMPORT!$A$2:$AL$171,38,FALSE),"")</f>
        <v/>
      </c>
      <c r="EC37" s="52" t="str">
        <f>IF(ISTEXT(R37)=TRUE,VLOOKUP(R37,CBIMPORT!$A$2:$AL$171,38,FALSE),"")</f>
        <v/>
      </c>
      <c r="ED37" s="52" t="str">
        <f>IF(ISTEXT(S37)=TRUE,VLOOKUP(S37,CBIMPORT!$A$2:$AL$171,38,FALSE),"")</f>
        <v/>
      </c>
      <c r="EE37" s="52" t="str">
        <f>IF(ISTEXT(T37)=TRUE,VLOOKUP(T37,CBIMPORT!$A$2:$AL$171,38,FALSE),"")</f>
        <v/>
      </c>
      <c r="EF37" s="64" t="str">
        <f>IF(ISTEXT(U37)=TRUE,VLOOKUP(U37,CBIMPORT!$A$2:$AL$171,38,FALSE),"")</f>
        <v/>
      </c>
      <c r="EG37" s="64"/>
      <c r="EH37" s="64"/>
      <c r="EI37" s="64"/>
      <c r="EJ37" s="64"/>
      <c r="EK37" s="64"/>
      <c r="EL37" s="64"/>
      <c r="EM37" s="64"/>
      <c r="EN37" s="64"/>
      <c r="EO37" s="64"/>
      <c r="EP37" s="64"/>
    </row>
    <row r="38" spans="1:146" x14ac:dyDescent="0.35">
      <c r="A38" s="49" t="str">
        <v>Torc-Trucking</v>
      </c>
      <c r="B38" s="48" t="str" cm="1">
        <f t="array" ref="B38">_xlfn.TEXTJOIN(";",TRUE,IF(ANNOUNCEMENTS!$AH$2:$AH$180=A38,ANNOUNCEMENTS!$K$2:$K$180,""))</f>
        <v>Daimler Truck;Applied Intuition;Daimler Truck;Luminar</v>
      </c>
      <c r="C38" s="55" t="s">
        <v>783</v>
      </c>
      <c r="D38" s="55" t="s">
        <v>939</v>
      </c>
      <c r="E38" s="55" t="s">
        <v>783</v>
      </c>
      <c r="F38" s="55" t="s">
        <v>863</v>
      </c>
      <c r="G38" s="55"/>
      <c r="H38" s="55"/>
      <c r="I38" s="55"/>
      <c r="J38" s="55"/>
      <c r="K38" s="55"/>
      <c r="L38" s="55"/>
      <c r="M38" s="55"/>
      <c r="N38" s="55"/>
      <c r="O38" s="55"/>
      <c r="P38" s="55"/>
      <c r="Q38" s="55"/>
      <c r="R38" s="55"/>
      <c r="S38" s="55"/>
      <c r="T38" s="55"/>
      <c r="V38" s="56" t="str">
        <f>IF(ISERROR(VLOOKUP(C38,CBIMPORT!$A$2:$B$171,2,FALSE)),0,VLOOKUP(C38,CBIMPORT!$A$2:$B$171,2,FALSE))</f>
        <v>OEM Commercial Vehicles</v>
      </c>
      <c r="W38" s="56" t="str">
        <f>IF(ISERROR(VLOOKUP(D38,CBIMPORT!$A$2:$B$171,2,FALSE)),0,VLOOKUP(D38,CBIMPORT!$A$2:$B$171,2,FALSE))</f>
        <v>V&amp;V</v>
      </c>
      <c r="X38" s="56" t="str">
        <f>IF(ISERROR(VLOOKUP(E38,CBIMPORT!$A$2:$B$171,2,FALSE)),0,VLOOKUP(E38,CBIMPORT!$A$2:$B$171,2,FALSE))</f>
        <v>OEM Commercial Vehicles</v>
      </c>
      <c r="Y38" s="56" t="str">
        <f>IF(ISERROR(VLOOKUP(F38,CBIMPORT!$A$2:$B$171,2,FALSE)),0,VLOOKUP(F38,CBIMPORT!$A$2:$B$171,2,FALSE))</f>
        <v>Sensor</v>
      </c>
      <c r="Z38" s="56">
        <f>IF(ISERROR(VLOOKUP(G38,CBIMPORT!$A$2:$B$171,2,FALSE)),0,VLOOKUP(G38,CBIMPORT!$A$2:$B$171,2,FALSE))</f>
        <v>0</v>
      </c>
      <c r="AA38" s="56">
        <f>IF(ISERROR(VLOOKUP(H38,CBIMPORT!$A$2:$B$171,2,FALSE)),0,VLOOKUP(H38,CBIMPORT!$A$2:$B$171,2,FALSE))</f>
        <v>0</v>
      </c>
      <c r="AB38" s="56">
        <f>IF(ISERROR(VLOOKUP(I38,CBIMPORT!$A$2:$B$171,2,FALSE)),0,VLOOKUP(I38,CBIMPORT!$A$2:$B$171,2,FALSE))</f>
        <v>0</v>
      </c>
      <c r="AC38" s="56">
        <f>IF(ISERROR(VLOOKUP(J38,CBIMPORT!$A$2:$B$171,2,FALSE)),0,VLOOKUP(J38,CBIMPORT!$A$2:$B$171,2,FALSE))</f>
        <v>0</v>
      </c>
      <c r="AD38" s="56">
        <f>IF(ISERROR(VLOOKUP(K38,CBIMPORT!$A$2:$B$171,2,FALSE)),0,VLOOKUP(K38,CBIMPORT!$A$2:$B$171,2,FALSE))</f>
        <v>0</v>
      </c>
      <c r="AE38" s="56">
        <f>IF(ISERROR(VLOOKUP(L38,CBIMPORT!$A$2:$B$171,2,FALSE)),0,VLOOKUP(L38,CBIMPORT!$A$2:$B$171,2,FALSE))</f>
        <v>0</v>
      </c>
      <c r="AF38" s="56">
        <f>IF(ISERROR(VLOOKUP(M38,CBIMPORT!$A$2:$B$171,2,FALSE)),0,VLOOKUP(M38,CBIMPORT!$A$2:$B$171,2,FALSE))</f>
        <v>0</v>
      </c>
      <c r="AG38" s="56">
        <f>IF(ISERROR(VLOOKUP(N38,CBIMPORT!$A$2:$B$171,2,FALSE)),0,VLOOKUP(N38,CBIMPORT!$A$2:$B$171,2,FALSE))</f>
        <v>0</v>
      </c>
      <c r="AH38" s="56">
        <f>IF(ISERROR(VLOOKUP(O38,CBIMPORT!$A$2:$B$171,2,FALSE)),0,VLOOKUP(O38,CBIMPORT!$A$2:$B$171,2,FALSE))</f>
        <v>0</v>
      </c>
      <c r="AI38" s="56">
        <f>IF(ISERROR(VLOOKUP(P38,CBIMPORT!$A$2:$B$171,2,FALSE)),0,VLOOKUP(P38,CBIMPORT!$A$2:$B$171,2,FALSE))</f>
        <v>0</v>
      </c>
      <c r="AJ38" s="56">
        <f>IF(ISERROR(VLOOKUP(Q38,CBIMPORT!$A$2:$B$171,2,FALSE)),0,VLOOKUP(Q38,CBIMPORT!$A$2:$B$171,2,FALSE))</f>
        <v>0</v>
      </c>
      <c r="AK38" s="56">
        <f>IF(ISERROR(VLOOKUP(R38,CBIMPORT!$A$2:$B$171,2,FALSE)),0,VLOOKUP(R38,CBIMPORT!$A$2:$B$171,2,FALSE))</f>
        <v>0</v>
      </c>
      <c r="AL38" s="56">
        <f>IF(ISERROR(VLOOKUP(S38,CBIMPORT!$A$2:$B$171,2,FALSE)),0,VLOOKUP(S38,CBIMPORT!$A$2:$B$171,2,FALSE))</f>
        <v>0</v>
      </c>
      <c r="AM38" s="60">
        <f t="shared" si="35"/>
        <v>0</v>
      </c>
      <c r="AN38" s="60">
        <f t="shared" si="51"/>
        <v>2</v>
      </c>
      <c r="AO38" s="60">
        <f t="shared" si="51"/>
        <v>0</v>
      </c>
      <c r="AP38" s="60">
        <f t="shared" si="51"/>
        <v>0</v>
      </c>
      <c r="AQ38" s="60">
        <f t="shared" si="51"/>
        <v>0</v>
      </c>
      <c r="AR38" s="60">
        <f t="shared" si="51"/>
        <v>0</v>
      </c>
      <c r="AS38" s="60">
        <f t="shared" si="51"/>
        <v>0</v>
      </c>
      <c r="AT38" s="60">
        <f t="shared" si="51"/>
        <v>0</v>
      </c>
      <c r="AU38" s="60">
        <f t="shared" si="51"/>
        <v>0</v>
      </c>
      <c r="AV38" s="60">
        <f t="shared" si="51"/>
        <v>0</v>
      </c>
      <c r="AW38" s="60">
        <f t="shared" si="51"/>
        <v>1</v>
      </c>
      <c r="AX38" s="60">
        <f t="shared" si="52"/>
        <v>0</v>
      </c>
      <c r="AY38" s="60">
        <f t="shared" si="52"/>
        <v>0</v>
      </c>
      <c r="AZ38" s="60">
        <f t="shared" si="52"/>
        <v>0</v>
      </c>
      <c r="BA38" s="60">
        <f t="shared" si="52"/>
        <v>0</v>
      </c>
      <c r="BB38" s="60">
        <f t="shared" si="52"/>
        <v>0</v>
      </c>
      <c r="BC38" s="60">
        <f t="shared" si="52"/>
        <v>0</v>
      </c>
      <c r="BD38" s="60">
        <f t="shared" si="52"/>
        <v>0</v>
      </c>
      <c r="BE38" s="60">
        <f t="shared" si="52"/>
        <v>0</v>
      </c>
      <c r="BF38" s="60">
        <f t="shared" si="52"/>
        <v>0</v>
      </c>
      <c r="BG38" s="60">
        <f t="shared" si="52"/>
        <v>0</v>
      </c>
      <c r="BH38" s="60">
        <f t="shared" si="53"/>
        <v>0</v>
      </c>
      <c r="BI38" s="60">
        <f t="shared" si="53"/>
        <v>0</v>
      </c>
      <c r="BJ38" s="60">
        <f t="shared" si="53"/>
        <v>0</v>
      </c>
      <c r="BK38" s="60">
        <f t="shared" si="53"/>
        <v>0</v>
      </c>
      <c r="BL38" s="60">
        <f t="shared" si="53"/>
        <v>1</v>
      </c>
      <c r="BM38" s="60">
        <f t="shared" si="53"/>
        <v>0</v>
      </c>
      <c r="BN38" s="60">
        <f t="shared" si="53"/>
        <v>0</v>
      </c>
      <c r="BO38" s="60">
        <f t="shared" si="53"/>
        <v>0</v>
      </c>
      <c r="BP38" s="60">
        <f t="shared" si="53"/>
        <v>0</v>
      </c>
      <c r="BQ38" s="60">
        <f t="shared" si="53"/>
        <v>0</v>
      </c>
      <c r="BR38" s="60">
        <f t="shared" si="54"/>
        <v>0</v>
      </c>
      <c r="BS38" s="60">
        <f t="shared" si="54"/>
        <v>0</v>
      </c>
      <c r="BT38" s="60">
        <f t="shared" si="54"/>
        <v>0</v>
      </c>
      <c r="BU38" s="60">
        <f t="shared" si="54"/>
        <v>0</v>
      </c>
      <c r="BV38" s="60">
        <f t="shared" si="54"/>
        <v>0</v>
      </c>
      <c r="BW38" s="60"/>
      <c r="BX38" s="63">
        <f t="shared" si="40"/>
        <v>0</v>
      </c>
      <c r="BY38" s="63">
        <f t="shared" si="45"/>
        <v>0.5</v>
      </c>
      <c r="BZ38" s="63">
        <f t="shared" si="46"/>
        <v>0</v>
      </c>
      <c r="CA38" s="63">
        <f t="shared" si="2"/>
        <v>0</v>
      </c>
      <c r="CB38" s="63">
        <f t="shared" si="3"/>
        <v>0</v>
      </c>
      <c r="CC38" s="63">
        <f t="shared" si="4"/>
        <v>0</v>
      </c>
      <c r="CD38" s="63">
        <f t="shared" si="5"/>
        <v>0</v>
      </c>
      <c r="CE38" s="63">
        <f t="shared" si="6"/>
        <v>0</v>
      </c>
      <c r="CF38" s="63">
        <f t="shared" si="7"/>
        <v>0</v>
      </c>
      <c r="CG38" s="63">
        <f t="shared" si="8"/>
        <v>0</v>
      </c>
      <c r="CH38" s="63">
        <f t="shared" si="9"/>
        <v>0.25</v>
      </c>
      <c r="CI38" s="63">
        <f t="shared" si="10"/>
        <v>0</v>
      </c>
      <c r="CJ38" s="63">
        <f t="shared" si="11"/>
        <v>0</v>
      </c>
      <c r="CK38" s="63">
        <f t="shared" si="12"/>
        <v>0</v>
      </c>
      <c r="CL38" s="63">
        <f t="shared" si="13"/>
        <v>0</v>
      </c>
      <c r="CM38" s="63">
        <f t="shared" si="14"/>
        <v>0</v>
      </c>
      <c r="CN38" s="63">
        <f t="shared" si="15"/>
        <v>0</v>
      </c>
      <c r="CO38" s="63">
        <f t="shared" si="16"/>
        <v>0</v>
      </c>
      <c r="CP38" s="63">
        <f t="shared" si="17"/>
        <v>0</v>
      </c>
      <c r="CQ38" s="63">
        <f t="shared" si="18"/>
        <v>0</v>
      </c>
      <c r="CR38" s="63">
        <f t="shared" si="19"/>
        <v>0</v>
      </c>
      <c r="CS38" s="63">
        <f t="shared" si="20"/>
        <v>0</v>
      </c>
      <c r="CT38" s="63">
        <f t="shared" si="21"/>
        <v>0</v>
      </c>
      <c r="CU38" s="63">
        <f t="shared" si="22"/>
        <v>0</v>
      </c>
      <c r="CV38" s="63">
        <f t="shared" si="23"/>
        <v>0</v>
      </c>
      <c r="CW38" s="63">
        <f t="shared" si="24"/>
        <v>0.25</v>
      </c>
      <c r="CX38" s="63">
        <f t="shared" si="25"/>
        <v>0</v>
      </c>
      <c r="CY38" s="63">
        <f t="shared" si="26"/>
        <v>0</v>
      </c>
      <c r="CZ38" s="63">
        <f t="shared" si="27"/>
        <v>0</v>
      </c>
      <c r="DA38" s="63">
        <f t="shared" si="28"/>
        <v>0</v>
      </c>
      <c r="DB38" s="63">
        <f t="shared" si="29"/>
        <v>0</v>
      </c>
      <c r="DC38" s="63">
        <f t="shared" si="30"/>
        <v>0</v>
      </c>
      <c r="DD38" s="63">
        <f t="shared" si="31"/>
        <v>0</v>
      </c>
      <c r="DE38" s="63">
        <f t="shared" si="32"/>
        <v>0</v>
      </c>
      <c r="DF38" s="63">
        <f t="shared" si="33"/>
        <v>0</v>
      </c>
      <c r="DG38" s="63">
        <f t="shared" si="34"/>
        <v>0</v>
      </c>
      <c r="DH38" s="57" t="str" cm="1">
        <f t="array" ref="DH38">INDEX(_xlfn.ANCHORARRAY($BX$2),0,MATCH(LARGE($BX38:$DG38,1),$BX38:$DG38,0))</f>
        <v>OEM Commercial Vehicles</v>
      </c>
      <c r="DI38" s="58">
        <f>LARGE('Industries all mentioned partne'!$BX38:$DG38,1)</f>
        <v>0.5</v>
      </c>
      <c r="DJ38" s="57" t="str" cm="1">
        <f t="array" ref="DJ38">IF(DI38&lt;&gt;100%,INDEX(_xlfn.ANCHORARRAY($BX$2),0,MATCH(LARGE($BX38:$DG38,2),$BX38:$DG38,0)),"")</f>
        <v>V&amp;V</v>
      </c>
      <c r="DK38" s="58">
        <f>IF(DI38&lt;&gt;100%,LARGE('Industries all mentioned partne'!$BX38:$DG38,2),"")</f>
        <v>0.25</v>
      </c>
      <c r="DL38" s="57" t="str" cm="1">
        <f t="array" ref="DL38">IF(DM38="","",INDEX(_xlfn.ANCHORARRAY($BX$2),0,MATCH(LARGE($BX38:$DG38,3),$BX38:$DG38,0)))</f>
        <v>V&amp;V</v>
      </c>
      <c r="DM38" s="110">
        <f>IF(LARGE('Industries all mentioned partne'!$BX38:$DG38,3)=0%,"",LARGE('Industries all mentioned partne'!$BX38:$DG38,3))</f>
        <v>0.25</v>
      </c>
      <c r="DN38" s="52">
        <f>IF(ISTEXT(C38)=TRUE,VLOOKUP(C38,CBIMPORT!$A$2:$AL$171,38,FALSE),"")</f>
        <v>0</v>
      </c>
      <c r="DO38" s="52">
        <f>IF(ISTEXT(D38)=TRUE,VLOOKUP(D38,CBIMPORT!$A$2:$AL$171,38,FALSE),"")</f>
        <v>0</v>
      </c>
      <c r="DP38" s="52">
        <f>IF(ISTEXT(E38)=TRUE,VLOOKUP(E38,CBIMPORT!$A$2:$AL$171,38,FALSE),"")</f>
        <v>0</v>
      </c>
      <c r="DQ38" s="52">
        <f>IF(ISTEXT(F38)=TRUE,VLOOKUP(F38,CBIMPORT!$A$2:$AL$171,38,FALSE),"")</f>
        <v>1</v>
      </c>
      <c r="DR38" s="52" t="str">
        <f>IF(ISTEXT(G38)=TRUE,VLOOKUP(G38,CBIMPORT!$A$2:$AL$171,38,FALSE),"")</f>
        <v/>
      </c>
      <c r="DS38" s="52" t="str">
        <f>IF(ISTEXT(H38)=TRUE,VLOOKUP(H38,CBIMPORT!$A$2:$AL$171,38,FALSE),"")</f>
        <v/>
      </c>
      <c r="DT38" s="52" t="str">
        <f>IF(ISTEXT(I38)=TRUE,VLOOKUP(I38,CBIMPORT!$A$2:$AL$171,38,FALSE),"")</f>
        <v/>
      </c>
      <c r="DU38" s="52" t="str">
        <f>IF(ISTEXT(J38)=TRUE,VLOOKUP(J38,CBIMPORT!$A$2:$AL$171,38,FALSE),"")</f>
        <v/>
      </c>
      <c r="DV38" s="52" t="str">
        <f>IF(ISTEXT(K38)=TRUE,VLOOKUP(K38,CBIMPORT!$A$2:$AL$171,38,FALSE),"")</f>
        <v/>
      </c>
      <c r="DW38" s="52" t="str">
        <f>IF(ISTEXT(L38)=TRUE,VLOOKUP(L38,CBIMPORT!$A$2:$AL$171,38,FALSE),"")</f>
        <v/>
      </c>
      <c r="DX38" s="52" t="str">
        <f>IF(ISTEXT(M38)=TRUE,VLOOKUP(M38,CBIMPORT!$A$2:$AL$171,38,FALSE),"")</f>
        <v/>
      </c>
      <c r="DY38" s="52" t="str">
        <f>IF(ISTEXT(N38)=TRUE,VLOOKUP(N38,CBIMPORT!$A$2:$AL$171,38,FALSE),"")</f>
        <v/>
      </c>
      <c r="DZ38" s="52" t="str">
        <f>IF(ISTEXT(O38)=TRUE,VLOOKUP(O38,CBIMPORT!$A$2:$AL$171,38,FALSE),"")</f>
        <v/>
      </c>
      <c r="EA38" s="52" t="str">
        <f>IF(ISTEXT(P38)=TRUE,VLOOKUP(P38,CBIMPORT!$A$2:$AL$171,38,FALSE),"")</f>
        <v/>
      </c>
      <c r="EB38" s="52" t="str">
        <f>IF(ISTEXT(Q38)=TRUE,VLOOKUP(Q38,CBIMPORT!$A$2:$AL$171,38,FALSE),"")</f>
        <v/>
      </c>
      <c r="EC38" s="52" t="str">
        <f>IF(ISTEXT(R38)=TRUE,VLOOKUP(R38,CBIMPORT!$A$2:$AL$171,38,FALSE),"")</f>
        <v/>
      </c>
      <c r="ED38" s="52" t="str">
        <f>IF(ISTEXT(S38)=TRUE,VLOOKUP(S38,CBIMPORT!$A$2:$AL$171,38,FALSE),"")</f>
        <v/>
      </c>
      <c r="EE38" s="52" t="str">
        <f>IF(ISTEXT(T38)=TRUE,VLOOKUP(T38,CBIMPORT!$A$2:$AL$171,38,FALSE),"")</f>
        <v/>
      </c>
      <c r="EF38" s="64" t="str">
        <f>IF(ISTEXT(U38)=TRUE,VLOOKUP(U38,CBIMPORT!$A$2:$AL$171,38,FALSE),"")</f>
        <v/>
      </c>
      <c r="EG38" s="64"/>
      <c r="EH38" s="64"/>
      <c r="EI38" s="64"/>
      <c r="EJ38" s="64"/>
      <c r="EK38" s="64"/>
      <c r="EL38" s="64"/>
      <c r="EM38" s="64"/>
      <c r="EN38" s="64"/>
      <c r="EO38" s="64"/>
      <c r="EP38" s="64"/>
    </row>
    <row r="39" spans="1:146" x14ac:dyDescent="0.35">
      <c r="A39" s="50" t="str">
        <v>Transdev-Ridepooling</v>
      </c>
      <c r="B39" s="48" t="str" cm="1">
        <f t="array" ref="B39">_xlfn.TEXTJOIN(";",TRUE,IF(ANNOUNCEMENTS!$AH$2:$AH$180=A39,ANNOUNCEMENTS!$K$2:$K$180,""))</f>
        <v>Torc;LAVTA;Delphi;ZF;e.GO</v>
      </c>
      <c r="C39" s="55" t="s">
        <v>418</v>
      </c>
      <c r="D39" s="55" t="s">
        <v>1976</v>
      </c>
      <c r="E39" s="55" t="s">
        <v>486</v>
      </c>
      <c r="F39" s="55" t="s">
        <v>1932</v>
      </c>
      <c r="G39" s="55" t="s">
        <v>489</v>
      </c>
      <c r="H39" s="55"/>
      <c r="I39" s="55"/>
      <c r="J39" s="55"/>
      <c r="K39" s="55"/>
      <c r="L39" s="55"/>
      <c r="M39" s="55"/>
      <c r="N39" s="55"/>
      <c r="O39" s="55"/>
      <c r="P39" s="55"/>
      <c r="Q39" s="55"/>
      <c r="R39" s="55"/>
      <c r="S39" s="55"/>
      <c r="T39" s="55"/>
      <c r="V39" s="56" t="str">
        <f>IF(ISERROR(VLOOKUP(C39,CBIMPORT!$A$2:$B$171,2,FALSE)),0,VLOOKUP(C39,CBIMPORT!$A$2:$B$171,2,FALSE))</f>
        <v>Autonomous Vehicles</v>
      </c>
      <c r="W39" s="56" t="str">
        <f>IF(ISERROR(VLOOKUP(D39,CBIMPORT!$A$2:$B$171,2,FALSE)),0,VLOOKUP(D39,CBIMPORT!$A$2:$B$171,2,FALSE))</f>
        <v>Transport Operator</v>
      </c>
      <c r="X39" s="56" t="str">
        <f>IF(ISERROR(VLOOKUP(E39,CBIMPORT!$A$2:$B$171,2,FALSE)),0,VLOOKUP(E39,CBIMPORT!$A$2:$B$171,2,FALSE))</f>
        <v>Automotive Supplier</v>
      </c>
      <c r="Y39" s="56" t="str">
        <f>IF(ISERROR(VLOOKUP(F39,CBIMPORT!$A$2:$B$171,2,FALSE)),0,VLOOKUP(F39,CBIMPORT!$A$2:$B$171,2,FALSE))</f>
        <v>Autonomous Vehicles</v>
      </c>
      <c r="Z39" s="56" t="str">
        <f>IF(ISERROR(VLOOKUP(G39,CBIMPORT!$A$2:$B$171,2,FALSE)),0,VLOOKUP(G39,CBIMPORT!$A$2:$B$171,2,FALSE))</f>
        <v>OEM</v>
      </c>
      <c r="AA39" s="56">
        <f>IF(ISERROR(VLOOKUP(H39,CBIMPORT!$A$2:$B$171,2,FALSE)),0,VLOOKUP(H39,CBIMPORT!$A$2:$B$171,2,FALSE))</f>
        <v>0</v>
      </c>
      <c r="AB39" s="56">
        <f>IF(ISERROR(VLOOKUP(I39,CBIMPORT!$A$2:$B$171,2,FALSE)),0,VLOOKUP(I39,CBIMPORT!$A$2:$B$171,2,FALSE))</f>
        <v>0</v>
      </c>
      <c r="AC39" s="56">
        <f>IF(ISERROR(VLOOKUP(J39,CBIMPORT!$A$2:$B$171,2,FALSE)),0,VLOOKUP(J39,CBIMPORT!$A$2:$B$171,2,FALSE))</f>
        <v>0</v>
      </c>
      <c r="AD39" s="56">
        <f>IF(ISERROR(VLOOKUP(K39,CBIMPORT!$A$2:$B$171,2,FALSE)),0,VLOOKUP(K39,CBIMPORT!$A$2:$B$171,2,FALSE))</f>
        <v>0</v>
      </c>
      <c r="AE39" s="56">
        <f>IF(ISERROR(VLOOKUP(L39,CBIMPORT!$A$2:$B$171,2,FALSE)),0,VLOOKUP(L39,CBIMPORT!$A$2:$B$171,2,FALSE))</f>
        <v>0</v>
      </c>
      <c r="AF39" s="56">
        <f>IF(ISERROR(VLOOKUP(M39,CBIMPORT!$A$2:$B$171,2,FALSE)),0,VLOOKUP(M39,CBIMPORT!$A$2:$B$171,2,FALSE))</f>
        <v>0</v>
      </c>
      <c r="AG39" s="56">
        <f>IF(ISERROR(VLOOKUP(N39,CBIMPORT!$A$2:$B$171,2,FALSE)),0,VLOOKUP(N39,CBIMPORT!$A$2:$B$171,2,FALSE))</f>
        <v>0</v>
      </c>
      <c r="AH39" s="56">
        <f>IF(ISERROR(VLOOKUP(O39,CBIMPORT!$A$2:$B$171,2,FALSE)),0,VLOOKUP(O39,CBIMPORT!$A$2:$B$171,2,FALSE))</f>
        <v>0</v>
      </c>
      <c r="AI39" s="56">
        <f>IF(ISERROR(VLOOKUP(P39,CBIMPORT!$A$2:$B$171,2,FALSE)),0,VLOOKUP(P39,CBIMPORT!$A$2:$B$171,2,FALSE))</f>
        <v>0</v>
      </c>
      <c r="AJ39" s="56">
        <f>IF(ISERROR(VLOOKUP(Q39,CBIMPORT!$A$2:$B$171,2,FALSE)),0,VLOOKUP(Q39,CBIMPORT!$A$2:$B$171,2,FALSE))</f>
        <v>0</v>
      </c>
      <c r="AK39" s="56">
        <f>IF(ISERROR(VLOOKUP(R39,CBIMPORT!$A$2:$B$171,2,FALSE)),0,VLOOKUP(R39,CBIMPORT!$A$2:$B$171,2,FALSE))</f>
        <v>0</v>
      </c>
      <c r="AL39" s="56">
        <f>IF(ISERROR(VLOOKUP(S39,CBIMPORT!$A$2:$B$171,2,FALSE)),0,VLOOKUP(S39,CBIMPORT!$A$2:$B$171,2,FALSE))</f>
        <v>0</v>
      </c>
      <c r="AM39" s="60">
        <f t="shared" si="35"/>
        <v>2</v>
      </c>
      <c r="AN39" s="60">
        <f t="shared" si="51"/>
        <v>0</v>
      </c>
      <c r="AO39" s="60">
        <f t="shared" si="51"/>
        <v>1</v>
      </c>
      <c r="AP39" s="60">
        <f t="shared" si="51"/>
        <v>0</v>
      </c>
      <c r="AQ39" s="60">
        <f t="shared" si="51"/>
        <v>0</v>
      </c>
      <c r="AR39" s="60">
        <f t="shared" si="51"/>
        <v>0</v>
      </c>
      <c r="AS39" s="60">
        <f t="shared" si="51"/>
        <v>0</v>
      </c>
      <c r="AT39" s="60">
        <f t="shared" si="51"/>
        <v>0</v>
      </c>
      <c r="AU39" s="60">
        <f t="shared" si="51"/>
        <v>0</v>
      </c>
      <c r="AV39" s="60">
        <f t="shared" si="51"/>
        <v>0</v>
      </c>
      <c r="AW39" s="60">
        <f t="shared" si="51"/>
        <v>0</v>
      </c>
      <c r="AX39" s="60">
        <f t="shared" si="52"/>
        <v>0</v>
      </c>
      <c r="AY39" s="60">
        <f t="shared" si="52"/>
        <v>0</v>
      </c>
      <c r="AZ39" s="60">
        <f t="shared" si="52"/>
        <v>1</v>
      </c>
      <c r="BA39" s="60">
        <f t="shared" si="52"/>
        <v>0</v>
      </c>
      <c r="BB39" s="60">
        <f t="shared" si="52"/>
        <v>0</v>
      </c>
      <c r="BC39" s="60">
        <f t="shared" si="52"/>
        <v>0</v>
      </c>
      <c r="BD39" s="60">
        <f t="shared" si="52"/>
        <v>0</v>
      </c>
      <c r="BE39" s="60">
        <f t="shared" si="52"/>
        <v>1</v>
      </c>
      <c r="BF39" s="60">
        <f t="shared" si="52"/>
        <v>0</v>
      </c>
      <c r="BG39" s="60">
        <f t="shared" si="52"/>
        <v>0</v>
      </c>
      <c r="BH39" s="60">
        <f t="shared" si="53"/>
        <v>0</v>
      </c>
      <c r="BI39" s="60">
        <f t="shared" si="53"/>
        <v>0</v>
      </c>
      <c r="BJ39" s="60">
        <f t="shared" si="53"/>
        <v>0</v>
      </c>
      <c r="BK39" s="60">
        <f t="shared" si="53"/>
        <v>0</v>
      </c>
      <c r="BL39" s="60">
        <f t="shared" si="53"/>
        <v>0</v>
      </c>
      <c r="BM39" s="60">
        <f t="shared" si="53"/>
        <v>0</v>
      </c>
      <c r="BN39" s="60">
        <f t="shared" si="53"/>
        <v>0</v>
      </c>
      <c r="BO39" s="60">
        <f t="shared" si="53"/>
        <v>0</v>
      </c>
      <c r="BP39" s="60">
        <f t="shared" si="53"/>
        <v>0</v>
      </c>
      <c r="BQ39" s="60">
        <f t="shared" si="53"/>
        <v>0</v>
      </c>
      <c r="BR39" s="60">
        <f t="shared" si="54"/>
        <v>0</v>
      </c>
      <c r="BS39" s="60">
        <f t="shared" si="54"/>
        <v>0</v>
      </c>
      <c r="BT39" s="60">
        <f t="shared" si="54"/>
        <v>0</v>
      </c>
      <c r="BU39" s="60">
        <f t="shared" si="54"/>
        <v>0</v>
      </c>
      <c r="BV39" s="60">
        <f t="shared" si="54"/>
        <v>0</v>
      </c>
      <c r="BW39" s="60"/>
      <c r="BX39" s="63">
        <f t="shared" si="40"/>
        <v>0.4</v>
      </c>
      <c r="BY39" s="63">
        <f t="shared" si="45"/>
        <v>0</v>
      </c>
      <c r="BZ39" s="63">
        <f t="shared" si="46"/>
        <v>0.2</v>
      </c>
      <c r="CA39" s="63">
        <f t="shared" si="2"/>
        <v>0</v>
      </c>
      <c r="CB39" s="63">
        <f t="shared" si="3"/>
        <v>0</v>
      </c>
      <c r="CC39" s="63">
        <f t="shared" si="4"/>
        <v>0</v>
      </c>
      <c r="CD39" s="63">
        <f t="shared" si="5"/>
        <v>0</v>
      </c>
      <c r="CE39" s="63">
        <f t="shared" si="6"/>
        <v>0</v>
      </c>
      <c r="CF39" s="63">
        <f t="shared" si="7"/>
        <v>0</v>
      </c>
      <c r="CG39" s="63">
        <f t="shared" si="8"/>
        <v>0</v>
      </c>
      <c r="CH39" s="63">
        <f t="shared" si="9"/>
        <v>0</v>
      </c>
      <c r="CI39" s="63">
        <f t="shared" si="10"/>
        <v>0</v>
      </c>
      <c r="CJ39" s="63">
        <f t="shared" si="11"/>
        <v>0</v>
      </c>
      <c r="CK39" s="63">
        <f t="shared" si="12"/>
        <v>0.2</v>
      </c>
      <c r="CL39" s="63">
        <f t="shared" si="13"/>
        <v>0</v>
      </c>
      <c r="CM39" s="63">
        <f t="shared" si="14"/>
        <v>0</v>
      </c>
      <c r="CN39" s="63">
        <f t="shared" si="15"/>
        <v>0</v>
      </c>
      <c r="CO39" s="63">
        <f t="shared" si="16"/>
        <v>0</v>
      </c>
      <c r="CP39" s="63">
        <f t="shared" si="17"/>
        <v>0.2</v>
      </c>
      <c r="CQ39" s="63">
        <f t="shared" si="18"/>
        <v>0</v>
      </c>
      <c r="CR39" s="63">
        <f t="shared" si="19"/>
        <v>0</v>
      </c>
      <c r="CS39" s="63">
        <f t="shared" si="20"/>
        <v>0</v>
      </c>
      <c r="CT39" s="63">
        <f t="shared" si="21"/>
        <v>0</v>
      </c>
      <c r="CU39" s="63">
        <f t="shared" si="22"/>
        <v>0</v>
      </c>
      <c r="CV39" s="63">
        <f t="shared" si="23"/>
        <v>0</v>
      </c>
      <c r="CW39" s="63">
        <f t="shared" si="24"/>
        <v>0</v>
      </c>
      <c r="CX39" s="63">
        <f t="shared" si="25"/>
        <v>0</v>
      </c>
      <c r="CY39" s="63">
        <f t="shared" si="26"/>
        <v>0</v>
      </c>
      <c r="CZ39" s="63">
        <f t="shared" si="27"/>
        <v>0</v>
      </c>
      <c r="DA39" s="63">
        <f t="shared" si="28"/>
        <v>0</v>
      </c>
      <c r="DB39" s="63">
        <f t="shared" si="29"/>
        <v>0</v>
      </c>
      <c r="DC39" s="63">
        <f t="shared" si="30"/>
        <v>0</v>
      </c>
      <c r="DD39" s="63">
        <f t="shared" si="31"/>
        <v>0</v>
      </c>
      <c r="DE39" s="63">
        <f t="shared" si="32"/>
        <v>0</v>
      </c>
      <c r="DF39" s="63">
        <f t="shared" si="33"/>
        <v>0</v>
      </c>
      <c r="DG39" s="63">
        <f t="shared" si="34"/>
        <v>0</v>
      </c>
      <c r="DH39" s="57" t="str" cm="1">
        <f t="array" ref="DH39">INDEX(_xlfn.ANCHORARRAY($BX$2),0,MATCH(LARGE($BX39:$DG39,1),$BX39:$DG39,0))</f>
        <v>Autonomous Vehicles</v>
      </c>
      <c r="DI39" s="58">
        <f>LARGE('Industries all mentioned partne'!$BX39:$DG39,1)</f>
        <v>0.4</v>
      </c>
      <c r="DJ39" s="57" t="str" cm="1">
        <f t="array" ref="DJ39">IF(DI39&lt;&gt;100%,INDEX(_xlfn.ANCHORARRAY($BX$2),0,MATCH(LARGE($BX39:$DG39,2),$BX39:$DG39,0)),"")</f>
        <v>Transport Operator</v>
      </c>
      <c r="DK39" s="58">
        <f>IF(DI39&lt;&gt;100%,LARGE('Industries all mentioned partne'!$BX39:$DG39,2),"")</f>
        <v>0.2</v>
      </c>
      <c r="DL39" s="57" t="str" cm="1">
        <f t="array" ref="DL39">IF(DM39="","",INDEX(_xlfn.ANCHORARRAY($BX$2),0,MATCH(LARGE($BX39:$DG39,3),$BX39:$DG39,0)))</f>
        <v>Transport Operator</v>
      </c>
      <c r="DM39" s="110">
        <f>IF(LARGE('Industries all mentioned partne'!$BX39:$DG39,3)=0%,"",LARGE('Industries all mentioned partne'!$BX39:$DG39,3))</f>
        <v>0.2</v>
      </c>
      <c r="DN39" s="52">
        <f>IF(ISTEXT(C39)=TRUE,VLOOKUP(C39,CBIMPORT!$A$2:$AL$171,38,FALSE),"")</f>
        <v>0</v>
      </c>
      <c r="DO39" s="52">
        <f>IF(ISTEXT(D39)=TRUE,VLOOKUP(D39,CBIMPORT!$A$2:$AL$171,38,FALSE),"")</f>
        <v>0</v>
      </c>
      <c r="DP39" s="52">
        <f>IF(ISTEXT(E39)=TRUE,VLOOKUP(E39,CBIMPORT!$A$2:$AL$171,38,FALSE),"")</f>
        <v>1</v>
      </c>
      <c r="DQ39" s="52">
        <f>IF(ISTEXT(F39)=TRUE,VLOOKUP(F39,CBIMPORT!$A$2:$AL$171,38,FALSE),"")</f>
        <v>0</v>
      </c>
      <c r="DR39" s="52">
        <f>IF(ISTEXT(G39)=TRUE,VLOOKUP(G39,CBIMPORT!$A$2:$AL$171,38,FALSE),"")</f>
        <v>1</v>
      </c>
      <c r="DS39" s="52" t="str">
        <f>IF(ISTEXT(H39)=TRUE,VLOOKUP(H39,CBIMPORT!$A$2:$AL$171,38,FALSE),"")</f>
        <v/>
      </c>
      <c r="DT39" s="52" t="str">
        <f>IF(ISTEXT(I39)=TRUE,VLOOKUP(I39,CBIMPORT!$A$2:$AL$171,38,FALSE),"")</f>
        <v/>
      </c>
      <c r="DU39" s="52" t="str">
        <f>IF(ISTEXT(J39)=TRUE,VLOOKUP(J39,CBIMPORT!$A$2:$AL$171,38,FALSE),"")</f>
        <v/>
      </c>
      <c r="DV39" s="52" t="str">
        <f>IF(ISTEXT(K39)=TRUE,VLOOKUP(K39,CBIMPORT!$A$2:$AL$171,38,FALSE),"")</f>
        <v/>
      </c>
      <c r="DW39" s="52" t="str">
        <f>IF(ISTEXT(L39)=TRUE,VLOOKUP(L39,CBIMPORT!$A$2:$AL$171,38,FALSE),"")</f>
        <v/>
      </c>
      <c r="DX39" s="52" t="str">
        <f>IF(ISTEXT(M39)=TRUE,VLOOKUP(M39,CBIMPORT!$A$2:$AL$171,38,FALSE),"")</f>
        <v/>
      </c>
      <c r="DY39" s="52" t="str">
        <f>IF(ISTEXT(N39)=TRUE,VLOOKUP(N39,CBIMPORT!$A$2:$AL$171,38,FALSE),"")</f>
        <v/>
      </c>
      <c r="DZ39" s="52" t="str">
        <f>IF(ISTEXT(O39)=TRUE,VLOOKUP(O39,CBIMPORT!$A$2:$AL$171,38,FALSE),"")</f>
        <v/>
      </c>
      <c r="EA39" s="52" t="str">
        <f>IF(ISTEXT(P39)=TRUE,VLOOKUP(P39,CBIMPORT!$A$2:$AL$171,38,FALSE),"")</f>
        <v/>
      </c>
      <c r="EB39" s="52" t="str">
        <f>IF(ISTEXT(Q39)=TRUE,VLOOKUP(Q39,CBIMPORT!$A$2:$AL$171,38,FALSE),"")</f>
        <v/>
      </c>
      <c r="EC39" s="52" t="str">
        <f>IF(ISTEXT(R39)=TRUE,VLOOKUP(R39,CBIMPORT!$A$2:$AL$171,38,FALSE),"")</f>
        <v/>
      </c>
      <c r="ED39" s="52" t="str">
        <f>IF(ISTEXT(S39)=TRUE,VLOOKUP(S39,CBIMPORT!$A$2:$AL$171,38,FALSE),"")</f>
        <v/>
      </c>
      <c r="EE39" s="52" t="str">
        <f>IF(ISTEXT(T39)=TRUE,VLOOKUP(T39,CBIMPORT!$A$2:$AL$171,38,FALSE),"")</f>
        <v/>
      </c>
      <c r="EF39" s="64" t="str">
        <f>IF(ISTEXT(U39)=TRUE,VLOOKUP(U39,CBIMPORT!$A$2:$AL$171,38,FALSE),"")</f>
        <v/>
      </c>
      <c r="EG39" s="64"/>
      <c r="EH39" s="64"/>
      <c r="EI39" s="64"/>
      <c r="EJ39" s="64"/>
      <c r="EK39" s="64"/>
      <c r="EL39" s="64"/>
      <c r="EM39" s="64"/>
      <c r="EN39" s="64"/>
      <c r="EO39" s="64"/>
      <c r="EP39" s="64"/>
    </row>
    <row r="40" spans="1:146" x14ac:dyDescent="0.35">
      <c r="A40" s="48" t="str">
        <v>TuSimple-Trucking</v>
      </c>
      <c r="B40" s="48" t="str" cm="1">
        <f t="array" ref="B40">_xlfn.TEXTJOIN(";",TRUE,IF(ANNOUNCEMENTS!$AH$2:$AH$180=A40,ANNOUNCEMENTS!$K$2:$K$180,""))</f>
        <v>ZF;Navistar;Traton;Goodyear;Liberty Mutual Insurance;Ryder;Loadsmith;Hegelmann Group;DHL</v>
      </c>
      <c r="C40" s="55" t="s">
        <v>1932</v>
      </c>
      <c r="D40" s="55" t="s">
        <v>795</v>
      </c>
      <c r="E40" s="55" t="s">
        <v>806</v>
      </c>
      <c r="F40" s="55" t="s">
        <v>507</v>
      </c>
      <c r="G40" s="55" t="s">
        <v>663</v>
      </c>
      <c r="H40" s="55" t="s">
        <v>700</v>
      </c>
      <c r="I40" s="55" t="s">
        <v>697</v>
      </c>
      <c r="J40" s="55" t="s">
        <v>692</v>
      </c>
      <c r="K40" s="55" t="s">
        <v>686</v>
      </c>
      <c r="L40" s="55"/>
      <c r="M40" s="55"/>
      <c r="N40" s="55"/>
      <c r="O40" s="55"/>
      <c r="P40" s="55"/>
      <c r="Q40" s="55"/>
      <c r="R40" s="55"/>
      <c r="S40" s="55"/>
      <c r="T40" s="55"/>
      <c r="V40" s="56" t="str">
        <f>IF(ISERROR(VLOOKUP(C40,CBIMPORT!$A$2:$B$171,2,FALSE)),0,VLOOKUP(C40,CBIMPORT!$A$2:$B$171,2,FALSE))</f>
        <v>Autonomous Vehicles</v>
      </c>
      <c r="W40" s="56" t="str">
        <f>IF(ISERROR(VLOOKUP(D40,CBIMPORT!$A$2:$B$171,2,FALSE)),0,VLOOKUP(D40,CBIMPORT!$A$2:$B$171,2,FALSE))</f>
        <v>OEM Commercial Vehicles</v>
      </c>
      <c r="X40" s="56" t="str">
        <f>IF(ISERROR(VLOOKUP(E40,CBIMPORT!$A$2:$B$171,2,FALSE)),0,VLOOKUP(E40,CBIMPORT!$A$2:$B$171,2,FALSE))</f>
        <v>OEM Commercial Vehicles</v>
      </c>
      <c r="Y40" s="56" t="str">
        <f>IF(ISERROR(VLOOKUP(F40,CBIMPORT!$A$2:$B$171,2,FALSE)),0,VLOOKUP(F40,CBIMPORT!$A$2:$B$171,2,FALSE))</f>
        <v>Automotive Supplier</v>
      </c>
      <c r="Z40" s="56" t="str">
        <f>IF(ISERROR(VLOOKUP(G40,CBIMPORT!$A$2:$B$171,2,FALSE)),0,VLOOKUP(G40,CBIMPORT!$A$2:$B$171,2,FALSE))</f>
        <v>Insurance</v>
      </c>
      <c r="AA40" s="56" t="str">
        <f>IF(ISERROR(VLOOKUP(H40,CBIMPORT!$A$2:$B$171,2,FALSE)),0,VLOOKUP(H40,CBIMPORT!$A$2:$B$171,2,FALSE))</f>
        <v>Logistics</v>
      </c>
      <c r="AB40" s="56" t="str">
        <f>IF(ISERROR(VLOOKUP(I40,CBIMPORT!$A$2:$B$171,2,FALSE)),0,VLOOKUP(I40,CBIMPORT!$A$2:$B$171,2,FALSE))</f>
        <v>Logistics</v>
      </c>
      <c r="AC40" s="56" t="str">
        <f>IF(ISERROR(VLOOKUP(J40,CBIMPORT!$A$2:$B$171,2,FALSE)),0,VLOOKUP(J40,CBIMPORT!$A$2:$B$171,2,FALSE))</f>
        <v>Logistics</v>
      </c>
      <c r="AD40" s="56" t="str">
        <f>IF(ISERROR(VLOOKUP(K40,CBIMPORT!$A$2:$B$171,2,FALSE)),0,VLOOKUP(K40,CBIMPORT!$A$2:$B$171,2,FALSE))</f>
        <v>Logistics</v>
      </c>
      <c r="AE40" s="56">
        <f>IF(ISERROR(VLOOKUP(L40,CBIMPORT!$A$2:$B$171,2,FALSE)),0,VLOOKUP(L40,CBIMPORT!$A$2:$B$171,2,FALSE))</f>
        <v>0</v>
      </c>
      <c r="AF40" s="56">
        <f>IF(ISERROR(VLOOKUP(M40,CBIMPORT!$A$2:$B$171,2,FALSE)),0,VLOOKUP(M40,CBIMPORT!$A$2:$B$171,2,FALSE))</f>
        <v>0</v>
      </c>
      <c r="AG40" s="56">
        <f>IF(ISERROR(VLOOKUP(N40,CBIMPORT!$A$2:$B$171,2,FALSE)),0,VLOOKUP(N40,CBIMPORT!$A$2:$B$171,2,FALSE))</f>
        <v>0</v>
      </c>
      <c r="AH40" s="56">
        <f>IF(ISERROR(VLOOKUP(O40,CBIMPORT!$A$2:$B$171,2,FALSE)),0,VLOOKUP(O40,CBIMPORT!$A$2:$B$171,2,FALSE))</f>
        <v>0</v>
      </c>
      <c r="AI40" s="56">
        <f>IF(ISERROR(VLOOKUP(P40,CBIMPORT!$A$2:$B$171,2,FALSE)),0,VLOOKUP(P40,CBIMPORT!$A$2:$B$171,2,FALSE))</f>
        <v>0</v>
      </c>
      <c r="AJ40" s="56">
        <f>IF(ISERROR(VLOOKUP(Q40,CBIMPORT!$A$2:$B$171,2,FALSE)),0,VLOOKUP(Q40,CBIMPORT!$A$2:$B$171,2,FALSE))</f>
        <v>0</v>
      </c>
      <c r="AK40" s="56">
        <f>IF(ISERROR(VLOOKUP(R40,CBIMPORT!$A$2:$B$171,2,FALSE)),0,VLOOKUP(R40,CBIMPORT!$A$2:$B$171,2,FALSE))</f>
        <v>0</v>
      </c>
      <c r="AL40" s="56">
        <f>IF(ISERROR(VLOOKUP(S40,CBIMPORT!$A$2:$B$171,2,FALSE)),0,VLOOKUP(S40,CBIMPORT!$A$2:$B$171,2,FALSE))</f>
        <v>0</v>
      </c>
      <c r="AM40" s="60">
        <f t="shared" si="35"/>
        <v>1</v>
      </c>
      <c r="AN40" s="60">
        <f t="shared" si="51"/>
        <v>2</v>
      </c>
      <c r="AO40" s="60">
        <f t="shared" si="51"/>
        <v>0</v>
      </c>
      <c r="AP40" s="60">
        <f t="shared" si="51"/>
        <v>0</v>
      </c>
      <c r="AQ40" s="60">
        <f t="shared" si="51"/>
        <v>0</v>
      </c>
      <c r="AR40" s="60">
        <f t="shared" si="51"/>
        <v>0</v>
      </c>
      <c r="AS40" s="60">
        <f t="shared" si="51"/>
        <v>4</v>
      </c>
      <c r="AT40" s="60">
        <f t="shared" si="51"/>
        <v>1</v>
      </c>
      <c r="AU40" s="60">
        <f t="shared" si="51"/>
        <v>0</v>
      </c>
      <c r="AV40" s="60">
        <f t="shared" si="51"/>
        <v>0</v>
      </c>
      <c r="AW40" s="60">
        <f t="shared" si="51"/>
        <v>0</v>
      </c>
      <c r="AX40" s="60">
        <f t="shared" si="52"/>
        <v>0</v>
      </c>
      <c r="AY40" s="60">
        <f t="shared" si="52"/>
        <v>0</v>
      </c>
      <c r="AZ40" s="60">
        <f t="shared" si="52"/>
        <v>1</v>
      </c>
      <c r="BA40" s="60">
        <f t="shared" si="52"/>
        <v>0</v>
      </c>
      <c r="BB40" s="60">
        <f t="shared" si="52"/>
        <v>0</v>
      </c>
      <c r="BC40" s="60">
        <f t="shared" si="52"/>
        <v>0</v>
      </c>
      <c r="BD40" s="60">
        <f t="shared" si="52"/>
        <v>0</v>
      </c>
      <c r="BE40" s="60">
        <f t="shared" si="52"/>
        <v>0</v>
      </c>
      <c r="BF40" s="60">
        <f t="shared" si="52"/>
        <v>0</v>
      </c>
      <c r="BG40" s="60">
        <f t="shared" si="52"/>
        <v>0</v>
      </c>
      <c r="BH40" s="60">
        <f t="shared" si="53"/>
        <v>0</v>
      </c>
      <c r="BI40" s="60">
        <f t="shared" si="53"/>
        <v>0</v>
      </c>
      <c r="BJ40" s="60">
        <f t="shared" si="53"/>
        <v>0</v>
      </c>
      <c r="BK40" s="60">
        <f t="shared" si="53"/>
        <v>0</v>
      </c>
      <c r="BL40" s="60">
        <f t="shared" si="53"/>
        <v>0</v>
      </c>
      <c r="BM40" s="60">
        <f t="shared" si="53"/>
        <v>0</v>
      </c>
      <c r="BN40" s="60">
        <f t="shared" si="53"/>
        <v>0</v>
      </c>
      <c r="BO40" s="60">
        <f t="shared" si="53"/>
        <v>0</v>
      </c>
      <c r="BP40" s="60">
        <f t="shared" si="53"/>
        <v>0</v>
      </c>
      <c r="BQ40" s="60">
        <f t="shared" si="53"/>
        <v>0</v>
      </c>
      <c r="BR40" s="60">
        <f t="shared" si="54"/>
        <v>0</v>
      </c>
      <c r="BS40" s="60">
        <f t="shared" si="54"/>
        <v>0</v>
      </c>
      <c r="BT40" s="60">
        <f t="shared" si="54"/>
        <v>0</v>
      </c>
      <c r="BU40" s="60">
        <f t="shared" si="54"/>
        <v>0</v>
      </c>
      <c r="BV40" s="60">
        <f t="shared" si="54"/>
        <v>0</v>
      </c>
      <c r="BW40" s="60"/>
      <c r="BX40" s="63">
        <f t="shared" si="40"/>
        <v>0.1111111111111111</v>
      </c>
      <c r="BY40" s="63">
        <f t="shared" si="45"/>
        <v>0.22222222222222221</v>
      </c>
      <c r="BZ40" s="63">
        <f t="shared" si="46"/>
        <v>0</v>
      </c>
      <c r="CA40" s="63">
        <f t="shared" si="2"/>
        <v>0</v>
      </c>
      <c r="CB40" s="63">
        <f t="shared" si="3"/>
        <v>0</v>
      </c>
      <c r="CC40" s="63">
        <f t="shared" si="4"/>
        <v>0</v>
      </c>
      <c r="CD40" s="63">
        <f t="shared" si="5"/>
        <v>0.44444444444444442</v>
      </c>
      <c r="CE40" s="63">
        <f t="shared" si="6"/>
        <v>0.1111111111111111</v>
      </c>
      <c r="CF40" s="63">
        <f t="shared" si="7"/>
        <v>0</v>
      </c>
      <c r="CG40" s="63">
        <f t="shared" si="8"/>
        <v>0</v>
      </c>
      <c r="CH40" s="63">
        <f t="shared" si="9"/>
        <v>0</v>
      </c>
      <c r="CI40" s="63">
        <f t="shared" si="10"/>
        <v>0</v>
      </c>
      <c r="CJ40" s="63">
        <f t="shared" si="11"/>
        <v>0</v>
      </c>
      <c r="CK40" s="63">
        <f t="shared" si="12"/>
        <v>0.1111111111111111</v>
      </c>
      <c r="CL40" s="63">
        <f t="shared" si="13"/>
        <v>0</v>
      </c>
      <c r="CM40" s="63">
        <f t="shared" si="14"/>
        <v>0</v>
      </c>
      <c r="CN40" s="63">
        <f t="shared" si="15"/>
        <v>0</v>
      </c>
      <c r="CO40" s="63">
        <f t="shared" si="16"/>
        <v>0</v>
      </c>
      <c r="CP40" s="63">
        <f t="shared" si="17"/>
        <v>0</v>
      </c>
      <c r="CQ40" s="63">
        <f t="shared" si="18"/>
        <v>0</v>
      </c>
      <c r="CR40" s="63">
        <f t="shared" si="19"/>
        <v>0</v>
      </c>
      <c r="CS40" s="63">
        <f t="shared" si="20"/>
        <v>0</v>
      </c>
      <c r="CT40" s="63">
        <f t="shared" si="21"/>
        <v>0</v>
      </c>
      <c r="CU40" s="63">
        <f t="shared" si="22"/>
        <v>0</v>
      </c>
      <c r="CV40" s="63">
        <f t="shared" si="23"/>
        <v>0</v>
      </c>
      <c r="CW40" s="63">
        <f t="shared" si="24"/>
        <v>0</v>
      </c>
      <c r="CX40" s="63">
        <f t="shared" si="25"/>
        <v>0</v>
      </c>
      <c r="CY40" s="63">
        <f t="shared" si="26"/>
        <v>0</v>
      </c>
      <c r="CZ40" s="63">
        <f t="shared" si="27"/>
        <v>0</v>
      </c>
      <c r="DA40" s="63">
        <f t="shared" si="28"/>
        <v>0</v>
      </c>
      <c r="DB40" s="63">
        <f t="shared" si="29"/>
        <v>0</v>
      </c>
      <c r="DC40" s="63">
        <f t="shared" si="30"/>
        <v>0</v>
      </c>
      <c r="DD40" s="63">
        <f t="shared" si="31"/>
        <v>0</v>
      </c>
      <c r="DE40" s="63">
        <f t="shared" si="32"/>
        <v>0</v>
      </c>
      <c r="DF40" s="63">
        <f t="shared" si="33"/>
        <v>0</v>
      </c>
      <c r="DG40" s="63">
        <f t="shared" si="34"/>
        <v>0</v>
      </c>
      <c r="DH40" s="57" t="str" cm="1">
        <f t="array" ref="DH40">INDEX(_xlfn.ANCHORARRAY($BX$2),0,MATCH(LARGE($BX40:$DG40,1),$BX40:$DG40,0))</f>
        <v>Logistics</v>
      </c>
      <c r="DI40" s="58">
        <f>LARGE('Industries all mentioned partne'!$BX40:$DG40,1)</f>
        <v>0.44444444444444442</v>
      </c>
      <c r="DJ40" s="57" t="str" cm="1">
        <f t="array" ref="DJ40">IF(DI40&lt;&gt;100%,INDEX(_xlfn.ANCHORARRAY($BX$2),0,MATCH(LARGE($BX40:$DG40,2),$BX40:$DG40,0)),"")</f>
        <v>OEM Commercial Vehicles</v>
      </c>
      <c r="DK40" s="58">
        <f>IF(DI40&lt;&gt;100%,LARGE('Industries all mentioned partne'!$BX40:$DG40,2),"")</f>
        <v>0.22222222222222221</v>
      </c>
      <c r="DL40" s="57" t="str" cm="1">
        <f t="array" ref="DL40">IF(DM40="","",INDEX(_xlfn.ANCHORARRAY($BX$2),0,MATCH(LARGE($BX40:$DG40,3),$BX40:$DG40,0)))</f>
        <v>Autonomous Vehicles</v>
      </c>
      <c r="DM40" s="110">
        <f>IF(LARGE('Industries all mentioned partne'!$BX40:$DG40,3)=0%,"",LARGE('Industries all mentioned partne'!$BX40:$DG40,3))</f>
        <v>0.1111111111111111</v>
      </c>
      <c r="DN40" s="52">
        <f>IF(ISTEXT(C40)=TRUE,VLOOKUP(C40,CBIMPORT!$A$2:$AL$171,38,FALSE),"")</f>
        <v>0</v>
      </c>
      <c r="DO40" s="52">
        <f>IF(ISTEXT(D40)=TRUE,VLOOKUP(D40,CBIMPORT!$A$2:$AL$171,38,FALSE),"")</f>
        <v>1</v>
      </c>
      <c r="DP40" s="52">
        <f>IF(ISTEXT(E40)=TRUE,VLOOKUP(E40,CBIMPORT!$A$2:$AL$171,38,FALSE),"")</f>
        <v>1</v>
      </c>
      <c r="DQ40" s="52">
        <f>IF(ISTEXT(F40)=TRUE,VLOOKUP(F40,CBIMPORT!$A$2:$AL$171,38,FALSE),"")</f>
        <v>0</v>
      </c>
      <c r="DR40" s="52">
        <f>IF(ISTEXT(G40)=TRUE,VLOOKUP(G40,CBIMPORT!$A$2:$AL$171,38,FALSE),"")</f>
        <v>0</v>
      </c>
      <c r="DS40" s="52">
        <f>IF(ISTEXT(H40)=TRUE,VLOOKUP(H40,CBIMPORT!$A$2:$AL$171,38,FALSE),"")</f>
        <v>1</v>
      </c>
      <c r="DT40" s="52">
        <f>IF(ISTEXT(I40)=TRUE,VLOOKUP(I40,CBIMPORT!$A$2:$AL$171,38,FALSE),"")</f>
        <v>0</v>
      </c>
      <c r="DU40" s="52">
        <f>IF(ISTEXT(J40)=TRUE,VLOOKUP(J40,CBIMPORT!$A$2:$AL$171,38,FALSE),"")</f>
        <v>0</v>
      </c>
      <c r="DV40" s="52">
        <f>IF(ISTEXT(K40)=TRUE,VLOOKUP(K40,CBIMPORT!$A$2:$AL$171,38,FALSE),"")</f>
        <v>0</v>
      </c>
      <c r="DW40" s="52" t="str">
        <f>IF(ISTEXT(L40)=TRUE,VLOOKUP(L40,CBIMPORT!$A$2:$AL$171,38,FALSE),"")</f>
        <v/>
      </c>
      <c r="DX40" s="52" t="str">
        <f>IF(ISTEXT(M40)=TRUE,VLOOKUP(M40,CBIMPORT!$A$2:$AL$171,38,FALSE),"")</f>
        <v/>
      </c>
      <c r="DY40" s="52" t="str">
        <f>IF(ISTEXT(N40)=TRUE,VLOOKUP(N40,CBIMPORT!$A$2:$AL$171,38,FALSE),"")</f>
        <v/>
      </c>
      <c r="DZ40" s="52" t="str">
        <f>IF(ISTEXT(O40)=TRUE,VLOOKUP(O40,CBIMPORT!$A$2:$AL$171,38,FALSE),"")</f>
        <v/>
      </c>
      <c r="EA40" s="52" t="str">
        <f>IF(ISTEXT(P40)=TRUE,VLOOKUP(P40,CBIMPORT!$A$2:$AL$171,38,FALSE),"")</f>
        <v/>
      </c>
      <c r="EB40" s="52" t="str">
        <f>IF(ISTEXT(Q40)=TRUE,VLOOKUP(Q40,CBIMPORT!$A$2:$AL$171,38,FALSE),"")</f>
        <v/>
      </c>
      <c r="EC40" s="52" t="str">
        <f>IF(ISTEXT(R40)=TRUE,VLOOKUP(R40,CBIMPORT!$A$2:$AL$171,38,FALSE),"")</f>
        <v/>
      </c>
      <c r="ED40" s="52" t="str">
        <f>IF(ISTEXT(S40)=TRUE,VLOOKUP(S40,CBIMPORT!$A$2:$AL$171,38,FALSE),"")</f>
        <v/>
      </c>
      <c r="EE40" s="52" t="str">
        <f>IF(ISTEXT(T40)=TRUE,VLOOKUP(T40,CBIMPORT!$A$2:$AL$171,38,FALSE),"")</f>
        <v/>
      </c>
      <c r="EF40" s="64" t="str">
        <f>IF(ISTEXT(U40)=TRUE,VLOOKUP(U40,CBIMPORT!$A$2:$AL$171,38,FALSE),"")</f>
        <v/>
      </c>
      <c r="EG40" s="64"/>
      <c r="EH40" s="64"/>
      <c r="EI40" s="64"/>
      <c r="EJ40" s="64"/>
      <c r="EK40" s="64"/>
      <c r="EL40" s="64"/>
      <c r="EM40" s="64"/>
      <c r="EN40" s="64"/>
      <c r="EO40" s="64"/>
      <c r="EP40" s="64"/>
    </row>
    <row r="41" spans="1:146" x14ac:dyDescent="0.35">
      <c r="A41" s="48" t="str">
        <v>Uber-Ridehailing</v>
      </c>
      <c r="B41" s="48" t="str" cm="1">
        <f t="array" ref="B41">_xlfn.TEXTJOIN(";",TRUE,IF(ANNOUNCEMENTS!$AH$2:$AH$180=A41,ANNOUNCEMENTS!$K$2:$K$180,""))</f>
        <v>Toyota</v>
      </c>
      <c r="C41" s="55" t="s">
        <v>774</v>
      </c>
      <c r="D41" s="55"/>
      <c r="E41" s="55"/>
      <c r="F41" s="55"/>
      <c r="G41" s="55"/>
      <c r="H41" s="55"/>
      <c r="I41" s="55"/>
      <c r="J41" s="55"/>
      <c r="K41" s="55"/>
      <c r="L41" s="55"/>
      <c r="M41" s="55"/>
      <c r="N41" s="55"/>
      <c r="O41" s="55"/>
      <c r="P41" s="55"/>
      <c r="Q41" s="55"/>
      <c r="R41" s="55"/>
      <c r="S41" s="55"/>
      <c r="T41" s="55"/>
      <c r="V41" s="56" t="str">
        <f>IF(ISERROR(VLOOKUP(C41,CBIMPORT!$A$2:$B$171,2,FALSE)),0,VLOOKUP(C41,CBIMPORT!$A$2:$B$171,2,FALSE))</f>
        <v>OEM</v>
      </c>
      <c r="W41" s="56">
        <f>IF(ISERROR(VLOOKUP(D41,CBIMPORT!$A$2:$B$171,2,FALSE)),0,VLOOKUP(D41,CBIMPORT!$A$2:$B$171,2,FALSE))</f>
        <v>0</v>
      </c>
      <c r="X41" s="56">
        <f>IF(ISERROR(VLOOKUP(E41,CBIMPORT!$A$2:$B$171,2,FALSE)),0,VLOOKUP(E41,CBIMPORT!$A$2:$B$171,2,FALSE))</f>
        <v>0</v>
      </c>
      <c r="Y41" s="56">
        <f>IF(ISERROR(VLOOKUP(F41,CBIMPORT!$A$2:$B$171,2,FALSE)),0,VLOOKUP(F41,CBIMPORT!$A$2:$B$171,2,FALSE))</f>
        <v>0</v>
      </c>
      <c r="Z41" s="56">
        <f>IF(ISERROR(VLOOKUP(G41,CBIMPORT!$A$2:$B$171,2,FALSE)),0,VLOOKUP(G41,CBIMPORT!$A$2:$B$171,2,FALSE))</f>
        <v>0</v>
      </c>
      <c r="AA41" s="56">
        <f>IF(ISERROR(VLOOKUP(H41,CBIMPORT!$A$2:$B$171,2,FALSE)),0,VLOOKUP(H41,CBIMPORT!$A$2:$B$171,2,FALSE))</f>
        <v>0</v>
      </c>
      <c r="AB41" s="56">
        <f>IF(ISERROR(VLOOKUP(I41,CBIMPORT!$A$2:$B$171,2,FALSE)),0,VLOOKUP(I41,CBIMPORT!$A$2:$B$171,2,FALSE))</f>
        <v>0</v>
      </c>
      <c r="AC41" s="56">
        <f>IF(ISERROR(VLOOKUP(J41,CBIMPORT!$A$2:$B$171,2,FALSE)),0,VLOOKUP(J41,CBIMPORT!$A$2:$B$171,2,FALSE))</f>
        <v>0</v>
      </c>
      <c r="AD41" s="56">
        <f>IF(ISERROR(VLOOKUP(K41,CBIMPORT!$A$2:$B$171,2,FALSE)),0,VLOOKUP(K41,CBIMPORT!$A$2:$B$171,2,FALSE))</f>
        <v>0</v>
      </c>
      <c r="AE41" s="56">
        <f>IF(ISERROR(VLOOKUP(L41,CBIMPORT!$A$2:$B$171,2,FALSE)),0,VLOOKUP(L41,CBIMPORT!$A$2:$B$171,2,FALSE))</f>
        <v>0</v>
      </c>
      <c r="AF41" s="56">
        <f>IF(ISERROR(VLOOKUP(M41,CBIMPORT!$A$2:$B$171,2,FALSE)),0,VLOOKUP(M41,CBIMPORT!$A$2:$B$171,2,FALSE))</f>
        <v>0</v>
      </c>
      <c r="AG41" s="56">
        <f>IF(ISERROR(VLOOKUP(N41,CBIMPORT!$A$2:$B$171,2,FALSE)),0,VLOOKUP(N41,CBIMPORT!$A$2:$B$171,2,FALSE))</f>
        <v>0</v>
      </c>
      <c r="AH41" s="56">
        <f>IF(ISERROR(VLOOKUP(O41,CBIMPORT!$A$2:$B$171,2,FALSE)),0,VLOOKUP(O41,CBIMPORT!$A$2:$B$171,2,FALSE))</f>
        <v>0</v>
      </c>
      <c r="AI41" s="56">
        <f>IF(ISERROR(VLOOKUP(P41,CBIMPORT!$A$2:$B$171,2,FALSE)),0,VLOOKUP(P41,CBIMPORT!$A$2:$B$171,2,FALSE))</f>
        <v>0</v>
      </c>
      <c r="AJ41" s="56">
        <f>IF(ISERROR(VLOOKUP(Q41,CBIMPORT!$A$2:$B$171,2,FALSE)),0,VLOOKUP(Q41,CBIMPORT!$A$2:$B$171,2,FALSE))</f>
        <v>0</v>
      </c>
      <c r="AK41" s="56">
        <f>IF(ISERROR(VLOOKUP(R41,CBIMPORT!$A$2:$B$171,2,FALSE)),0,VLOOKUP(R41,CBIMPORT!$A$2:$B$171,2,FALSE))</f>
        <v>0</v>
      </c>
      <c r="AL41" s="56">
        <f>IF(ISERROR(VLOOKUP(S41,CBIMPORT!$A$2:$B$171,2,FALSE)),0,VLOOKUP(S41,CBIMPORT!$A$2:$B$171,2,FALSE))</f>
        <v>0</v>
      </c>
      <c r="AM41" s="60">
        <f t="shared" si="35"/>
        <v>0</v>
      </c>
      <c r="AN41" s="60">
        <f t="shared" si="51"/>
        <v>0</v>
      </c>
      <c r="AO41" s="60">
        <f t="shared" si="51"/>
        <v>0</v>
      </c>
      <c r="AP41" s="60">
        <f t="shared" si="51"/>
        <v>0</v>
      </c>
      <c r="AQ41" s="60">
        <f t="shared" si="51"/>
        <v>0</v>
      </c>
      <c r="AR41" s="60">
        <f t="shared" si="51"/>
        <v>0</v>
      </c>
      <c r="AS41" s="60">
        <f t="shared" si="51"/>
        <v>0</v>
      </c>
      <c r="AT41" s="60">
        <f t="shared" si="51"/>
        <v>0</v>
      </c>
      <c r="AU41" s="60">
        <f t="shared" si="51"/>
        <v>0</v>
      </c>
      <c r="AV41" s="60">
        <f t="shared" si="51"/>
        <v>0</v>
      </c>
      <c r="AW41" s="60">
        <f t="shared" si="51"/>
        <v>0</v>
      </c>
      <c r="AX41" s="60">
        <f t="shared" si="52"/>
        <v>0</v>
      </c>
      <c r="AY41" s="60">
        <f t="shared" si="52"/>
        <v>0</v>
      </c>
      <c r="AZ41" s="60">
        <f t="shared" si="52"/>
        <v>0</v>
      </c>
      <c r="BA41" s="60">
        <f t="shared" si="52"/>
        <v>0</v>
      </c>
      <c r="BB41" s="60">
        <f t="shared" si="52"/>
        <v>0</v>
      </c>
      <c r="BC41" s="60">
        <f t="shared" si="52"/>
        <v>0</v>
      </c>
      <c r="BD41" s="60">
        <f t="shared" si="52"/>
        <v>0</v>
      </c>
      <c r="BE41" s="60">
        <f t="shared" si="52"/>
        <v>1</v>
      </c>
      <c r="BF41" s="60">
        <f t="shared" si="52"/>
        <v>0</v>
      </c>
      <c r="BG41" s="60">
        <f t="shared" si="52"/>
        <v>0</v>
      </c>
      <c r="BH41" s="60">
        <f t="shared" si="53"/>
        <v>0</v>
      </c>
      <c r="BI41" s="60">
        <f t="shared" si="53"/>
        <v>0</v>
      </c>
      <c r="BJ41" s="60">
        <f t="shared" si="53"/>
        <v>0</v>
      </c>
      <c r="BK41" s="60">
        <f t="shared" si="53"/>
        <v>0</v>
      </c>
      <c r="BL41" s="60">
        <f t="shared" si="53"/>
        <v>0</v>
      </c>
      <c r="BM41" s="60">
        <f t="shared" si="53"/>
        <v>0</v>
      </c>
      <c r="BN41" s="60">
        <f t="shared" si="53"/>
        <v>0</v>
      </c>
      <c r="BO41" s="60">
        <f t="shared" si="53"/>
        <v>0</v>
      </c>
      <c r="BP41" s="60">
        <f t="shared" si="53"/>
        <v>0</v>
      </c>
      <c r="BQ41" s="60">
        <f t="shared" si="53"/>
        <v>0</v>
      </c>
      <c r="BR41" s="60">
        <f t="shared" si="54"/>
        <v>0</v>
      </c>
      <c r="BS41" s="60">
        <f t="shared" si="54"/>
        <v>0</v>
      </c>
      <c r="BT41" s="60">
        <f t="shared" si="54"/>
        <v>0</v>
      </c>
      <c r="BU41" s="60">
        <f t="shared" si="54"/>
        <v>0</v>
      </c>
      <c r="BV41" s="60">
        <f t="shared" si="54"/>
        <v>0</v>
      </c>
      <c r="BW41" s="60"/>
      <c r="BX41" s="63">
        <f t="shared" si="40"/>
        <v>0</v>
      </c>
      <c r="BY41" s="63">
        <f t="shared" si="45"/>
        <v>0</v>
      </c>
      <c r="BZ41" s="63">
        <f t="shared" si="46"/>
        <v>0</v>
      </c>
      <c r="CA41" s="63">
        <f t="shared" si="2"/>
        <v>0</v>
      </c>
      <c r="CB41" s="63">
        <f t="shared" si="3"/>
        <v>0</v>
      </c>
      <c r="CC41" s="63">
        <f t="shared" si="4"/>
        <v>0</v>
      </c>
      <c r="CD41" s="63">
        <f t="shared" si="5"/>
        <v>0</v>
      </c>
      <c r="CE41" s="63">
        <f t="shared" si="6"/>
        <v>0</v>
      </c>
      <c r="CF41" s="63">
        <f t="shared" si="7"/>
        <v>0</v>
      </c>
      <c r="CG41" s="63">
        <f t="shared" si="8"/>
        <v>0</v>
      </c>
      <c r="CH41" s="63">
        <f t="shared" si="9"/>
        <v>0</v>
      </c>
      <c r="CI41" s="63">
        <f t="shared" si="10"/>
        <v>0</v>
      </c>
      <c r="CJ41" s="63">
        <f t="shared" si="11"/>
        <v>0</v>
      </c>
      <c r="CK41" s="63">
        <f t="shared" si="12"/>
        <v>0</v>
      </c>
      <c r="CL41" s="63">
        <f t="shared" si="13"/>
        <v>0</v>
      </c>
      <c r="CM41" s="63">
        <f t="shared" si="14"/>
        <v>0</v>
      </c>
      <c r="CN41" s="63">
        <f t="shared" si="15"/>
        <v>0</v>
      </c>
      <c r="CO41" s="63">
        <f t="shared" si="16"/>
        <v>0</v>
      </c>
      <c r="CP41" s="63">
        <f t="shared" si="17"/>
        <v>1</v>
      </c>
      <c r="CQ41" s="63">
        <f t="shared" si="18"/>
        <v>0</v>
      </c>
      <c r="CR41" s="63">
        <f t="shared" si="19"/>
        <v>0</v>
      </c>
      <c r="CS41" s="63">
        <f t="shared" si="20"/>
        <v>0</v>
      </c>
      <c r="CT41" s="63">
        <f t="shared" si="21"/>
        <v>0</v>
      </c>
      <c r="CU41" s="63">
        <f t="shared" si="22"/>
        <v>0</v>
      </c>
      <c r="CV41" s="63">
        <f t="shared" si="23"/>
        <v>0</v>
      </c>
      <c r="CW41" s="63">
        <f t="shared" si="24"/>
        <v>0</v>
      </c>
      <c r="CX41" s="63">
        <f t="shared" si="25"/>
        <v>0</v>
      </c>
      <c r="CY41" s="63">
        <f t="shared" si="26"/>
        <v>0</v>
      </c>
      <c r="CZ41" s="63">
        <f t="shared" si="27"/>
        <v>0</v>
      </c>
      <c r="DA41" s="63">
        <f t="shared" si="28"/>
        <v>0</v>
      </c>
      <c r="DB41" s="63">
        <f t="shared" si="29"/>
        <v>0</v>
      </c>
      <c r="DC41" s="63">
        <f t="shared" si="30"/>
        <v>0</v>
      </c>
      <c r="DD41" s="63">
        <f t="shared" si="31"/>
        <v>0</v>
      </c>
      <c r="DE41" s="63">
        <f t="shared" si="32"/>
        <v>0</v>
      </c>
      <c r="DF41" s="63">
        <f t="shared" si="33"/>
        <v>0</v>
      </c>
      <c r="DG41" s="63">
        <f t="shared" si="34"/>
        <v>0</v>
      </c>
      <c r="DH41" s="57" t="str" cm="1">
        <f t="array" ref="DH41">INDEX(_xlfn.ANCHORARRAY($BX$2),0,MATCH(LARGE($BX41:$DG41,1),$BX41:$DG41,0))</f>
        <v>OEM</v>
      </c>
      <c r="DI41" s="58">
        <f>LARGE('Industries all mentioned partne'!$BX41:$DG41,1)</f>
        <v>1</v>
      </c>
      <c r="DJ41" s="57" t="str" cm="1">
        <f t="array" ref="DJ41">IF(DI41&lt;&gt;100%,INDEX(_xlfn.ANCHORARRAY($BX$2),0,MATCH(LARGE($BX41:$DG41,2),$BX41:$DG41,0)),"")</f>
        <v/>
      </c>
      <c r="DK41" s="58" t="str">
        <f>IF(DI41&lt;&gt;100%,LARGE('Industries all mentioned partne'!$BX41:$DG41,2),"")</f>
        <v/>
      </c>
      <c r="DL41" s="57" t="str" cm="1">
        <f t="array" ref="DL41">IF(DM41="","",INDEX(_xlfn.ANCHORARRAY($BX$2),0,MATCH(LARGE($BX41:$DG41,3),$BX41:$DG41,0)))</f>
        <v/>
      </c>
      <c r="DM41" s="110" t="str">
        <f>IF(LARGE('Industries all mentioned partne'!$BX41:$DG41,3)=0%,"",LARGE('Industries all mentioned partne'!$BX41:$DG41,3))</f>
        <v/>
      </c>
      <c r="DN41" s="52">
        <f>IF(ISTEXT(C41)=TRUE,VLOOKUP(C41,CBIMPORT!$A$2:$AL$171,38,FALSE),"")</f>
        <v>0</v>
      </c>
      <c r="DO41" s="52" t="str">
        <f>IF(ISTEXT(D41)=TRUE,VLOOKUP(D41,CBIMPORT!$A$2:$AL$171,38,FALSE),"")</f>
        <v/>
      </c>
      <c r="DP41" s="52" t="str">
        <f>IF(ISTEXT(E41)=TRUE,VLOOKUP(E41,CBIMPORT!$A$2:$AL$171,38,FALSE),"")</f>
        <v/>
      </c>
      <c r="DQ41" s="52" t="str">
        <f>IF(ISTEXT(F41)=TRUE,VLOOKUP(F41,CBIMPORT!$A$2:$AL$171,38,FALSE),"")</f>
        <v/>
      </c>
      <c r="DR41" s="52" t="str">
        <f>IF(ISTEXT(G41)=TRUE,VLOOKUP(G41,CBIMPORT!$A$2:$AL$171,38,FALSE),"")</f>
        <v/>
      </c>
      <c r="DS41" s="52" t="str">
        <f>IF(ISTEXT(H41)=TRUE,VLOOKUP(H41,CBIMPORT!$A$2:$AL$171,38,FALSE),"")</f>
        <v/>
      </c>
      <c r="DT41" s="52" t="str">
        <f>IF(ISTEXT(I41)=TRUE,VLOOKUP(I41,CBIMPORT!$A$2:$AL$171,38,FALSE),"")</f>
        <v/>
      </c>
      <c r="DU41" s="52" t="str">
        <f>IF(ISTEXT(J41)=TRUE,VLOOKUP(J41,CBIMPORT!$A$2:$AL$171,38,FALSE),"")</f>
        <v/>
      </c>
      <c r="DV41" s="52" t="str">
        <f>IF(ISTEXT(K41)=TRUE,VLOOKUP(K41,CBIMPORT!$A$2:$AL$171,38,FALSE),"")</f>
        <v/>
      </c>
      <c r="DW41" s="52" t="str">
        <f>IF(ISTEXT(L41)=TRUE,VLOOKUP(L41,CBIMPORT!$A$2:$AL$171,38,FALSE),"")</f>
        <v/>
      </c>
      <c r="DX41" s="52" t="str">
        <f>IF(ISTEXT(M41)=TRUE,VLOOKUP(M41,CBIMPORT!$A$2:$AL$171,38,FALSE),"")</f>
        <v/>
      </c>
      <c r="DY41" s="52" t="str">
        <f>IF(ISTEXT(N41)=TRUE,VLOOKUP(N41,CBIMPORT!$A$2:$AL$171,38,FALSE),"")</f>
        <v/>
      </c>
      <c r="DZ41" s="52" t="str">
        <f>IF(ISTEXT(O41)=TRUE,VLOOKUP(O41,CBIMPORT!$A$2:$AL$171,38,FALSE),"")</f>
        <v/>
      </c>
      <c r="EA41" s="52" t="str">
        <f>IF(ISTEXT(P41)=TRUE,VLOOKUP(P41,CBIMPORT!$A$2:$AL$171,38,FALSE),"")</f>
        <v/>
      </c>
      <c r="EB41" s="52" t="str">
        <f>IF(ISTEXT(Q41)=TRUE,VLOOKUP(Q41,CBIMPORT!$A$2:$AL$171,38,FALSE),"")</f>
        <v/>
      </c>
      <c r="EC41" s="52" t="str">
        <f>IF(ISTEXT(R41)=TRUE,VLOOKUP(R41,CBIMPORT!$A$2:$AL$171,38,FALSE),"")</f>
        <v/>
      </c>
      <c r="ED41" s="52" t="str">
        <f>IF(ISTEXT(S41)=TRUE,VLOOKUP(S41,CBIMPORT!$A$2:$AL$171,38,FALSE),"")</f>
        <v/>
      </c>
      <c r="EE41" s="52" t="str">
        <f>IF(ISTEXT(T41)=TRUE,VLOOKUP(T41,CBIMPORT!$A$2:$AL$171,38,FALSE),"")</f>
        <v/>
      </c>
      <c r="EF41" s="64" t="str">
        <f>IF(ISTEXT(U41)=TRUE,VLOOKUP(U41,CBIMPORT!$A$2:$AL$171,38,FALSE),"")</f>
        <v/>
      </c>
      <c r="EG41" s="64"/>
      <c r="EH41" s="64"/>
      <c r="EI41" s="64"/>
      <c r="EJ41" s="64"/>
      <c r="EK41" s="64"/>
      <c r="EL41" s="64"/>
      <c r="EM41" s="64"/>
      <c r="EN41" s="64"/>
      <c r="EO41" s="64"/>
      <c r="EP41" s="64"/>
    </row>
    <row r="42" spans="1:146" x14ac:dyDescent="0.35">
      <c r="A42" t="str">
        <v>Uber Freight-Trucking</v>
      </c>
      <c r="B42" s="48" t="str" cm="1">
        <f t="array" ref="B42">_xlfn.TEXTJOIN(";",TRUE,IF(ANNOUNCEMENTS!$AH$2:$AH$180=A42,ANNOUNCEMENTS!$K$2:$K$180,""))</f>
        <v>Volvo Autonomous Solutions;Waymo;Waabi</v>
      </c>
      <c r="C42" s="55" t="s">
        <v>1977</v>
      </c>
      <c r="D42" s="55" t="s">
        <v>367</v>
      </c>
      <c r="E42" s="55" t="s">
        <v>428</v>
      </c>
      <c r="F42" s="55"/>
      <c r="G42" s="55"/>
      <c r="H42" s="55"/>
      <c r="I42" s="55"/>
      <c r="J42" s="55"/>
      <c r="K42" s="55"/>
      <c r="L42" s="55"/>
      <c r="M42" s="55"/>
      <c r="N42" s="55"/>
      <c r="O42" s="55"/>
      <c r="P42" s="55"/>
      <c r="Q42" s="55"/>
      <c r="R42" s="55"/>
      <c r="S42" s="55"/>
      <c r="T42" s="55"/>
      <c r="V42" s="56" t="str">
        <f>IF(ISERROR(VLOOKUP(C42,CBIMPORT!$A$2:$B$171,2,FALSE)),0,VLOOKUP(C42,CBIMPORT!$A$2:$B$171,2,FALSE))</f>
        <v>Autonomous Vehicles</v>
      </c>
      <c r="W42" s="56" t="str">
        <f>IF(ISERROR(VLOOKUP(D42,CBIMPORT!$A$2:$B$171,2,FALSE)),0,VLOOKUP(D42,CBIMPORT!$A$2:$B$171,2,FALSE))</f>
        <v>Autonomous Vehicles</v>
      </c>
      <c r="X42" s="56" t="str">
        <f>IF(ISERROR(VLOOKUP(E42,CBIMPORT!$A$2:$B$171,2,FALSE)),0,VLOOKUP(E42,CBIMPORT!$A$2:$B$171,2,FALSE))</f>
        <v>Autonomous Vehicles</v>
      </c>
      <c r="Y42" s="56">
        <f>IF(ISERROR(VLOOKUP(F42,CBIMPORT!$A$2:$B$171,2,FALSE)),0,VLOOKUP(F42,CBIMPORT!$A$2:$B$171,2,FALSE))</f>
        <v>0</v>
      </c>
      <c r="Z42" s="56">
        <f>IF(ISERROR(VLOOKUP(G42,CBIMPORT!$A$2:$B$171,2,FALSE)),0,VLOOKUP(G42,CBIMPORT!$A$2:$B$171,2,FALSE))</f>
        <v>0</v>
      </c>
      <c r="AA42" s="56">
        <f>IF(ISERROR(VLOOKUP(H42,CBIMPORT!$A$2:$B$171,2,FALSE)),0,VLOOKUP(H42,CBIMPORT!$A$2:$B$171,2,FALSE))</f>
        <v>0</v>
      </c>
      <c r="AB42" s="56">
        <f>IF(ISERROR(VLOOKUP(I42,CBIMPORT!$A$2:$B$171,2,FALSE)),0,VLOOKUP(I42,CBIMPORT!$A$2:$B$171,2,FALSE))</f>
        <v>0</v>
      </c>
      <c r="AC42" s="56">
        <f>IF(ISERROR(VLOOKUP(J42,CBIMPORT!$A$2:$B$171,2,FALSE)),0,VLOOKUP(J42,CBIMPORT!$A$2:$B$171,2,FALSE))</f>
        <v>0</v>
      </c>
      <c r="AD42" s="56">
        <f>IF(ISERROR(VLOOKUP(K42,CBIMPORT!$A$2:$B$171,2,FALSE)),0,VLOOKUP(K42,CBIMPORT!$A$2:$B$171,2,FALSE))</f>
        <v>0</v>
      </c>
      <c r="AE42" s="56">
        <f>IF(ISERROR(VLOOKUP(L42,CBIMPORT!$A$2:$B$171,2,FALSE)),0,VLOOKUP(L42,CBIMPORT!$A$2:$B$171,2,FALSE))</f>
        <v>0</v>
      </c>
      <c r="AF42" s="56">
        <f>IF(ISERROR(VLOOKUP(M42,CBIMPORT!$A$2:$B$171,2,FALSE)),0,VLOOKUP(M42,CBIMPORT!$A$2:$B$171,2,FALSE))</f>
        <v>0</v>
      </c>
      <c r="AG42" s="56">
        <f>IF(ISERROR(VLOOKUP(N42,CBIMPORT!$A$2:$B$171,2,FALSE)),0,VLOOKUP(N42,CBIMPORT!$A$2:$B$171,2,FALSE))</f>
        <v>0</v>
      </c>
      <c r="AH42" s="56">
        <f>IF(ISERROR(VLOOKUP(O42,CBIMPORT!$A$2:$B$171,2,FALSE)),0,VLOOKUP(O42,CBIMPORT!$A$2:$B$171,2,FALSE))</f>
        <v>0</v>
      </c>
      <c r="AI42" s="56">
        <f>IF(ISERROR(VLOOKUP(P42,CBIMPORT!$A$2:$B$171,2,FALSE)),0,VLOOKUP(P42,CBIMPORT!$A$2:$B$171,2,FALSE))</f>
        <v>0</v>
      </c>
      <c r="AJ42" s="56">
        <f>IF(ISERROR(VLOOKUP(Q42,CBIMPORT!$A$2:$B$171,2,FALSE)),0,VLOOKUP(Q42,CBIMPORT!$A$2:$B$171,2,FALSE))</f>
        <v>0</v>
      </c>
      <c r="AK42" s="56">
        <f>IF(ISERROR(VLOOKUP(R42,CBIMPORT!$A$2:$B$171,2,FALSE)),0,VLOOKUP(R42,CBIMPORT!$A$2:$B$171,2,FALSE))</f>
        <v>0</v>
      </c>
      <c r="AL42" s="56">
        <f>IF(ISERROR(VLOOKUP(S42,CBIMPORT!$A$2:$B$171,2,FALSE)),0,VLOOKUP(S42,CBIMPORT!$A$2:$B$171,2,FALSE))</f>
        <v>0</v>
      </c>
      <c r="AM42" s="60">
        <f t="shared" si="35"/>
        <v>3</v>
      </c>
      <c r="AN42" s="60">
        <f t="shared" si="51"/>
        <v>0</v>
      </c>
      <c r="AO42" s="60">
        <f t="shared" si="51"/>
        <v>0</v>
      </c>
      <c r="AP42" s="60">
        <f t="shared" si="51"/>
        <v>0</v>
      </c>
      <c r="AQ42" s="60">
        <f t="shared" si="51"/>
        <v>0</v>
      </c>
      <c r="AR42" s="60">
        <f t="shared" si="51"/>
        <v>0</v>
      </c>
      <c r="AS42" s="60">
        <f t="shared" si="51"/>
        <v>0</v>
      </c>
      <c r="AT42" s="60">
        <f t="shared" si="51"/>
        <v>0</v>
      </c>
      <c r="AU42" s="60">
        <f t="shared" si="51"/>
        <v>0</v>
      </c>
      <c r="AV42" s="60">
        <f t="shared" si="51"/>
        <v>0</v>
      </c>
      <c r="AW42" s="60">
        <f t="shared" si="51"/>
        <v>0</v>
      </c>
      <c r="AX42" s="60">
        <f t="shared" si="52"/>
        <v>0</v>
      </c>
      <c r="AY42" s="60">
        <f t="shared" si="52"/>
        <v>0</v>
      </c>
      <c r="AZ42" s="60">
        <f t="shared" si="52"/>
        <v>0</v>
      </c>
      <c r="BA42" s="60">
        <f t="shared" si="52"/>
        <v>0</v>
      </c>
      <c r="BB42" s="60">
        <f t="shared" si="52"/>
        <v>0</v>
      </c>
      <c r="BC42" s="60">
        <f t="shared" si="52"/>
        <v>0</v>
      </c>
      <c r="BD42" s="60">
        <f t="shared" si="52"/>
        <v>0</v>
      </c>
      <c r="BE42" s="60">
        <f t="shared" si="52"/>
        <v>0</v>
      </c>
      <c r="BF42" s="60">
        <f t="shared" si="52"/>
        <v>0</v>
      </c>
      <c r="BG42" s="60">
        <f t="shared" si="52"/>
        <v>0</v>
      </c>
      <c r="BH42" s="60">
        <f t="shared" si="53"/>
        <v>0</v>
      </c>
      <c r="BI42" s="60">
        <f t="shared" si="53"/>
        <v>0</v>
      </c>
      <c r="BJ42" s="60">
        <f t="shared" si="53"/>
        <v>0</v>
      </c>
      <c r="BK42" s="60">
        <f t="shared" si="53"/>
        <v>0</v>
      </c>
      <c r="BL42" s="60">
        <f t="shared" si="53"/>
        <v>0</v>
      </c>
      <c r="BM42" s="60">
        <f t="shared" si="53"/>
        <v>0</v>
      </c>
      <c r="BN42" s="60">
        <f t="shared" si="53"/>
        <v>0</v>
      </c>
      <c r="BO42" s="60">
        <f t="shared" si="53"/>
        <v>0</v>
      </c>
      <c r="BP42" s="60">
        <f t="shared" si="53"/>
        <v>0</v>
      </c>
      <c r="BQ42" s="60">
        <f t="shared" si="53"/>
        <v>0</v>
      </c>
      <c r="BR42" s="60">
        <f t="shared" si="54"/>
        <v>0</v>
      </c>
      <c r="BS42" s="60">
        <f t="shared" si="54"/>
        <v>0</v>
      </c>
      <c r="BT42" s="60">
        <f t="shared" si="54"/>
        <v>0</v>
      </c>
      <c r="BU42" s="60">
        <f t="shared" si="54"/>
        <v>0</v>
      </c>
      <c r="BV42" s="60">
        <f t="shared" si="54"/>
        <v>0</v>
      </c>
      <c r="BW42" s="60"/>
      <c r="BX42" s="63">
        <f t="shared" si="40"/>
        <v>1</v>
      </c>
      <c r="BY42" s="63">
        <f t="shared" si="45"/>
        <v>0</v>
      </c>
      <c r="BZ42" s="63">
        <f t="shared" si="46"/>
        <v>0</v>
      </c>
      <c r="CA42" s="63">
        <f t="shared" si="2"/>
        <v>0</v>
      </c>
      <c r="CB42" s="63">
        <f t="shared" si="3"/>
        <v>0</v>
      </c>
      <c r="CC42" s="63">
        <f t="shared" si="4"/>
        <v>0</v>
      </c>
      <c r="CD42" s="63">
        <f t="shared" si="5"/>
        <v>0</v>
      </c>
      <c r="CE42" s="63">
        <f t="shared" si="6"/>
        <v>0</v>
      </c>
      <c r="CF42" s="63">
        <f t="shared" si="7"/>
        <v>0</v>
      </c>
      <c r="CG42" s="63">
        <f t="shared" si="8"/>
        <v>0</v>
      </c>
      <c r="CH42" s="63">
        <f t="shared" si="9"/>
        <v>0</v>
      </c>
      <c r="CI42" s="63">
        <f t="shared" si="10"/>
        <v>0</v>
      </c>
      <c r="CJ42" s="63">
        <f t="shared" si="11"/>
        <v>0</v>
      </c>
      <c r="CK42" s="63">
        <f t="shared" si="12"/>
        <v>0</v>
      </c>
      <c r="CL42" s="63">
        <f t="shared" si="13"/>
        <v>0</v>
      </c>
      <c r="CM42" s="63">
        <f t="shared" si="14"/>
        <v>0</v>
      </c>
      <c r="CN42" s="63">
        <f t="shared" si="15"/>
        <v>0</v>
      </c>
      <c r="CO42" s="63">
        <f t="shared" si="16"/>
        <v>0</v>
      </c>
      <c r="CP42" s="63">
        <f t="shared" si="17"/>
        <v>0</v>
      </c>
      <c r="CQ42" s="63">
        <f t="shared" si="18"/>
        <v>0</v>
      </c>
      <c r="CR42" s="63">
        <f t="shared" si="19"/>
        <v>0</v>
      </c>
      <c r="CS42" s="63">
        <f t="shared" si="20"/>
        <v>0</v>
      </c>
      <c r="CT42" s="63">
        <f t="shared" si="21"/>
        <v>0</v>
      </c>
      <c r="CU42" s="63">
        <f t="shared" si="22"/>
        <v>0</v>
      </c>
      <c r="CV42" s="63">
        <f t="shared" si="23"/>
        <v>0</v>
      </c>
      <c r="CW42" s="63">
        <f t="shared" si="24"/>
        <v>0</v>
      </c>
      <c r="CX42" s="63">
        <f t="shared" si="25"/>
        <v>0</v>
      </c>
      <c r="CY42" s="63">
        <f t="shared" si="26"/>
        <v>0</v>
      </c>
      <c r="CZ42" s="63">
        <f t="shared" si="27"/>
        <v>0</v>
      </c>
      <c r="DA42" s="63">
        <f t="shared" si="28"/>
        <v>0</v>
      </c>
      <c r="DB42" s="63">
        <f t="shared" si="29"/>
        <v>0</v>
      </c>
      <c r="DC42" s="63">
        <f t="shared" si="30"/>
        <v>0</v>
      </c>
      <c r="DD42" s="63">
        <f t="shared" si="31"/>
        <v>0</v>
      </c>
      <c r="DE42" s="63">
        <f t="shared" si="32"/>
        <v>0</v>
      </c>
      <c r="DF42" s="63">
        <f t="shared" si="33"/>
        <v>0</v>
      </c>
      <c r="DG42" s="63">
        <f t="shared" si="34"/>
        <v>0</v>
      </c>
      <c r="DH42" s="57" t="str" cm="1">
        <f t="array" ref="DH42">INDEX(_xlfn.ANCHORARRAY($BX$2),0,MATCH(LARGE($BX42:$DG42,1),$BX42:$DG42,0))</f>
        <v>Autonomous Vehicles</v>
      </c>
      <c r="DI42" s="58">
        <f>LARGE('Industries all mentioned partne'!$BX42:$DG42,1)</f>
        <v>1</v>
      </c>
      <c r="DJ42" s="57" t="str" cm="1">
        <f t="array" ref="DJ42">IF(DI42&lt;&gt;100%,INDEX(_xlfn.ANCHORARRAY($BX$2),0,MATCH(LARGE($BX42:$DG42,2),$BX42:$DG42,0)),"")</f>
        <v/>
      </c>
      <c r="DK42" s="58" t="str">
        <f>IF(DI42&lt;&gt;100%,LARGE('Industries all mentioned partne'!$BX42:$DG42,2),"")</f>
        <v/>
      </c>
      <c r="DL42" s="57" t="str" cm="1">
        <f t="array" ref="DL42">IF(DM42="","",INDEX(_xlfn.ANCHORARRAY($BX$2),0,MATCH(LARGE($BX42:$DG42,3),$BX42:$DG42,0)))</f>
        <v/>
      </c>
      <c r="DM42" s="110" t="str">
        <f>IF(LARGE('Industries all mentioned partne'!$BX42:$DG42,3)=0%,"",LARGE('Industries all mentioned partne'!$BX42:$DG42,3))</f>
        <v/>
      </c>
      <c r="DN42" s="52">
        <f>IF(ISTEXT(C42)=TRUE,VLOOKUP(C42,CBIMPORT!$A$2:$AL$171,38,FALSE),"")</f>
        <v>0</v>
      </c>
      <c r="DO42" s="52">
        <f>IF(ISTEXT(D42)=TRUE,VLOOKUP(D42,CBIMPORT!$A$2:$AL$171,38,FALSE),"")</f>
        <v>0</v>
      </c>
      <c r="DP42" s="52">
        <f>IF(ISTEXT(E42)=TRUE,VLOOKUP(E42,CBIMPORT!$A$2:$AL$171,38,FALSE),"")</f>
        <v>0</v>
      </c>
      <c r="DQ42" s="52" t="str">
        <f>IF(ISTEXT(F42)=TRUE,VLOOKUP(F42,CBIMPORT!$A$2:$AL$171,38,FALSE),"")</f>
        <v/>
      </c>
      <c r="DR42" s="52" t="str">
        <f>IF(ISTEXT(G42)=TRUE,VLOOKUP(G42,CBIMPORT!$A$2:$AL$171,38,FALSE),"")</f>
        <v/>
      </c>
      <c r="DS42" s="52" t="str">
        <f>IF(ISTEXT(H42)=TRUE,VLOOKUP(H42,CBIMPORT!$A$2:$AL$171,38,FALSE),"")</f>
        <v/>
      </c>
      <c r="DT42" s="52" t="str">
        <f>IF(ISTEXT(I42)=TRUE,VLOOKUP(I42,CBIMPORT!$A$2:$AL$171,38,FALSE),"")</f>
        <v/>
      </c>
      <c r="DU42" s="52" t="str">
        <f>IF(ISTEXT(J42)=TRUE,VLOOKUP(J42,CBIMPORT!$A$2:$AL$171,38,FALSE),"")</f>
        <v/>
      </c>
      <c r="DV42" s="52" t="str">
        <f>IF(ISTEXT(K42)=TRUE,VLOOKUP(K42,CBIMPORT!$A$2:$AL$171,38,FALSE),"")</f>
        <v/>
      </c>
      <c r="DW42" s="52" t="str">
        <f>IF(ISTEXT(L42)=TRUE,VLOOKUP(L42,CBIMPORT!$A$2:$AL$171,38,FALSE),"")</f>
        <v/>
      </c>
      <c r="DX42" s="52" t="str">
        <f>IF(ISTEXT(M42)=TRUE,VLOOKUP(M42,CBIMPORT!$A$2:$AL$171,38,FALSE),"")</f>
        <v/>
      </c>
      <c r="DY42" s="52" t="str">
        <f>IF(ISTEXT(N42)=TRUE,VLOOKUP(N42,CBIMPORT!$A$2:$AL$171,38,FALSE),"")</f>
        <v/>
      </c>
      <c r="DZ42" s="52" t="str">
        <f>IF(ISTEXT(O42)=TRUE,VLOOKUP(O42,CBIMPORT!$A$2:$AL$171,38,FALSE),"")</f>
        <v/>
      </c>
      <c r="EA42" s="52" t="str">
        <f>IF(ISTEXT(P42)=TRUE,VLOOKUP(P42,CBIMPORT!$A$2:$AL$171,38,FALSE),"")</f>
        <v/>
      </c>
      <c r="EB42" s="52" t="str">
        <f>IF(ISTEXT(Q42)=TRUE,VLOOKUP(Q42,CBIMPORT!$A$2:$AL$171,38,FALSE),"")</f>
        <v/>
      </c>
      <c r="EC42" s="52" t="str">
        <f>IF(ISTEXT(R42)=TRUE,VLOOKUP(R42,CBIMPORT!$A$2:$AL$171,38,FALSE),"")</f>
        <v/>
      </c>
      <c r="ED42" s="52" t="str">
        <f>IF(ISTEXT(S42)=TRUE,VLOOKUP(S42,CBIMPORT!$A$2:$AL$171,38,FALSE),"")</f>
        <v/>
      </c>
      <c r="EE42" s="52" t="str">
        <f>IF(ISTEXT(T42)=TRUE,VLOOKUP(T42,CBIMPORT!$A$2:$AL$171,38,FALSE),"")</f>
        <v/>
      </c>
      <c r="EF42" s="64" t="str">
        <f>IF(ISTEXT(U42)=TRUE,VLOOKUP(U42,CBIMPORT!$A$2:$AL$171,38,FALSE),"")</f>
        <v/>
      </c>
      <c r="EG42" s="64"/>
      <c r="EH42" s="64"/>
      <c r="EI42" s="64"/>
      <c r="EJ42" s="64"/>
      <c r="EK42" s="64"/>
      <c r="EL42" s="64"/>
      <c r="EM42" s="64"/>
      <c r="EN42" s="64"/>
      <c r="EO42" s="64"/>
      <c r="EP42" s="64"/>
    </row>
    <row r="43" spans="1:146" x14ac:dyDescent="0.35">
      <c r="A43" t="str">
        <v>Udelv-Last-Mile</v>
      </c>
      <c r="B43" s="48" t="str" cm="1">
        <f t="array" ref="B43">_xlfn.TEXTJOIN(";",TRUE,IF(ANNOUNCEMENTS!$AH$2:$AH$180=A43,ANNOUNCEMENTS!$K$2:$K$180,""))</f>
        <v>Walmart;Farmstead;H-E-B;Mobileye</v>
      </c>
      <c r="C43" s="55" t="s">
        <v>840</v>
      </c>
      <c r="D43" s="55" t="s">
        <v>448</v>
      </c>
      <c r="E43" s="55" t="s">
        <v>825</v>
      </c>
      <c r="F43" s="55" t="s">
        <v>354</v>
      </c>
      <c r="G43" s="55"/>
      <c r="H43" s="55"/>
      <c r="I43" s="55"/>
      <c r="J43" s="55"/>
      <c r="K43" s="55"/>
      <c r="L43" s="55"/>
      <c r="M43" s="55"/>
      <c r="N43" s="55"/>
      <c r="O43" s="55"/>
      <c r="P43" s="55"/>
      <c r="Q43" s="55"/>
      <c r="R43" s="55"/>
      <c r="S43" s="55"/>
      <c r="T43" s="55"/>
      <c r="V43" s="56" t="str">
        <f>IF(ISERROR(VLOOKUP(C43,CBIMPORT!$A$2:$B$171,2,FALSE)),0,VLOOKUP(C43,CBIMPORT!$A$2:$B$171,2,FALSE))</f>
        <v>Retail</v>
      </c>
      <c r="W43" s="56" t="str">
        <f>IF(ISERROR(VLOOKUP(D43,CBIMPORT!$A$2:$B$171,2,FALSE)),0,VLOOKUP(D43,CBIMPORT!$A$2:$B$171,2,FALSE))</f>
        <v>Delivery Service</v>
      </c>
      <c r="X43" s="56" t="str">
        <f>IF(ISERROR(VLOOKUP(E43,CBIMPORT!$A$2:$B$171,2,FALSE)),0,VLOOKUP(E43,CBIMPORT!$A$2:$B$171,2,FALSE))</f>
        <v>Retail</v>
      </c>
      <c r="Y43" s="56" t="str">
        <f>IF(ISERROR(VLOOKUP(F43,CBIMPORT!$A$2:$B$171,2,FALSE)),0,VLOOKUP(F43,CBIMPORT!$A$2:$B$171,2,FALSE))</f>
        <v>Autonomous Vehicles</v>
      </c>
      <c r="Z43" s="56">
        <f>IF(ISERROR(VLOOKUP(G43,CBIMPORT!$A$2:$B$171,2,FALSE)),0,VLOOKUP(G43,CBIMPORT!$A$2:$B$171,2,FALSE))</f>
        <v>0</v>
      </c>
      <c r="AA43" s="56">
        <f>IF(ISERROR(VLOOKUP(H43,CBIMPORT!$A$2:$B$171,2,FALSE)),0,VLOOKUP(H43,CBIMPORT!$A$2:$B$171,2,FALSE))</f>
        <v>0</v>
      </c>
      <c r="AB43" s="56">
        <f>IF(ISERROR(VLOOKUP(I43,CBIMPORT!$A$2:$B$171,2,FALSE)),0,VLOOKUP(I43,CBIMPORT!$A$2:$B$171,2,FALSE))</f>
        <v>0</v>
      </c>
      <c r="AC43" s="56">
        <f>IF(ISERROR(VLOOKUP(J43,CBIMPORT!$A$2:$B$171,2,FALSE)),0,VLOOKUP(J43,CBIMPORT!$A$2:$B$171,2,FALSE))</f>
        <v>0</v>
      </c>
      <c r="AD43" s="56">
        <f>IF(ISERROR(VLOOKUP(K43,CBIMPORT!$A$2:$B$171,2,FALSE)),0,VLOOKUP(K43,CBIMPORT!$A$2:$B$171,2,FALSE))</f>
        <v>0</v>
      </c>
      <c r="AE43" s="56">
        <f>IF(ISERROR(VLOOKUP(L43,CBIMPORT!$A$2:$B$171,2,FALSE)),0,VLOOKUP(L43,CBIMPORT!$A$2:$B$171,2,FALSE))</f>
        <v>0</v>
      </c>
      <c r="AF43" s="56">
        <f>IF(ISERROR(VLOOKUP(M43,CBIMPORT!$A$2:$B$171,2,FALSE)),0,VLOOKUP(M43,CBIMPORT!$A$2:$B$171,2,FALSE))</f>
        <v>0</v>
      </c>
      <c r="AG43" s="56">
        <f>IF(ISERROR(VLOOKUP(N43,CBIMPORT!$A$2:$B$171,2,FALSE)),0,VLOOKUP(N43,CBIMPORT!$A$2:$B$171,2,FALSE))</f>
        <v>0</v>
      </c>
      <c r="AH43" s="56">
        <f>IF(ISERROR(VLOOKUP(O43,CBIMPORT!$A$2:$B$171,2,FALSE)),0,VLOOKUP(O43,CBIMPORT!$A$2:$B$171,2,FALSE))</f>
        <v>0</v>
      </c>
      <c r="AI43" s="56">
        <f>IF(ISERROR(VLOOKUP(P43,CBIMPORT!$A$2:$B$171,2,FALSE)),0,VLOOKUP(P43,CBIMPORT!$A$2:$B$171,2,FALSE))</f>
        <v>0</v>
      </c>
      <c r="AJ43" s="56">
        <f>IF(ISERROR(VLOOKUP(Q43,CBIMPORT!$A$2:$B$171,2,FALSE)),0,VLOOKUP(Q43,CBIMPORT!$A$2:$B$171,2,FALSE))</f>
        <v>0</v>
      </c>
      <c r="AK43" s="56">
        <f>IF(ISERROR(VLOOKUP(R43,CBIMPORT!$A$2:$B$171,2,FALSE)),0,VLOOKUP(R43,CBIMPORT!$A$2:$B$171,2,FALSE))</f>
        <v>0</v>
      </c>
      <c r="AL43" s="56">
        <f>IF(ISERROR(VLOOKUP(S43,CBIMPORT!$A$2:$B$171,2,FALSE)),0,VLOOKUP(S43,CBIMPORT!$A$2:$B$171,2,FALSE))</f>
        <v>0</v>
      </c>
      <c r="AM43" s="60">
        <f t="shared" si="35"/>
        <v>1</v>
      </c>
      <c r="AN43" s="60">
        <f t="shared" si="51"/>
        <v>0</v>
      </c>
      <c r="AO43" s="60">
        <f t="shared" si="51"/>
        <v>0</v>
      </c>
      <c r="AP43" s="60">
        <f t="shared" si="51"/>
        <v>0</v>
      </c>
      <c r="AQ43" s="60">
        <f t="shared" si="51"/>
        <v>0</v>
      </c>
      <c r="AR43" s="60">
        <f t="shared" si="51"/>
        <v>1</v>
      </c>
      <c r="AS43" s="60">
        <f t="shared" si="51"/>
        <v>0</v>
      </c>
      <c r="AT43" s="60">
        <f t="shared" si="51"/>
        <v>0</v>
      </c>
      <c r="AU43" s="60">
        <f t="shared" si="51"/>
        <v>0</v>
      </c>
      <c r="AV43" s="60">
        <f t="shared" si="51"/>
        <v>0</v>
      </c>
      <c r="AW43" s="60">
        <f t="shared" si="51"/>
        <v>0</v>
      </c>
      <c r="AX43" s="60">
        <f t="shared" si="52"/>
        <v>2</v>
      </c>
      <c r="AY43" s="60">
        <f t="shared" si="52"/>
        <v>0</v>
      </c>
      <c r="AZ43" s="60">
        <f t="shared" si="52"/>
        <v>0</v>
      </c>
      <c r="BA43" s="60">
        <f t="shared" si="52"/>
        <v>0</v>
      </c>
      <c r="BB43" s="60">
        <f t="shared" si="52"/>
        <v>0</v>
      </c>
      <c r="BC43" s="60">
        <f t="shared" si="52"/>
        <v>0</v>
      </c>
      <c r="BD43" s="60">
        <f t="shared" si="52"/>
        <v>0</v>
      </c>
      <c r="BE43" s="60">
        <f t="shared" si="52"/>
        <v>0</v>
      </c>
      <c r="BF43" s="60">
        <f t="shared" si="52"/>
        <v>0</v>
      </c>
      <c r="BG43" s="60">
        <f t="shared" si="52"/>
        <v>0</v>
      </c>
      <c r="BH43" s="60">
        <f t="shared" si="53"/>
        <v>0</v>
      </c>
      <c r="BI43" s="60">
        <f t="shared" si="53"/>
        <v>0</v>
      </c>
      <c r="BJ43" s="60">
        <f t="shared" si="53"/>
        <v>0</v>
      </c>
      <c r="BK43" s="60">
        <f t="shared" si="53"/>
        <v>0</v>
      </c>
      <c r="BL43" s="60">
        <f t="shared" si="53"/>
        <v>0</v>
      </c>
      <c r="BM43" s="60">
        <f t="shared" si="53"/>
        <v>0</v>
      </c>
      <c r="BN43" s="60">
        <f t="shared" si="53"/>
        <v>0</v>
      </c>
      <c r="BO43" s="60">
        <f t="shared" si="53"/>
        <v>0</v>
      </c>
      <c r="BP43" s="60">
        <f t="shared" si="53"/>
        <v>0</v>
      </c>
      <c r="BQ43" s="60">
        <f t="shared" si="53"/>
        <v>0</v>
      </c>
      <c r="BR43" s="60">
        <f t="shared" si="54"/>
        <v>0</v>
      </c>
      <c r="BS43" s="60">
        <f t="shared" si="54"/>
        <v>0</v>
      </c>
      <c r="BT43" s="60">
        <f t="shared" si="54"/>
        <v>0</v>
      </c>
      <c r="BU43" s="60">
        <f t="shared" si="54"/>
        <v>0</v>
      </c>
      <c r="BV43" s="60">
        <f t="shared" si="54"/>
        <v>0</v>
      </c>
      <c r="BW43" s="60"/>
      <c r="BX43" s="63">
        <f t="shared" si="40"/>
        <v>0.25</v>
      </c>
      <c r="BY43" s="63">
        <f t="shared" si="45"/>
        <v>0</v>
      </c>
      <c r="BZ43" s="63">
        <f t="shared" si="46"/>
        <v>0</v>
      </c>
      <c r="CA43" s="63">
        <f t="shared" si="2"/>
        <v>0</v>
      </c>
      <c r="CB43" s="63">
        <f t="shared" si="3"/>
        <v>0</v>
      </c>
      <c r="CC43" s="63">
        <f t="shared" si="4"/>
        <v>0.25</v>
      </c>
      <c r="CD43" s="63">
        <f t="shared" si="5"/>
        <v>0</v>
      </c>
      <c r="CE43" s="63">
        <f t="shared" si="6"/>
        <v>0</v>
      </c>
      <c r="CF43" s="63">
        <f t="shared" si="7"/>
        <v>0</v>
      </c>
      <c r="CG43" s="63">
        <f t="shared" si="8"/>
        <v>0</v>
      </c>
      <c r="CH43" s="63">
        <f t="shared" si="9"/>
        <v>0</v>
      </c>
      <c r="CI43" s="63">
        <f t="shared" si="10"/>
        <v>0.5</v>
      </c>
      <c r="CJ43" s="63">
        <f t="shared" si="11"/>
        <v>0</v>
      </c>
      <c r="CK43" s="63">
        <f t="shared" si="12"/>
        <v>0</v>
      </c>
      <c r="CL43" s="63">
        <f t="shared" si="13"/>
        <v>0</v>
      </c>
      <c r="CM43" s="63">
        <f t="shared" si="14"/>
        <v>0</v>
      </c>
      <c r="CN43" s="63">
        <f t="shared" si="15"/>
        <v>0</v>
      </c>
      <c r="CO43" s="63">
        <f t="shared" si="16"/>
        <v>0</v>
      </c>
      <c r="CP43" s="63">
        <f t="shared" si="17"/>
        <v>0</v>
      </c>
      <c r="CQ43" s="63">
        <f t="shared" si="18"/>
        <v>0</v>
      </c>
      <c r="CR43" s="63">
        <f t="shared" si="19"/>
        <v>0</v>
      </c>
      <c r="CS43" s="63">
        <f t="shared" si="20"/>
        <v>0</v>
      </c>
      <c r="CT43" s="63">
        <f t="shared" si="21"/>
        <v>0</v>
      </c>
      <c r="CU43" s="63">
        <f t="shared" si="22"/>
        <v>0</v>
      </c>
      <c r="CV43" s="63">
        <f t="shared" si="23"/>
        <v>0</v>
      </c>
      <c r="CW43" s="63">
        <f t="shared" si="24"/>
        <v>0</v>
      </c>
      <c r="CX43" s="63">
        <f t="shared" si="25"/>
        <v>0</v>
      </c>
      <c r="CY43" s="63">
        <f t="shared" si="26"/>
        <v>0</v>
      </c>
      <c r="CZ43" s="63">
        <f t="shared" si="27"/>
        <v>0</v>
      </c>
      <c r="DA43" s="63">
        <f t="shared" si="28"/>
        <v>0</v>
      </c>
      <c r="DB43" s="63">
        <f t="shared" si="29"/>
        <v>0</v>
      </c>
      <c r="DC43" s="63">
        <f t="shared" si="30"/>
        <v>0</v>
      </c>
      <c r="DD43" s="63">
        <f t="shared" si="31"/>
        <v>0</v>
      </c>
      <c r="DE43" s="63">
        <f t="shared" si="32"/>
        <v>0</v>
      </c>
      <c r="DF43" s="63">
        <f t="shared" si="33"/>
        <v>0</v>
      </c>
      <c r="DG43" s="63">
        <f t="shared" si="34"/>
        <v>0</v>
      </c>
      <c r="DH43" s="57" t="str" cm="1">
        <f t="array" ref="DH43">INDEX(_xlfn.ANCHORARRAY($BX$2),0,MATCH(LARGE($BX43:$DG43,1),$BX43:$DG43,0))</f>
        <v>Retail</v>
      </c>
      <c r="DI43" s="58">
        <f>LARGE('Industries all mentioned partne'!$BX43:$DG43,1)</f>
        <v>0.5</v>
      </c>
      <c r="DJ43" s="57" t="str" cm="1">
        <f t="array" ref="DJ43">IF(DI43&lt;&gt;100%,INDEX(_xlfn.ANCHORARRAY($BX$2),0,MATCH(LARGE($BX43:$DG43,2),$BX43:$DG43,0)),"")</f>
        <v>Autonomous Vehicles</v>
      </c>
      <c r="DK43" s="58">
        <f>IF(DI43&lt;&gt;100%,LARGE('Industries all mentioned partne'!$BX43:$DG43,2),"")</f>
        <v>0.25</v>
      </c>
      <c r="DL43" s="57" t="str" cm="1">
        <f t="array" ref="DL43">IF(DM43="","",INDEX(_xlfn.ANCHORARRAY($BX$2),0,MATCH(LARGE($BX43:$DG43,3),$BX43:$DG43,0)))</f>
        <v>Autonomous Vehicles</v>
      </c>
      <c r="DM43" s="110">
        <f>IF(LARGE('Industries all mentioned partne'!$BX43:$DG43,3)=0%,"",LARGE('Industries all mentioned partne'!$BX43:$DG43,3))</f>
        <v>0.25</v>
      </c>
      <c r="DN43" s="52">
        <f>IF(ISTEXT(C43)=TRUE,VLOOKUP(C43,CBIMPORT!$A$2:$AL$171,38,FALSE),"")</f>
        <v>1</v>
      </c>
      <c r="DO43" s="52">
        <f>IF(ISTEXT(D43)=TRUE,VLOOKUP(D43,CBIMPORT!$A$2:$AL$171,38,FALSE),"")</f>
        <v>0</v>
      </c>
      <c r="DP43" s="52">
        <f>IF(ISTEXT(E43)=TRUE,VLOOKUP(E43,CBIMPORT!$A$2:$AL$171,38,FALSE),"")</f>
        <v>0</v>
      </c>
      <c r="DQ43" s="52">
        <f>IF(ISTEXT(F43)=TRUE,VLOOKUP(F43,CBIMPORT!$A$2:$AL$171,38,FALSE),"")</f>
        <v>1</v>
      </c>
      <c r="DR43" s="52" t="str">
        <f>IF(ISTEXT(G43)=TRUE,VLOOKUP(G43,CBIMPORT!$A$2:$AL$171,38,FALSE),"")</f>
        <v/>
      </c>
      <c r="DS43" s="52" t="str">
        <f>IF(ISTEXT(H43)=TRUE,VLOOKUP(H43,CBIMPORT!$A$2:$AL$171,38,FALSE),"")</f>
        <v/>
      </c>
      <c r="DT43" s="52" t="str">
        <f>IF(ISTEXT(I43)=TRUE,VLOOKUP(I43,CBIMPORT!$A$2:$AL$171,38,FALSE),"")</f>
        <v/>
      </c>
      <c r="DU43" s="52" t="str">
        <f>IF(ISTEXT(J43)=TRUE,VLOOKUP(J43,CBIMPORT!$A$2:$AL$171,38,FALSE),"")</f>
        <v/>
      </c>
      <c r="DV43" s="52" t="str">
        <f>IF(ISTEXT(K43)=TRUE,VLOOKUP(K43,CBIMPORT!$A$2:$AL$171,38,FALSE),"")</f>
        <v/>
      </c>
      <c r="DW43" s="52" t="str">
        <f>IF(ISTEXT(L43)=TRUE,VLOOKUP(L43,CBIMPORT!$A$2:$AL$171,38,FALSE),"")</f>
        <v/>
      </c>
      <c r="DX43" s="52" t="str">
        <f>IF(ISTEXT(M43)=TRUE,VLOOKUP(M43,CBIMPORT!$A$2:$AL$171,38,FALSE),"")</f>
        <v/>
      </c>
      <c r="DY43" s="52" t="str">
        <f>IF(ISTEXT(N43)=TRUE,VLOOKUP(N43,CBIMPORT!$A$2:$AL$171,38,FALSE),"")</f>
        <v/>
      </c>
      <c r="DZ43" s="52" t="str">
        <f>IF(ISTEXT(O43)=TRUE,VLOOKUP(O43,CBIMPORT!$A$2:$AL$171,38,FALSE),"")</f>
        <v/>
      </c>
      <c r="EA43" s="52" t="str">
        <f>IF(ISTEXT(P43)=TRUE,VLOOKUP(P43,CBIMPORT!$A$2:$AL$171,38,FALSE),"")</f>
        <v/>
      </c>
      <c r="EB43" s="52" t="str">
        <f>IF(ISTEXT(Q43)=TRUE,VLOOKUP(Q43,CBIMPORT!$A$2:$AL$171,38,FALSE),"")</f>
        <v/>
      </c>
      <c r="EC43" s="52" t="str">
        <f>IF(ISTEXT(R43)=TRUE,VLOOKUP(R43,CBIMPORT!$A$2:$AL$171,38,FALSE),"")</f>
        <v/>
      </c>
      <c r="ED43" s="52" t="str">
        <f>IF(ISTEXT(S43)=TRUE,VLOOKUP(S43,CBIMPORT!$A$2:$AL$171,38,FALSE),"")</f>
        <v/>
      </c>
      <c r="EE43" s="52" t="str">
        <f>IF(ISTEXT(T43)=TRUE,VLOOKUP(T43,CBIMPORT!$A$2:$AL$171,38,FALSE),"")</f>
        <v/>
      </c>
    </row>
    <row r="44" spans="1:146" x14ac:dyDescent="0.35">
      <c r="A44" t="str">
        <v>Waabi-Trucking</v>
      </c>
      <c r="B44" s="48" t="str" cm="1">
        <f t="array" ref="B44">_xlfn.TEXTJOIN(";",TRUE,IF(ANNOUNCEMENTS!$AH$2:$AH$180=A44,ANNOUNCEMENTS!$K$2:$K$180,""))</f>
        <v>MIT Center for Transportation &amp; Logistics;Uber Freight</v>
      </c>
      <c r="C44" s="55" t="s">
        <v>467</v>
      </c>
      <c r="D44" s="55" t="s">
        <v>424</v>
      </c>
      <c r="E44" s="55"/>
      <c r="F44" s="55"/>
      <c r="G44" s="55"/>
      <c r="H44" s="55"/>
      <c r="I44" s="55"/>
      <c r="J44" s="55"/>
      <c r="K44" s="55"/>
      <c r="L44" s="55"/>
      <c r="M44" s="55"/>
      <c r="N44" s="55"/>
      <c r="O44" s="55"/>
      <c r="P44" s="55"/>
      <c r="Q44" s="55"/>
      <c r="R44" s="55"/>
      <c r="S44" s="55"/>
      <c r="T44" s="55"/>
      <c r="V44" s="56" t="str">
        <f>IF(ISERROR(VLOOKUP(C44,CBIMPORT!$A$2:$B$171,2,FALSE)),0,VLOOKUP(C44,CBIMPORT!$A$2:$B$171,2,FALSE))</f>
        <v>Artificial Intelligence (AI)</v>
      </c>
      <c r="W44" s="56" t="str">
        <f>IF(ISERROR(VLOOKUP(D44,CBIMPORT!$A$2:$B$171,2,FALSE)),0,VLOOKUP(D44,CBIMPORT!$A$2:$B$171,2,FALSE))</f>
        <v>Mobility Services Booking</v>
      </c>
      <c r="X44" s="56">
        <f>IF(ISERROR(VLOOKUP(E44,CBIMPORT!$A$2:$B$171,2,FALSE)),0,VLOOKUP(E44,CBIMPORT!$A$2:$B$171,2,FALSE))</f>
        <v>0</v>
      </c>
      <c r="Y44" s="56">
        <f>IF(ISERROR(VLOOKUP(F44,CBIMPORT!$A$2:$B$171,2,FALSE)),0,VLOOKUP(F44,CBIMPORT!$A$2:$B$171,2,FALSE))</f>
        <v>0</v>
      </c>
      <c r="Z44" s="56">
        <f>IF(ISERROR(VLOOKUP(G44,CBIMPORT!$A$2:$B$171,2,FALSE)),0,VLOOKUP(G44,CBIMPORT!$A$2:$B$171,2,FALSE))</f>
        <v>0</v>
      </c>
      <c r="AA44" s="56">
        <f>IF(ISERROR(VLOOKUP(H44,CBIMPORT!$A$2:$B$171,2,FALSE)),0,VLOOKUP(H44,CBIMPORT!$A$2:$B$171,2,FALSE))</f>
        <v>0</v>
      </c>
      <c r="AB44" s="56">
        <f>IF(ISERROR(VLOOKUP(I44,CBIMPORT!$A$2:$B$171,2,FALSE)),0,VLOOKUP(I44,CBIMPORT!$A$2:$B$171,2,FALSE))</f>
        <v>0</v>
      </c>
      <c r="AC44" s="56">
        <f>IF(ISERROR(VLOOKUP(J44,CBIMPORT!$A$2:$B$171,2,FALSE)),0,VLOOKUP(J44,CBIMPORT!$A$2:$B$171,2,FALSE))</f>
        <v>0</v>
      </c>
      <c r="AD44" s="56">
        <f>IF(ISERROR(VLOOKUP(K44,CBIMPORT!$A$2:$B$171,2,FALSE)),0,VLOOKUP(K44,CBIMPORT!$A$2:$B$171,2,FALSE))</f>
        <v>0</v>
      </c>
      <c r="AE44" s="56">
        <f>IF(ISERROR(VLOOKUP(L44,CBIMPORT!$A$2:$B$171,2,FALSE)),0,VLOOKUP(L44,CBIMPORT!$A$2:$B$171,2,FALSE))</f>
        <v>0</v>
      </c>
      <c r="AF44" s="56">
        <f>IF(ISERROR(VLOOKUP(M44,CBIMPORT!$A$2:$B$171,2,FALSE)),0,VLOOKUP(M44,CBIMPORT!$A$2:$B$171,2,FALSE))</f>
        <v>0</v>
      </c>
      <c r="AG44" s="56">
        <f>IF(ISERROR(VLOOKUP(N44,CBIMPORT!$A$2:$B$171,2,FALSE)),0,VLOOKUP(N44,CBIMPORT!$A$2:$B$171,2,FALSE))</f>
        <v>0</v>
      </c>
      <c r="AH44" s="56">
        <f>IF(ISERROR(VLOOKUP(O44,CBIMPORT!$A$2:$B$171,2,FALSE)),0,VLOOKUP(O44,CBIMPORT!$A$2:$B$171,2,FALSE))</f>
        <v>0</v>
      </c>
      <c r="AI44" s="56">
        <f>IF(ISERROR(VLOOKUP(P44,CBIMPORT!$A$2:$B$171,2,FALSE)),0,VLOOKUP(P44,CBIMPORT!$A$2:$B$171,2,FALSE))</f>
        <v>0</v>
      </c>
      <c r="AJ44" s="56">
        <f>IF(ISERROR(VLOOKUP(Q44,CBIMPORT!$A$2:$B$171,2,FALSE)),0,VLOOKUP(Q44,CBIMPORT!$A$2:$B$171,2,FALSE))</f>
        <v>0</v>
      </c>
      <c r="AK44" s="56">
        <f>IF(ISERROR(VLOOKUP(R44,CBIMPORT!$A$2:$B$171,2,FALSE)),0,VLOOKUP(R44,CBIMPORT!$A$2:$B$171,2,FALSE))</f>
        <v>0</v>
      </c>
      <c r="AL44" s="56">
        <f>IF(ISERROR(VLOOKUP(S44,CBIMPORT!$A$2:$B$171,2,FALSE)),0,VLOOKUP(S44,CBIMPORT!$A$2:$B$171,2,FALSE))</f>
        <v>0</v>
      </c>
      <c r="AM44" s="60">
        <f t="shared" si="35"/>
        <v>0</v>
      </c>
      <c r="AN44" s="60">
        <f t="shared" si="51"/>
        <v>0</v>
      </c>
      <c r="AO44" s="60">
        <f t="shared" si="51"/>
        <v>0</v>
      </c>
      <c r="AP44" s="60">
        <f t="shared" si="51"/>
        <v>0</v>
      </c>
      <c r="AQ44" s="60">
        <f t="shared" si="51"/>
        <v>1</v>
      </c>
      <c r="AR44" s="60">
        <f t="shared" si="51"/>
        <v>0</v>
      </c>
      <c r="AS44" s="60">
        <f t="shared" si="51"/>
        <v>0</v>
      </c>
      <c r="AT44" s="60">
        <f t="shared" si="51"/>
        <v>0</v>
      </c>
      <c r="AU44" s="60">
        <f t="shared" si="51"/>
        <v>0</v>
      </c>
      <c r="AV44" s="60">
        <f t="shared" si="51"/>
        <v>0</v>
      </c>
      <c r="AW44" s="60">
        <f t="shared" si="51"/>
        <v>0</v>
      </c>
      <c r="AX44" s="60">
        <f t="shared" si="52"/>
        <v>0</v>
      </c>
      <c r="AY44" s="60">
        <f t="shared" si="52"/>
        <v>0</v>
      </c>
      <c r="AZ44" s="60">
        <f t="shared" si="52"/>
        <v>0</v>
      </c>
      <c r="BA44" s="60">
        <f t="shared" si="52"/>
        <v>0</v>
      </c>
      <c r="BB44" s="60">
        <f t="shared" si="52"/>
        <v>0</v>
      </c>
      <c r="BC44" s="60">
        <f t="shared" si="52"/>
        <v>0</v>
      </c>
      <c r="BD44" s="60">
        <f t="shared" si="52"/>
        <v>1</v>
      </c>
      <c r="BE44" s="60">
        <f t="shared" si="52"/>
        <v>0</v>
      </c>
      <c r="BF44" s="60">
        <f t="shared" si="52"/>
        <v>0</v>
      </c>
      <c r="BG44" s="60">
        <f t="shared" si="52"/>
        <v>0</v>
      </c>
      <c r="BH44" s="60">
        <f t="shared" si="53"/>
        <v>0</v>
      </c>
      <c r="BI44" s="60">
        <f t="shared" si="53"/>
        <v>0</v>
      </c>
      <c r="BJ44" s="60">
        <f t="shared" si="53"/>
        <v>0</v>
      </c>
      <c r="BK44" s="60">
        <f t="shared" si="53"/>
        <v>0</v>
      </c>
      <c r="BL44" s="60">
        <f t="shared" si="53"/>
        <v>0</v>
      </c>
      <c r="BM44" s="60">
        <f t="shared" si="53"/>
        <v>0</v>
      </c>
      <c r="BN44" s="60">
        <f t="shared" si="53"/>
        <v>0</v>
      </c>
      <c r="BO44" s="60">
        <f t="shared" si="53"/>
        <v>0</v>
      </c>
      <c r="BP44" s="60">
        <f t="shared" si="53"/>
        <v>0</v>
      </c>
      <c r="BQ44" s="60">
        <f t="shared" si="53"/>
        <v>0</v>
      </c>
      <c r="BR44" s="60">
        <f t="shared" si="54"/>
        <v>0</v>
      </c>
      <c r="BS44" s="60">
        <f t="shared" si="54"/>
        <v>0</v>
      </c>
      <c r="BT44" s="60">
        <f t="shared" si="54"/>
        <v>0</v>
      </c>
      <c r="BU44" s="60">
        <f t="shared" si="54"/>
        <v>0</v>
      </c>
      <c r="BV44" s="60">
        <f t="shared" si="54"/>
        <v>0</v>
      </c>
      <c r="BW44" s="60"/>
      <c r="BX44" s="63">
        <f t="shared" si="40"/>
        <v>0</v>
      </c>
      <c r="BY44" s="63">
        <f t="shared" si="45"/>
        <v>0</v>
      </c>
      <c r="BZ44" s="63">
        <f t="shared" si="46"/>
        <v>0</v>
      </c>
      <c r="CA44" s="63">
        <f t="shared" si="2"/>
        <v>0</v>
      </c>
      <c r="CB44" s="63">
        <f t="shared" si="3"/>
        <v>0.5</v>
      </c>
      <c r="CC44" s="63">
        <f t="shared" si="4"/>
        <v>0</v>
      </c>
      <c r="CD44" s="63">
        <f t="shared" si="5"/>
        <v>0</v>
      </c>
      <c r="CE44" s="63">
        <f t="shared" si="6"/>
        <v>0</v>
      </c>
      <c r="CF44" s="63">
        <f t="shared" si="7"/>
        <v>0</v>
      </c>
      <c r="CG44" s="63">
        <f t="shared" si="8"/>
        <v>0</v>
      </c>
      <c r="CH44" s="63">
        <f t="shared" si="9"/>
        <v>0</v>
      </c>
      <c r="CI44" s="63">
        <f t="shared" si="10"/>
        <v>0</v>
      </c>
      <c r="CJ44" s="63">
        <f t="shared" si="11"/>
        <v>0</v>
      </c>
      <c r="CK44" s="63">
        <f t="shared" si="12"/>
        <v>0</v>
      </c>
      <c r="CL44" s="63">
        <f t="shared" si="13"/>
        <v>0</v>
      </c>
      <c r="CM44" s="63">
        <f t="shared" si="14"/>
        <v>0</v>
      </c>
      <c r="CN44" s="63">
        <f t="shared" si="15"/>
        <v>0</v>
      </c>
      <c r="CO44" s="63">
        <f t="shared" si="16"/>
        <v>0.5</v>
      </c>
      <c r="CP44" s="63">
        <f t="shared" si="17"/>
        <v>0</v>
      </c>
      <c r="CQ44" s="63">
        <f t="shared" si="18"/>
        <v>0</v>
      </c>
      <c r="CR44" s="63">
        <f t="shared" si="19"/>
        <v>0</v>
      </c>
      <c r="CS44" s="63">
        <f t="shared" si="20"/>
        <v>0</v>
      </c>
      <c r="CT44" s="63">
        <f t="shared" si="21"/>
        <v>0</v>
      </c>
      <c r="CU44" s="63">
        <f t="shared" si="22"/>
        <v>0</v>
      </c>
      <c r="CV44" s="63">
        <f t="shared" si="23"/>
        <v>0</v>
      </c>
      <c r="CW44" s="63">
        <f t="shared" si="24"/>
        <v>0</v>
      </c>
      <c r="CX44" s="63">
        <f t="shared" si="25"/>
        <v>0</v>
      </c>
      <c r="CY44" s="63">
        <f t="shared" si="26"/>
        <v>0</v>
      </c>
      <c r="CZ44" s="63">
        <f t="shared" si="27"/>
        <v>0</v>
      </c>
      <c r="DA44" s="63">
        <f t="shared" si="28"/>
        <v>0</v>
      </c>
      <c r="DB44" s="63">
        <f t="shared" si="29"/>
        <v>0</v>
      </c>
      <c r="DC44" s="63">
        <f t="shared" si="30"/>
        <v>0</v>
      </c>
      <c r="DD44" s="63">
        <f t="shared" si="31"/>
        <v>0</v>
      </c>
      <c r="DE44" s="63">
        <f t="shared" si="32"/>
        <v>0</v>
      </c>
      <c r="DF44" s="63">
        <f t="shared" si="33"/>
        <v>0</v>
      </c>
      <c r="DG44" s="63">
        <f t="shared" si="34"/>
        <v>0</v>
      </c>
      <c r="DH44" s="57" t="str" cm="1">
        <f t="array" ref="DH44">INDEX(_xlfn.ANCHORARRAY($BX$2),0,MATCH(LARGE($BX44:$DG44,1),$BX44:$DG44,0))</f>
        <v>Mobility Services Booking</v>
      </c>
      <c r="DI44" s="58">
        <f>LARGE('Industries all mentioned partne'!$BX44:$DG44,1)</f>
        <v>0.5</v>
      </c>
      <c r="DJ44" s="57" t="str" cm="1">
        <f t="array" ref="DJ44">IF(DI44&lt;&gt;100%,INDEX(_xlfn.ANCHORARRAY($BX$2),0,MATCH(LARGE($BX44:$DG44,2),$BX44:$DG44,0)),"")</f>
        <v>Mobility Services Booking</v>
      </c>
      <c r="DK44" s="58">
        <f>IF(DI44&lt;&gt;100%,LARGE('Industries all mentioned partne'!$BX44:$DG44,2),"")</f>
        <v>0.5</v>
      </c>
      <c r="DL44" s="57" t="str" cm="1">
        <f t="array" ref="DL44">IF(DM44="","",INDEX(_xlfn.ANCHORARRAY($BX$2),0,MATCH(LARGE($BX44:$DG44,3),$BX44:$DG44,0)))</f>
        <v/>
      </c>
      <c r="DM44" s="110" t="str">
        <f>IF(LARGE('Industries all mentioned partne'!$BX44:$DG44,3)=0%,"",LARGE('Industries all mentioned partne'!$BX44:$DG44,3))</f>
        <v/>
      </c>
      <c r="DN44" s="52">
        <f>IF(ISTEXT(C44)=TRUE,VLOOKUP(C44,CBIMPORT!$A$2:$AL$171,38,FALSE),"")</f>
        <v>0</v>
      </c>
      <c r="DO44" s="52">
        <f>IF(ISTEXT(D44)=TRUE,VLOOKUP(D44,CBIMPORT!$A$2:$AL$171,38,FALSE),"")</f>
        <v>0</v>
      </c>
      <c r="DP44" s="52" t="str">
        <f>IF(ISTEXT(E44)=TRUE,VLOOKUP(E44,CBIMPORT!$A$2:$AL$171,38,FALSE),"")</f>
        <v/>
      </c>
      <c r="DQ44" s="52" t="str">
        <f>IF(ISTEXT(F44)=TRUE,VLOOKUP(F44,CBIMPORT!$A$2:$AL$171,38,FALSE),"")</f>
        <v/>
      </c>
      <c r="DR44" s="52" t="str">
        <f>IF(ISTEXT(G44)=TRUE,VLOOKUP(G44,CBIMPORT!$A$2:$AL$171,38,FALSE),"")</f>
        <v/>
      </c>
      <c r="DS44" s="52" t="str">
        <f>IF(ISTEXT(H44)=TRUE,VLOOKUP(H44,CBIMPORT!$A$2:$AL$171,38,FALSE),"")</f>
        <v/>
      </c>
      <c r="DT44" s="52" t="str">
        <f>IF(ISTEXT(I44)=TRUE,VLOOKUP(I44,CBIMPORT!$A$2:$AL$171,38,FALSE),"")</f>
        <v/>
      </c>
      <c r="DU44" s="52" t="str">
        <f>IF(ISTEXT(J44)=TRUE,VLOOKUP(J44,CBIMPORT!$A$2:$AL$171,38,FALSE),"")</f>
        <v/>
      </c>
      <c r="DV44" s="52" t="str">
        <f>IF(ISTEXT(K44)=TRUE,VLOOKUP(K44,CBIMPORT!$A$2:$AL$171,38,FALSE),"")</f>
        <v/>
      </c>
      <c r="DW44" s="52" t="str">
        <f>IF(ISTEXT(L44)=TRUE,VLOOKUP(L44,CBIMPORT!$A$2:$AL$171,38,FALSE),"")</f>
        <v/>
      </c>
      <c r="DX44" s="52" t="str">
        <f>IF(ISTEXT(M44)=TRUE,VLOOKUP(M44,CBIMPORT!$A$2:$AL$171,38,FALSE),"")</f>
        <v/>
      </c>
      <c r="DY44" s="52" t="str">
        <f>IF(ISTEXT(N44)=TRUE,VLOOKUP(N44,CBIMPORT!$A$2:$AL$171,38,FALSE),"")</f>
        <v/>
      </c>
      <c r="DZ44" s="52" t="str">
        <f>IF(ISTEXT(O44)=TRUE,VLOOKUP(O44,CBIMPORT!$A$2:$AL$171,38,FALSE),"")</f>
        <v/>
      </c>
      <c r="EA44" s="52" t="str">
        <f>IF(ISTEXT(P44)=TRUE,VLOOKUP(P44,CBIMPORT!$A$2:$AL$171,38,FALSE),"")</f>
        <v/>
      </c>
      <c r="EB44" s="52" t="str">
        <f>IF(ISTEXT(Q44)=TRUE,VLOOKUP(Q44,CBIMPORT!$A$2:$AL$171,38,FALSE),"")</f>
        <v/>
      </c>
      <c r="EC44" s="52" t="str">
        <f>IF(ISTEXT(R44)=TRUE,VLOOKUP(R44,CBIMPORT!$A$2:$AL$171,38,FALSE),"")</f>
        <v/>
      </c>
      <c r="ED44" s="52" t="str">
        <f>IF(ISTEXT(S44)=TRUE,VLOOKUP(S44,CBIMPORT!$A$2:$AL$171,38,FALSE),"")</f>
        <v/>
      </c>
      <c r="EE44" s="52" t="str">
        <f>IF(ISTEXT(T44)=TRUE,VLOOKUP(T44,CBIMPORT!$A$2:$AL$171,38,FALSE),"")</f>
        <v/>
      </c>
    </row>
    <row r="45" spans="1:146" x14ac:dyDescent="0.35">
      <c r="A45" t="str">
        <v>Waymo-Ridehailing</v>
      </c>
      <c r="B45" s="48" t="str" cm="1">
        <f t="array" ref="B45">_xlfn.TEXTJOIN(";",TRUE,IF(ANNOUNCEMENTS!$AH$2:$AH$180=A45,ANNOUNCEMENTS!$K$2:$K$180,""))</f>
        <v>Fiat Chrysler Automobiles;Avis;Valley Metro;Lyft;Alliance Ventures (Renault, Nissan, Mitsubishi);Volvo Car Group</v>
      </c>
      <c r="C45" s="55" t="s">
        <v>745</v>
      </c>
      <c r="D45" s="55" t="s">
        <v>819</v>
      </c>
      <c r="E45" s="55" t="s">
        <v>898</v>
      </c>
      <c r="F45" s="55" t="s">
        <v>736</v>
      </c>
      <c r="G45" s="55" t="s">
        <v>472</v>
      </c>
      <c r="H45" s="55" t="s">
        <v>1978</v>
      </c>
      <c r="I45" s="55"/>
      <c r="J45" s="55"/>
      <c r="K45" s="55"/>
      <c r="L45" s="55"/>
      <c r="M45" s="55"/>
      <c r="N45" s="55"/>
      <c r="O45" s="55"/>
      <c r="P45" s="55"/>
      <c r="Q45" s="55"/>
      <c r="R45" s="55"/>
      <c r="S45" s="55"/>
      <c r="T45" s="55"/>
      <c r="V45" s="56" t="str">
        <f>IF(ISERROR(VLOOKUP(C45,CBIMPORT!$A$2:$B$171,2,FALSE)),0,VLOOKUP(C45,CBIMPORT!$A$2:$B$171,2,FALSE))</f>
        <v>OEM</v>
      </c>
      <c r="W45" s="56" t="str">
        <f>IF(ISERROR(VLOOKUP(D45,CBIMPORT!$A$2:$B$171,2,FALSE)),0,VLOOKUP(D45,CBIMPORT!$A$2:$B$171,2,FALSE))</f>
        <v>Rental Services</v>
      </c>
      <c r="X45" s="56" t="str">
        <f>IF(ISERROR(VLOOKUP(E45,CBIMPORT!$A$2:$B$171,2,FALSE)),0,VLOOKUP(E45,CBIMPORT!$A$2:$B$171,2,FALSE))</f>
        <v>Transport Operator</v>
      </c>
      <c r="Y45" s="56" t="str">
        <f>IF(ISERROR(VLOOKUP(F45,CBIMPORT!$A$2:$B$171,2,FALSE)),0,VLOOKUP(F45,CBIMPORT!$A$2:$B$171,2,FALSE))</f>
        <v>Mobility Services Booking</v>
      </c>
      <c r="Z45" s="56" t="str">
        <f>IF(ISERROR(VLOOKUP(G45,CBIMPORT!$A$2:$B$171,2,FALSE)),0,VLOOKUP(G45,CBIMPORT!$A$2:$B$171,2,FALSE))</f>
        <v>Mobility Project</v>
      </c>
      <c r="AA45" s="56" t="str">
        <f>IF(ISERROR(VLOOKUP(H45,CBIMPORT!$A$2:$B$171,2,FALSE)),0,VLOOKUP(H45,CBIMPORT!$A$2:$B$171,2,FALSE))</f>
        <v>OEM</v>
      </c>
      <c r="AB45" s="56">
        <f>IF(ISERROR(VLOOKUP(I45,CBIMPORT!$A$2:$B$171,2,FALSE)),0,VLOOKUP(I45,CBIMPORT!$A$2:$B$171,2,FALSE))</f>
        <v>0</v>
      </c>
      <c r="AC45" s="56">
        <f>IF(ISERROR(VLOOKUP(J45,CBIMPORT!$A$2:$B$171,2,FALSE)),0,VLOOKUP(J45,CBIMPORT!$A$2:$B$171,2,FALSE))</f>
        <v>0</v>
      </c>
      <c r="AD45" s="56">
        <f>IF(ISERROR(VLOOKUP(K45,CBIMPORT!$A$2:$B$171,2,FALSE)),0,VLOOKUP(K45,CBIMPORT!$A$2:$B$171,2,FALSE))</f>
        <v>0</v>
      </c>
      <c r="AE45" s="56">
        <f>IF(ISERROR(VLOOKUP(L45,CBIMPORT!$A$2:$B$171,2,FALSE)),0,VLOOKUP(L45,CBIMPORT!$A$2:$B$171,2,FALSE))</f>
        <v>0</v>
      </c>
      <c r="AF45" s="56">
        <f>IF(ISERROR(VLOOKUP(M45,CBIMPORT!$A$2:$B$171,2,FALSE)),0,VLOOKUP(M45,CBIMPORT!$A$2:$B$171,2,FALSE))</f>
        <v>0</v>
      </c>
      <c r="AG45" s="56">
        <f>IF(ISERROR(VLOOKUP(N45,CBIMPORT!$A$2:$B$171,2,FALSE)),0,VLOOKUP(N45,CBIMPORT!$A$2:$B$171,2,FALSE))</f>
        <v>0</v>
      </c>
      <c r="AH45" s="56">
        <f>IF(ISERROR(VLOOKUP(O45,CBIMPORT!$A$2:$B$171,2,FALSE)),0,VLOOKUP(O45,CBIMPORT!$A$2:$B$171,2,FALSE))</f>
        <v>0</v>
      </c>
      <c r="AI45" s="56">
        <f>IF(ISERROR(VLOOKUP(P45,CBIMPORT!$A$2:$B$171,2,FALSE)),0,VLOOKUP(P45,CBIMPORT!$A$2:$B$171,2,FALSE))</f>
        <v>0</v>
      </c>
      <c r="AJ45" s="56">
        <f>IF(ISERROR(VLOOKUP(Q45,CBIMPORT!$A$2:$B$171,2,FALSE)),0,VLOOKUP(Q45,CBIMPORT!$A$2:$B$171,2,FALSE))</f>
        <v>0</v>
      </c>
      <c r="AK45" s="56">
        <f>IF(ISERROR(VLOOKUP(R45,CBIMPORT!$A$2:$B$171,2,FALSE)),0,VLOOKUP(R45,CBIMPORT!$A$2:$B$171,2,FALSE))</f>
        <v>0</v>
      </c>
      <c r="AL45" s="56">
        <f>IF(ISERROR(VLOOKUP(S45,CBIMPORT!$A$2:$B$171,2,FALSE)),0,VLOOKUP(S45,CBIMPORT!$A$2:$B$171,2,FALSE))</f>
        <v>0</v>
      </c>
      <c r="AM45" s="60">
        <f t="shared" si="35"/>
        <v>0</v>
      </c>
      <c r="AN45" s="60">
        <f t="shared" si="51"/>
        <v>0</v>
      </c>
      <c r="AO45" s="60">
        <f t="shared" si="51"/>
        <v>1</v>
      </c>
      <c r="AP45" s="60">
        <f t="shared" si="51"/>
        <v>0</v>
      </c>
      <c r="AQ45" s="60">
        <f t="shared" si="51"/>
        <v>1</v>
      </c>
      <c r="AR45" s="60">
        <f t="shared" si="51"/>
        <v>0</v>
      </c>
      <c r="AS45" s="60">
        <f t="shared" si="51"/>
        <v>0</v>
      </c>
      <c r="AT45" s="60">
        <f t="shared" si="51"/>
        <v>0</v>
      </c>
      <c r="AU45" s="60">
        <f t="shared" si="51"/>
        <v>1</v>
      </c>
      <c r="AV45" s="60">
        <f t="shared" si="51"/>
        <v>0</v>
      </c>
      <c r="AW45" s="60">
        <f t="shared" si="51"/>
        <v>0</v>
      </c>
      <c r="AX45" s="60">
        <f t="shared" si="52"/>
        <v>0</v>
      </c>
      <c r="AY45" s="60">
        <f t="shared" si="52"/>
        <v>1</v>
      </c>
      <c r="AZ45" s="60">
        <f t="shared" si="52"/>
        <v>0</v>
      </c>
      <c r="BA45" s="60">
        <f t="shared" si="52"/>
        <v>0</v>
      </c>
      <c r="BB45" s="60">
        <f t="shared" si="52"/>
        <v>0</v>
      </c>
      <c r="BC45" s="60">
        <f t="shared" si="52"/>
        <v>0</v>
      </c>
      <c r="BD45" s="60">
        <f t="shared" si="52"/>
        <v>0</v>
      </c>
      <c r="BE45" s="60">
        <f t="shared" si="52"/>
        <v>2</v>
      </c>
      <c r="BF45" s="60">
        <f t="shared" si="52"/>
        <v>0</v>
      </c>
      <c r="BG45" s="60">
        <f t="shared" si="52"/>
        <v>0</v>
      </c>
      <c r="BH45" s="60">
        <f t="shared" si="53"/>
        <v>0</v>
      </c>
      <c r="BI45" s="60">
        <f t="shared" si="53"/>
        <v>0</v>
      </c>
      <c r="BJ45" s="60">
        <f t="shared" si="53"/>
        <v>0</v>
      </c>
      <c r="BK45" s="60">
        <f t="shared" si="53"/>
        <v>0</v>
      </c>
      <c r="BL45" s="60">
        <f t="shared" si="53"/>
        <v>0</v>
      </c>
      <c r="BM45" s="60">
        <f t="shared" si="53"/>
        <v>0</v>
      </c>
      <c r="BN45" s="60">
        <f t="shared" si="53"/>
        <v>0</v>
      </c>
      <c r="BO45" s="60">
        <f t="shared" si="53"/>
        <v>0</v>
      </c>
      <c r="BP45" s="60">
        <f t="shared" si="53"/>
        <v>0</v>
      </c>
      <c r="BQ45" s="60">
        <f t="shared" si="53"/>
        <v>0</v>
      </c>
      <c r="BR45" s="60">
        <f t="shared" si="54"/>
        <v>0</v>
      </c>
      <c r="BS45" s="60">
        <f t="shared" si="54"/>
        <v>0</v>
      </c>
      <c r="BT45" s="60">
        <f t="shared" si="54"/>
        <v>0</v>
      </c>
      <c r="BU45" s="60">
        <f t="shared" si="54"/>
        <v>0</v>
      </c>
      <c r="BV45" s="60">
        <f t="shared" si="54"/>
        <v>0</v>
      </c>
      <c r="BW45" s="60"/>
      <c r="BX45" s="63">
        <f t="shared" si="40"/>
        <v>0</v>
      </c>
      <c r="BY45" s="63">
        <f t="shared" si="45"/>
        <v>0</v>
      </c>
      <c r="BZ45" s="63">
        <f t="shared" si="46"/>
        <v>0.16666666666666666</v>
      </c>
      <c r="CA45" s="63">
        <f t="shared" si="2"/>
        <v>0</v>
      </c>
      <c r="CB45" s="63">
        <f t="shared" si="3"/>
        <v>0.16666666666666666</v>
      </c>
      <c r="CC45" s="63">
        <f t="shared" si="4"/>
        <v>0</v>
      </c>
      <c r="CD45" s="63">
        <f t="shared" si="5"/>
        <v>0</v>
      </c>
      <c r="CE45" s="63">
        <f t="shared" si="6"/>
        <v>0</v>
      </c>
      <c r="CF45" s="63">
        <f t="shared" si="7"/>
        <v>0.16666666666666666</v>
      </c>
      <c r="CG45" s="63">
        <f t="shared" si="8"/>
        <v>0</v>
      </c>
      <c r="CH45" s="63">
        <f t="shared" si="9"/>
        <v>0</v>
      </c>
      <c r="CI45" s="63">
        <f t="shared" si="10"/>
        <v>0</v>
      </c>
      <c r="CJ45" s="63">
        <f t="shared" si="11"/>
        <v>0.16666666666666666</v>
      </c>
      <c r="CK45" s="63">
        <f t="shared" si="12"/>
        <v>0</v>
      </c>
      <c r="CL45" s="63">
        <f t="shared" si="13"/>
        <v>0</v>
      </c>
      <c r="CM45" s="63">
        <f t="shared" si="14"/>
        <v>0</v>
      </c>
      <c r="CN45" s="63">
        <f t="shared" si="15"/>
        <v>0</v>
      </c>
      <c r="CO45" s="63">
        <f t="shared" si="16"/>
        <v>0</v>
      </c>
      <c r="CP45" s="63">
        <f t="shared" si="17"/>
        <v>0.33333333333333331</v>
      </c>
      <c r="CQ45" s="63">
        <f t="shared" si="18"/>
        <v>0</v>
      </c>
      <c r="CR45" s="63">
        <f t="shared" si="19"/>
        <v>0</v>
      </c>
      <c r="CS45" s="63">
        <f t="shared" si="20"/>
        <v>0</v>
      </c>
      <c r="CT45" s="63">
        <f t="shared" si="21"/>
        <v>0</v>
      </c>
      <c r="CU45" s="63">
        <f t="shared" si="22"/>
        <v>0</v>
      </c>
      <c r="CV45" s="63">
        <f t="shared" si="23"/>
        <v>0</v>
      </c>
      <c r="CW45" s="63">
        <f t="shared" si="24"/>
        <v>0</v>
      </c>
      <c r="CX45" s="63">
        <f t="shared" si="25"/>
        <v>0</v>
      </c>
      <c r="CY45" s="63">
        <f t="shared" si="26"/>
        <v>0</v>
      </c>
      <c r="CZ45" s="63">
        <f t="shared" si="27"/>
        <v>0</v>
      </c>
      <c r="DA45" s="63">
        <f t="shared" si="28"/>
        <v>0</v>
      </c>
      <c r="DB45" s="63">
        <f t="shared" si="29"/>
        <v>0</v>
      </c>
      <c r="DC45" s="63">
        <f t="shared" si="30"/>
        <v>0</v>
      </c>
      <c r="DD45" s="63">
        <f t="shared" si="31"/>
        <v>0</v>
      </c>
      <c r="DE45" s="63">
        <f t="shared" si="32"/>
        <v>0</v>
      </c>
      <c r="DF45" s="63">
        <f t="shared" si="33"/>
        <v>0</v>
      </c>
      <c r="DG45" s="63">
        <f t="shared" si="34"/>
        <v>0</v>
      </c>
      <c r="DH45" s="57" t="str" cm="1">
        <f t="array" ref="DH45">INDEX(_xlfn.ANCHORARRAY($BX$2),0,MATCH(LARGE($BX45:$DG45,1),$BX45:$DG45,0))</f>
        <v>OEM</v>
      </c>
      <c r="DI45" s="58">
        <f>LARGE('Industries all mentioned partne'!$BX45:$DG45,1)</f>
        <v>0.33333333333333331</v>
      </c>
      <c r="DJ45" s="57" t="str" cm="1">
        <f t="array" ref="DJ45">IF(DI45&lt;&gt;100%,INDEX(_xlfn.ANCHORARRAY($BX$2),0,MATCH(LARGE($BX45:$DG45,2),$BX45:$DG45,0)),"")</f>
        <v>Transport Operator</v>
      </c>
      <c r="DK45" s="58">
        <f>IF(DI45&lt;&gt;100%,LARGE('Industries all mentioned partne'!$BX45:$DG45,2),"")</f>
        <v>0.16666666666666666</v>
      </c>
      <c r="DL45" s="57" t="str" cm="1">
        <f t="array" ref="DL45">IF(DM45="","",INDEX(_xlfn.ANCHORARRAY($BX$2),0,MATCH(LARGE($BX45:$DG45,3),$BX45:$DG45,0)))</f>
        <v>Transport Operator</v>
      </c>
      <c r="DM45" s="110">
        <f>IF(LARGE('Industries all mentioned partne'!$BX45:$DG45,3)=0%,"",LARGE('Industries all mentioned partne'!$BX45:$DG45,3))</f>
        <v>0.16666666666666666</v>
      </c>
      <c r="DN45" s="52">
        <f>IF(ISTEXT(C45)=TRUE,VLOOKUP(C45,CBIMPORT!$A$2:$AL$171,38,FALSE),"")</f>
        <v>0</v>
      </c>
      <c r="DO45" s="52">
        <f>IF(ISTEXT(D45)=TRUE,VLOOKUP(D45,CBIMPORT!$A$2:$AL$171,38,FALSE),"")</f>
        <v>0</v>
      </c>
      <c r="DP45" s="52">
        <f>IF(ISTEXT(E45)=TRUE,VLOOKUP(E45,CBIMPORT!$A$2:$AL$171,38,FALSE),"")</f>
        <v>0</v>
      </c>
      <c r="DQ45" s="52">
        <f>IF(ISTEXT(F45)=TRUE,VLOOKUP(F45,CBIMPORT!$A$2:$AL$171,38,FALSE),"")</f>
        <v>1</v>
      </c>
      <c r="DR45" s="52">
        <f>IF(ISTEXT(G45)=TRUE,VLOOKUP(G45,CBIMPORT!$A$2:$AL$171,38,FALSE),"")</f>
        <v>0</v>
      </c>
      <c r="DS45" s="52">
        <f>IF(ISTEXT(H45)=TRUE,VLOOKUP(H45,CBIMPORT!$A$2:$AL$171,38,FALSE),"")</f>
        <v>1</v>
      </c>
      <c r="DT45" s="52" t="str">
        <f>IF(ISTEXT(I45)=TRUE,VLOOKUP(I45,CBIMPORT!$A$2:$AL$171,38,FALSE),"")</f>
        <v/>
      </c>
      <c r="DU45" s="52" t="str">
        <f>IF(ISTEXT(J45)=TRUE,VLOOKUP(J45,CBIMPORT!$A$2:$AL$171,38,FALSE),"")</f>
        <v/>
      </c>
      <c r="DV45" s="52" t="str">
        <f>IF(ISTEXT(K45)=TRUE,VLOOKUP(K45,CBIMPORT!$A$2:$AL$171,38,FALSE),"")</f>
        <v/>
      </c>
      <c r="DW45" s="52" t="str">
        <f>IF(ISTEXT(L45)=TRUE,VLOOKUP(L45,CBIMPORT!$A$2:$AL$171,38,FALSE),"")</f>
        <v/>
      </c>
      <c r="DX45" s="52" t="str">
        <f>IF(ISTEXT(M45)=TRUE,VLOOKUP(M45,CBIMPORT!$A$2:$AL$171,38,FALSE),"")</f>
        <v/>
      </c>
      <c r="DY45" s="52" t="str">
        <f>IF(ISTEXT(N45)=TRUE,VLOOKUP(N45,CBIMPORT!$A$2:$AL$171,38,FALSE),"")</f>
        <v/>
      </c>
      <c r="DZ45" s="52" t="str">
        <f>IF(ISTEXT(O45)=TRUE,VLOOKUP(O45,CBIMPORT!$A$2:$AL$171,38,FALSE),"")</f>
        <v/>
      </c>
      <c r="EA45" s="52" t="str">
        <f>IF(ISTEXT(P45)=TRUE,VLOOKUP(P45,CBIMPORT!$A$2:$AL$171,38,FALSE),"")</f>
        <v/>
      </c>
      <c r="EB45" s="52" t="str">
        <f>IF(ISTEXT(Q45)=TRUE,VLOOKUP(Q45,CBIMPORT!$A$2:$AL$171,38,FALSE),"")</f>
        <v/>
      </c>
      <c r="EC45" s="52" t="str">
        <f>IF(ISTEXT(R45)=TRUE,VLOOKUP(R45,CBIMPORT!$A$2:$AL$171,38,FALSE),"")</f>
        <v/>
      </c>
      <c r="ED45" s="52" t="str">
        <f>IF(ISTEXT(S45)=TRUE,VLOOKUP(S45,CBIMPORT!$A$2:$AL$171,38,FALSE),"")</f>
        <v/>
      </c>
      <c r="EE45" s="52" t="str">
        <f>IF(ISTEXT(T45)=TRUE,VLOOKUP(T45,CBIMPORT!$A$2:$AL$171,38,FALSE),"")</f>
        <v/>
      </c>
    </row>
    <row r="46" spans="1:146" x14ac:dyDescent="0.35">
      <c r="A46" t="str">
        <v>Waymo-Other</v>
      </c>
      <c r="B46" s="48" t="str" cm="1">
        <f t="array" ref="B46">_xlfn.TEXTJOIN(";",TRUE,IF(ANNOUNCEMENTS!$AH$2:$AH$180=A46,ANNOUNCEMENTS!$K$2:$K$180,""))</f>
        <v>Verily;Swiss Re;AAA Northern California, Nevada &amp; Utah</v>
      </c>
      <c r="C46" s="55" t="s">
        <v>638</v>
      </c>
      <c r="D46" s="55" t="s">
        <v>668</v>
      </c>
      <c r="E46" s="55" t="s">
        <v>1988</v>
      </c>
      <c r="F46" s="55"/>
      <c r="G46" s="55"/>
      <c r="H46" s="55"/>
      <c r="I46" s="55"/>
      <c r="J46" s="55"/>
      <c r="K46" s="55"/>
      <c r="L46" s="55"/>
      <c r="M46" s="55"/>
      <c r="N46" s="55"/>
      <c r="O46" s="55"/>
      <c r="P46" s="55"/>
      <c r="Q46" s="55"/>
      <c r="R46" s="55"/>
      <c r="S46" s="55"/>
      <c r="T46" s="55"/>
      <c r="V46" s="56" t="str">
        <f>IF(ISERROR(VLOOKUP(C46,CBIMPORT!$A$2:$B$171,2,FALSE)),0,VLOOKUP(C46,CBIMPORT!$A$2:$B$171,2,FALSE))</f>
        <v>Health Care Analytics</v>
      </c>
      <c r="W46" s="56" t="str">
        <f>IF(ISERROR(VLOOKUP(D46,CBIMPORT!$A$2:$B$171,2,FALSE)),0,VLOOKUP(D46,CBIMPORT!$A$2:$B$171,2,FALSE))</f>
        <v>Insurance</v>
      </c>
      <c r="X46" s="56" t="str">
        <f>IF(ISERROR(VLOOKUP(E46,CBIMPORT!$A$2:$B$171,2,FALSE)),0,VLOOKUP(E46,CBIMPORT!$A$2:$B$171,2,FALSE))</f>
        <v>Insurance</v>
      </c>
      <c r="Y46" s="56">
        <f>IF(ISERROR(VLOOKUP(F46,CBIMPORT!$A$2:$B$171,2,FALSE)),0,VLOOKUP(F46,CBIMPORT!$A$2:$B$171,2,FALSE))</f>
        <v>0</v>
      </c>
      <c r="Z46" s="56">
        <f>IF(ISERROR(VLOOKUP(G46,CBIMPORT!$A$2:$B$171,2,FALSE)),0,VLOOKUP(G46,CBIMPORT!$A$2:$B$171,2,FALSE))</f>
        <v>0</v>
      </c>
      <c r="AA46" s="56">
        <f>IF(ISERROR(VLOOKUP(H46,CBIMPORT!$A$2:$B$171,2,FALSE)),0,VLOOKUP(H46,CBIMPORT!$A$2:$B$171,2,FALSE))</f>
        <v>0</v>
      </c>
      <c r="AB46" s="56">
        <f>IF(ISERROR(VLOOKUP(I46,CBIMPORT!$A$2:$B$171,2,FALSE)),0,VLOOKUP(I46,CBIMPORT!$A$2:$B$171,2,FALSE))</f>
        <v>0</v>
      </c>
      <c r="AC46" s="56">
        <f>IF(ISERROR(VLOOKUP(J46,CBIMPORT!$A$2:$B$171,2,FALSE)),0,VLOOKUP(J46,CBIMPORT!$A$2:$B$171,2,FALSE))</f>
        <v>0</v>
      </c>
      <c r="AD46" s="56">
        <f>IF(ISERROR(VLOOKUP(K46,CBIMPORT!$A$2:$B$171,2,FALSE)),0,VLOOKUP(K46,CBIMPORT!$A$2:$B$171,2,FALSE))</f>
        <v>0</v>
      </c>
      <c r="AE46" s="56">
        <f>IF(ISERROR(VLOOKUP(L46,CBIMPORT!$A$2:$B$171,2,FALSE)),0,VLOOKUP(L46,CBIMPORT!$A$2:$B$171,2,FALSE))</f>
        <v>0</v>
      </c>
      <c r="AF46" s="56">
        <f>IF(ISERROR(VLOOKUP(M46,CBIMPORT!$A$2:$B$171,2,FALSE)),0,VLOOKUP(M46,CBIMPORT!$A$2:$B$171,2,FALSE))</f>
        <v>0</v>
      </c>
      <c r="AG46" s="56">
        <f>IF(ISERROR(VLOOKUP(N46,CBIMPORT!$A$2:$B$171,2,FALSE)),0,VLOOKUP(N46,CBIMPORT!$A$2:$B$171,2,FALSE))</f>
        <v>0</v>
      </c>
      <c r="AH46" s="56">
        <f>IF(ISERROR(VLOOKUP(O46,CBIMPORT!$A$2:$B$171,2,FALSE)),0,VLOOKUP(O46,CBIMPORT!$A$2:$B$171,2,FALSE))</f>
        <v>0</v>
      </c>
      <c r="AI46" s="56">
        <f>IF(ISERROR(VLOOKUP(P46,CBIMPORT!$A$2:$B$171,2,FALSE)),0,VLOOKUP(P46,CBIMPORT!$A$2:$B$171,2,FALSE))</f>
        <v>0</v>
      </c>
      <c r="AJ46" s="56">
        <f>IF(ISERROR(VLOOKUP(Q46,CBIMPORT!$A$2:$B$171,2,FALSE)),0,VLOOKUP(Q46,CBIMPORT!$A$2:$B$171,2,FALSE))</f>
        <v>0</v>
      </c>
      <c r="AK46" s="56">
        <f>IF(ISERROR(VLOOKUP(R46,CBIMPORT!$A$2:$B$171,2,FALSE)),0,VLOOKUP(R46,CBIMPORT!$A$2:$B$171,2,FALSE))</f>
        <v>0</v>
      </c>
      <c r="AL46" s="56">
        <f>IF(ISERROR(VLOOKUP(S46,CBIMPORT!$A$2:$B$171,2,FALSE)),0,VLOOKUP(S46,CBIMPORT!$A$2:$B$171,2,FALSE))</f>
        <v>0</v>
      </c>
      <c r="AM46" s="60">
        <f t="shared" si="35"/>
        <v>0</v>
      </c>
      <c r="AN46" s="60">
        <f t="shared" si="51"/>
        <v>0</v>
      </c>
      <c r="AO46" s="60">
        <f t="shared" si="51"/>
        <v>0</v>
      </c>
      <c r="AP46" s="60">
        <f t="shared" si="51"/>
        <v>0</v>
      </c>
      <c r="AQ46" s="60">
        <f t="shared" si="51"/>
        <v>0</v>
      </c>
      <c r="AR46" s="60">
        <f t="shared" si="51"/>
        <v>0</v>
      </c>
      <c r="AS46" s="60">
        <f t="shared" si="51"/>
        <v>0</v>
      </c>
      <c r="AT46" s="60">
        <f t="shared" si="51"/>
        <v>2</v>
      </c>
      <c r="AU46" s="60">
        <f t="shared" si="51"/>
        <v>0</v>
      </c>
      <c r="AV46" s="60">
        <f t="shared" si="51"/>
        <v>0</v>
      </c>
      <c r="AW46" s="60">
        <f t="shared" si="51"/>
        <v>0</v>
      </c>
      <c r="AX46" s="60">
        <f t="shared" si="52"/>
        <v>0</v>
      </c>
      <c r="AY46" s="60">
        <f t="shared" si="52"/>
        <v>0</v>
      </c>
      <c r="AZ46" s="60">
        <f t="shared" si="52"/>
        <v>0</v>
      </c>
      <c r="BA46" s="60">
        <f t="shared" si="52"/>
        <v>0</v>
      </c>
      <c r="BB46" s="60">
        <f t="shared" si="52"/>
        <v>0</v>
      </c>
      <c r="BC46" s="60">
        <f t="shared" si="52"/>
        <v>0</v>
      </c>
      <c r="BD46" s="60">
        <f t="shared" si="52"/>
        <v>0</v>
      </c>
      <c r="BE46" s="60">
        <f t="shared" si="52"/>
        <v>0</v>
      </c>
      <c r="BF46" s="60">
        <f t="shared" si="52"/>
        <v>0</v>
      </c>
      <c r="BG46" s="60">
        <f t="shared" si="52"/>
        <v>0</v>
      </c>
      <c r="BH46" s="60">
        <f t="shared" si="53"/>
        <v>0</v>
      </c>
      <c r="BI46" s="60">
        <f t="shared" si="53"/>
        <v>0</v>
      </c>
      <c r="BJ46" s="60">
        <f t="shared" si="53"/>
        <v>0</v>
      </c>
      <c r="BK46" s="60">
        <f t="shared" si="53"/>
        <v>0</v>
      </c>
      <c r="BL46" s="60">
        <f t="shared" si="53"/>
        <v>0</v>
      </c>
      <c r="BM46" s="60">
        <f t="shared" si="53"/>
        <v>0</v>
      </c>
      <c r="BN46" s="60">
        <f t="shared" si="53"/>
        <v>0</v>
      </c>
      <c r="BO46" s="60">
        <f t="shared" si="53"/>
        <v>0</v>
      </c>
      <c r="BP46" s="60">
        <f t="shared" si="53"/>
        <v>0</v>
      </c>
      <c r="BQ46" s="60">
        <f t="shared" si="53"/>
        <v>0</v>
      </c>
      <c r="BR46" s="60">
        <f t="shared" si="54"/>
        <v>0</v>
      </c>
      <c r="BS46" s="60">
        <f t="shared" si="54"/>
        <v>0</v>
      </c>
      <c r="BT46" s="60">
        <f t="shared" si="54"/>
        <v>0</v>
      </c>
      <c r="BU46" s="60">
        <f t="shared" si="54"/>
        <v>0</v>
      </c>
      <c r="BV46" s="60">
        <f t="shared" si="54"/>
        <v>1</v>
      </c>
      <c r="BW46" s="60"/>
      <c r="BX46" s="63">
        <f t="shared" si="40"/>
        <v>0</v>
      </c>
      <c r="BY46" s="63">
        <f t="shared" si="45"/>
        <v>0</v>
      </c>
      <c r="BZ46" s="63">
        <f t="shared" si="46"/>
        <v>0</v>
      </c>
      <c r="CA46" s="63">
        <f t="shared" si="2"/>
        <v>0</v>
      </c>
      <c r="CB46" s="63">
        <f t="shared" si="3"/>
        <v>0</v>
      </c>
      <c r="CC46" s="63">
        <f t="shared" si="4"/>
        <v>0</v>
      </c>
      <c r="CD46" s="63">
        <f t="shared" si="5"/>
        <v>0</v>
      </c>
      <c r="CE46" s="63">
        <f t="shared" si="6"/>
        <v>0.66666666666666663</v>
      </c>
      <c r="CF46" s="63">
        <f t="shared" si="7"/>
        <v>0</v>
      </c>
      <c r="CG46" s="63">
        <f t="shared" si="8"/>
        <v>0</v>
      </c>
      <c r="CH46" s="63">
        <f t="shared" si="9"/>
        <v>0</v>
      </c>
      <c r="CI46" s="63">
        <f t="shared" si="10"/>
        <v>0</v>
      </c>
      <c r="CJ46" s="63">
        <f t="shared" si="11"/>
        <v>0</v>
      </c>
      <c r="CK46" s="63">
        <f t="shared" si="12"/>
        <v>0</v>
      </c>
      <c r="CL46" s="63">
        <f t="shared" si="13"/>
        <v>0</v>
      </c>
      <c r="CM46" s="63">
        <f t="shared" si="14"/>
        <v>0</v>
      </c>
      <c r="CN46" s="63">
        <f t="shared" si="15"/>
        <v>0</v>
      </c>
      <c r="CO46" s="63">
        <f t="shared" si="16"/>
        <v>0</v>
      </c>
      <c r="CP46" s="63">
        <f t="shared" si="17"/>
        <v>0</v>
      </c>
      <c r="CQ46" s="63">
        <f t="shared" si="18"/>
        <v>0</v>
      </c>
      <c r="CR46" s="63">
        <f t="shared" si="19"/>
        <v>0</v>
      </c>
      <c r="CS46" s="63">
        <f t="shared" si="20"/>
        <v>0</v>
      </c>
      <c r="CT46" s="63">
        <f t="shared" si="21"/>
        <v>0</v>
      </c>
      <c r="CU46" s="63">
        <f t="shared" si="22"/>
        <v>0</v>
      </c>
      <c r="CV46" s="63">
        <f t="shared" si="23"/>
        <v>0</v>
      </c>
      <c r="CW46" s="63">
        <f t="shared" si="24"/>
        <v>0</v>
      </c>
      <c r="CX46" s="63">
        <f t="shared" si="25"/>
        <v>0</v>
      </c>
      <c r="CY46" s="63">
        <f t="shared" si="26"/>
        <v>0</v>
      </c>
      <c r="CZ46" s="63">
        <f t="shared" si="27"/>
        <v>0</v>
      </c>
      <c r="DA46" s="63">
        <f t="shared" si="28"/>
        <v>0</v>
      </c>
      <c r="DB46" s="63">
        <f t="shared" si="29"/>
        <v>0</v>
      </c>
      <c r="DC46" s="63">
        <f t="shared" si="30"/>
        <v>0</v>
      </c>
      <c r="DD46" s="63">
        <f t="shared" si="31"/>
        <v>0</v>
      </c>
      <c r="DE46" s="63">
        <f t="shared" si="32"/>
        <v>0</v>
      </c>
      <c r="DF46" s="63">
        <f t="shared" si="33"/>
        <v>0</v>
      </c>
      <c r="DG46" s="63">
        <f t="shared" si="34"/>
        <v>0.33333333333333331</v>
      </c>
      <c r="DH46" s="57" t="str" cm="1">
        <f t="array" ref="DH46">INDEX(_xlfn.ANCHORARRAY($BX$2),0,MATCH(LARGE($BX46:$DG46,1),$BX46:$DG46,0))</f>
        <v>Insurance</v>
      </c>
      <c r="DI46" s="58">
        <f>LARGE('Industries all mentioned partne'!$BX46:$DG46,1)</f>
        <v>0.66666666666666663</v>
      </c>
      <c r="DJ46" s="57" t="str" cm="1">
        <f t="array" ref="DJ46">IF(DI46&lt;&gt;100%,INDEX(_xlfn.ANCHORARRAY($BX$2),0,MATCH(LARGE($BX46:$DG46,2),$BX46:$DG46,0)),"")</f>
        <v>Health Care Analytics</v>
      </c>
      <c r="DK46" s="58">
        <f>IF(DI46&lt;&gt;100%,LARGE('Industries all mentioned partne'!$BX46:$DG46,2),"")</f>
        <v>0.33333333333333331</v>
      </c>
      <c r="DL46" s="57" t="str" cm="1">
        <f t="array" ref="DL46">IF(DM46="","",INDEX(_xlfn.ANCHORARRAY($BX$2),0,MATCH(LARGE($BX46:$DG46,3),$BX46:$DG46,0)))</f>
        <v/>
      </c>
      <c r="DM46" s="110" t="str">
        <f>IF(LARGE('Industries all mentioned partne'!$BX46:$DG46,3)=0%,"",LARGE('Industries all mentioned partne'!$BX46:$DG46,3))</f>
        <v/>
      </c>
      <c r="DN46" s="52">
        <f>IF(ISTEXT(C46)=TRUE,VLOOKUP(C46,CBIMPORT!$A$2:$AL$171,38,FALSE),"")</f>
        <v>0</v>
      </c>
      <c r="DO46" s="52">
        <f>IF(ISTEXT(D46)=TRUE,VLOOKUP(D46,CBIMPORT!$A$2:$AL$171,38,FALSE),"")</f>
        <v>1</v>
      </c>
      <c r="DP46" s="52">
        <f>IF(ISTEXT(E46)=TRUE,VLOOKUP(E46,CBIMPORT!$A$2:$AL$171,38,FALSE),"")</f>
        <v>0</v>
      </c>
      <c r="DQ46" s="52" t="str">
        <f>IF(ISTEXT(F46)=TRUE,VLOOKUP(F46,CBIMPORT!$A$2:$AL$171,38,FALSE),"")</f>
        <v/>
      </c>
      <c r="DR46" s="52" t="str">
        <f>IF(ISTEXT(G46)=TRUE,VLOOKUP(G46,CBIMPORT!$A$2:$AL$171,38,FALSE),"")</f>
        <v/>
      </c>
      <c r="DS46" s="52" t="str">
        <f>IF(ISTEXT(H46)=TRUE,VLOOKUP(H46,CBIMPORT!$A$2:$AL$171,38,FALSE),"")</f>
        <v/>
      </c>
      <c r="DT46" s="52" t="str">
        <f>IF(ISTEXT(I46)=TRUE,VLOOKUP(I46,CBIMPORT!$A$2:$AL$171,38,FALSE),"")</f>
        <v/>
      </c>
      <c r="DU46" s="52" t="str">
        <f>IF(ISTEXT(J46)=TRUE,VLOOKUP(J46,CBIMPORT!$A$2:$AL$171,38,FALSE),"")</f>
        <v/>
      </c>
      <c r="DV46" s="52" t="str">
        <f>IF(ISTEXT(K46)=TRUE,VLOOKUP(K46,CBIMPORT!$A$2:$AL$171,38,FALSE),"")</f>
        <v/>
      </c>
      <c r="DW46" s="52" t="str">
        <f>IF(ISTEXT(L46)=TRUE,VLOOKUP(L46,CBIMPORT!$A$2:$AL$171,38,FALSE),"")</f>
        <v/>
      </c>
      <c r="DX46" s="52" t="str">
        <f>IF(ISTEXT(M46)=TRUE,VLOOKUP(M46,CBIMPORT!$A$2:$AL$171,38,FALSE),"")</f>
        <v/>
      </c>
      <c r="DY46" s="52" t="str">
        <f>IF(ISTEXT(N46)=TRUE,VLOOKUP(N46,CBIMPORT!$A$2:$AL$171,38,FALSE),"")</f>
        <v/>
      </c>
      <c r="DZ46" s="52" t="str">
        <f>IF(ISTEXT(O46)=TRUE,VLOOKUP(O46,CBIMPORT!$A$2:$AL$171,38,FALSE),"")</f>
        <v/>
      </c>
      <c r="EA46" s="52" t="str">
        <f>IF(ISTEXT(P46)=TRUE,VLOOKUP(P46,CBIMPORT!$A$2:$AL$171,38,FALSE),"")</f>
        <v/>
      </c>
      <c r="EB46" s="52" t="str">
        <f>IF(ISTEXT(Q46)=TRUE,VLOOKUP(Q46,CBIMPORT!$A$2:$AL$171,38,FALSE),"")</f>
        <v/>
      </c>
      <c r="EC46" s="52" t="str">
        <f>IF(ISTEXT(R46)=TRUE,VLOOKUP(R46,CBIMPORT!$A$2:$AL$171,38,FALSE),"")</f>
        <v/>
      </c>
      <c r="ED46" s="52" t="str">
        <f>IF(ISTEXT(S46)=TRUE,VLOOKUP(S46,CBIMPORT!$A$2:$AL$171,38,FALSE),"")</f>
        <v/>
      </c>
      <c r="EE46" s="52" t="str">
        <f>IF(ISTEXT(T46)=TRUE,VLOOKUP(T46,CBIMPORT!$A$2:$AL$171,38,FALSE),"")</f>
        <v/>
      </c>
    </row>
    <row r="47" spans="1:146" x14ac:dyDescent="0.35">
      <c r="A47" t="str">
        <v>Wayve-Last-Mile</v>
      </c>
      <c r="B47" s="48" t="str" cm="1">
        <f t="array" ref="B47">_xlfn.TEXTJOIN(";",TRUE,IF(ANNOUNCEMENTS!$AH$2:$AH$180=A47,ANNOUNCEMENTS!$K$2:$K$180,""))</f>
        <v>Asda;Ocado Group</v>
      </c>
      <c r="C47" s="55" t="s">
        <v>823</v>
      </c>
      <c r="D47" s="55" t="s">
        <v>837</v>
      </c>
      <c r="E47" s="55"/>
      <c r="F47" s="55"/>
      <c r="G47" s="55"/>
      <c r="H47" s="55"/>
      <c r="I47" s="55"/>
      <c r="J47" s="55"/>
      <c r="K47" s="55"/>
      <c r="L47" s="55"/>
      <c r="M47" s="55"/>
      <c r="N47" s="55"/>
      <c r="O47" s="55"/>
      <c r="P47" s="55"/>
      <c r="Q47" s="55"/>
      <c r="R47" s="55"/>
      <c r="S47" s="55"/>
      <c r="T47" s="55"/>
      <c r="V47" s="56" t="str">
        <f>IF(ISERROR(VLOOKUP(C47,CBIMPORT!$A$2:$B$171,2,FALSE)),0,VLOOKUP(C47,CBIMPORT!$A$2:$B$171,2,FALSE))</f>
        <v>Retail</v>
      </c>
      <c r="W47" s="56" t="str">
        <f>IF(ISERROR(VLOOKUP(D47,CBIMPORT!$A$2:$B$171,2,FALSE)),0,VLOOKUP(D47,CBIMPORT!$A$2:$B$171,2,FALSE))</f>
        <v>Retail</v>
      </c>
      <c r="X47" s="56">
        <f>IF(ISERROR(VLOOKUP(E47,CBIMPORT!$A$2:$B$171,2,FALSE)),0,VLOOKUP(E47,CBIMPORT!$A$2:$B$171,2,FALSE))</f>
        <v>0</v>
      </c>
      <c r="Y47" s="56">
        <f>IF(ISERROR(VLOOKUP(F47,CBIMPORT!$A$2:$B$171,2,FALSE)),0,VLOOKUP(F47,CBIMPORT!$A$2:$B$171,2,FALSE))</f>
        <v>0</v>
      </c>
      <c r="Z47" s="56">
        <f>IF(ISERROR(VLOOKUP(G47,CBIMPORT!$A$2:$B$171,2,FALSE)),0,VLOOKUP(G47,CBIMPORT!$A$2:$B$171,2,FALSE))</f>
        <v>0</v>
      </c>
      <c r="AA47" s="56">
        <f>IF(ISERROR(VLOOKUP(H47,CBIMPORT!$A$2:$B$171,2,FALSE)),0,VLOOKUP(H47,CBIMPORT!$A$2:$B$171,2,FALSE))</f>
        <v>0</v>
      </c>
      <c r="AB47" s="56">
        <f>IF(ISERROR(VLOOKUP(I47,CBIMPORT!$A$2:$B$171,2,FALSE)),0,VLOOKUP(I47,CBIMPORT!$A$2:$B$171,2,FALSE))</f>
        <v>0</v>
      </c>
      <c r="AC47" s="56">
        <f>IF(ISERROR(VLOOKUP(J47,CBIMPORT!$A$2:$B$171,2,FALSE)),0,VLOOKUP(J47,CBIMPORT!$A$2:$B$171,2,FALSE))</f>
        <v>0</v>
      </c>
      <c r="AD47" s="56">
        <f>IF(ISERROR(VLOOKUP(K47,CBIMPORT!$A$2:$B$171,2,FALSE)),0,VLOOKUP(K47,CBIMPORT!$A$2:$B$171,2,FALSE))</f>
        <v>0</v>
      </c>
      <c r="AE47" s="56">
        <f>IF(ISERROR(VLOOKUP(L47,CBIMPORT!$A$2:$B$171,2,FALSE)),0,VLOOKUP(L47,CBIMPORT!$A$2:$B$171,2,FALSE))</f>
        <v>0</v>
      </c>
      <c r="AF47" s="56">
        <f>IF(ISERROR(VLOOKUP(M47,CBIMPORT!$A$2:$B$171,2,FALSE)),0,VLOOKUP(M47,CBIMPORT!$A$2:$B$171,2,FALSE))</f>
        <v>0</v>
      </c>
      <c r="AG47" s="56">
        <f>IF(ISERROR(VLOOKUP(N47,CBIMPORT!$A$2:$B$171,2,FALSE)),0,VLOOKUP(N47,CBIMPORT!$A$2:$B$171,2,FALSE))</f>
        <v>0</v>
      </c>
      <c r="AH47" s="56">
        <f>IF(ISERROR(VLOOKUP(O47,CBIMPORT!$A$2:$B$171,2,FALSE)),0,VLOOKUP(O47,CBIMPORT!$A$2:$B$171,2,FALSE))</f>
        <v>0</v>
      </c>
      <c r="AI47" s="56">
        <f>IF(ISERROR(VLOOKUP(P47,CBIMPORT!$A$2:$B$171,2,FALSE)),0,VLOOKUP(P47,CBIMPORT!$A$2:$B$171,2,FALSE))</f>
        <v>0</v>
      </c>
      <c r="AJ47" s="56">
        <f>IF(ISERROR(VLOOKUP(Q47,CBIMPORT!$A$2:$B$171,2,FALSE)),0,VLOOKUP(Q47,CBIMPORT!$A$2:$B$171,2,FALSE))</f>
        <v>0</v>
      </c>
      <c r="AK47" s="56">
        <f>IF(ISERROR(VLOOKUP(R47,CBIMPORT!$A$2:$B$171,2,FALSE)),0,VLOOKUP(R47,CBIMPORT!$A$2:$B$171,2,FALSE))</f>
        <v>0</v>
      </c>
      <c r="AL47" s="56">
        <f>IF(ISERROR(VLOOKUP(S47,CBIMPORT!$A$2:$B$171,2,FALSE)),0,VLOOKUP(S47,CBIMPORT!$A$2:$B$171,2,FALSE))</f>
        <v>0</v>
      </c>
      <c r="AM47" s="60">
        <f t="shared" si="35"/>
        <v>0</v>
      </c>
      <c r="AN47" s="60">
        <f t="shared" si="51"/>
        <v>0</v>
      </c>
      <c r="AO47" s="60">
        <f t="shared" si="51"/>
        <v>0</v>
      </c>
      <c r="AP47" s="60">
        <f t="shared" si="51"/>
        <v>0</v>
      </c>
      <c r="AQ47" s="60">
        <f t="shared" si="51"/>
        <v>0</v>
      </c>
      <c r="AR47" s="60">
        <f t="shared" si="51"/>
        <v>0</v>
      </c>
      <c r="AS47" s="60">
        <f t="shared" si="51"/>
        <v>0</v>
      </c>
      <c r="AT47" s="60">
        <f t="shared" si="51"/>
        <v>0</v>
      </c>
      <c r="AU47" s="60">
        <f t="shared" si="51"/>
        <v>0</v>
      </c>
      <c r="AV47" s="60">
        <f t="shared" si="51"/>
        <v>0</v>
      </c>
      <c r="AW47" s="60">
        <f t="shared" si="51"/>
        <v>0</v>
      </c>
      <c r="AX47" s="60">
        <f t="shared" si="52"/>
        <v>2</v>
      </c>
      <c r="AY47" s="60">
        <f t="shared" si="52"/>
        <v>0</v>
      </c>
      <c r="AZ47" s="60">
        <f t="shared" si="52"/>
        <v>0</v>
      </c>
      <c r="BA47" s="60">
        <f t="shared" si="52"/>
        <v>0</v>
      </c>
      <c r="BB47" s="60">
        <f t="shared" si="52"/>
        <v>0</v>
      </c>
      <c r="BC47" s="60">
        <f t="shared" si="52"/>
        <v>0</v>
      </c>
      <c r="BD47" s="60">
        <f t="shared" si="52"/>
        <v>0</v>
      </c>
      <c r="BE47" s="60">
        <f t="shared" si="52"/>
        <v>0</v>
      </c>
      <c r="BF47" s="60">
        <f t="shared" si="52"/>
        <v>0</v>
      </c>
      <c r="BG47" s="60">
        <f t="shared" si="52"/>
        <v>0</v>
      </c>
      <c r="BH47" s="60">
        <f t="shared" si="53"/>
        <v>0</v>
      </c>
      <c r="BI47" s="60">
        <f t="shared" si="53"/>
        <v>0</v>
      </c>
      <c r="BJ47" s="60">
        <f t="shared" si="53"/>
        <v>0</v>
      </c>
      <c r="BK47" s="60">
        <f t="shared" si="53"/>
        <v>0</v>
      </c>
      <c r="BL47" s="60">
        <f t="shared" si="53"/>
        <v>0</v>
      </c>
      <c r="BM47" s="60">
        <f t="shared" si="53"/>
        <v>0</v>
      </c>
      <c r="BN47" s="60">
        <f t="shared" si="53"/>
        <v>0</v>
      </c>
      <c r="BO47" s="60">
        <f t="shared" si="53"/>
        <v>0</v>
      </c>
      <c r="BP47" s="60">
        <f t="shared" si="53"/>
        <v>0</v>
      </c>
      <c r="BQ47" s="60">
        <f t="shared" si="53"/>
        <v>0</v>
      </c>
      <c r="BR47" s="60">
        <f t="shared" si="54"/>
        <v>0</v>
      </c>
      <c r="BS47" s="60">
        <f t="shared" si="54"/>
        <v>0</v>
      </c>
      <c r="BT47" s="60">
        <f t="shared" si="54"/>
        <v>0</v>
      </c>
      <c r="BU47" s="60">
        <f t="shared" si="54"/>
        <v>0</v>
      </c>
      <c r="BV47" s="60">
        <f t="shared" si="54"/>
        <v>0</v>
      </c>
      <c r="BW47" s="60"/>
      <c r="BX47" s="63">
        <f t="shared" si="40"/>
        <v>0</v>
      </c>
      <c r="BY47" s="63">
        <f t="shared" si="45"/>
        <v>0</v>
      </c>
      <c r="BZ47" s="63">
        <f t="shared" si="46"/>
        <v>0</v>
      </c>
      <c r="CA47" s="63">
        <f t="shared" si="2"/>
        <v>0</v>
      </c>
      <c r="CB47" s="63">
        <f t="shared" si="3"/>
        <v>0</v>
      </c>
      <c r="CC47" s="63">
        <f t="shared" si="4"/>
        <v>0</v>
      </c>
      <c r="CD47" s="63">
        <f t="shared" si="5"/>
        <v>0</v>
      </c>
      <c r="CE47" s="63">
        <f t="shared" si="6"/>
        <v>0</v>
      </c>
      <c r="CF47" s="63">
        <f t="shared" si="7"/>
        <v>0</v>
      </c>
      <c r="CG47" s="63">
        <f t="shared" si="8"/>
        <v>0</v>
      </c>
      <c r="CH47" s="63">
        <f t="shared" si="9"/>
        <v>0</v>
      </c>
      <c r="CI47" s="63">
        <f t="shared" si="10"/>
        <v>1</v>
      </c>
      <c r="CJ47" s="63">
        <f t="shared" si="11"/>
        <v>0</v>
      </c>
      <c r="CK47" s="63">
        <f t="shared" si="12"/>
        <v>0</v>
      </c>
      <c r="CL47" s="63">
        <f t="shared" si="13"/>
        <v>0</v>
      </c>
      <c r="CM47" s="63">
        <f t="shared" si="14"/>
        <v>0</v>
      </c>
      <c r="CN47" s="63">
        <f t="shared" si="15"/>
        <v>0</v>
      </c>
      <c r="CO47" s="63">
        <f t="shared" si="16"/>
        <v>0</v>
      </c>
      <c r="CP47" s="63">
        <f t="shared" si="17"/>
        <v>0</v>
      </c>
      <c r="CQ47" s="63">
        <f t="shared" si="18"/>
        <v>0</v>
      </c>
      <c r="CR47" s="63">
        <f t="shared" si="19"/>
        <v>0</v>
      </c>
      <c r="CS47" s="63">
        <f t="shared" si="20"/>
        <v>0</v>
      </c>
      <c r="CT47" s="63">
        <f t="shared" si="21"/>
        <v>0</v>
      </c>
      <c r="CU47" s="63">
        <f t="shared" si="22"/>
        <v>0</v>
      </c>
      <c r="CV47" s="63">
        <f t="shared" si="23"/>
        <v>0</v>
      </c>
      <c r="CW47" s="63">
        <f t="shared" si="24"/>
        <v>0</v>
      </c>
      <c r="CX47" s="63">
        <f t="shared" si="25"/>
        <v>0</v>
      </c>
      <c r="CY47" s="63">
        <f t="shared" si="26"/>
        <v>0</v>
      </c>
      <c r="CZ47" s="63">
        <f t="shared" si="27"/>
        <v>0</v>
      </c>
      <c r="DA47" s="63">
        <f t="shared" si="28"/>
        <v>0</v>
      </c>
      <c r="DB47" s="63">
        <f t="shared" si="29"/>
        <v>0</v>
      </c>
      <c r="DC47" s="63">
        <f t="shared" si="30"/>
        <v>0</v>
      </c>
      <c r="DD47" s="63">
        <f t="shared" si="31"/>
        <v>0</v>
      </c>
      <c r="DE47" s="63">
        <f t="shared" si="32"/>
        <v>0</v>
      </c>
      <c r="DF47" s="63">
        <f t="shared" si="33"/>
        <v>0</v>
      </c>
      <c r="DG47" s="63">
        <f t="shared" si="34"/>
        <v>0</v>
      </c>
      <c r="DH47" s="57" t="str" cm="1">
        <f t="array" ref="DH47">INDEX(_xlfn.ANCHORARRAY($BX$2),0,MATCH(LARGE($BX47:$DG47,1),$BX47:$DG47,0))</f>
        <v>Retail</v>
      </c>
      <c r="DI47" s="58">
        <f>LARGE('Industries all mentioned partne'!$BX47:$DG47,1)</f>
        <v>1</v>
      </c>
      <c r="DJ47" s="57" t="str" cm="1">
        <f t="array" ref="DJ47">IF(DI47&lt;&gt;100%,INDEX(_xlfn.ANCHORARRAY($BX$2),0,MATCH(LARGE($BX47:$DG47,2),$BX47:$DG47,0)),"")</f>
        <v/>
      </c>
      <c r="DK47" s="58" t="str">
        <f>IF(DI47&lt;&gt;100%,LARGE('Industries all mentioned partne'!$BX47:$DG47,2),"")</f>
        <v/>
      </c>
      <c r="DL47" s="57" t="str" cm="1">
        <f t="array" ref="DL47">IF(DM47="","",INDEX(_xlfn.ANCHORARRAY($BX$2),0,MATCH(LARGE($BX47:$DG47,3),$BX47:$DG47,0)))</f>
        <v/>
      </c>
      <c r="DM47" s="110" t="str">
        <f>IF(LARGE('Industries all mentioned partne'!$BX47:$DG47,3)=0%,"",LARGE('Industries all mentioned partne'!$BX47:$DG47,3))</f>
        <v/>
      </c>
      <c r="DN47" s="52">
        <f>IF(ISTEXT(C47)=TRUE,VLOOKUP(C47,CBIMPORT!$A$2:$AL$171,38,FALSE),"")</f>
        <v>0</v>
      </c>
      <c r="DO47" s="52">
        <f>IF(ISTEXT(D47)=TRUE,VLOOKUP(D47,CBIMPORT!$A$2:$AL$171,38,FALSE),"")</f>
        <v>1</v>
      </c>
      <c r="DP47" s="52" t="str">
        <f>IF(ISTEXT(E47)=TRUE,VLOOKUP(E47,CBIMPORT!$A$2:$AL$171,38,FALSE),"")</f>
        <v/>
      </c>
      <c r="DQ47" s="52" t="str">
        <f>IF(ISTEXT(F47)=TRUE,VLOOKUP(F47,CBIMPORT!$A$2:$AL$171,38,FALSE),"")</f>
        <v/>
      </c>
      <c r="DR47" s="52" t="str">
        <f>IF(ISTEXT(G47)=TRUE,VLOOKUP(G47,CBIMPORT!$A$2:$AL$171,38,FALSE),"")</f>
        <v/>
      </c>
      <c r="DS47" s="52" t="str">
        <f>IF(ISTEXT(H47)=TRUE,VLOOKUP(H47,CBIMPORT!$A$2:$AL$171,38,FALSE),"")</f>
        <v/>
      </c>
      <c r="DT47" s="52" t="str">
        <f>IF(ISTEXT(I47)=TRUE,VLOOKUP(I47,CBIMPORT!$A$2:$AL$171,38,FALSE),"")</f>
        <v/>
      </c>
      <c r="DU47" s="52" t="str">
        <f>IF(ISTEXT(J47)=TRUE,VLOOKUP(J47,CBIMPORT!$A$2:$AL$171,38,FALSE),"")</f>
        <v/>
      </c>
      <c r="DV47" s="52" t="str">
        <f>IF(ISTEXT(K47)=TRUE,VLOOKUP(K47,CBIMPORT!$A$2:$AL$171,38,FALSE),"")</f>
        <v/>
      </c>
      <c r="DW47" s="52" t="str">
        <f>IF(ISTEXT(L47)=TRUE,VLOOKUP(L47,CBIMPORT!$A$2:$AL$171,38,FALSE),"")</f>
        <v/>
      </c>
      <c r="DX47" s="52" t="str">
        <f>IF(ISTEXT(M47)=TRUE,VLOOKUP(M47,CBIMPORT!$A$2:$AL$171,38,FALSE),"")</f>
        <v/>
      </c>
      <c r="DY47" s="52" t="str">
        <f>IF(ISTEXT(N47)=TRUE,VLOOKUP(N47,CBIMPORT!$A$2:$AL$171,38,FALSE),"")</f>
        <v/>
      </c>
      <c r="DZ47" s="52" t="str">
        <f>IF(ISTEXT(O47)=TRUE,VLOOKUP(O47,CBIMPORT!$A$2:$AL$171,38,FALSE),"")</f>
        <v/>
      </c>
      <c r="EA47" s="52" t="str">
        <f>IF(ISTEXT(P47)=TRUE,VLOOKUP(P47,CBIMPORT!$A$2:$AL$171,38,FALSE),"")</f>
        <v/>
      </c>
      <c r="EB47" s="52" t="str">
        <f>IF(ISTEXT(Q47)=TRUE,VLOOKUP(Q47,CBIMPORT!$A$2:$AL$171,38,FALSE),"")</f>
        <v/>
      </c>
      <c r="EC47" s="52" t="str">
        <f>IF(ISTEXT(R47)=TRUE,VLOOKUP(R47,CBIMPORT!$A$2:$AL$171,38,FALSE),"")</f>
        <v/>
      </c>
      <c r="ED47" s="52" t="str">
        <f>IF(ISTEXT(S47)=TRUE,VLOOKUP(S47,CBIMPORT!$A$2:$AL$171,38,FALSE),"")</f>
        <v/>
      </c>
      <c r="EE47" s="52" t="str">
        <f>IF(ISTEXT(T47)=TRUE,VLOOKUP(T47,CBIMPORT!$A$2:$AL$171,38,FALSE),"")</f>
        <v/>
      </c>
    </row>
    <row r="48" spans="1:146" x14ac:dyDescent="0.35">
      <c r="A48" t="str">
        <v>ZF-Other</v>
      </c>
      <c r="B48" s="48" t="str" cm="1">
        <f t="array" ref="B48">_xlfn.TEXTJOIN(";",TRUE,IF(ANNOUNCEMENTS!$AH$2:$AH$180=A48,ANNOUNCEMENTS!$K$2:$K$180,""))</f>
        <v>NIO</v>
      </c>
      <c r="C48" s="55" t="s">
        <v>758</v>
      </c>
      <c r="D48" s="55"/>
      <c r="E48" s="55"/>
      <c r="F48" s="55"/>
      <c r="G48" s="55"/>
      <c r="H48" s="55"/>
      <c r="I48" s="55"/>
      <c r="J48" s="55"/>
      <c r="K48" s="55"/>
      <c r="L48" s="55"/>
      <c r="M48" s="55"/>
      <c r="N48" s="55"/>
      <c r="O48" s="55"/>
      <c r="P48" s="55"/>
      <c r="Q48" s="55"/>
      <c r="R48" s="55"/>
      <c r="S48" s="55"/>
      <c r="T48" s="55"/>
      <c r="V48" s="56" t="str">
        <f>IF(ISERROR(VLOOKUP(C48,CBIMPORT!$A$2:$B$171,2,FALSE)),0,VLOOKUP(C48,CBIMPORT!$A$2:$B$171,2,FALSE))</f>
        <v>OEM</v>
      </c>
      <c r="W48" s="56">
        <f>IF(ISERROR(VLOOKUP(D48,CBIMPORT!$A$2:$B$171,2,FALSE)),0,VLOOKUP(D48,CBIMPORT!$A$2:$B$171,2,FALSE))</f>
        <v>0</v>
      </c>
      <c r="X48" s="56">
        <f>IF(ISERROR(VLOOKUP(E48,CBIMPORT!$A$2:$B$171,2,FALSE)),0,VLOOKUP(E48,CBIMPORT!$A$2:$B$171,2,FALSE))</f>
        <v>0</v>
      </c>
      <c r="Y48" s="56">
        <f>IF(ISERROR(VLOOKUP(F48,CBIMPORT!$A$2:$B$171,2,FALSE)),0,VLOOKUP(F48,CBIMPORT!$A$2:$B$171,2,FALSE))</f>
        <v>0</v>
      </c>
      <c r="Z48" s="56">
        <f>IF(ISERROR(VLOOKUP(G48,CBIMPORT!$A$2:$B$171,2,FALSE)),0,VLOOKUP(G48,CBIMPORT!$A$2:$B$171,2,FALSE))</f>
        <v>0</v>
      </c>
      <c r="AA48" s="56">
        <f>IF(ISERROR(VLOOKUP(H48,CBIMPORT!$A$2:$B$171,2,FALSE)),0,VLOOKUP(H48,CBIMPORT!$A$2:$B$171,2,FALSE))</f>
        <v>0</v>
      </c>
      <c r="AB48" s="56">
        <f>IF(ISERROR(VLOOKUP(I48,CBIMPORT!$A$2:$B$171,2,FALSE)),0,VLOOKUP(I48,CBIMPORT!$A$2:$B$171,2,FALSE))</f>
        <v>0</v>
      </c>
      <c r="AC48" s="56">
        <f>IF(ISERROR(VLOOKUP(J48,CBIMPORT!$A$2:$B$171,2,FALSE)),0,VLOOKUP(J48,CBIMPORT!$A$2:$B$171,2,FALSE))</f>
        <v>0</v>
      </c>
      <c r="AD48" s="56">
        <f>IF(ISERROR(VLOOKUP(K48,CBIMPORT!$A$2:$B$171,2,FALSE)),0,VLOOKUP(K48,CBIMPORT!$A$2:$B$171,2,FALSE))</f>
        <v>0</v>
      </c>
      <c r="AE48" s="56">
        <f>IF(ISERROR(VLOOKUP(L48,CBIMPORT!$A$2:$B$171,2,FALSE)),0,VLOOKUP(L48,CBIMPORT!$A$2:$B$171,2,FALSE))</f>
        <v>0</v>
      </c>
      <c r="AF48" s="56">
        <f>IF(ISERROR(VLOOKUP(M48,CBIMPORT!$A$2:$B$171,2,FALSE)),0,VLOOKUP(M48,CBIMPORT!$A$2:$B$171,2,FALSE))</f>
        <v>0</v>
      </c>
      <c r="AG48" s="56">
        <f>IF(ISERROR(VLOOKUP(N48,CBIMPORT!$A$2:$B$171,2,FALSE)),0,VLOOKUP(N48,CBIMPORT!$A$2:$B$171,2,FALSE))</f>
        <v>0</v>
      </c>
      <c r="AH48" s="56">
        <f>IF(ISERROR(VLOOKUP(O48,CBIMPORT!$A$2:$B$171,2,FALSE)),0,VLOOKUP(O48,CBIMPORT!$A$2:$B$171,2,FALSE))</f>
        <v>0</v>
      </c>
      <c r="AI48" s="56">
        <f>IF(ISERROR(VLOOKUP(P48,CBIMPORT!$A$2:$B$171,2,FALSE)),0,VLOOKUP(P48,CBIMPORT!$A$2:$B$171,2,FALSE))</f>
        <v>0</v>
      </c>
      <c r="AJ48" s="56">
        <f>IF(ISERROR(VLOOKUP(Q48,CBIMPORT!$A$2:$B$171,2,FALSE)),0,VLOOKUP(Q48,CBIMPORT!$A$2:$B$171,2,FALSE))</f>
        <v>0</v>
      </c>
      <c r="AK48" s="56">
        <f>IF(ISERROR(VLOOKUP(R48,CBIMPORT!$A$2:$B$171,2,FALSE)),0,VLOOKUP(R48,CBIMPORT!$A$2:$B$171,2,FALSE))</f>
        <v>0</v>
      </c>
      <c r="AL48" s="56">
        <f>IF(ISERROR(VLOOKUP(S48,CBIMPORT!$A$2:$B$171,2,FALSE)),0,VLOOKUP(S48,CBIMPORT!$A$2:$B$171,2,FALSE))</f>
        <v>0</v>
      </c>
      <c r="AM48" s="60">
        <f t="shared" si="35"/>
        <v>0</v>
      </c>
      <c r="AN48" s="60">
        <f t="shared" si="51"/>
        <v>0</v>
      </c>
      <c r="AO48" s="60">
        <f t="shared" si="51"/>
        <v>0</v>
      </c>
      <c r="AP48" s="60">
        <f t="shared" si="51"/>
        <v>0</v>
      </c>
      <c r="AQ48" s="60">
        <f t="shared" si="51"/>
        <v>0</v>
      </c>
      <c r="AR48" s="60">
        <f t="shared" si="51"/>
        <v>0</v>
      </c>
      <c r="AS48" s="60">
        <f t="shared" si="51"/>
        <v>0</v>
      </c>
      <c r="AT48" s="60">
        <f t="shared" si="51"/>
        <v>0</v>
      </c>
      <c r="AU48" s="60">
        <f t="shared" si="51"/>
        <v>0</v>
      </c>
      <c r="AV48" s="60">
        <f t="shared" si="51"/>
        <v>0</v>
      </c>
      <c r="AW48" s="60">
        <f t="shared" si="51"/>
        <v>0</v>
      </c>
      <c r="AX48" s="60">
        <f t="shared" si="52"/>
        <v>0</v>
      </c>
      <c r="AY48" s="60">
        <f t="shared" si="52"/>
        <v>0</v>
      </c>
      <c r="AZ48" s="60">
        <f t="shared" si="52"/>
        <v>0</v>
      </c>
      <c r="BA48" s="60">
        <f t="shared" si="52"/>
        <v>0</v>
      </c>
      <c r="BB48" s="60">
        <f t="shared" si="52"/>
        <v>0</v>
      </c>
      <c r="BC48" s="60">
        <f t="shared" si="52"/>
        <v>0</v>
      </c>
      <c r="BD48" s="60">
        <f t="shared" si="52"/>
        <v>0</v>
      </c>
      <c r="BE48" s="60">
        <f t="shared" si="52"/>
        <v>1</v>
      </c>
      <c r="BF48" s="60">
        <f t="shared" si="52"/>
        <v>0</v>
      </c>
      <c r="BG48" s="60">
        <f t="shared" si="52"/>
        <v>0</v>
      </c>
      <c r="BH48" s="60">
        <f t="shared" si="53"/>
        <v>0</v>
      </c>
      <c r="BI48" s="60">
        <f t="shared" si="53"/>
        <v>0</v>
      </c>
      <c r="BJ48" s="60">
        <f t="shared" si="53"/>
        <v>0</v>
      </c>
      <c r="BK48" s="60">
        <f t="shared" si="53"/>
        <v>0</v>
      </c>
      <c r="BL48" s="60">
        <f t="shared" si="53"/>
        <v>0</v>
      </c>
      <c r="BM48" s="60">
        <f t="shared" si="53"/>
        <v>0</v>
      </c>
      <c r="BN48" s="60">
        <f t="shared" si="53"/>
        <v>0</v>
      </c>
      <c r="BO48" s="60">
        <f t="shared" si="53"/>
        <v>0</v>
      </c>
      <c r="BP48" s="60">
        <f t="shared" si="53"/>
        <v>0</v>
      </c>
      <c r="BQ48" s="60">
        <f t="shared" si="53"/>
        <v>0</v>
      </c>
      <c r="BR48" s="60">
        <f t="shared" si="54"/>
        <v>0</v>
      </c>
      <c r="BS48" s="60">
        <f t="shared" si="54"/>
        <v>0</v>
      </c>
      <c r="BT48" s="60">
        <f t="shared" si="54"/>
        <v>0</v>
      </c>
      <c r="BU48" s="60">
        <f t="shared" si="54"/>
        <v>0</v>
      </c>
      <c r="BV48" s="60">
        <f t="shared" si="54"/>
        <v>0</v>
      </c>
      <c r="BW48" s="60"/>
      <c r="BX48" s="63">
        <f t="shared" si="40"/>
        <v>0</v>
      </c>
      <c r="BY48" s="63">
        <f t="shared" si="45"/>
        <v>0</v>
      </c>
      <c r="BZ48" s="63">
        <f t="shared" si="46"/>
        <v>0</v>
      </c>
      <c r="CA48" s="63">
        <f t="shared" si="2"/>
        <v>0</v>
      </c>
      <c r="CB48" s="63">
        <f t="shared" si="3"/>
        <v>0</v>
      </c>
      <c r="CC48" s="63">
        <f t="shared" si="4"/>
        <v>0</v>
      </c>
      <c r="CD48" s="63">
        <f t="shared" si="5"/>
        <v>0</v>
      </c>
      <c r="CE48" s="63">
        <f t="shared" si="6"/>
        <v>0</v>
      </c>
      <c r="CF48" s="63">
        <f t="shared" si="7"/>
        <v>0</v>
      </c>
      <c r="CG48" s="63">
        <f t="shared" si="8"/>
        <v>0</v>
      </c>
      <c r="CH48" s="63">
        <f t="shared" si="9"/>
        <v>0</v>
      </c>
      <c r="CI48" s="63">
        <f t="shared" si="10"/>
        <v>0</v>
      </c>
      <c r="CJ48" s="63">
        <f t="shared" si="11"/>
        <v>0</v>
      </c>
      <c r="CK48" s="63">
        <f t="shared" si="12"/>
        <v>0</v>
      </c>
      <c r="CL48" s="63">
        <f t="shared" si="13"/>
        <v>0</v>
      </c>
      <c r="CM48" s="63">
        <f t="shared" si="14"/>
        <v>0</v>
      </c>
      <c r="CN48" s="63">
        <f t="shared" si="15"/>
        <v>0</v>
      </c>
      <c r="CO48" s="63">
        <f t="shared" si="16"/>
        <v>0</v>
      </c>
      <c r="CP48" s="63">
        <f t="shared" si="17"/>
        <v>1</v>
      </c>
      <c r="CQ48" s="63">
        <f t="shared" si="18"/>
        <v>0</v>
      </c>
      <c r="CR48" s="63">
        <f t="shared" si="19"/>
        <v>0</v>
      </c>
      <c r="CS48" s="63">
        <f t="shared" si="20"/>
        <v>0</v>
      </c>
      <c r="CT48" s="63">
        <f t="shared" si="21"/>
        <v>0</v>
      </c>
      <c r="CU48" s="63">
        <f t="shared" si="22"/>
        <v>0</v>
      </c>
      <c r="CV48" s="63">
        <f t="shared" si="23"/>
        <v>0</v>
      </c>
      <c r="CW48" s="63">
        <f t="shared" si="24"/>
        <v>0</v>
      </c>
      <c r="CX48" s="63">
        <f t="shared" si="25"/>
        <v>0</v>
      </c>
      <c r="CY48" s="63">
        <f t="shared" si="26"/>
        <v>0</v>
      </c>
      <c r="CZ48" s="63">
        <f t="shared" si="27"/>
        <v>0</v>
      </c>
      <c r="DA48" s="63">
        <f t="shared" si="28"/>
        <v>0</v>
      </c>
      <c r="DB48" s="63">
        <f t="shared" si="29"/>
        <v>0</v>
      </c>
      <c r="DC48" s="63">
        <f t="shared" si="30"/>
        <v>0</v>
      </c>
      <c r="DD48" s="63">
        <f t="shared" si="31"/>
        <v>0</v>
      </c>
      <c r="DE48" s="63">
        <f t="shared" si="32"/>
        <v>0</v>
      </c>
      <c r="DF48" s="63">
        <f t="shared" si="33"/>
        <v>0</v>
      </c>
      <c r="DG48" s="63">
        <f t="shared" si="34"/>
        <v>0</v>
      </c>
      <c r="DH48" s="57" t="str" cm="1">
        <f t="array" ref="DH48">INDEX(_xlfn.ANCHORARRAY($BX$2),0,MATCH(LARGE($BX48:$DG48,1),$BX48:$DG48,0))</f>
        <v>OEM</v>
      </c>
      <c r="DI48" s="58">
        <f>LARGE('Industries all mentioned partne'!$BX48:$DG48,1)</f>
        <v>1</v>
      </c>
      <c r="DJ48" s="57" t="str" cm="1">
        <f t="array" ref="DJ48">IF(DI48&lt;&gt;100%,INDEX(_xlfn.ANCHORARRAY($BX$2),0,MATCH(LARGE($BX48:$DG48,2),$BX48:$DG48,0)),"")</f>
        <v/>
      </c>
      <c r="DK48" s="58" t="str">
        <f>IF(DI48&lt;&gt;100%,LARGE('Industries all mentioned partne'!$BX48:$DG48,2),"")</f>
        <v/>
      </c>
      <c r="DL48" s="57" t="str" cm="1">
        <f t="array" ref="DL48">IF(DM48="","",INDEX(_xlfn.ANCHORARRAY($BX$2),0,MATCH(LARGE($BX48:$DG48,3),$BX48:$DG48,0)))</f>
        <v/>
      </c>
      <c r="DM48" s="110" t="str">
        <f>IF(LARGE('Industries all mentioned partne'!$BX48:$DG48,3)=0%,"",LARGE('Industries all mentioned partne'!$BX48:$DG48,3))</f>
        <v/>
      </c>
      <c r="DN48" s="52">
        <f>IF(ISTEXT(C48)=TRUE,VLOOKUP(C48,CBIMPORT!$A$2:$AL$171,38,FALSE),"")</f>
        <v>1</v>
      </c>
      <c r="DO48" s="52" t="str">
        <f>IF(ISTEXT(D48)=TRUE,VLOOKUP(D48,CBIMPORT!$A$2:$AL$171,38,FALSE),"")</f>
        <v/>
      </c>
      <c r="DP48" s="52" t="str">
        <f>IF(ISTEXT(E48)=TRUE,VLOOKUP(E48,CBIMPORT!$A$2:$AL$171,38,FALSE),"")</f>
        <v/>
      </c>
      <c r="DQ48" s="52" t="str">
        <f>IF(ISTEXT(F48)=TRUE,VLOOKUP(F48,CBIMPORT!$A$2:$AL$171,38,FALSE),"")</f>
        <v/>
      </c>
      <c r="DR48" s="52" t="str">
        <f>IF(ISTEXT(G48)=TRUE,VLOOKUP(G48,CBIMPORT!$A$2:$AL$171,38,FALSE),"")</f>
        <v/>
      </c>
      <c r="DS48" s="52" t="str">
        <f>IF(ISTEXT(H48)=TRUE,VLOOKUP(H48,CBIMPORT!$A$2:$AL$171,38,FALSE),"")</f>
        <v/>
      </c>
      <c r="DT48" s="52" t="str">
        <f>IF(ISTEXT(I48)=TRUE,VLOOKUP(I48,CBIMPORT!$A$2:$AL$171,38,FALSE),"")</f>
        <v/>
      </c>
      <c r="DU48" s="52" t="str">
        <f>IF(ISTEXT(J48)=TRUE,VLOOKUP(J48,CBIMPORT!$A$2:$AL$171,38,FALSE),"")</f>
        <v/>
      </c>
      <c r="DV48" s="52" t="str">
        <f>IF(ISTEXT(K48)=TRUE,VLOOKUP(K48,CBIMPORT!$A$2:$AL$171,38,FALSE),"")</f>
        <v/>
      </c>
      <c r="DW48" s="52" t="str">
        <f>IF(ISTEXT(L48)=TRUE,VLOOKUP(L48,CBIMPORT!$A$2:$AL$171,38,FALSE),"")</f>
        <v/>
      </c>
      <c r="DX48" s="52" t="str">
        <f>IF(ISTEXT(M48)=TRUE,VLOOKUP(M48,CBIMPORT!$A$2:$AL$171,38,FALSE),"")</f>
        <v/>
      </c>
      <c r="DY48" s="52" t="str">
        <f>IF(ISTEXT(N48)=TRUE,VLOOKUP(N48,CBIMPORT!$A$2:$AL$171,38,FALSE),"")</f>
        <v/>
      </c>
      <c r="DZ48" s="52" t="str">
        <f>IF(ISTEXT(O48)=TRUE,VLOOKUP(O48,CBIMPORT!$A$2:$AL$171,38,FALSE),"")</f>
        <v/>
      </c>
      <c r="EA48" s="52" t="str">
        <f>IF(ISTEXT(P48)=TRUE,VLOOKUP(P48,CBIMPORT!$A$2:$AL$171,38,FALSE),"")</f>
        <v/>
      </c>
      <c r="EB48" s="52" t="str">
        <f>IF(ISTEXT(Q48)=TRUE,VLOOKUP(Q48,CBIMPORT!$A$2:$AL$171,38,FALSE),"")</f>
        <v/>
      </c>
      <c r="EC48" s="52" t="str">
        <f>IF(ISTEXT(R48)=TRUE,VLOOKUP(R48,CBIMPORT!$A$2:$AL$171,38,FALSE),"")</f>
        <v/>
      </c>
      <c r="ED48" s="52" t="str">
        <f>IF(ISTEXT(S48)=TRUE,VLOOKUP(S48,CBIMPORT!$A$2:$AL$171,38,FALSE),"")</f>
        <v/>
      </c>
      <c r="EE48" s="52" t="str">
        <f>IF(ISTEXT(T48)=TRUE,VLOOKUP(T48,CBIMPORT!$A$2:$AL$171,38,FALSE),"")</f>
        <v/>
      </c>
    </row>
    <row r="49" spans="1:135" x14ac:dyDescent="0.35">
      <c r="A49" t="str">
        <v>ZF-Ridepooling</v>
      </c>
      <c r="B49" s="48" t="str" cm="1">
        <f t="array" ref="B49">_xlfn.TEXTJOIN(";",TRUE,IF(ANNOUNCEMENTS!$AH$2:$AH$180=A49,ANNOUNCEMENTS!$K$2:$K$180,""))</f>
        <v>Anheuser - Busch InBev;Bosch;Microsoft;DB Regio;Beep;Transdev;e.GO</v>
      </c>
      <c r="C49" s="55" t="s">
        <v>1979</v>
      </c>
      <c r="D49" s="55" t="s">
        <v>497</v>
      </c>
      <c r="E49" s="55" t="s">
        <v>872</v>
      </c>
      <c r="F49" s="55" t="s">
        <v>907</v>
      </c>
      <c r="G49" s="55" t="s">
        <v>379</v>
      </c>
      <c r="H49" s="55" t="s">
        <v>397</v>
      </c>
      <c r="I49" s="55" t="s">
        <v>489</v>
      </c>
      <c r="J49" s="55"/>
      <c r="K49" s="55"/>
      <c r="L49" s="55"/>
      <c r="M49" s="55"/>
      <c r="N49" s="55"/>
      <c r="O49" s="55"/>
      <c r="P49" s="55"/>
      <c r="Q49" s="55"/>
      <c r="R49" s="55"/>
      <c r="S49" s="55"/>
      <c r="T49" s="55"/>
      <c r="V49" s="56" t="str">
        <f>IF(ISERROR(VLOOKUP(C49,CBIMPORT!$A$2:$B$171,2,FALSE)),0,VLOOKUP(C49,CBIMPORT!$A$2:$B$171,2,FALSE))</f>
        <v>Food &amp; Beverage</v>
      </c>
      <c r="W49" s="56" t="str">
        <f>IF(ISERROR(VLOOKUP(D49,CBIMPORT!$A$2:$B$171,2,FALSE)),0,VLOOKUP(D49,CBIMPORT!$A$2:$B$171,2,FALSE))</f>
        <v>Automotive Supplier</v>
      </c>
      <c r="X49" s="56" t="str">
        <f>IF(ISERROR(VLOOKUP(E49,CBIMPORT!$A$2:$B$171,2,FALSE)),0,VLOOKUP(E49,CBIMPORT!$A$2:$B$171,2,FALSE))</f>
        <v>Software Company</v>
      </c>
      <c r="Y49" s="56" t="str">
        <f>IF(ISERROR(VLOOKUP(F49,CBIMPORT!$A$2:$B$171,2,FALSE)),0,VLOOKUP(F49,CBIMPORT!$A$2:$B$171,2,FALSE))</f>
        <v>Transport Operator</v>
      </c>
      <c r="Z49" s="56" t="str">
        <f>IF(ISERROR(VLOOKUP(G49,CBIMPORT!$A$2:$B$171,2,FALSE)),0,VLOOKUP(G49,CBIMPORT!$A$2:$B$171,2,FALSE))</f>
        <v>Transport Operator</v>
      </c>
      <c r="AA49" s="56" t="str">
        <f>IF(ISERROR(VLOOKUP(H49,CBIMPORT!$A$2:$B$171,2,FALSE)),0,VLOOKUP(H49,CBIMPORT!$A$2:$B$171,2,FALSE))</f>
        <v>Transport Operator</v>
      </c>
      <c r="AB49" s="56" t="str">
        <f>IF(ISERROR(VLOOKUP(I49,CBIMPORT!$A$2:$B$171,2,FALSE)),0,VLOOKUP(I49,CBIMPORT!$A$2:$B$171,2,FALSE))</f>
        <v>OEM</v>
      </c>
      <c r="AC49" s="56">
        <f>IF(ISERROR(VLOOKUP(J49,CBIMPORT!$A$2:$B$171,2,FALSE)),0,VLOOKUP(J49,CBIMPORT!$A$2:$B$171,2,FALSE))</f>
        <v>0</v>
      </c>
      <c r="AD49" s="56">
        <f>IF(ISERROR(VLOOKUP(K49,CBIMPORT!$A$2:$B$171,2,FALSE)),0,VLOOKUP(K49,CBIMPORT!$A$2:$B$171,2,FALSE))</f>
        <v>0</v>
      </c>
      <c r="AE49" s="56">
        <f>IF(ISERROR(VLOOKUP(L49,CBIMPORT!$A$2:$B$171,2,FALSE)),0,VLOOKUP(L49,CBIMPORT!$A$2:$B$171,2,FALSE))</f>
        <v>0</v>
      </c>
      <c r="AF49" s="56">
        <f>IF(ISERROR(VLOOKUP(M49,CBIMPORT!$A$2:$B$171,2,FALSE)),0,VLOOKUP(M49,CBIMPORT!$A$2:$B$171,2,FALSE))</f>
        <v>0</v>
      </c>
      <c r="AG49" s="56">
        <f>IF(ISERROR(VLOOKUP(N49,CBIMPORT!$A$2:$B$171,2,FALSE)),0,VLOOKUP(N49,CBIMPORT!$A$2:$B$171,2,FALSE))</f>
        <v>0</v>
      </c>
      <c r="AH49" s="56">
        <f>IF(ISERROR(VLOOKUP(O49,CBIMPORT!$A$2:$B$171,2,FALSE)),0,VLOOKUP(O49,CBIMPORT!$A$2:$B$171,2,FALSE))</f>
        <v>0</v>
      </c>
      <c r="AI49" s="56">
        <f>IF(ISERROR(VLOOKUP(P49,CBIMPORT!$A$2:$B$171,2,FALSE)),0,VLOOKUP(P49,CBIMPORT!$A$2:$B$171,2,FALSE))</f>
        <v>0</v>
      </c>
      <c r="AJ49" s="56">
        <f>IF(ISERROR(VLOOKUP(Q49,CBIMPORT!$A$2:$B$171,2,FALSE)),0,VLOOKUP(Q49,CBIMPORT!$A$2:$B$171,2,FALSE))</f>
        <v>0</v>
      </c>
      <c r="AK49" s="56">
        <f>IF(ISERROR(VLOOKUP(R49,CBIMPORT!$A$2:$B$171,2,FALSE)),0,VLOOKUP(R49,CBIMPORT!$A$2:$B$171,2,FALSE))</f>
        <v>0</v>
      </c>
      <c r="AL49" s="56">
        <f>IF(ISERROR(VLOOKUP(S49,CBIMPORT!$A$2:$B$171,2,FALSE)),0,VLOOKUP(S49,CBIMPORT!$A$2:$B$171,2,FALSE))</f>
        <v>0</v>
      </c>
      <c r="AM49" s="60">
        <f t="shared" si="35"/>
        <v>0</v>
      </c>
      <c r="AN49" s="60">
        <f t="shared" si="51"/>
        <v>0</v>
      </c>
      <c r="AO49" s="60">
        <f t="shared" si="51"/>
        <v>3</v>
      </c>
      <c r="AP49" s="60">
        <f t="shared" si="51"/>
        <v>0</v>
      </c>
      <c r="AQ49" s="60">
        <f t="shared" si="51"/>
        <v>0</v>
      </c>
      <c r="AR49" s="60">
        <f t="shared" si="51"/>
        <v>0</v>
      </c>
      <c r="AS49" s="60">
        <f t="shared" si="51"/>
        <v>0</v>
      </c>
      <c r="AT49" s="60">
        <f t="shared" si="51"/>
        <v>0</v>
      </c>
      <c r="AU49" s="60">
        <f t="shared" si="51"/>
        <v>0</v>
      </c>
      <c r="AV49" s="60">
        <f t="shared" si="51"/>
        <v>1</v>
      </c>
      <c r="AW49" s="60">
        <f t="shared" si="51"/>
        <v>0</v>
      </c>
      <c r="AX49" s="60">
        <f t="shared" si="52"/>
        <v>0</v>
      </c>
      <c r="AY49" s="60">
        <f t="shared" si="52"/>
        <v>0</v>
      </c>
      <c r="AZ49" s="60">
        <f t="shared" si="52"/>
        <v>1</v>
      </c>
      <c r="BA49" s="60">
        <f t="shared" si="52"/>
        <v>0</v>
      </c>
      <c r="BB49" s="60">
        <f t="shared" si="52"/>
        <v>0</v>
      </c>
      <c r="BC49" s="60">
        <f t="shared" si="52"/>
        <v>0</v>
      </c>
      <c r="BD49" s="60">
        <f t="shared" si="52"/>
        <v>0</v>
      </c>
      <c r="BE49" s="60">
        <f t="shared" si="52"/>
        <v>1</v>
      </c>
      <c r="BF49" s="60">
        <f t="shared" si="52"/>
        <v>0</v>
      </c>
      <c r="BG49" s="60">
        <f t="shared" si="52"/>
        <v>0</v>
      </c>
      <c r="BH49" s="60">
        <f t="shared" si="53"/>
        <v>0</v>
      </c>
      <c r="BI49" s="60">
        <f t="shared" si="53"/>
        <v>0</v>
      </c>
      <c r="BJ49" s="60">
        <f t="shared" si="53"/>
        <v>0</v>
      </c>
      <c r="BK49" s="60">
        <f t="shared" si="53"/>
        <v>0</v>
      </c>
      <c r="BL49" s="60">
        <f t="shared" si="53"/>
        <v>0</v>
      </c>
      <c r="BM49" s="60">
        <f t="shared" si="53"/>
        <v>1</v>
      </c>
      <c r="BN49" s="60">
        <f t="shared" si="53"/>
        <v>0</v>
      </c>
      <c r="BO49" s="60">
        <f t="shared" si="53"/>
        <v>0</v>
      </c>
      <c r="BP49" s="60">
        <f t="shared" si="53"/>
        <v>0</v>
      </c>
      <c r="BQ49" s="60">
        <f t="shared" si="53"/>
        <v>0</v>
      </c>
      <c r="BR49" s="60">
        <f t="shared" si="54"/>
        <v>0</v>
      </c>
      <c r="BS49" s="60">
        <f t="shared" si="54"/>
        <v>0</v>
      </c>
      <c r="BT49" s="60">
        <f t="shared" si="54"/>
        <v>0</v>
      </c>
      <c r="BU49" s="60">
        <f t="shared" si="54"/>
        <v>0</v>
      </c>
      <c r="BV49" s="60">
        <f t="shared" si="54"/>
        <v>0</v>
      </c>
      <c r="BW49" s="60"/>
      <c r="BX49" s="63">
        <f t="shared" si="40"/>
        <v>0</v>
      </c>
      <c r="BY49" s="63">
        <f t="shared" si="45"/>
        <v>0</v>
      </c>
      <c r="BZ49" s="63">
        <f t="shared" si="46"/>
        <v>0.42857142857142855</v>
      </c>
      <c r="CA49" s="63">
        <f t="shared" si="2"/>
        <v>0</v>
      </c>
      <c r="CB49" s="63">
        <f t="shared" si="3"/>
        <v>0</v>
      </c>
      <c r="CC49" s="63">
        <f t="shared" si="4"/>
        <v>0</v>
      </c>
      <c r="CD49" s="63">
        <f t="shared" si="5"/>
        <v>0</v>
      </c>
      <c r="CE49" s="63">
        <f t="shared" si="6"/>
        <v>0</v>
      </c>
      <c r="CF49" s="63">
        <f t="shared" si="7"/>
        <v>0</v>
      </c>
      <c r="CG49" s="63">
        <f t="shared" si="8"/>
        <v>0.14285714285714285</v>
      </c>
      <c r="CH49" s="63">
        <f t="shared" si="9"/>
        <v>0</v>
      </c>
      <c r="CI49" s="63">
        <f t="shared" si="10"/>
        <v>0</v>
      </c>
      <c r="CJ49" s="63">
        <f t="shared" si="11"/>
        <v>0</v>
      </c>
      <c r="CK49" s="63">
        <f t="shared" si="12"/>
        <v>0.14285714285714285</v>
      </c>
      <c r="CL49" s="63">
        <f t="shared" si="13"/>
        <v>0</v>
      </c>
      <c r="CM49" s="63">
        <f t="shared" si="14"/>
        <v>0</v>
      </c>
      <c r="CN49" s="63">
        <f t="shared" si="15"/>
        <v>0</v>
      </c>
      <c r="CO49" s="63">
        <f t="shared" si="16"/>
        <v>0</v>
      </c>
      <c r="CP49" s="63">
        <f t="shared" si="17"/>
        <v>0.14285714285714285</v>
      </c>
      <c r="CQ49" s="63">
        <f t="shared" si="18"/>
        <v>0</v>
      </c>
      <c r="CR49" s="63">
        <f t="shared" si="19"/>
        <v>0</v>
      </c>
      <c r="CS49" s="63">
        <f t="shared" si="20"/>
        <v>0</v>
      </c>
      <c r="CT49" s="63">
        <f t="shared" si="21"/>
        <v>0</v>
      </c>
      <c r="CU49" s="63">
        <f t="shared" si="22"/>
        <v>0</v>
      </c>
      <c r="CV49" s="63">
        <f t="shared" si="23"/>
        <v>0</v>
      </c>
      <c r="CW49" s="63">
        <f t="shared" si="24"/>
        <v>0</v>
      </c>
      <c r="CX49" s="63">
        <f t="shared" si="25"/>
        <v>0.14285714285714285</v>
      </c>
      <c r="CY49" s="63">
        <f t="shared" si="26"/>
        <v>0</v>
      </c>
      <c r="CZ49" s="63">
        <f t="shared" si="27"/>
        <v>0</v>
      </c>
      <c r="DA49" s="63">
        <f t="shared" si="28"/>
        <v>0</v>
      </c>
      <c r="DB49" s="63">
        <f t="shared" si="29"/>
        <v>0</v>
      </c>
      <c r="DC49" s="63">
        <f t="shared" si="30"/>
        <v>0</v>
      </c>
      <c r="DD49" s="63">
        <f t="shared" si="31"/>
        <v>0</v>
      </c>
      <c r="DE49" s="63">
        <f t="shared" si="32"/>
        <v>0</v>
      </c>
      <c r="DF49" s="63">
        <f t="shared" si="33"/>
        <v>0</v>
      </c>
      <c r="DG49" s="63">
        <f t="shared" si="34"/>
        <v>0</v>
      </c>
      <c r="DH49" s="57" t="str" cm="1">
        <f t="array" ref="DH49">INDEX(_xlfn.ANCHORARRAY($BX$2),0,MATCH(LARGE($BX49:$DG49,1),$BX49:$DG49,0))</f>
        <v>Transport Operator</v>
      </c>
      <c r="DI49" s="58">
        <f>LARGE('Industries all mentioned partne'!$BX49:$DG49,1)</f>
        <v>0.42857142857142855</v>
      </c>
      <c r="DJ49" s="57" t="str" cm="1">
        <f t="array" ref="DJ49">IF(DI49&lt;&gt;100%,INDEX(_xlfn.ANCHORARRAY($BX$2),0,MATCH(LARGE($BX49:$DG49,2),$BX49:$DG49,0)),"")</f>
        <v>Food &amp; Beverage</v>
      </c>
      <c r="DK49" s="58">
        <f>IF(DI49&lt;&gt;100%,LARGE('Industries all mentioned partne'!$BX49:$DG49,2),"")</f>
        <v>0.14285714285714285</v>
      </c>
      <c r="DL49" s="57" t="str" cm="1">
        <f t="array" ref="DL49">IF(DM49="","",INDEX(_xlfn.ANCHORARRAY($BX$2),0,MATCH(LARGE($BX49:$DG49,3),$BX49:$DG49,0)))</f>
        <v>Food &amp; Beverage</v>
      </c>
      <c r="DM49" s="110">
        <f>IF(LARGE('Industries all mentioned partne'!$BX49:$DG49,3)=0%,"",LARGE('Industries all mentioned partne'!$BX49:$DG49,3))</f>
        <v>0.14285714285714285</v>
      </c>
      <c r="DN49" s="52">
        <f>IF(ISTEXT(C49)=TRUE,VLOOKUP(C49,CBIMPORT!$A$2:$AL$171,38,FALSE),"")</f>
        <v>1</v>
      </c>
      <c r="DO49" s="52">
        <f>IF(ISTEXT(D49)=TRUE,VLOOKUP(D49,CBIMPORT!$A$2:$AL$171,38,FALSE),"")</f>
        <v>0</v>
      </c>
      <c r="DP49" s="52">
        <f>IF(ISTEXT(E49)=TRUE,VLOOKUP(E49,CBIMPORT!$A$2:$AL$171,38,FALSE),"")</f>
        <v>1</v>
      </c>
      <c r="DQ49" s="52">
        <f>IF(ISTEXT(F49)=TRUE,VLOOKUP(F49,CBIMPORT!$A$2:$AL$171,38,FALSE),"")</f>
        <v>0</v>
      </c>
      <c r="DR49" s="52">
        <f>IF(ISTEXT(G49)=TRUE,VLOOKUP(G49,CBIMPORT!$A$2:$AL$171,38,FALSE),"")</f>
        <v>0</v>
      </c>
      <c r="DS49" s="52">
        <f>IF(ISTEXT(H49)=TRUE,VLOOKUP(H49,CBIMPORT!$A$2:$AL$171,38,FALSE),"")</f>
        <v>0</v>
      </c>
      <c r="DT49" s="52">
        <f>IF(ISTEXT(I49)=TRUE,VLOOKUP(I49,CBIMPORT!$A$2:$AL$171,38,FALSE),"")</f>
        <v>1</v>
      </c>
      <c r="DU49" s="52" t="str">
        <f>IF(ISTEXT(J49)=TRUE,VLOOKUP(J49,CBIMPORT!$A$2:$AL$171,38,FALSE),"")</f>
        <v/>
      </c>
      <c r="DV49" s="52" t="str">
        <f>IF(ISTEXT(K49)=TRUE,VLOOKUP(K49,CBIMPORT!$A$2:$AL$171,38,FALSE),"")</f>
        <v/>
      </c>
      <c r="DW49" s="52" t="str">
        <f>IF(ISTEXT(L49)=TRUE,VLOOKUP(L49,CBIMPORT!$A$2:$AL$171,38,FALSE),"")</f>
        <v/>
      </c>
      <c r="DX49" s="52" t="str">
        <f>IF(ISTEXT(M49)=TRUE,VLOOKUP(M49,CBIMPORT!$A$2:$AL$171,38,FALSE),"")</f>
        <v/>
      </c>
      <c r="DY49" s="52" t="str">
        <f>IF(ISTEXT(N49)=TRUE,VLOOKUP(N49,CBIMPORT!$A$2:$AL$171,38,FALSE),"")</f>
        <v/>
      </c>
      <c r="DZ49" s="52" t="str">
        <f>IF(ISTEXT(O49)=TRUE,VLOOKUP(O49,CBIMPORT!$A$2:$AL$171,38,FALSE),"")</f>
        <v/>
      </c>
      <c r="EA49" s="52" t="str">
        <f>IF(ISTEXT(P49)=TRUE,VLOOKUP(P49,CBIMPORT!$A$2:$AL$171,38,FALSE),"")</f>
        <v/>
      </c>
      <c r="EB49" s="52" t="str">
        <f>IF(ISTEXT(Q49)=TRUE,VLOOKUP(Q49,CBIMPORT!$A$2:$AL$171,38,FALSE),"")</f>
        <v/>
      </c>
      <c r="EC49" s="52" t="str">
        <f>IF(ISTEXT(R49)=TRUE,VLOOKUP(R49,CBIMPORT!$A$2:$AL$171,38,FALSE),"")</f>
        <v/>
      </c>
      <c r="ED49" s="52" t="str">
        <f>IF(ISTEXT(S49)=TRUE,VLOOKUP(S49,CBIMPORT!$A$2:$AL$171,38,FALSE),"")</f>
        <v/>
      </c>
      <c r="EE49" s="52" t="str">
        <f>IF(ISTEXT(T49)=TRUE,VLOOKUP(T49,CBIMPORT!$A$2:$AL$171,38,FALSE),"")</f>
        <v/>
      </c>
    </row>
    <row r="50" spans="1:135" x14ac:dyDescent="0.35">
      <c r="A50" t="str">
        <v>Starship Technologies-Last-Mile</v>
      </c>
      <c r="B50" s="48" t="str" cm="1">
        <f t="array" ref="B50">_xlfn.TEXTJOIN(";",TRUE,IF(ANNOUNCEMENTS!$AH$2:$AH$180=A50,ANNOUNCEMENTS!$K$2:$K$180,""))</f>
        <v>Bolt</v>
      </c>
      <c r="C50" s="55" t="s">
        <v>340</v>
      </c>
      <c r="D50" s="55"/>
      <c r="E50" s="55"/>
      <c r="F50" s="55"/>
      <c r="G50" s="55"/>
      <c r="H50" s="55"/>
      <c r="I50" s="55"/>
      <c r="J50" s="55"/>
      <c r="K50" s="55"/>
      <c r="L50" s="55"/>
      <c r="M50" s="55"/>
      <c r="N50" s="55"/>
      <c r="O50" s="55"/>
      <c r="P50" s="55"/>
      <c r="Q50" s="55"/>
      <c r="R50" s="55"/>
      <c r="S50" s="55"/>
      <c r="T50" s="55"/>
      <c r="V50" s="56" t="str">
        <f>IF(ISERROR(VLOOKUP(C50,CBIMPORT!$A$2:$B$171,2,FALSE)),0,VLOOKUP(C50,CBIMPORT!$A$2:$B$171,2,FALSE))</f>
        <v>Mobility Services Booking</v>
      </c>
      <c r="W50" s="56">
        <f>IF(ISERROR(VLOOKUP(D50,CBIMPORT!$A$2:$B$171,2,FALSE)),0,VLOOKUP(D50,CBIMPORT!$A$2:$B$171,2,FALSE))</f>
        <v>0</v>
      </c>
      <c r="X50" s="56">
        <f>IF(ISERROR(VLOOKUP(E50,CBIMPORT!$A$2:$B$171,2,FALSE)),0,VLOOKUP(E50,CBIMPORT!$A$2:$B$171,2,FALSE))</f>
        <v>0</v>
      </c>
      <c r="Y50" s="56">
        <f>IF(ISERROR(VLOOKUP(F50,CBIMPORT!$A$2:$B$171,2,FALSE)),0,VLOOKUP(F50,CBIMPORT!$A$2:$B$171,2,FALSE))</f>
        <v>0</v>
      </c>
      <c r="Z50" s="56">
        <f>IF(ISERROR(VLOOKUP(G50,CBIMPORT!$A$2:$B$171,2,FALSE)),0,VLOOKUP(G50,CBIMPORT!$A$2:$B$171,2,FALSE))</f>
        <v>0</v>
      </c>
      <c r="AA50" s="56">
        <f>IF(ISERROR(VLOOKUP(H50,CBIMPORT!$A$2:$B$171,2,FALSE)),0,VLOOKUP(H50,CBIMPORT!$A$2:$B$171,2,FALSE))</f>
        <v>0</v>
      </c>
      <c r="AB50" s="56">
        <f>IF(ISERROR(VLOOKUP(I50,CBIMPORT!$A$2:$B$171,2,FALSE)),0,VLOOKUP(I50,CBIMPORT!$A$2:$B$171,2,FALSE))</f>
        <v>0</v>
      </c>
      <c r="AC50" s="56">
        <f>IF(ISERROR(VLOOKUP(J50,CBIMPORT!$A$2:$B$171,2,FALSE)),0,VLOOKUP(J50,CBIMPORT!$A$2:$B$171,2,FALSE))</f>
        <v>0</v>
      </c>
      <c r="AD50" s="56">
        <f>IF(ISERROR(VLOOKUP(K50,CBIMPORT!$A$2:$B$171,2,FALSE)),0,VLOOKUP(K50,CBIMPORT!$A$2:$B$171,2,FALSE))</f>
        <v>0</v>
      </c>
      <c r="AE50" s="56">
        <f>IF(ISERROR(VLOOKUP(L50,CBIMPORT!$A$2:$B$171,2,FALSE)),0,VLOOKUP(L50,CBIMPORT!$A$2:$B$171,2,FALSE))</f>
        <v>0</v>
      </c>
      <c r="AF50" s="56">
        <f>IF(ISERROR(VLOOKUP(M50,CBIMPORT!$A$2:$B$171,2,FALSE)),0,VLOOKUP(M50,CBIMPORT!$A$2:$B$171,2,FALSE))</f>
        <v>0</v>
      </c>
      <c r="AG50" s="56">
        <f>IF(ISERROR(VLOOKUP(N50,CBIMPORT!$A$2:$B$171,2,FALSE)),0,VLOOKUP(N50,CBIMPORT!$A$2:$B$171,2,FALSE))</f>
        <v>0</v>
      </c>
      <c r="AH50" s="56">
        <f>IF(ISERROR(VLOOKUP(O50,CBIMPORT!$A$2:$B$171,2,FALSE)),0,VLOOKUP(O50,CBIMPORT!$A$2:$B$171,2,FALSE))</f>
        <v>0</v>
      </c>
      <c r="AI50" s="56">
        <f>IF(ISERROR(VLOOKUP(P50,CBIMPORT!$A$2:$B$171,2,FALSE)),0,VLOOKUP(P50,CBIMPORT!$A$2:$B$171,2,FALSE))</f>
        <v>0</v>
      </c>
      <c r="AJ50" s="56">
        <f>IF(ISERROR(VLOOKUP(Q50,CBIMPORT!$A$2:$B$171,2,FALSE)),0,VLOOKUP(Q50,CBIMPORT!$A$2:$B$171,2,FALSE))</f>
        <v>0</v>
      </c>
      <c r="AK50" s="56">
        <f>IF(ISERROR(VLOOKUP(R50,CBIMPORT!$A$2:$B$171,2,FALSE)),0,VLOOKUP(R50,CBIMPORT!$A$2:$B$171,2,FALSE))</f>
        <v>0</v>
      </c>
      <c r="AL50" s="56">
        <f>IF(ISERROR(VLOOKUP(S50,CBIMPORT!$A$2:$B$171,2,FALSE)),0,VLOOKUP(S50,CBIMPORT!$A$2:$B$171,2,FALSE))</f>
        <v>0</v>
      </c>
      <c r="AM50" s="60">
        <f t="shared" si="35"/>
        <v>0</v>
      </c>
      <c r="AN50" s="60">
        <f t="shared" si="51"/>
        <v>0</v>
      </c>
      <c r="AO50" s="60">
        <f t="shared" si="51"/>
        <v>0</v>
      </c>
      <c r="AP50" s="60">
        <f t="shared" si="51"/>
        <v>0</v>
      </c>
      <c r="AQ50" s="60">
        <f t="shared" si="51"/>
        <v>1</v>
      </c>
      <c r="AR50" s="60">
        <f t="shared" si="51"/>
        <v>0</v>
      </c>
      <c r="AS50" s="60">
        <f t="shared" si="51"/>
        <v>0</v>
      </c>
      <c r="AT50" s="60">
        <f t="shared" si="51"/>
        <v>0</v>
      </c>
      <c r="AU50" s="60">
        <f t="shared" si="51"/>
        <v>0</v>
      </c>
      <c r="AV50" s="60">
        <f t="shared" si="51"/>
        <v>0</v>
      </c>
      <c r="AW50" s="60">
        <f t="shared" si="51"/>
        <v>0</v>
      </c>
      <c r="AX50" s="60">
        <f t="shared" si="52"/>
        <v>0</v>
      </c>
      <c r="AY50" s="60">
        <f t="shared" si="52"/>
        <v>0</v>
      </c>
      <c r="AZ50" s="60">
        <f t="shared" si="52"/>
        <v>0</v>
      </c>
      <c r="BA50" s="60">
        <f t="shared" si="52"/>
        <v>0</v>
      </c>
      <c r="BB50" s="60">
        <f t="shared" si="52"/>
        <v>0</v>
      </c>
      <c r="BC50" s="60">
        <f t="shared" si="52"/>
        <v>0</v>
      </c>
      <c r="BD50" s="60">
        <f t="shared" si="52"/>
        <v>0</v>
      </c>
      <c r="BE50" s="60">
        <f t="shared" si="52"/>
        <v>0</v>
      </c>
      <c r="BF50" s="60">
        <f t="shared" si="52"/>
        <v>0</v>
      </c>
      <c r="BG50" s="60">
        <f t="shared" si="52"/>
        <v>0</v>
      </c>
      <c r="BH50" s="60">
        <f t="shared" si="53"/>
        <v>0</v>
      </c>
      <c r="BI50" s="60">
        <f t="shared" si="53"/>
        <v>0</v>
      </c>
      <c r="BJ50" s="60">
        <f t="shared" si="53"/>
        <v>0</v>
      </c>
      <c r="BK50" s="60">
        <f t="shared" si="53"/>
        <v>0</v>
      </c>
      <c r="BL50" s="60">
        <f t="shared" si="53"/>
        <v>0</v>
      </c>
      <c r="BM50" s="60">
        <f t="shared" si="53"/>
        <v>0</v>
      </c>
      <c r="BN50" s="60">
        <f t="shared" si="53"/>
        <v>0</v>
      </c>
      <c r="BO50" s="60">
        <f t="shared" si="53"/>
        <v>0</v>
      </c>
      <c r="BP50" s="60">
        <f t="shared" si="53"/>
        <v>0</v>
      </c>
      <c r="BQ50" s="60">
        <f t="shared" si="53"/>
        <v>0</v>
      </c>
      <c r="BR50" s="60">
        <f t="shared" si="54"/>
        <v>0</v>
      </c>
      <c r="BS50" s="60">
        <f t="shared" si="54"/>
        <v>0</v>
      </c>
      <c r="BT50" s="60">
        <f t="shared" si="54"/>
        <v>0</v>
      </c>
      <c r="BU50" s="60">
        <f t="shared" si="54"/>
        <v>0</v>
      </c>
      <c r="BV50" s="60">
        <f t="shared" si="54"/>
        <v>0</v>
      </c>
      <c r="BW50" s="60"/>
      <c r="BX50" s="63">
        <f t="shared" si="40"/>
        <v>0</v>
      </c>
      <c r="BY50" s="63">
        <f t="shared" si="45"/>
        <v>0</v>
      </c>
      <c r="BZ50" s="63">
        <f t="shared" si="46"/>
        <v>0</v>
      </c>
      <c r="CA50" s="63">
        <f t="shared" si="2"/>
        <v>0</v>
      </c>
      <c r="CB50" s="63">
        <f t="shared" si="3"/>
        <v>1</v>
      </c>
      <c r="CC50" s="63">
        <f t="shared" si="4"/>
        <v>0</v>
      </c>
      <c r="CD50" s="63">
        <f t="shared" si="5"/>
        <v>0</v>
      </c>
      <c r="CE50" s="63">
        <f t="shared" si="6"/>
        <v>0</v>
      </c>
      <c r="CF50" s="63">
        <f t="shared" si="7"/>
        <v>0</v>
      </c>
      <c r="CG50" s="63">
        <f t="shared" si="8"/>
        <v>0</v>
      </c>
      <c r="CH50" s="63">
        <f t="shared" si="9"/>
        <v>0</v>
      </c>
      <c r="CI50" s="63">
        <f t="shared" si="10"/>
        <v>0</v>
      </c>
      <c r="CJ50" s="63">
        <f t="shared" si="11"/>
        <v>0</v>
      </c>
      <c r="CK50" s="63">
        <f t="shared" si="12"/>
        <v>0</v>
      </c>
      <c r="CL50" s="63">
        <f t="shared" si="13"/>
        <v>0</v>
      </c>
      <c r="CM50" s="63">
        <f t="shared" si="14"/>
        <v>0</v>
      </c>
      <c r="CN50" s="63">
        <f t="shared" si="15"/>
        <v>0</v>
      </c>
      <c r="CO50" s="63">
        <f t="shared" si="16"/>
        <v>0</v>
      </c>
      <c r="CP50" s="63">
        <f t="shared" si="17"/>
        <v>0</v>
      </c>
      <c r="CQ50" s="63">
        <f t="shared" si="18"/>
        <v>0</v>
      </c>
      <c r="CR50" s="63">
        <f t="shared" si="19"/>
        <v>0</v>
      </c>
      <c r="CS50" s="63">
        <f t="shared" si="20"/>
        <v>0</v>
      </c>
      <c r="CT50" s="63">
        <f t="shared" si="21"/>
        <v>0</v>
      </c>
      <c r="CU50" s="63">
        <f t="shared" si="22"/>
        <v>0</v>
      </c>
      <c r="CV50" s="63">
        <f t="shared" si="23"/>
        <v>0</v>
      </c>
      <c r="CW50" s="63">
        <f t="shared" si="24"/>
        <v>0</v>
      </c>
      <c r="CX50" s="63">
        <f t="shared" si="25"/>
        <v>0</v>
      </c>
      <c r="CY50" s="63">
        <f t="shared" si="26"/>
        <v>0</v>
      </c>
      <c r="CZ50" s="63">
        <f t="shared" si="27"/>
        <v>0</v>
      </c>
      <c r="DA50" s="63">
        <f t="shared" si="28"/>
        <v>0</v>
      </c>
      <c r="DB50" s="63">
        <f t="shared" si="29"/>
        <v>0</v>
      </c>
      <c r="DC50" s="63">
        <f t="shared" si="30"/>
        <v>0</v>
      </c>
      <c r="DD50" s="63">
        <f t="shared" si="31"/>
        <v>0</v>
      </c>
      <c r="DE50" s="63">
        <f t="shared" si="32"/>
        <v>0</v>
      </c>
      <c r="DF50" s="63">
        <f t="shared" si="33"/>
        <v>0</v>
      </c>
      <c r="DG50" s="63">
        <f t="shared" si="34"/>
        <v>0</v>
      </c>
      <c r="DH50" s="57" t="str" cm="1">
        <f t="array" ref="DH50">INDEX(_xlfn.ANCHORARRAY($BX$2),0,MATCH(LARGE($BX50:$DG50,1),$BX50:$DG50,0))</f>
        <v>Mobility Services Booking</v>
      </c>
      <c r="DI50" s="58">
        <f>LARGE('Industries all mentioned partne'!$BX50:$DG50,1)</f>
        <v>1</v>
      </c>
      <c r="DJ50" s="57" t="str" cm="1">
        <f t="array" ref="DJ50">IF(DI50&lt;&gt;100%,INDEX(_xlfn.ANCHORARRAY($BX$2),0,MATCH(LARGE($BX50:$DG50,2),$BX50:$DG50,0)),"")</f>
        <v/>
      </c>
      <c r="DK50" s="58" t="str">
        <f>IF(DI50&lt;&gt;100%,LARGE('Industries all mentioned partne'!$BX50:$DG50,2),"")</f>
        <v/>
      </c>
      <c r="DL50" s="57" t="str" cm="1">
        <f t="array" ref="DL50">IF(DM50="","",INDEX(_xlfn.ANCHORARRAY($BX$2),0,MATCH(LARGE($BX50:$DG50,3),$BX50:$DG50,0)))</f>
        <v/>
      </c>
      <c r="DM50" s="110" t="str">
        <f>IF(LARGE('Industries all mentioned partne'!$BX50:$DG50,3)=0%,"",LARGE('Industries all mentioned partne'!$BX50:$DG50,3))</f>
        <v/>
      </c>
      <c r="DN50" s="52">
        <f>IF(ISTEXT(C50)=TRUE,VLOOKUP(C50,CBIMPORT!$A$2:$AL$171,38,FALSE),"")</f>
        <v>0</v>
      </c>
      <c r="DO50" s="52" t="str">
        <f>IF(ISTEXT(D50)=TRUE,VLOOKUP(D50,CBIMPORT!$A$2:$AL$171,38,FALSE),"")</f>
        <v/>
      </c>
      <c r="DP50" s="52" t="str">
        <f>IF(ISTEXT(E50)=TRUE,VLOOKUP(E50,CBIMPORT!$A$2:$AL$171,38,FALSE),"")</f>
        <v/>
      </c>
      <c r="DQ50" s="52" t="str">
        <f>IF(ISTEXT(F50)=TRUE,VLOOKUP(F50,CBIMPORT!$A$2:$AL$171,38,FALSE),"")</f>
        <v/>
      </c>
      <c r="DR50" s="52" t="str">
        <f>IF(ISTEXT(G50)=TRUE,VLOOKUP(G50,CBIMPORT!$A$2:$AL$171,38,FALSE),"")</f>
        <v/>
      </c>
      <c r="DS50" s="52" t="str">
        <f>IF(ISTEXT(H50)=TRUE,VLOOKUP(H50,CBIMPORT!$A$2:$AL$171,38,FALSE),"")</f>
        <v/>
      </c>
      <c r="DT50" s="52" t="str">
        <f>IF(ISTEXT(I50)=TRUE,VLOOKUP(I50,CBIMPORT!$A$2:$AL$171,38,FALSE),"")</f>
        <v/>
      </c>
      <c r="DU50" s="52" t="str">
        <f>IF(ISTEXT(J50)=TRUE,VLOOKUP(J50,CBIMPORT!$A$2:$AL$171,38,FALSE),"")</f>
        <v/>
      </c>
      <c r="DV50" s="52" t="str">
        <f>IF(ISTEXT(K50)=TRUE,VLOOKUP(K50,CBIMPORT!$A$2:$AL$171,38,FALSE),"")</f>
        <v/>
      </c>
      <c r="DW50" s="52" t="str">
        <f>IF(ISTEXT(L50)=TRUE,VLOOKUP(L50,CBIMPORT!$A$2:$AL$171,38,FALSE),"")</f>
        <v/>
      </c>
      <c r="DX50" s="52" t="str">
        <f>IF(ISTEXT(M50)=TRUE,VLOOKUP(M50,CBIMPORT!$A$2:$AL$171,38,FALSE),"")</f>
        <v/>
      </c>
      <c r="DY50" s="52" t="str">
        <f>IF(ISTEXT(N50)=TRUE,VLOOKUP(N50,CBIMPORT!$A$2:$AL$171,38,FALSE),"")</f>
        <v/>
      </c>
      <c r="DZ50" s="52" t="str">
        <f>IF(ISTEXT(O50)=TRUE,VLOOKUP(O50,CBIMPORT!$A$2:$AL$171,38,FALSE),"")</f>
        <v/>
      </c>
      <c r="EA50" s="52" t="str">
        <f>IF(ISTEXT(P50)=TRUE,VLOOKUP(P50,CBIMPORT!$A$2:$AL$171,38,FALSE),"")</f>
        <v/>
      </c>
      <c r="EB50" s="52" t="str">
        <f>IF(ISTEXT(Q50)=TRUE,VLOOKUP(Q50,CBIMPORT!$A$2:$AL$171,38,FALSE),"")</f>
        <v/>
      </c>
      <c r="EC50" s="52" t="str">
        <f>IF(ISTEXT(R50)=TRUE,VLOOKUP(R50,CBIMPORT!$A$2:$AL$171,38,FALSE),"")</f>
        <v/>
      </c>
      <c r="ED50" s="52" t="str">
        <f>IF(ISTEXT(S50)=TRUE,VLOOKUP(S50,CBIMPORT!$A$2:$AL$171,38,FALSE),"")</f>
        <v/>
      </c>
      <c r="EE50" s="52" t="str">
        <f>IF(ISTEXT(T50)=TRUE,VLOOKUP(T50,CBIMPORT!$A$2:$AL$171,38,FALSE),"")</f>
        <v/>
      </c>
    </row>
    <row r="51" spans="1:135" x14ac:dyDescent="0.35">
      <c r="A51" t="str">
        <v>Via-Ridepooling</v>
      </c>
      <c r="B51" s="48" t="str" cm="1">
        <f t="array" ref="B51">_xlfn.TEXTJOIN(";",TRUE,IF(ANNOUNCEMENTS!$AH$2:$AH$180=A51,ANNOUNCEMENTS!$K$2:$K$180,""))</f>
        <v>May Mobility</v>
      </c>
      <c r="C51" s="55" t="s">
        <v>386</v>
      </c>
      <c r="D51" s="55"/>
      <c r="E51" s="55"/>
      <c r="F51" s="55"/>
      <c r="G51" s="55"/>
      <c r="H51" s="55"/>
      <c r="I51" s="55"/>
      <c r="J51" s="55"/>
      <c r="K51" s="55"/>
      <c r="L51" s="55"/>
      <c r="M51" s="55"/>
      <c r="N51" s="55"/>
      <c r="O51" s="55"/>
      <c r="P51" s="55"/>
      <c r="Q51" s="55"/>
      <c r="R51" s="55"/>
      <c r="S51" s="55"/>
      <c r="T51" s="55"/>
      <c r="V51" s="56" t="str">
        <f>IF(ISERROR(VLOOKUP(C51,CBIMPORT!$A$2:$B$171,2,FALSE)),0,VLOOKUP(C51,CBIMPORT!$A$2:$B$171,2,FALSE))</f>
        <v>Autonomous Vehicles</v>
      </c>
      <c r="W51" s="56">
        <f>IF(ISERROR(VLOOKUP(D51,CBIMPORT!$A$2:$B$171,2,FALSE)),0,VLOOKUP(D51,CBIMPORT!$A$2:$B$171,2,FALSE))</f>
        <v>0</v>
      </c>
      <c r="X51" s="56">
        <f>IF(ISERROR(VLOOKUP(E51,CBIMPORT!$A$2:$B$171,2,FALSE)),0,VLOOKUP(E51,CBIMPORT!$A$2:$B$171,2,FALSE))</f>
        <v>0</v>
      </c>
      <c r="Y51" s="56">
        <f>IF(ISERROR(VLOOKUP(F51,CBIMPORT!$A$2:$B$171,2,FALSE)),0,VLOOKUP(F51,CBIMPORT!$A$2:$B$171,2,FALSE))</f>
        <v>0</v>
      </c>
      <c r="Z51" s="56">
        <f>IF(ISERROR(VLOOKUP(G51,CBIMPORT!$A$2:$B$171,2,FALSE)),0,VLOOKUP(G51,CBIMPORT!$A$2:$B$171,2,FALSE))</f>
        <v>0</v>
      </c>
      <c r="AA51" s="56">
        <f>IF(ISERROR(VLOOKUP(H51,CBIMPORT!$A$2:$B$171,2,FALSE)),0,VLOOKUP(H51,CBIMPORT!$A$2:$B$171,2,FALSE))</f>
        <v>0</v>
      </c>
      <c r="AB51" s="56">
        <f>IF(ISERROR(VLOOKUP(I51,CBIMPORT!$A$2:$B$171,2,FALSE)),0,VLOOKUP(I51,CBIMPORT!$A$2:$B$171,2,FALSE))</f>
        <v>0</v>
      </c>
      <c r="AC51" s="56">
        <f>IF(ISERROR(VLOOKUP(J51,CBIMPORT!$A$2:$B$171,2,FALSE)),0,VLOOKUP(J51,CBIMPORT!$A$2:$B$171,2,FALSE))</f>
        <v>0</v>
      </c>
      <c r="AD51" s="56">
        <f>IF(ISERROR(VLOOKUP(K51,CBIMPORT!$A$2:$B$171,2,FALSE)),0,VLOOKUP(K51,CBIMPORT!$A$2:$B$171,2,FALSE))</f>
        <v>0</v>
      </c>
      <c r="AE51" s="56">
        <f>IF(ISERROR(VLOOKUP(L51,CBIMPORT!$A$2:$B$171,2,FALSE)),0,VLOOKUP(L51,CBIMPORT!$A$2:$B$171,2,FALSE))</f>
        <v>0</v>
      </c>
      <c r="AF51" s="56">
        <f>IF(ISERROR(VLOOKUP(M51,CBIMPORT!$A$2:$B$171,2,FALSE)),0,VLOOKUP(M51,CBIMPORT!$A$2:$B$171,2,FALSE))</f>
        <v>0</v>
      </c>
      <c r="AG51" s="56">
        <f>IF(ISERROR(VLOOKUP(N51,CBIMPORT!$A$2:$B$171,2,FALSE)),0,VLOOKUP(N51,CBIMPORT!$A$2:$B$171,2,FALSE))</f>
        <v>0</v>
      </c>
      <c r="AH51" s="56">
        <f>IF(ISERROR(VLOOKUP(O51,CBIMPORT!$A$2:$B$171,2,FALSE)),0,VLOOKUP(O51,CBIMPORT!$A$2:$B$171,2,FALSE))</f>
        <v>0</v>
      </c>
      <c r="AI51" s="56">
        <f>IF(ISERROR(VLOOKUP(P51,CBIMPORT!$A$2:$B$171,2,FALSE)),0,VLOOKUP(P51,CBIMPORT!$A$2:$B$171,2,FALSE))</f>
        <v>0</v>
      </c>
      <c r="AJ51" s="56">
        <f>IF(ISERROR(VLOOKUP(Q51,CBIMPORT!$A$2:$B$171,2,FALSE)),0,VLOOKUP(Q51,CBIMPORT!$A$2:$B$171,2,FALSE))</f>
        <v>0</v>
      </c>
      <c r="AK51" s="56">
        <f>IF(ISERROR(VLOOKUP(R51,CBIMPORT!$A$2:$B$171,2,FALSE)),0,VLOOKUP(R51,CBIMPORT!$A$2:$B$171,2,FALSE))</f>
        <v>0</v>
      </c>
      <c r="AL51" s="56">
        <f>IF(ISERROR(VLOOKUP(S51,CBIMPORT!$A$2:$B$171,2,FALSE)),0,VLOOKUP(S51,CBIMPORT!$A$2:$B$171,2,FALSE))</f>
        <v>0</v>
      </c>
      <c r="AM51" s="60">
        <f t="shared" si="35"/>
        <v>1</v>
      </c>
      <c r="AN51" s="60">
        <f t="shared" si="51"/>
        <v>0</v>
      </c>
      <c r="AO51" s="60">
        <f t="shared" si="51"/>
        <v>0</v>
      </c>
      <c r="AP51" s="60">
        <f t="shared" si="51"/>
        <v>0</v>
      </c>
      <c r="AQ51" s="60">
        <f t="shared" si="51"/>
        <v>0</v>
      </c>
      <c r="AR51" s="60">
        <f t="shared" si="51"/>
        <v>0</v>
      </c>
      <c r="AS51" s="60">
        <f t="shared" si="51"/>
        <v>0</v>
      </c>
      <c r="AT51" s="60">
        <f t="shared" si="51"/>
        <v>0</v>
      </c>
      <c r="AU51" s="60">
        <f t="shared" si="51"/>
        <v>0</v>
      </c>
      <c r="AV51" s="60">
        <f t="shared" si="51"/>
        <v>0</v>
      </c>
      <c r="AW51" s="60">
        <f t="shared" si="51"/>
        <v>0</v>
      </c>
      <c r="AX51" s="60">
        <f t="shared" si="52"/>
        <v>0</v>
      </c>
      <c r="AY51" s="60">
        <f t="shared" si="52"/>
        <v>0</v>
      </c>
      <c r="AZ51" s="60">
        <f t="shared" si="52"/>
        <v>0</v>
      </c>
      <c r="BA51" s="60">
        <f t="shared" si="52"/>
        <v>0</v>
      </c>
      <c r="BB51" s="60">
        <f t="shared" si="52"/>
        <v>0</v>
      </c>
      <c r="BC51" s="60">
        <f t="shared" si="52"/>
        <v>0</v>
      </c>
      <c r="BD51" s="60">
        <f t="shared" si="52"/>
        <v>0</v>
      </c>
      <c r="BE51" s="60">
        <f t="shared" si="52"/>
        <v>0</v>
      </c>
      <c r="BF51" s="60">
        <f t="shared" si="52"/>
        <v>0</v>
      </c>
      <c r="BG51" s="60">
        <f t="shared" si="52"/>
        <v>0</v>
      </c>
      <c r="BH51" s="60">
        <f t="shared" si="53"/>
        <v>0</v>
      </c>
      <c r="BI51" s="60">
        <f t="shared" si="53"/>
        <v>0</v>
      </c>
      <c r="BJ51" s="60">
        <f t="shared" si="53"/>
        <v>0</v>
      </c>
      <c r="BK51" s="60">
        <f t="shared" si="53"/>
        <v>0</v>
      </c>
      <c r="BL51" s="60">
        <f t="shared" si="53"/>
        <v>0</v>
      </c>
      <c r="BM51" s="60">
        <f t="shared" si="53"/>
        <v>0</v>
      </c>
      <c r="BN51" s="60">
        <f t="shared" si="53"/>
        <v>0</v>
      </c>
      <c r="BO51" s="60">
        <f t="shared" si="53"/>
        <v>0</v>
      </c>
      <c r="BP51" s="60">
        <f t="shared" si="53"/>
        <v>0</v>
      </c>
      <c r="BQ51" s="60">
        <f t="shared" si="53"/>
        <v>0</v>
      </c>
      <c r="BR51" s="60">
        <f t="shared" si="54"/>
        <v>0</v>
      </c>
      <c r="BS51" s="60">
        <f t="shared" si="54"/>
        <v>0</v>
      </c>
      <c r="BT51" s="60">
        <f t="shared" si="54"/>
        <v>0</v>
      </c>
      <c r="BU51" s="60">
        <f t="shared" si="54"/>
        <v>0</v>
      </c>
      <c r="BV51" s="60">
        <f t="shared" si="54"/>
        <v>0</v>
      </c>
      <c r="BW51" s="60"/>
      <c r="BX51" s="63">
        <f t="shared" si="40"/>
        <v>1</v>
      </c>
      <c r="BY51" s="63">
        <f t="shared" si="45"/>
        <v>0</v>
      </c>
      <c r="BZ51" s="63">
        <f t="shared" si="46"/>
        <v>0</v>
      </c>
      <c r="CA51" s="63">
        <f t="shared" si="2"/>
        <v>0</v>
      </c>
      <c r="CB51" s="63">
        <f t="shared" si="3"/>
        <v>0</v>
      </c>
      <c r="CC51" s="63">
        <f t="shared" si="4"/>
        <v>0</v>
      </c>
      <c r="CD51" s="63">
        <f t="shared" si="5"/>
        <v>0</v>
      </c>
      <c r="CE51" s="63">
        <f t="shared" si="6"/>
        <v>0</v>
      </c>
      <c r="CF51" s="63">
        <f t="shared" si="7"/>
        <v>0</v>
      </c>
      <c r="CG51" s="63">
        <f t="shared" si="8"/>
        <v>0</v>
      </c>
      <c r="CH51" s="63">
        <f t="shared" si="9"/>
        <v>0</v>
      </c>
      <c r="CI51" s="63">
        <f t="shared" si="10"/>
        <v>0</v>
      </c>
      <c r="CJ51" s="63">
        <f t="shared" si="11"/>
        <v>0</v>
      </c>
      <c r="CK51" s="63">
        <f t="shared" si="12"/>
        <v>0</v>
      </c>
      <c r="CL51" s="63">
        <f t="shared" si="13"/>
        <v>0</v>
      </c>
      <c r="CM51" s="63">
        <f t="shared" si="14"/>
        <v>0</v>
      </c>
      <c r="CN51" s="63">
        <f t="shared" si="15"/>
        <v>0</v>
      </c>
      <c r="CO51" s="63">
        <f t="shared" si="16"/>
        <v>0</v>
      </c>
      <c r="CP51" s="63">
        <f t="shared" si="17"/>
        <v>0</v>
      </c>
      <c r="CQ51" s="63">
        <f t="shared" si="18"/>
        <v>0</v>
      </c>
      <c r="CR51" s="63">
        <f t="shared" si="19"/>
        <v>0</v>
      </c>
      <c r="CS51" s="63">
        <f t="shared" si="20"/>
        <v>0</v>
      </c>
      <c r="CT51" s="63">
        <f t="shared" si="21"/>
        <v>0</v>
      </c>
      <c r="CU51" s="63">
        <f t="shared" si="22"/>
        <v>0</v>
      </c>
      <c r="CV51" s="63">
        <f t="shared" si="23"/>
        <v>0</v>
      </c>
      <c r="CW51" s="63">
        <f t="shared" si="24"/>
        <v>0</v>
      </c>
      <c r="CX51" s="63">
        <f t="shared" si="25"/>
        <v>0</v>
      </c>
      <c r="CY51" s="63">
        <f t="shared" si="26"/>
        <v>0</v>
      </c>
      <c r="CZ51" s="63">
        <f t="shared" si="27"/>
        <v>0</v>
      </c>
      <c r="DA51" s="63">
        <f t="shared" si="28"/>
        <v>0</v>
      </c>
      <c r="DB51" s="63">
        <f t="shared" si="29"/>
        <v>0</v>
      </c>
      <c r="DC51" s="63">
        <f t="shared" si="30"/>
        <v>0</v>
      </c>
      <c r="DD51" s="63">
        <f t="shared" si="31"/>
        <v>0</v>
      </c>
      <c r="DE51" s="63">
        <f t="shared" si="32"/>
        <v>0</v>
      </c>
      <c r="DF51" s="63">
        <f t="shared" si="33"/>
        <v>0</v>
      </c>
      <c r="DG51" s="63">
        <f t="shared" si="34"/>
        <v>0</v>
      </c>
      <c r="DH51" s="57" t="str" cm="1">
        <f t="array" ref="DH51">INDEX(_xlfn.ANCHORARRAY($BX$2),0,MATCH(LARGE($BX51:$DG51,1),$BX51:$DG51,0))</f>
        <v>Autonomous Vehicles</v>
      </c>
      <c r="DI51" s="58">
        <f>LARGE('Industries all mentioned partne'!$BX51:$DG51,1)</f>
        <v>1</v>
      </c>
      <c r="DJ51" s="57" t="str" cm="1">
        <f t="array" ref="DJ51">IF(DI51&lt;&gt;100%,INDEX(_xlfn.ANCHORARRAY($BX$2),0,MATCH(LARGE($BX51:$DG51,2),$BX51:$DG51,0)),"")</f>
        <v/>
      </c>
      <c r="DK51" s="58" t="str">
        <f>IF(DI51&lt;&gt;100%,LARGE('Industries all mentioned partne'!$BX51:$DG51,2),"")</f>
        <v/>
      </c>
      <c r="DL51" s="57" t="str" cm="1">
        <f t="array" ref="DL51">IF(DM51="","",INDEX(_xlfn.ANCHORARRAY($BX$2),0,MATCH(LARGE($BX51:$DG51,3),$BX51:$DG51,0)))</f>
        <v/>
      </c>
      <c r="DM51" s="110" t="str">
        <f>IF(LARGE('Industries all mentioned partne'!$BX51:$DG51,3)=0%,"",LARGE('Industries all mentioned partne'!$BX51:$DG51,3))</f>
        <v/>
      </c>
      <c r="DN51" s="52">
        <f>IF(ISTEXT(C51)=TRUE,VLOOKUP(C51,CBIMPORT!$A$2:$AL$171,38,FALSE),"")</f>
        <v>0</v>
      </c>
      <c r="DO51" s="52" t="str">
        <f>IF(ISTEXT(D51)=TRUE,VLOOKUP(D51,CBIMPORT!$A$2:$AL$171,38,FALSE),"")</f>
        <v/>
      </c>
      <c r="DP51" s="52" t="str">
        <f>IF(ISTEXT(E51)=TRUE,VLOOKUP(E51,CBIMPORT!$A$2:$AL$171,38,FALSE),"")</f>
        <v/>
      </c>
      <c r="DQ51" s="52" t="str">
        <f>IF(ISTEXT(F51)=TRUE,VLOOKUP(F51,CBIMPORT!$A$2:$AL$171,38,FALSE),"")</f>
        <v/>
      </c>
      <c r="DR51" s="52" t="str">
        <f>IF(ISTEXT(G51)=TRUE,VLOOKUP(G51,CBIMPORT!$A$2:$AL$171,38,FALSE),"")</f>
        <v/>
      </c>
      <c r="DS51" s="52" t="str">
        <f>IF(ISTEXT(H51)=TRUE,VLOOKUP(H51,CBIMPORT!$A$2:$AL$171,38,FALSE),"")</f>
        <v/>
      </c>
      <c r="DT51" s="52" t="str">
        <f>IF(ISTEXT(I51)=TRUE,VLOOKUP(I51,CBIMPORT!$A$2:$AL$171,38,FALSE),"")</f>
        <v/>
      </c>
      <c r="DU51" s="52" t="str">
        <f>IF(ISTEXT(J51)=TRUE,VLOOKUP(J51,CBIMPORT!$A$2:$AL$171,38,FALSE),"")</f>
        <v/>
      </c>
      <c r="DV51" s="52" t="str">
        <f>IF(ISTEXT(K51)=TRUE,VLOOKUP(K51,CBIMPORT!$A$2:$AL$171,38,FALSE),"")</f>
        <v/>
      </c>
      <c r="DW51" s="52" t="str">
        <f>IF(ISTEXT(L51)=TRUE,VLOOKUP(L51,CBIMPORT!$A$2:$AL$171,38,FALSE),"")</f>
        <v/>
      </c>
      <c r="DX51" s="52" t="str">
        <f>IF(ISTEXT(M51)=TRUE,VLOOKUP(M51,CBIMPORT!$A$2:$AL$171,38,FALSE),"")</f>
        <v/>
      </c>
      <c r="DY51" s="52" t="str">
        <f>IF(ISTEXT(N51)=TRUE,VLOOKUP(N51,CBIMPORT!$A$2:$AL$171,38,FALSE),"")</f>
        <v/>
      </c>
      <c r="DZ51" s="52" t="str">
        <f>IF(ISTEXT(O51)=TRUE,VLOOKUP(O51,CBIMPORT!$A$2:$AL$171,38,FALSE),"")</f>
        <v/>
      </c>
      <c r="EA51" s="52" t="str">
        <f>IF(ISTEXT(P51)=TRUE,VLOOKUP(P51,CBIMPORT!$A$2:$AL$171,38,FALSE),"")</f>
        <v/>
      </c>
      <c r="EB51" s="52" t="str">
        <f>IF(ISTEXT(Q51)=TRUE,VLOOKUP(Q51,CBIMPORT!$A$2:$AL$171,38,FALSE),"")</f>
        <v/>
      </c>
      <c r="EC51" s="52" t="str">
        <f>IF(ISTEXT(R51)=TRUE,VLOOKUP(R51,CBIMPORT!$A$2:$AL$171,38,FALSE),"")</f>
        <v/>
      </c>
      <c r="ED51" s="52" t="str">
        <f>IF(ISTEXT(S51)=TRUE,VLOOKUP(S51,CBIMPORT!$A$2:$AL$171,38,FALSE),"")</f>
        <v/>
      </c>
      <c r="EE51" s="52" t="str">
        <f>IF(ISTEXT(T51)=TRUE,VLOOKUP(T51,CBIMPORT!$A$2:$AL$171,38,FALSE),"")</f>
        <v/>
      </c>
    </row>
    <row r="52" spans="1:135" x14ac:dyDescent="0.35">
      <c r="A52" t="str">
        <v>Lohr-Ridepooling</v>
      </c>
      <c r="B52" s="48" t="str" cm="1">
        <f t="array" ref="B52">_xlfn.TEXTJOIN(";",TRUE,IF(ANNOUNCEMENTS!$AH$2:$AH$180=A52,ANNOUNCEMENTS!$K$2:$K$180,""))</f>
        <v>Navya</v>
      </c>
      <c r="C52" s="55" t="s">
        <v>1933</v>
      </c>
      <c r="D52" s="55"/>
      <c r="E52" s="55"/>
      <c r="F52" s="55"/>
      <c r="G52" s="55"/>
      <c r="H52" s="55"/>
      <c r="I52" s="55"/>
      <c r="J52" s="55"/>
      <c r="K52" s="55"/>
      <c r="L52" s="55"/>
      <c r="M52" s="55"/>
      <c r="N52" s="55"/>
      <c r="O52" s="55"/>
      <c r="P52" s="55"/>
      <c r="Q52" s="55"/>
      <c r="R52" s="55"/>
      <c r="S52" s="55"/>
      <c r="T52" s="55"/>
      <c r="V52" s="56" t="str">
        <f>IF(ISERROR(VLOOKUP(C52,CBIMPORT!$A$2:$B$171,2,FALSE)),0,VLOOKUP(C52,CBIMPORT!$A$2:$B$171,2,FALSE))</f>
        <v>Autonomous Vehicles</v>
      </c>
      <c r="W52" s="56">
        <f>IF(ISERROR(VLOOKUP(D52,CBIMPORT!$A$2:$B$171,2,FALSE)),0,VLOOKUP(D52,CBIMPORT!$A$2:$B$171,2,FALSE))</f>
        <v>0</v>
      </c>
      <c r="X52" s="56">
        <f>IF(ISERROR(VLOOKUP(E52,CBIMPORT!$A$2:$B$171,2,FALSE)),0,VLOOKUP(E52,CBIMPORT!$A$2:$B$171,2,FALSE))</f>
        <v>0</v>
      </c>
      <c r="Y52" s="56">
        <f>IF(ISERROR(VLOOKUP(F52,CBIMPORT!$A$2:$B$171,2,FALSE)),0,VLOOKUP(F52,CBIMPORT!$A$2:$B$171,2,FALSE))</f>
        <v>0</v>
      </c>
      <c r="Z52" s="56">
        <f>IF(ISERROR(VLOOKUP(G52,CBIMPORT!$A$2:$B$171,2,FALSE)),0,VLOOKUP(G52,CBIMPORT!$A$2:$B$171,2,FALSE))</f>
        <v>0</v>
      </c>
      <c r="AA52" s="56">
        <f>IF(ISERROR(VLOOKUP(H52,CBIMPORT!$A$2:$B$171,2,FALSE)),0,VLOOKUP(H52,CBIMPORT!$A$2:$B$171,2,FALSE))</f>
        <v>0</v>
      </c>
      <c r="AB52" s="56">
        <f>IF(ISERROR(VLOOKUP(I52,CBIMPORT!$A$2:$B$171,2,FALSE)),0,VLOOKUP(I52,CBIMPORT!$A$2:$B$171,2,FALSE))</f>
        <v>0</v>
      </c>
      <c r="AC52" s="56">
        <f>IF(ISERROR(VLOOKUP(J52,CBIMPORT!$A$2:$B$171,2,FALSE)),0,VLOOKUP(J52,CBIMPORT!$A$2:$B$171,2,FALSE))</f>
        <v>0</v>
      </c>
      <c r="AD52" s="56">
        <f>IF(ISERROR(VLOOKUP(K52,CBIMPORT!$A$2:$B$171,2,FALSE)),0,VLOOKUP(K52,CBIMPORT!$A$2:$B$171,2,FALSE))</f>
        <v>0</v>
      </c>
      <c r="AE52" s="56">
        <f>IF(ISERROR(VLOOKUP(L52,CBIMPORT!$A$2:$B$171,2,FALSE)),0,VLOOKUP(L52,CBIMPORT!$A$2:$B$171,2,FALSE))</f>
        <v>0</v>
      </c>
      <c r="AF52" s="56">
        <f>IF(ISERROR(VLOOKUP(M52,CBIMPORT!$A$2:$B$171,2,FALSE)),0,VLOOKUP(M52,CBIMPORT!$A$2:$B$171,2,FALSE))</f>
        <v>0</v>
      </c>
      <c r="AG52" s="56">
        <f>IF(ISERROR(VLOOKUP(N52,CBIMPORT!$A$2:$B$171,2,FALSE)),0,VLOOKUP(N52,CBIMPORT!$A$2:$B$171,2,FALSE))</f>
        <v>0</v>
      </c>
      <c r="AH52" s="56">
        <f>IF(ISERROR(VLOOKUP(O52,CBIMPORT!$A$2:$B$171,2,FALSE)),0,VLOOKUP(O52,CBIMPORT!$A$2:$B$171,2,FALSE))</f>
        <v>0</v>
      </c>
      <c r="AI52" s="56">
        <f>IF(ISERROR(VLOOKUP(P52,CBIMPORT!$A$2:$B$171,2,FALSE)),0,VLOOKUP(P52,CBIMPORT!$A$2:$B$171,2,FALSE))</f>
        <v>0</v>
      </c>
      <c r="AJ52" s="56">
        <f>IF(ISERROR(VLOOKUP(Q52,CBIMPORT!$A$2:$B$171,2,FALSE)),0,VLOOKUP(Q52,CBIMPORT!$A$2:$B$171,2,FALSE))</f>
        <v>0</v>
      </c>
      <c r="AK52" s="56">
        <f>IF(ISERROR(VLOOKUP(R52,CBIMPORT!$A$2:$B$171,2,FALSE)),0,VLOOKUP(R52,CBIMPORT!$A$2:$B$171,2,FALSE))</f>
        <v>0</v>
      </c>
      <c r="AL52" s="56">
        <f>IF(ISERROR(VLOOKUP(S52,CBIMPORT!$A$2:$B$171,2,FALSE)),0,VLOOKUP(S52,CBIMPORT!$A$2:$B$171,2,FALSE))</f>
        <v>0</v>
      </c>
      <c r="AM52" s="60">
        <f t="shared" si="35"/>
        <v>1</v>
      </c>
      <c r="AN52" s="60">
        <f t="shared" si="51"/>
        <v>0</v>
      </c>
      <c r="AO52" s="60">
        <f t="shared" si="51"/>
        <v>0</v>
      </c>
      <c r="AP52" s="60">
        <f t="shared" si="51"/>
        <v>0</v>
      </c>
      <c r="AQ52" s="60">
        <f t="shared" si="51"/>
        <v>0</v>
      </c>
      <c r="AR52" s="60">
        <f t="shared" si="51"/>
        <v>0</v>
      </c>
      <c r="AS52" s="60">
        <f t="shared" si="51"/>
        <v>0</v>
      </c>
      <c r="AT52" s="60">
        <f t="shared" si="51"/>
        <v>0</v>
      </c>
      <c r="AU52" s="60">
        <f t="shared" si="51"/>
        <v>0</v>
      </c>
      <c r="AV52" s="60">
        <f t="shared" si="51"/>
        <v>0</v>
      </c>
      <c r="AW52" s="60">
        <f t="shared" si="51"/>
        <v>0</v>
      </c>
      <c r="AX52" s="60">
        <f t="shared" si="52"/>
        <v>0</v>
      </c>
      <c r="AY52" s="60">
        <f t="shared" si="52"/>
        <v>0</v>
      </c>
      <c r="AZ52" s="60">
        <f t="shared" si="52"/>
        <v>0</v>
      </c>
      <c r="BA52" s="60">
        <f t="shared" si="52"/>
        <v>0</v>
      </c>
      <c r="BB52" s="60">
        <f t="shared" si="52"/>
        <v>0</v>
      </c>
      <c r="BC52" s="60">
        <f t="shared" si="52"/>
        <v>0</v>
      </c>
      <c r="BD52" s="60">
        <f t="shared" si="52"/>
        <v>0</v>
      </c>
      <c r="BE52" s="60">
        <f t="shared" si="52"/>
        <v>0</v>
      </c>
      <c r="BF52" s="60">
        <f t="shared" si="52"/>
        <v>0</v>
      </c>
      <c r="BG52" s="60">
        <f t="shared" si="52"/>
        <v>0</v>
      </c>
      <c r="BH52" s="60">
        <f t="shared" si="53"/>
        <v>0</v>
      </c>
      <c r="BI52" s="60">
        <f t="shared" si="53"/>
        <v>0</v>
      </c>
      <c r="BJ52" s="60">
        <f t="shared" si="53"/>
        <v>0</v>
      </c>
      <c r="BK52" s="60">
        <f t="shared" si="53"/>
        <v>0</v>
      </c>
      <c r="BL52" s="60">
        <f t="shared" si="53"/>
        <v>0</v>
      </c>
      <c r="BM52" s="60">
        <f t="shared" si="53"/>
        <v>0</v>
      </c>
      <c r="BN52" s="60">
        <f t="shared" si="53"/>
        <v>0</v>
      </c>
      <c r="BO52" s="60">
        <f t="shared" si="53"/>
        <v>0</v>
      </c>
      <c r="BP52" s="60">
        <f t="shared" si="53"/>
        <v>0</v>
      </c>
      <c r="BQ52" s="60">
        <f t="shared" si="53"/>
        <v>0</v>
      </c>
      <c r="BR52" s="60">
        <f t="shared" si="54"/>
        <v>0</v>
      </c>
      <c r="BS52" s="60">
        <f t="shared" si="54"/>
        <v>0</v>
      </c>
      <c r="BT52" s="60">
        <f t="shared" si="54"/>
        <v>0</v>
      </c>
      <c r="BU52" s="60">
        <f t="shared" si="54"/>
        <v>0</v>
      </c>
      <c r="BV52" s="60">
        <f t="shared" si="54"/>
        <v>0</v>
      </c>
      <c r="BW52" s="60"/>
      <c r="BX52" s="63">
        <f t="shared" si="40"/>
        <v>1</v>
      </c>
      <c r="BY52" s="63">
        <f t="shared" si="45"/>
        <v>0</v>
      </c>
      <c r="BZ52" s="63">
        <f t="shared" si="46"/>
        <v>0</v>
      </c>
      <c r="CA52" s="63">
        <f t="shared" si="2"/>
        <v>0</v>
      </c>
      <c r="CB52" s="63">
        <f t="shared" si="3"/>
        <v>0</v>
      </c>
      <c r="CC52" s="63">
        <f t="shared" si="4"/>
        <v>0</v>
      </c>
      <c r="CD52" s="63">
        <f t="shared" si="5"/>
        <v>0</v>
      </c>
      <c r="CE52" s="63">
        <f t="shared" si="6"/>
        <v>0</v>
      </c>
      <c r="CF52" s="63">
        <f t="shared" si="7"/>
        <v>0</v>
      </c>
      <c r="CG52" s="63">
        <f t="shared" si="8"/>
        <v>0</v>
      </c>
      <c r="CH52" s="63">
        <f t="shared" si="9"/>
        <v>0</v>
      </c>
      <c r="CI52" s="63">
        <f t="shared" si="10"/>
        <v>0</v>
      </c>
      <c r="CJ52" s="63">
        <f t="shared" si="11"/>
        <v>0</v>
      </c>
      <c r="CK52" s="63">
        <f t="shared" si="12"/>
        <v>0</v>
      </c>
      <c r="CL52" s="63">
        <f t="shared" si="13"/>
        <v>0</v>
      </c>
      <c r="CM52" s="63">
        <f t="shared" si="14"/>
        <v>0</v>
      </c>
      <c r="CN52" s="63">
        <f t="shared" si="15"/>
        <v>0</v>
      </c>
      <c r="CO52" s="63">
        <f t="shared" si="16"/>
        <v>0</v>
      </c>
      <c r="CP52" s="63">
        <f t="shared" si="17"/>
        <v>0</v>
      </c>
      <c r="CQ52" s="63">
        <f t="shared" si="18"/>
        <v>0</v>
      </c>
      <c r="CR52" s="63">
        <f t="shared" si="19"/>
        <v>0</v>
      </c>
      <c r="CS52" s="63">
        <f t="shared" si="20"/>
        <v>0</v>
      </c>
      <c r="CT52" s="63">
        <f t="shared" si="21"/>
        <v>0</v>
      </c>
      <c r="CU52" s="63">
        <f t="shared" si="22"/>
        <v>0</v>
      </c>
      <c r="CV52" s="63">
        <f t="shared" si="23"/>
        <v>0</v>
      </c>
      <c r="CW52" s="63">
        <f t="shared" si="24"/>
        <v>0</v>
      </c>
      <c r="CX52" s="63">
        <f t="shared" si="25"/>
        <v>0</v>
      </c>
      <c r="CY52" s="63">
        <f t="shared" si="26"/>
        <v>0</v>
      </c>
      <c r="CZ52" s="63">
        <f t="shared" si="27"/>
        <v>0</v>
      </c>
      <c r="DA52" s="63">
        <f t="shared" si="28"/>
        <v>0</v>
      </c>
      <c r="DB52" s="63">
        <f t="shared" si="29"/>
        <v>0</v>
      </c>
      <c r="DC52" s="63">
        <f t="shared" si="30"/>
        <v>0</v>
      </c>
      <c r="DD52" s="63">
        <f t="shared" si="31"/>
        <v>0</v>
      </c>
      <c r="DE52" s="63">
        <f t="shared" si="32"/>
        <v>0</v>
      </c>
      <c r="DF52" s="63">
        <f t="shared" si="33"/>
        <v>0</v>
      </c>
      <c r="DG52" s="63">
        <f t="shared" si="34"/>
        <v>0</v>
      </c>
      <c r="DH52" s="57" t="str" cm="1">
        <f t="array" ref="DH52">INDEX(_xlfn.ANCHORARRAY($BX$2),0,MATCH(LARGE($BX52:$DG52,1),$BX52:$DG52,0))</f>
        <v>Autonomous Vehicles</v>
      </c>
      <c r="DI52" s="58">
        <f>LARGE('Industries all mentioned partne'!$BX52:$DG52,1)</f>
        <v>1</v>
      </c>
      <c r="DJ52" s="57" t="str" cm="1">
        <f t="array" ref="DJ52">IF(DI52&lt;&gt;100%,INDEX(_xlfn.ANCHORARRAY($BX$2),0,MATCH(LARGE($BX52:$DG52,2),$BX52:$DG52,0)),"")</f>
        <v/>
      </c>
      <c r="DK52" s="58" t="str">
        <f>IF(DI52&lt;&gt;100%,LARGE('Industries all mentioned partne'!$BX52:$DG52,2),"")</f>
        <v/>
      </c>
      <c r="DL52" s="57" t="str" cm="1">
        <f t="array" ref="DL52">IF(DM52="","",INDEX(_xlfn.ANCHORARRAY($BX$2),0,MATCH(LARGE($BX52:$DG52,3),$BX52:$DG52,0)))</f>
        <v/>
      </c>
      <c r="DM52" s="110" t="str">
        <f>IF(LARGE('Industries all mentioned partne'!$BX52:$DG52,3)=0%,"",LARGE('Industries all mentioned partne'!$BX52:$DG52,3))</f>
        <v/>
      </c>
      <c r="DN52" s="52">
        <f>IF(ISTEXT(C52)=TRUE,VLOOKUP(C52,CBIMPORT!$A$2:$AL$171,38,FALSE),"")</f>
        <v>1</v>
      </c>
      <c r="DO52" s="52" t="str">
        <f>IF(ISTEXT(D52)=TRUE,VLOOKUP(D52,CBIMPORT!$A$2:$AL$171,38,FALSE),"")</f>
        <v/>
      </c>
      <c r="DP52" s="52" t="str">
        <f>IF(ISTEXT(E52)=TRUE,VLOOKUP(E52,CBIMPORT!$A$2:$AL$171,38,FALSE),"")</f>
        <v/>
      </c>
      <c r="DQ52" s="52" t="str">
        <f>IF(ISTEXT(F52)=TRUE,VLOOKUP(F52,CBIMPORT!$A$2:$AL$171,38,FALSE),"")</f>
        <v/>
      </c>
      <c r="DR52" s="52" t="str">
        <f>IF(ISTEXT(G52)=TRUE,VLOOKUP(G52,CBIMPORT!$A$2:$AL$171,38,FALSE),"")</f>
        <v/>
      </c>
      <c r="DS52" s="52" t="str">
        <f>IF(ISTEXT(H52)=TRUE,VLOOKUP(H52,CBIMPORT!$A$2:$AL$171,38,FALSE),"")</f>
        <v/>
      </c>
      <c r="DT52" s="52" t="str">
        <f>IF(ISTEXT(I52)=TRUE,VLOOKUP(I52,CBIMPORT!$A$2:$AL$171,38,FALSE),"")</f>
        <v/>
      </c>
      <c r="DU52" s="52" t="str">
        <f>IF(ISTEXT(J52)=TRUE,VLOOKUP(J52,CBIMPORT!$A$2:$AL$171,38,FALSE),"")</f>
        <v/>
      </c>
      <c r="DV52" s="52" t="str">
        <f>IF(ISTEXT(K52)=TRUE,VLOOKUP(K52,CBIMPORT!$A$2:$AL$171,38,FALSE),"")</f>
        <v/>
      </c>
      <c r="DW52" s="52" t="str">
        <f>IF(ISTEXT(L52)=TRUE,VLOOKUP(L52,CBIMPORT!$A$2:$AL$171,38,FALSE),"")</f>
        <v/>
      </c>
      <c r="DX52" s="52" t="str">
        <f>IF(ISTEXT(M52)=TRUE,VLOOKUP(M52,CBIMPORT!$A$2:$AL$171,38,FALSE),"")</f>
        <v/>
      </c>
      <c r="DY52" s="52" t="str">
        <f>IF(ISTEXT(N52)=TRUE,VLOOKUP(N52,CBIMPORT!$A$2:$AL$171,38,FALSE),"")</f>
        <v/>
      </c>
      <c r="DZ52" s="52" t="str">
        <f>IF(ISTEXT(O52)=TRUE,VLOOKUP(O52,CBIMPORT!$A$2:$AL$171,38,FALSE),"")</f>
        <v/>
      </c>
      <c r="EA52" s="52" t="str">
        <f>IF(ISTEXT(P52)=TRUE,VLOOKUP(P52,CBIMPORT!$A$2:$AL$171,38,FALSE),"")</f>
        <v/>
      </c>
      <c r="EB52" s="52" t="str">
        <f>IF(ISTEXT(Q52)=TRUE,VLOOKUP(Q52,CBIMPORT!$A$2:$AL$171,38,FALSE),"")</f>
        <v/>
      </c>
      <c r="EC52" s="52" t="str">
        <f>IF(ISTEXT(R52)=TRUE,VLOOKUP(R52,CBIMPORT!$A$2:$AL$171,38,FALSE),"")</f>
        <v/>
      </c>
      <c r="ED52" s="52" t="str">
        <f>IF(ISTEXT(S52)=TRUE,VLOOKUP(S52,CBIMPORT!$A$2:$AL$171,38,FALSE),"")</f>
        <v/>
      </c>
      <c r="EE52" s="52" t="str">
        <f>IF(ISTEXT(T52)=TRUE,VLOOKUP(T52,CBIMPORT!$A$2:$AL$171,38,FALSE),"")</f>
        <v/>
      </c>
    </row>
    <row r="53" spans="1:135" x14ac:dyDescent="0.35">
      <c r="A53" t="str">
        <v>Uber Eats-Last-Mile</v>
      </c>
      <c r="B53" s="48" t="str" cm="1">
        <f t="array" ref="B53">_xlfn.TEXTJOIN(";",TRUE,IF(ANNOUNCEMENTS!$AH$2:$AH$180=A53,ANNOUNCEMENTS!$K$2:$K$180,""))</f>
        <v>Nuro;ServeRobotics</v>
      </c>
      <c r="C53" s="55" t="s">
        <v>300</v>
      </c>
      <c r="D53" s="55" t="s">
        <v>1935</v>
      </c>
      <c r="E53" s="55"/>
      <c r="F53" s="55"/>
      <c r="G53" s="55"/>
      <c r="H53" s="55"/>
      <c r="I53" s="55"/>
      <c r="J53" s="55"/>
      <c r="K53" s="55"/>
      <c r="L53" s="55"/>
      <c r="M53" s="55"/>
      <c r="N53" s="55"/>
      <c r="O53" s="55"/>
      <c r="P53" s="55"/>
      <c r="Q53" s="55"/>
      <c r="R53" s="55"/>
      <c r="S53" s="55"/>
      <c r="T53" s="55"/>
      <c r="V53" s="56" t="str">
        <f>IF(ISERROR(VLOOKUP(C53,CBIMPORT!$A$2:$B$171,2,FALSE)),0,VLOOKUP(C53,CBIMPORT!$A$2:$B$171,2,FALSE))</f>
        <v>Autonomous Vehicles</v>
      </c>
      <c r="W53" s="56" t="str">
        <f>IF(ISERROR(VLOOKUP(D53,CBIMPORT!$A$2:$B$171,2,FALSE)),0,VLOOKUP(D53,CBIMPORT!$A$2:$B$171,2,FALSE))</f>
        <v>Autonomous Vehicles</v>
      </c>
      <c r="X53" s="56">
        <f>IF(ISERROR(VLOOKUP(E53,CBIMPORT!$A$2:$B$171,2,FALSE)),0,VLOOKUP(E53,CBIMPORT!$A$2:$B$171,2,FALSE))</f>
        <v>0</v>
      </c>
      <c r="Y53" s="56">
        <f>IF(ISERROR(VLOOKUP(F53,CBIMPORT!$A$2:$B$171,2,FALSE)),0,VLOOKUP(F53,CBIMPORT!$A$2:$B$171,2,FALSE))</f>
        <v>0</v>
      </c>
      <c r="Z53" s="56">
        <f>IF(ISERROR(VLOOKUP(G53,CBIMPORT!$A$2:$B$171,2,FALSE)),0,VLOOKUP(G53,CBIMPORT!$A$2:$B$171,2,FALSE))</f>
        <v>0</v>
      </c>
      <c r="AA53" s="56">
        <f>IF(ISERROR(VLOOKUP(H53,CBIMPORT!$A$2:$B$171,2,FALSE)),0,VLOOKUP(H53,CBIMPORT!$A$2:$B$171,2,FALSE))</f>
        <v>0</v>
      </c>
      <c r="AB53" s="56">
        <f>IF(ISERROR(VLOOKUP(I53,CBIMPORT!$A$2:$B$171,2,FALSE)),0,VLOOKUP(I53,CBIMPORT!$A$2:$B$171,2,FALSE))</f>
        <v>0</v>
      </c>
      <c r="AC53" s="56">
        <f>IF(ISERROR(VLOOKUP(J53,CBIMPORT!$A$2:$B$171,2,FALSE)),0,VLOOKUP(J53,CBIMPORT!$A$2:$B$171,2,FALSE))</f>
        <v>0</v>
      </c>
      <c r="AD53" s="56">
        <f>IF(ISERROR(VLOOKUP(K53,CBIMPORT!$A$2:$B$171,2,FALSE)),0,VLOOKUP(K53,CBIMPORT!$A$2:$B$171,2,FALSE))</f>
        <v>0</v>
      </c>
      <c r="AE53" s="56">
        <f>IF(ISERROR(VLOOKUP(L53,CBIMPORT!$A$2:$B$171,2,FALSE)),0,VLOOKUP(L53,CBIMPORT!$A$2:$B$171,2,FALSE))</f>
        <v>0</v>
      </c>
      <c r="AF53" s="56">
        <f>IF(ISERROR(VLOOKUP(M53,CBIMPORT!$A$2:$B$171,2,FALSE)),0,VLOOKUP(M53,CBIMPORT!$A$2:$B$171,2,FALSE))</f>
        <v>0</v>
      </c>
      <c r="AG53" s="56">
        <f>IF(ISERROR(VLOOKUP(N53,CBIMPORT!$A$2:$B$171,2,FALSE)),0,VLOOKUP(N53,CBIMPORT!$A$2:$B$171,2,FALSE))</f>
        <v>0</v>
      </c>
      <c r="AH53" s="56">
        <f>IF(ISERROR(VLOOKUP(O53,CBIMPORT!$A$2:$B$171,2,FALSE)),0,VLOOKUP(O53,CBIMPORT!$A$2:$B$171,2,FALSE))</f>
        <v>0</v>
      </c>
      <c r="AI53" s="56">
        <f>IF(ISERROR(VLOOKUP(P53,CBIMPORT!$A$2:$B$171,2,FALSE)),0,VLOOKUP(P53,CBIMPORT!$A$2:$B$171,2,FALSE))</f>
        <v>0</v>
      </c>
      <c r="AJ53" s="56">
        <f>IF(ISERROR(VLOOKUP(Q53,CBIMPORT!$A$2:$B$171,2,FALSE)),0,VLOOKUP(Q53,CBIMPORT!$A$2:$B$171,2,FALSE))</f>
        <v>0</v>
      </c>
      <c r="AK53" s="56">
        <f>IF(ISERROR(VLOOKUP(R53,CBIMPORT!$A$2:$B$171,2,FALSE)),0,VLOOKUP(R53,CBIMPORT!$A$2:$B$171,2,FALSE))</f>
        <v>0</v>
      </c>
      <c r="AL53" s="56">
        <f>IF(ISERROR(VLOOKUP(S53,CBIMPORT!$A$2:$B$171,2,FALSE)),0,VLOOKUP(S53,CBIMPORT!$A$2:$B$171,2,FALSE))</f>
        <v>0</v>
      </c>
      <c r="AM53" s="60">
        <f t="shared" si="35"/>
        <v>2</v>
      </c>
      <c r="AN53" s="60">
        <f t="shared" si="51"/>
        <v>0</v>
      </c>
      <c r="AO53" s="60">
        <f t="shared" si="51"/>
        <v>0</v>
      </c>
      <c r="AP53" s="60">
        <f t="shared" si="51"/>
        <v>0</v>
      </c>
      <c r="AQ53" s="60">
        <f t="shared" si="51"/>
        <v>0</v>
      </c>
      <c r="AR53" s="60">
        <f t="shared" si="51"/>
        <v>0</v>
      </c>
      <c r="AS53" s="60">
        <f t="shared" si="51"/>
        <v>0</v>
      </c>
      <c r="AT53" s="60">
        <f t="shared" si="51"/>
        <v>0</v>
      </c>
      <c r="AU53" s="60">
        <f t="shared" si="51"/>
        <v>0</v>
      </c>
      <c r="AV53" s="60">
        <f t="shared" si="51"/>
        <v>0</v>
      </c>
      <c r="AW53" s="60">
        <f t="shared" si="51"/>
        <v>0</v>
      </c>
      <c r="AX53" s="60">
        <f t="shared" si="52"/>
        <v>0</v>
      </c>
      <c r="AY53" s="60">
        <f t="shared" si="52"/>
        <v>0</v>
      </c>
      <c r="AZ53" s="60">
        <f t="shared" si="52"/>
        <v>0</v>
      </c>
      <c r="BA53" s="60">
        <f t="shared" si="52"/>
        <v>0</v>
      </c>
      <c r="BB53" s="60">
        <f t="shared" si="52"/>
        <v>0</v>
      </c>
      <c r="BC53" s="60">
        <f t="shared" si="52"/>
        <v>0</v>
      </c>
      <c r="BD53" s="60">
        <f t="shared" si="52"/>
        <v>0</v>
      </c>
      <c r="BE53" s="60">
        <f t="shared" si="52"/>
        <v>0</v>
      </c>
      <c r="BF53" s="60">
        <f t="shared" si="52"/>
        <v>0</v>
      </c>
      <c r="BG53" s="60">
        <f t="shared" si="52"/>
        <v>0</v>
      </c>
      <c r="BH53" s="60">
        <f t="shared" si="53"/>
        <v>0</v>
      </c>
      <c r="BI53" s="60">
        <f t="shared" si="53"/>
        <v>0</v>
      </c>
      <c r="BJ53" s="60">
        <f t="shared" si="53"/>
        <v>0</v>
      </c>
      <c r="BK53" s="60">
        <f t="shared" si="53"/>
        <v>0</v>
      </c>
      <c r="BL53" s="60">
        <f t="shared" si="53"/>
        <v>0</v>
      </c>
      <c r="BM53" s="60">
        <f t="shared" si="53"/>
        <v>0</v>
      </c>
      <c r="BN53" s="60">
        <f t="shared" si="53"/>
        <v>0</v>
      </c>
      <c r="BO53" s="60">
        <f t="shared" si="53"/>
        <v>0</v>
      </c>
      <c r="BP53" s="60">
        <f t="shared" si="53"/>
        <v>0</v>
      </c>
      <c r="BQ53" s="60">
        <f t="shared" si="53"/>
        <v>0</v>
      </c>
      <c r="BR53" s="60">
        <f t="shared" si="54"/>
        <v>0</v>
      </c>
      <c r="BS53" s="60">
        <f t="shared" si="54"/>
        <v>0</v>
      </c>
      <c r="BT53" s="60">
        <f t="shared" si="54"/>
        <v>0</v>
      </c>
      <c r="BU53" s="60">
        <f t="shared" si="54"/>
        <v>0</v>
      </c>
      <c r="BV53" s="60">
        <f t="shared" si="54"/>
        <v>0</v>
      </c>
      <c r="BW53" s="60"/>
      <c r="BX53" s="63">
        <f t="shared" si="40"/>
        <v>1</v>
      </c>
      <c r="BY53" s="63">
        <f t="shared" si="45"/>
        <v>0</v>
      </c>
      <c r="BZ53" s="63">
        <f t="shared" si="46"/>
        <v>0</v>
      </c>
      <c r="CA53" s="63">
        <f t="shared" si="2"/>
        <v>0</v>
      </c>
      <c r="CB53" s="63">
        <f t="shared" si="3"/>
        <v>0</v>
      </c>
      <c r="CC53" s="63">
        <f t="shared" si="4"/>
        <v>0</v>
      </c>
      <c r="CD53" s="63">
        <f t="shared" si="5"/>
        <v>0</v>
      </c>
      <c r="CE53" s="63">
        <f t="shared" si="6"/>
        <v>0</v>
      </c>
      <c r="CF53" s="63">
        <f t="shared" si="7"/>
        <v>0</v>
      </c>
      <c r="CG53" s="63">
        <f t="shared" si="8"/>
        <v>0</v>
      </c>
      <c r="CH53" s="63">
        <f t="shared" si="9"/>
        <v>0</v>
      </c>
      <c r="CI53" s="63">
        <f t="shared" si="10"/>
        <v>0</v>
      </c>
      <c r="CJ53" s="63">
        <f t="shared" si="11"/>
        <v>0</v>
      </c>
      <c r="CK53" s="63">
        <f t="shared" si="12"/>
        <v>0</v>
      </c>
      <c r="CL53" s="63">
        <f t="shared" si="13"/>
        <v>0</v>
      </c>
      <c r="CM53" s="63">
        <f t="shared" si="14"/>
        <v>0</v>
      </c>
      <c r="CN53" s="63">
        <f t="shared" si="15"/>
        <v>0</v>
      </c>
      <c r="CO53" s="63">
        <f t="shared" si="16"/>
        <v>0</v>
      </c>
      <c r="CP53" s="63">
        <f t="shared" si="17"/>
        <v>0</v>
      </c>
      <c r="CQ53" s="63">
        <f t="shared" si="18"/>
        <v>0</v>
      </c>
      <c r="CR53" s="63">
        <f t="shared" si="19"/>
        <v>0</v>
      </c>
      <c r="CS53" s="63">
        <f t="shared" si="20"/>
        <v>0</v>
      </c>
      <c r="CT53" s="63">
        <f t="shared" si="21"/>
        <v>0</v>
      </c>
      <c r="CU53" s="63">
        <f t="shared" si="22"/>
        <v>0</v>
      </c>
      <c r="CV53" s="63">
        <f t="shared" si="23"/>
        <v>0</v>
      </c>
      <c r="CW53" s="63">
        <f t="shared" si="24"/>
        <v>0</v>
      </c>
      <c r="CX53" s="63">
        <f t="shared" si="25"/>
        <v>0</v>
      </c>
      <c r="CY53" s="63">
        <f t="shared" si="26"/>
        <v>0</v>
      </c>
      <c r="CZ53" s="63">
        <f t="shared" si="27"/>
        <v>0</v>
      </c>
      <c r="DA53" s="63">
        <f t="shared" si="28"/>
        <v>0</v>
      </c>
      <c r="DB53" s="63">
        <f t="shared" si="29"/>
        <v>0</v>
      </c>
      <c r="DC53" s="63">
        <f t="shared" si="30"/>
        <v>0</v>
      </c>
      <c r="DD53" s="63">
        <f t="shared" si="31"/>
        <v>0</v>
      </c>
      <c r="DE53" s="63">
        <f t="shared" si="32"/>
        <v>0</v>
      </c>
      <c r="DF53" s="63">
        <f t="shared" si="33"/>
        <v>0</v>
      </c>
      <c r="DG53" s="63">
        <f t="shared" si="34"/>
        <v>0</v>
      </c>
      <c r="DH53" s="57" t="str" cm="1">
        <f t="array" ref="DH53">INDEX(_xlfn.ANCHORARRAY($BX$2),0,MATCH(LARGE($BX53:$DG53,1),$BX53:$DG53,0))</f>
        <v>Autonomous Vehicles</v>
      </c>
      <c r="DI53" s="58">
        <f>LARGE('Industries all mentioned partne'!$BX53:$DG53,1)</f>
        <v>1</v>
      </c>
      <c r="DJ53" s="57" t="str" cm="1">
        <f t="array" ref="DJ53">IF(DI53&lt;&gt;100%,INDEX(_xlfn.ANCHORARRAY($BX$2),0,MATCH(LARGE($BX53:$DG53,2),$BX53:$DG53,0)),"")</f>
        <v/>
      </c>
      <c r="DK53" s="58" t="str">
        <f>IF(DI53&lt;&gt;100%,LARGE('Industries all mentioned partne'!$BX53:$DG53,2),"")</f>
        <v/>
      </c>
      <c r="DL53" s="57" t="str" cm="1">
        <f t="array" ref="DL53">IF(DM53="","",INDEX(_xlfn.ANCHORARRAY($BX$2),0,MATCH(LARGE($BX53:$DG53,3),$BX53:$DG53,0)))</f>
        <v/>
      </c>
      <c r="DM53" s="110" t="str">
        <f>IF(LARGE('Industries all mentioned partne'!$BX53:$DG53,3)=0%,"",LARGE('Industries all mentioned partne'!$BX53:$DG53,3))</f>
        <v/>
      </c>
      <c r="DN53" s="52">
        <f>IF(ISTEXT(C53)=TRUE,VLOOKUP(C53,CBIMPORT!$A$2:$AL$171,38,FALSE),"")</f>
        <v>0</v>
      </c>
      <c r="DO53" s="52">
        <f>IF(ISTEXT(D53)=TRUE,VLOOKUP(D53,CBIMPORT!$A$2:$AL$171,38,FALSE),"")</f>
        <v>0</v>
      </c>
      <c r="DP53" s="52" t="str">
        <f>IF(ISTEXT(E53)=TRUE,VLOOKUP(E53,CBIMPORT!$A$2:$AL$171,38,FALSE),"")</f>
        <v/>
      </c>
      <c r="DQ53" s="52" t="str">
        <f>IF(ISTEXT(F53)=TRUE,VLOOKUP(F53,CBIMPORT!$A$2:$AL$171,38,FALSE),"")</f>
        <v/>
      </c>
      <c r="DR53" s="52" t="str">
        <f>IF(ISTEXT(G53)=TRUE,VLOOKUP(G53,CBIMPORT!$A$2:$AL$171,38,FALSE),"")</f>
        <v/>
      </c>
      <c r="DS53" s="52" t="str">
        <f>IF(ISTEXT(H53)=TRUE,VLOOKUP(H53,CBIMPORT!$A$2:$AL$171,38,FALSE),"")</f>
        <v/>
      </c>
      <c r="DT53" s="52" t="str">
        <f>IF(ISTEXT(I53)=TRUE,VLOOKUP(I53,CBIMPORT!$A$2:$AL$171,38,FALSE),"")</f>
        <v/>
      </c>
      <c r="DU53" s="52" t="str">
        <f>IF(ISTEXT(J53)=TRUE,VLOOKUP(J53,CBIMPORT!$A$2:$AL$171,38,FALSE),"")</f>
        <v/>
      </c>
      <c r="DV53" s="52" t="str">
        <f>IF(ISTEXT(K53)=TRUE,VLOOKUP(K53,CBIMPORT!$A$2:$AL$171,38,FALSE),"")</f>
        <v/>
      </c>
      <c r="DW53" s="52" t="str">
        <f>IF(ISTEXT(L53)=TRUE,VLOOKUP(L53,CBIMPORT!$A$2:$AL$171,38,FALSE),"")</f>
        <v/>
      </c>
      <c r="DX53" s="52" t="str">
        <f>IF(ISTEXT(M53)=TRUE,VLOOKUP(M53,CBIMPORT!$A$2:$AL$171,38,FALSE),"")</f>
        <v/>
      </c>
      <c r="DY53" s="52" t="str">
        <f>IF(ISTEXT(N53)=TRUE,VLOOKUP(N53,CBIMPORT!$A$2:$AL$171,38,FALSE),"")</f>
        <v/>
      </c>
      <c r="DZ53" s="52" t="str">
        <f>IF(ISTEXT(O53)=TRUE,VLOOKUP(O53,CBIMPORT!$A$2:$AL$171,38,FALSE),"")</f>
        <v/>
      </c>
      <c r="EA53" s="52" t="str">
        <f>IF(ISTEXT(P53)=TRUE,VLOOKUP(P53,CBIMPORT!$A$2:$AL$171,38,FALSE),"")</f>
        <v/>
      </c>
      <c r="EB53" s="52" t="str">
        <f>IF(ISTEXT(Q53)=TRUE,VLOOKUP(Q53,CBIMPORT!$A$2:$AL$171,38,FALSE),"")</f>
        <v/>
      </c>
      <c r="EC53" s="52" t="str">
        <f>IF(ISTEXT(R53)=TRUE,VLOOKUP(R53,CBIMPORT!$A$2:$AL$171,38,FALSE),"")</f>
        <v/>
      </c>
      <c r="ED53" s="52" t="str">
        <f>IF(ISTEXT(S53)=TRUE,VLOOKUP(S53,CBIMPORT!$A$2:$AL$171,38,FALSE),"")</f>
        <v/>
      </c>
      <c r="EE53" s="52" t="str">
        <f>IF(ISTEXT(T53)=TRUE,VLOOKUP(T53,CBIMPORT!$A$2:$AL$171,38,FALSE),"")</f>
        <v/>
      </c>
    </row>
    <row r="54" spans="1:135" x14ac:dyDescent="0.35">
      <c r="A54" t="str">
        <v>Torc-Ridepooling</v>
      </c>
      <c r="B54" s="48" t="str" cm="1">
        <f t="array" ref="B54">_xlfn.TEXTJOIN(";",TRUE,IF(ANNOUNCEMENTS!$AH$2:$AH$180=A54,ANNOUNCEMENTS!$K$2:$K$180,""))</f>
        <v>Transdev</v>
      </c>
      <c r="C54" s="55" t="s">
        <v>397</v>
      </c>
      <c r="D54" s="55"/>
      <c r="E54" s="55"/>
      <c r="F54" s="55"/>
      <c r="G54" s="55"/>
      <c r="H54" s="55"/>
      <c r="I54" s="55"/>
      <c r="J54" s="55"/>
      <c r="K54" s="55"/>
      <c r="L54" s="55"/>
      <c r="M54" s="55"/>
      <c r="N54" s="55"/>
      <c r="O54" s="55"/>
      <c r="P54" s="55"/>
      <c r="Q54" s="55"/>
      <c r="R54" s="55"/>
      <c r="S54" s="55"/>
      <c r="T54" s="55"/>
      <c r="V54" s="56" t="str">
        <f>IF(ISERROR(VLOOKUP(C54,CBIMPORT!$A$2:$B$171,2,FALSE)),0,VLOOKUP(C54,CBIMPORT!$A$2:$B$171,2,FALSE))</f>
        <v>Transport Operator</v>
      </c>
      <c r="W54" s="56">
        <f>IF(ISERROR(VLOOKUP(D54,CBIMPORT!$A$2:$B$171,2,FALSE)),0,VLOOKUP(D54,CBIMPORT!$A$2:$B$171,2,FALSE))</f>
        <v>0</v>
      </c>
      <c r="X54" s="56">
        <f>IF(ISERROR(VLOOKUP(E54,CBIMPORT!$A$2:$B$171,2,FALSE)),0,VLOOKUP(E54,CBIMPORT!$A$2:$B$171,2,FALSE))</f>
        <v>0</v>
      </c>
      <c r="Y54" s="56">
        <f>IF(ISERROR(VLOOKUP(F54,CBIMPORT!$A$2:$B$171,2,FALSE)),0,VLOOKUP(F54,CBIMPORT!$A$2:$B$171,2,FALSE))</f>
        <v>0</v>
      </c>
      <c r="Z54" s="56">
        <f>IF(ISERROR(VLOOKUP(G54,CBIMPORT!$A$2:$B$171,2,FALSE)),0,VLOOKUP(G54,CBIMPORT!$A$2:$B$171,2,FALSE))</f>
        <v>0</v>
      </c>
      <c r="AA54" s="56">
        <f>IF(ISERROR(VLOOKUP(H54,CBIMPORT!$A$2:$B$171,2,FALSE)),0,VLOOKUP(H54,CBIMPORT!$A$2:$B$171,2,FALSE))</f>
        <v>0</v>
      </c>
      <c r="AB54" s="56">
        <f>IF(ISERROR(VLOOKUP(I54,CBIMPORT!$A$2:$B$171,2,FALSE)),0,VLOOKUP(I54,CBIMPORT!$A$2:$B$171,2,FALSE))</f>
        <v>0</v>
      </c>
      <c r="AC54" s="56">
        <f>IF(ISERROR(VLOOKUP(J54,CBIMPORT!$A$2:$B$171,2,FALSE)),0,VLOOKUP(J54,CBIMPORT!$A$2:$B$171,2,FALSE))</f>
        <v>0</v>
      </c>
      <c r="AD54" s="56">
        <f>IF(ISERROR(VLOOKUP(K54,CBIMPORT!$A$2:$B$171,2,FALSE)),0,VLOOKUP(K54,CBIMPORT!$A$2:$B$171,2,FALSE))</f>
        <v>0</v>
      </c>
      <c r="AE54" s="56">
        <f>IF(ISERROR(VLOOKUP(L54,CBIMPORT!$A$2:$B$171,2,FALSE)),0,VLOOKUP(L54,CBIMPORT!$A$2:$B$171,2,FALSE))</f>
        <v>0</v>
      </c>
      <c r="AF54" s="56">
        <f>IF(ISERROR(VLOOKUP(M54,CBIMPORT!$A$2:$B$171,2,FALSE)),0,VLOOKUP(M54,CBIMPORT!$A$2:$B$171,2,FALSE))</f>
        <v>0</v>
      </c>
      <c r="AG54" s="56">
        <f>IF(ISERROR(VLOOKUP(N54,CBIMPORT!$A$2:$B$171,2,FALSE)),0,VLOOKUP(N54,CBIMPORT!$A$2:$B$171,2,FALSE))</f>
        <v>0</v>
      </c>
      <c r="AH54" s="56">
        <f>IF(ISERROR(VLOOKUP(O54,CBIMPORT!$A$2:$B$171,2,FALSE)),0,VLOOKUP(O54,CBIMPORT!$A$2:$B$171,2,FALSE))</f>
        <v>0</v>
      </c>
      <c r="AI54" s="56">
        <f>IF(ISERROR(VLOOKUP(P54,CBIMPORT!$A$2:$B$171,2,FALSE)),0,VLOOKUP(P54,CBIMPORT!$A$2:$B$171,2,FALSE))</f>
        <v>0</v>
      </c>
      <c r="AJ54" s="56">
        <f>IF(ISERROR(VLOOKUP(Q54,CBIMPORT!$A$2:$B$171,2,FALSE)),0,VLOOKUP(Q54,CBIMPORT!$A$2:$B$171,2,FALSE))</f>
        <v>0</v>
      </c>
      <c r="AK54" s="56">
        <f>IF(ISERROR(VLOOKUP(R54,CBIMPORT!$A$2:$B$171,2,FALSE)),0,VLOOKUP(R54,CBIMPORT!$A$2:$B$171,2,FALSE))</f>
        <v>0</v>
      </c>
      <c r="AL54" s="56">
        <f>IF(ISERROR(VLOOKUP(S54,CBIMPORT!$A$2:$B$171,2,FALSE)),0,VLOOKUP(S54,CBIMPORT!$A$2:$B$171,2,FALSE))</f>
        <v>0</v>
      </c>
      <c r="AM54" s="60">
        <f t="shared" si="35"/>
        <v>0</v>
      </c>
      <c r="AN54" s="60">
        <f t="shared" si="51"/>
        <v>0</v>
      </c>
      <c r="AO54" s="60">
        <f t="shared" si="51"/>
        <v>1</v>
      </c>
      <c r="AP54" s="60">
        <f t="shared" si="51"/>
        <v>0</v>
      </c>
      <c r="AQ54" s="60">
        <f t="shared" si="51"/>
        <v>0</v>
      </c>
      <c r="AR54" s="60">
        <f t="shared" si="51"/>
        <v>0</v>
      </c>
      <c r="AS54" s="60">
        <f t="shared" si="51"/>
        <v>0</v>
      </c>
      <c r="AT54" s="60">
        <f t="shared" si="51"/>
        <v>0</v>
      </c>
      <c r="AU54" s="60">
        <f t="shared" si="51"/>
        <v>0</v>
      </c>
      <c r="AV54" s="60">
        <f t="shared" si="51"/>
        <v>0</v>
      </c>
      <c r="AW54" s="60">
        <f t="shared" si="51"/>
        <v>0</v>
      </c>
      <c r="AX54" s="60">
        <f t="shared" si="52"/>
        <v>0</v>
      </c>
      <c r="AY54" s="60">
        <f t="shared" si="52"/>
        <v>0</v>
      </c>
      <c r="AZ54" s="60">
        <f t="shared" si="52"/>
        <v>0</v>
      </c>
      <c r="BA54" s="60">
        <f t="shared" si="52"/>
        <v>0</v>
      </c>
      <c r="BB54" s="60">
        <f t="shared" si="52"/>
        <v>0</v>
      </c>
      <c r="BC54" s="60">
        <f t="shared" si="52"/>
        <v>0</v>
      </c>
      <c r="BD54" s="60">
        <f t="shared" si="52"/>
        <v>0</v>
      </c>
      <c r="BE54" s="60">
        <f t="shared" si="52"/>
        <v>0</v>
      </c>
      <c r="BF54" s="60">
        <f t="shared" si="52"/>
        <v>0</v>
      </c>
      <c r="BG54" s="60">
        <f t="shared" si="52"/>
        <v>0</v>
      </c>
      <c r="BH54" s="60">
        <f t="shared" si="53"/>
        <v>0</v>
      </c>
      <c r="BI54" s="60">
        <f t="shared" si="53"/>
        <v>0</v>
      </c>
      <c r="BJ54" s="60">
        <f t="shared" si="53"/>
        <v>0</v>
      </c>
      <c r="BK54" s="60">
        <f t="shared" si="53"/>
        <v>0</v>
      </c>
      <c r="BL54" s="60">
        <f t="shared" si="53"/>
        <v>0</v>
      </c>
      <c r="BM54" s="60">
        <f t="shared" si="53"/>
        <v>0</v>
      </c>
      <c r="BN54" s="60">
        <f t="shared" si="53"/>
        <v>0</v>
      </c>
      <c r="BO54" s="60">
        <f t="shared" si="53"/>
        <v>0</v>
      </c>
      <c r="BP54" s="60">
        <f t="shared" si="53"/>
        <v>0</v>
      </c>
      <c r="BQ54" s="60">
        <f t="shared" si="53"/>
        <v>0</v>
      </c>
      <c r="BR54" s="60">
        <f t="shared" si="54"/>
        <v>0</v>
      </c>
      <c r="BS54" s="60">
        <f t="shared" si="54"/>
        <v>0</v>
      </c>
      <c r="BT54" s="60">
        <f t="shared" si="54"/>
        <v>0</v>
      </c>
      <c r="BU54" s="60">
        <f t="shared" si="54"/>
        <v>0</v>
      </c>
      <c r="BV54" s="60">
        <f t="shared" si="54"/>
        <v>0</v>
      </c>
      <c r="BW54" s="60"/>
      <c r="BX54" s="63">
        <f t="shared" si="40"/>
        <v>0</v>
      </c>
      <c r="BY54" s="63">
        <f t="shared" si="45"/>
        <v>0</v>
      </c>
      <c r="BZ54" s="63">
        <f t="shared" si="46"/>
        <v>1</v>
      </c>
      <c r="CA54" s="63">
        <f t="shared" si="2"/>
        <v>0</v>
      </c>
      <c r="CB54" s="63">
        <f t="shared" si="3"/>
        <v>0</v>
      </c>
      <c r="CC54" s="63">
        <f t="shared" si="4"/>
        <v>0</v>
      </c>
      <c r="CD54" s="63">
        <f t="shared" si="5"/>
        <v>0</v>
      </c>
      <c r="CE54" s="63">
        <f t="shared" si="6"/>
        <v>0</v>
      </c>
      <c r="CF54" s="63">
        <f t="shared" si="7"/>
        <v>0</v>
      </c>
      <c r="CG54" s="63">
        <f t="shared" si="8"/>
        <v>0</v>
      </c>
      <c r="CH54" s="63">
        <f t="shared" si="9"/>
        <v>0</v>
      </c>
      <c r="CI54" s="63">
        <f t="shared" si="10"/>
        <v>0</v>
      </c>
      <c r="CJ54" s="63">
        <f t="shared" si="11"/>
        <v>0</v>
      </c>
      <c r="CK54" s="63">
        <f t="shared" si="12"/>
        <v>0</v>
      </c>
      <c r="CL54" s="63">
        <f t="shared" si="13"/>
        <v>0</v>
      </c>
      <c r="CM54" s="63">
        <f t="shared" si="14"/>
        <v>0</v>
      </c>
      <c r="CN54" s="63">
        <f t="shared" si="15"/>
        <v>0</v>
      </c>
      <c r="CO54" s="63">
        <f t="shared" si="16"/>
        <v>0</v>
      </c>
      <c r="CP54" s="63">
        <f t="shared" si="17"/>
        <v>0</v>
      </c>
      <c r="CQ54" s="63">
        <f t="shared" si="18"/>
        <v>0</v>
      </c>
      <c r="CR54" s="63">
        <f t="shared" si="19"/>
        <v>0</v>
      </c>
      <c r="CS54" s="63">
        <f t="shared" si="20"/>
        <v>0</v>
      </c>
      <c r="CT54" s="63">
        <f t="shared" si="21"/>
        <v>0</v>
      </c>
      <c r="CU54" s="63">
        <f t="shared" si="22"/>
        <v>0</v>
      </c>
      <c r="CV54" s="63">
        <f t="shared" si="23"/>
        <v>0</v>
      </c>
      <c r="CW54" s="63">
        <f t="shared" si="24"/>
        <v>0</v>
      </c>
      <c r="CX54" s="63">
        <f t="shared" si="25"/>
        <v>0</v>
      </c>
      <c r="CY54" s="63">
        <f t="shared" si="26"/>
        <v>0</v>
      </c>
      <c r="CZ54" s="63">
        <f t="shared" si="27"/>
        <v>0</v>
      </c>
      <c r="DA54" s="63">
        <f t="shared" si="28"/>
        <v>0</v>
      </c>
      <c r="DB54" s="63">
        <f t="shared" si="29"/>
        <v>0</v>
      </c>
      <c r="DC54" s="63">
        <f t="shared" si="30"/>
        <v>0</v>
      </c>
      <c r="DD54" s="63">
        <f t="shared" si="31"/>
        <v>0</v>
      </c>
      <c r="DE54" s="63">
        <f t="shared" si="32"/>
        <v>0</v>
      </c>
      <c r="DF54" s="63">
        <f t="shared" si="33"/>
        <v>0</v>
      </c>
      <c r="DG54" s="63">
        <f t="shared" si="34"/>
        <v>0</v>
      </c>
      <c r="DH54" s="57" t="str" cm="1">
        <f t="array" ref="DH54">INDEX(_xlfn.ANCHORARRAY($BX$2),0,MATCH(LARGE($BX54:$DG54,1),$BX54:$DG54,0))</f>
        <v>Transport Operator</v>
      </c>
      <c r="DI54" s="58">
        <f>LARGE('Industries all mentioned partne'!$BX54:$DG54,1)</f>
        <v>1</v>
      </c>
      <c r="DJ54" s="57" t="str" cm="1">
        <f t="array" ref="DJ54">IF(DI54&lt;&gt;100%,INDEX(_xlfn.ANCHORARRAY($BX$2),0,MATCH(LARGE($BX54:$DG54,2),$BX54:$DG54,0)),"")</f>
        <v/>
      </c>
      <c r="DK54" s="58" t="str">
        <f>IF(DI54&lt;&gt;100%,LARGE('Industries all mentioned partne'!$BX54:$DG54,2),"")</f>
        <v/>
      </c>
      <c r="DL54" s="57" t="str" cm="1">
        <f t="array" ref="DL54">IF(DM54="","",INDEX(_xlfn.ANCHORARRAY($BX$2),0,MATCH(LARGE($BX54:$DG54,3),$BX54:$DG54,0)))</f>
        <v/>
      </c>
      <c r="DM54" s="110" t="str">
        <f>IF(LARGE('Industries all mentioned partne'!$BX54:$DG54,3)=0%,"",LARGE('Industries all mentioned partne'!$BX54:$DG54,3))</f>
        <v/>
      </c>
      <c r="DN54" s="52">
        <f>IF(ISTEXT(C54)=TRUE,VLOOKUP(C54,CBIMPORT!$A$2:$AL$171,38,FALSE),"")</f>
        <v>0</v>
      </c>
      <c r="DO54" s="52" t="str">
        <f>IF(ISTEXT(D54)=TRUE,VLOOKUP(D54,CBIMPORT!$A$2:$AL$171,38,FALSE),"")</f>
        <v/>
      </c>
      <c r="DP54" s="52" t="str">
        <f>IF(ISTEXT(E54)=TRUE,VLOOKUP(E54,CBIMPORT!$A$2:$AL$171,38,FALSE),"")</f>
        <v/>
      </c>
      <c r="DQ54" s="52" t="str">
        <f>IF(ISTEXT(F54)=TRUE,VLOOKUP(F54,CBIMPORT!$A$2:$AL$171,38,FALSE),"")</f>
        <v/>
      </c>
      <c r="DR54" s="52" t="str">
        <f>IF(ISTEXT(G54)=TRUE,VLOOKUP(G54,CBIMPORT!$A$2:$AL$171,38,FALSE),"")</f>
        <v/>
      </c>
      <c r="DS54" s="52" t="str">
        <f>IF(ISTEXT(H54)=TRUE,VLOOKUP(H54,CBIMPORT!$A$2:$AL$171,38,FALSE),"")</f>
        <v/>
      </c>
      <c r="DT54" s="52" t="str">
        <f>IF(ISTEXT(I54)=TRUE,VLOOKUP(I54,CBIMPORT!$A$2:$AL$171,38,FALSE),"")</f>
        <v/>
      </c>
      <c r="DU54" s="52" t="str">
        <f>IF(ISTEXT(J54)=TRUE,VLOOKUP(J54,CBIMPORT!$A$2:$AL$171,38,FALSE),"")</f>
        <v/>
      </c>
      <c r="DV54" s="52" t="str">
        <f>IF(ISTEXT(K54)=TRUE,VLOOKUP(K54,CBIMPORT!$A$2:$AL$171,38,FALSE),"")</f>
        <v/>
      </c>
      <c r="DW54" s="52" t="str">
        <f>IF(ISTEXT(L54)=TRUE,VLOOKUP(L54,CBIMPORT!$A$2:$AL$171,38,FALSE),"")</f>
        <v/>
      </c>
      <c r="DX54" s="52" t="str">
        <f>IF(ISTEXT(M54)=TRUE,VLOOKUP(M54,CBIMPORT!$A$2:$AL$171,38,FALSE),"")</f>
        <v/>
      </c>
      <c r="DY54" s="52" t="str">
        <f>IF(ISTEXT(N54)=TRUE,VLOOKUP(N54,CBIMPORT!$A$2:$AL$171,38,FALSE),"")</f>
        <v/>
      </c>
      <c r="DZ54" s="52" t="str">
        <f>IF(ISTEXT(O54)=TRUE,VLOOKUP(O54,CBIMPORT!$A$2:$AL$171,38,FALSE),"")</f>
        <v/>
      </c>
      <c r="EA54" s="52" t="str">
        <f>IF(ISTEXT(P54)=TRUE,VLOOKUP(P54,CBIMPORT!$A$2:$AL$171,38,FALSE),"")</f>
        <v/>
      </c>
      <c r="EB54" s="52" t="str">
        <f>IF(ISTEXT(Q54)=TRUE,VLOOKUP(Q54,CBIMPORT!$A$2:$AL$171,38,FALSE),"")</f>
        <v/>
      </c>
      <c r="EC54" s="52" t="str">
        <f>IF(ISTEXT(R54)=TRUE,VLOOKUP(R54,CBIMPORT!$A$2:$AL$171,38,FALSE),"")</f>
        <v/>
      </c>
      <c r="ED54" s="52" t="str">
        <f>IF(ISTEXT(S54)=TRUE,VLOOKUP(S54,CBIMPORT!$A$2:$AL$171,38,FALSE),"")</f>
        <v/>
      </c>
      <c r="EE54" s="52" t="str">
        <f>IF(ISTEXT(T54)=TRUE,VLOOKUP(T54,CBIMPORT!$A$2:$AL$171,38,FALSE),"")</f>
        <v/>
      </c>
    </row>
    <row r="55" spans="1:135" x14ac:dyDescent="0.35">
      <c r="A55" t="str">
        <v>ZF-Trucking</v>
      </c>
      <c r="B55" s="48" t="str" cm="1">
        <f t="array" ref="B55">_xlfn.TEXTJOIN(";",TRUE,IF(ANNOUNCEMENTS!$AH$2:$AH$180=A55,ANNOUNCEMENTS!$K$2:$K$180,""))</f>
        <v>TuSimple</v>
      </c>
      <c r="C55" s="55" t="s">
        <v>420</v>
      </c>
      <c r="D55" s="55"/>
      <c r="E55" s="55"/>
      <c r="F55" s="55"/>
      <c r="G55" s="55"/>
      <c r="H55" s="55"/>
      <c r="I55" s="55"/>
      <c r="J55" s="55"/>
      <c r="K55" s="55"/>
      <c r="L55" s="55"/>
      <c r="M55" s="55"/>
      <c r="N55" s="55"/>
      <c r="O55" s="55"/>
      <c r="P55" s="55"/>
      <c r="Q55" s="55"/>
      <c r="R55" s="55"/>
      <c r="S55" s="55"/>
      <c r="T55" s="55"/>
      <c r="V55" s="56" t="str">
        <f>IF(ISERROR(VLOOKUP(C55,CBIMPORT!$A$2:$B$171,2,FALSE)),0,VLOOKUP(C55,CBIMPORT!$A$2:$B$171,2,FALSE))</f>
        <v>Autonomous Vehicles</v>
      </c>
      <c r="W55" s="56">
        <f>IF(ISERROR(VLOOKUP(D55,CBIMPORT!$A$2:$B$171,2,FALSE)),0,VLOOKUP(D55,CBIMPORT!$A$2:$B$171,2,FALSE))</f>
        <v>0</v>
      </c>
      <c r="X55" s="56">
        <f>IF(ISERROR(VLOOKUP(E55,CBIMPORT!$A$2:$B$171,2,FALSE)),0,VLOOKUP(E55,CBIMPORT!$A$2:$B$171,2,FALSE))</f>
        <v>0</v>
      </c>
      <c r="Y55" s="56">
        <f>IF(ISERROR(VLOOKUP(F55,CBIMPORT!$A$2:$B$171,2,FALSE)),0,VLOOKUP(F55,CBIMPORT!$A$2:$B$171,2,FALSE))</f>
        <v>0</v>
      </c>
      <c r="Z55" s="56">
        <f>IF(ISERROR(VLOOKUP(G55,CBIMPORT!$A$2:$B$171,2,FALSE)),0,VLOOKUP(G55,CBIMPORT!$A$2:$B$171,2,FALSE))</f>
        <v>0</v>
      </c>
      <c r="AA55" s="56">
        <f>IF(ISERROR(VLOOKUP(H55,CBIMPORT!$A$2:$B$171,2,FALSE)),0,VLOOKUP(H55,CBIMPORT!$A$2:$B$171,2,FALSE))</f>
        <v>0</v>
      </c>
      <c r="AB55" s="56">
        <f>IF(ISERROR(VLOOKUP(I55,CBIMPORT!$A$2:$B$171,2,FALSE)),0,VLOOKUP(I55,CBIMPORT!$A$2:$B$171,2,FALSE))</f>
        <v>0</v>
      </c>
      <c r="AC55" s="56">
        <f>IF(ISERROR(VLOOKUP(J55,CBIMPORT!$A$2:$B$171,2,FALSE)),0,VLOOKUP(J55,CBIMPORT!$A$2:$B$171,2,FALSE))</f>
        <v>0</v>
      </c>
      <c r="AD55" s="56">
        <f>IF(ISERROR(VLOOKUP(K55,CBIMPORT!$A$2:$B$171,2,FALSE)),0,VLOOKUP(K55,CBIMPORT!$A$2:$B$171,2,FALSE))</f>
        <v>0</v>
      </c>
      <c r="AE55" s="56">
        <f>IF(ISERROR(VLOOKUP(L55,CBIMPORT!$A$2:$B$171,2,FALSE)),0,VLOOKUP(L55,CBIMPORT!$A$2:$B$171,2,FALSE))</f>
        <v>0</v>
      </c>
      <c r="AF55" s="56">
        <f>IF(ISERROR(VLOOKUP(M55,CBIMPORT!$A$2:$B$171,2,FALSE)),0,VLOOKUP(M55,CBIMPORT!$A$2:$B$171,2,FALSE))</f>
        <v>0</v>
      </c>
      <c r="AG55" s="56">
        <f>IF(ISERROR(VLOOKUP(N55,CBIMPORT!$A$2:$B$171,2,FALSE)),0,VLOOKUP(N55,CBIMPORT!$A$2:$B$171,2,FALSE))</f>
        <v>0</v>
      </c>
      <c r="AH55" s="56">
        <f>IF(ISERROR(VLOOKUP(O55,CBIMPORT!$A$2:$B$171,2,FALSE)),0,VLOOKUP(O55,CBIMPORT!$A$2:$B$171,2,FALSE))</f>
        <v>0</v>
      </c>
      <c r="AI55" s="56">
        <f>IF(ISERROR(VLOOKUP(P55,CBIMPORT!$A$2:$B$171,2,FALSE)),0,VLOOKUP(P55,CBIMPORT!$A$2:$B$171,2,FALSE))</f>
        <v>0</v>
      </c>
      <c r="AJ55" s="56">
        <f>IF(ISERROR(VLOOKUP(Q55,CBIMPORT!$A$2:$B$171,2,FALSE)),0,VLOOKUP(Q55,CBIMPORT!$A$2:$B$171,2,FALSE))</f>
        <v>0</v>
      </c>
      <c r="AK55" s="56">
        <f>IF(ISERROR(VLOOKUP(R55,CBIMPORT!$A$2:$B$171,2,FALSE)),0,VLOOKUP(R55,CBIMPORT!$A$2:$B$171,2,FALSE))</f>
        <v>0</v>
      </c>
      <c r="AL55" s="56">
        <f>IF(ISERROR(VLOOKUP(S55,CBIMPORT!$A$2:$B$171,2,FALSE)),0,VLOOKUP(S55,CBIMPORT!$A$2:$B$171,2,FALSE))</f>
        <v>0</v>
      </c>
      <c r="AM55" s="60">
        <f t="shared" si="35"/>
        <v>1</v>
      </c>
      <c r="AN55" s="60">
        <f t="shared" si="51"/>
        <v>0</v>
      </c>
      <c r="AO55" s="60">
        <f t="shared" si="51"/>
        <v>0</v>
      </c>
      <c r="AP55" s="60">
        <f t="shared" si="51"/>
        <v>0</v>
      </c>
      <c r="AQ55" s="60">
        <f t="shared" si="51"/>
        <v>0</v>
      </c>
      <c r="AR55" s="60">
        <f t="shared" si="51"/>
        <v>0</v>
      </c>
      <c r="AS55" s="60">
        <f t="shared" si="51"/>
        <v>0</v>
      </c>
      <c r="AT55" s="60">
        <f t="shared" si="51"/>
        <v>0</v>
      </c>
      <c r="AU55" s="60">
        <f t="shared" si="51"/>
        <v>0</v>
      </c>
      <c r="AV55" s="60">
        <f t="shared" si="51"/>
        <v>0</v>
      </c>
      <c r="AW55" s="60">
        <f t="shared" si="51"/>
        <v>0</v>
      </c>
      <c r="AX55" s="60">
        <f t="shared" si="52"/>
        <v>0</v>
      </c>
      <c r="AY55" s="60">
        <f t="shared" si="52"/>
        <v>0</v>
      </c>
      <c r="AZ55" s="60">
        <f t="shared" si="52"/>
        <v>0</v>
      </c>
      <c r="BA55" s="60">
        <f t="shared" si="52"/>
        <v>0</v>
      </c>
      <c r="BB55" s="60">
        <f t="shared" si="52"/>
        <v>0</v>
      </c>
      <c r="BC55" s="60">
        <f t="shared" si="52"/>
        <v>0</v>
      </c>
      <c r="BD55" s="60">
        <f t="shared" si="52"/>
        <v>0</v>
      </c>
      <c r="BE55" s="60">
        <f t="shared" si="52"/>
        <v>0</v>
      </c>
      <c r="BF55" s="60">
        <f t="shared" si="52"/>
        <v>0</v>
      </c>
      <c r="BG55" s="60">
        <f t="shared" si="52"/>
        <v>0</v>
      </c>
      <c r="BH55" s="60">
        <f t="shared" si="53"/>
        <v>0</v>
      </c>
      <c r="BI55" s="60">
        <f t="shared" si="53"/>
        <v>0</v>
      </c>
      <c r="BJ55" s="60">
        <f t="shared" si="53"/>
        <v>0</v>
      </c>
      <c r="BK55" s="60">
        <f t="shared" si="53"/>
        <v>0</v>
      </c>
      <c r="BL55" s="60">
        <f t="shared" si="53"/>
        <v>0</v>
      </c>
      <c r="BM55" s="60">
        <f t="shared" si="53"/>
        <v>0</v>
      </c>
      <c r="BN55" s="60">
        <f t="shared" si="53"/>
        <v>0</v>
      </c>
      <c r="BO55" s="60">
        <f t="shared" si="53"/>
        <v>0</v>
      </c>
      <c r="BP55" s="60">
        <f t="shared" si="53"/>
        <v>0</v>
      </c>
      <c r="BQ55" s="60">
        <f t="shared" si="53"/>
        <v>0</v>
      </c>
      <c r="BR55" s="60">
        <f t="shared" si="54"/>
        <v>0</v>
      </c>
      <c r="BS55" s="60">
        <f t="shared" si="54"/>
        <v>0</v>
      </c>
      <c r="BT55" s="60">
        <f t="shared" si="54"/>
        <v>0</v>
      </c>
      <c r="BU55" s="60">
        <f t="shared" si="54"/>
        <v>0</v>
      </c>
      <c r="BV55" s="60">
        <f t="shared" si="54"/>
        <v>0</v>
      </c>
      <c r="BW55" s="60"/>
      <c r="BX55" s="63">
        <f t="shared" si="40"/>
        <v>1</v>
      </c>
      <c r="BY55" s="63">
        <f t="shared" si="45"/>
        <v>0</v>
      </c>
      <c r="BZ55" s="63">
        <f t="shared" si="46"/>
        <v>0</v>
      </c>
      <c r="CA55" s="63">
        <f t="shared" si="2"/>
        <v>0</v>
      </c>
      <c r="CB55" s="63">
        <f t="shared" si="3"/>
        <v>0</v>
      </c>
      <c r="CC55" s="63">
        <f t="shared" si="4"/>
        <v>0</v>
      </c>
      <c r="CD55" s="63">
        <f t="shared" si="5"/>
        <v>0</v>
      </c>
      <c r="CE55" s="63">
        <f t="shared" si="6"/>
        <v>0</v>
      </c>
      <c r="CF55" s="63">
        <f t="shared" si="7"/>
        <v>0</v>
      </c>
      <c r="CG55" s="63">
        <f t="shared" si="8"/>
        <v>0</v>
      </c>
      <c r="CH55" s="63">
        <f t="shared" si="9"/>
        <v>0</v>
      </c>
      <c r="CI55" s="63">
        <f t="shared" si="10"/>
        <v>0</v>
      </c>
      <c r="CJ55" s="63">
        <f t="shared" si="11"/>
        <v>0</v>
      </c>
      <c r="CK55" s="63">
        <f t="shared" si="12"/>
        <v>0</v>
      </c>
      <c r="CL55" s="63">
        <f t="shared" si="13"/>
        <v>0</v>
      </c>
      <c r="CM55" s="63">
        <f t="shared" si="14"/>
        <v>0</v>
      </c>
      <c r="CN55" s="63">
        <f t="shared" si="15"/>
        <v>0</v>
      </c>
      <c r="CO55" s="63">
        <f t="shared" si="16"/>
        <v>0</v>
      </c>
      <c r="CP55" s="63">
        <f t="shared" si="17"/>
        <v>0</v>
      </c>
      <c r="CQ55" s="63">
        <f t="shared" si="18"/>
        <v>0</v>
      </c>
      <c r="CR55" s="63">
        <f t="shared" si="19"/>
        <v>0</v>
      </c>
      <c r="CS55" s="63">
        <f t="shared" si="20"/>
        <v>0</v>
      </c>
      <c r="CT55" s="63">
        <f t="shared" si="21"/>
        <v>0</v>
      </c>
      <c r="CU55" s="63">
        <f t="shared" si="22"/>
        <v>0</v>
      </c>
      <c r="CV55" s="63">
        <f t="shared" si="23"/>
        <v>0</v>
      </c>
      <c r="CW55" s="63">
        <f t="shared" si="24"/>
        <v>0</v>
      </c>
      <c r="CX55" s="63">
        <f t="shared" si="25"/>
        <v>0</v>
      </c>
      <c r="CY55" s="63">
        <f t="shared" si="26"/>
        <v>0</v>
      </c>
      <c r="CZ55" s="63">
        <f t="shared" si="27"/>
        <v>0</v>
      </c>
      <c r="DA55" s="63">
        <f t="shared" si="28"/>
        <v>0</v>
      </c>
      <c r="DB55" s="63">
        <f t="shared" si="29"/>
        <v>0</v>
      </c>
      <c r="DC55" s="63">
        <f t="shared" si="30"/>
        <v>0</v>
      </c>
      <c r="DD55" s="63">
        <f t="shared" si="31"/>
        <v>0</v>
      </c>
      <c r="DE55" s="63">
        <f t="shared" si="32"/>
        <v>0</v>
      </c>
      <c r="DF55" s="63">
        <f t="shared" si="33"/>
        <v>0</v>
      </c>
      <c r="DG55" s="63">
        <f t="shared" si="34"/>
        <v>0</v>
      </c>
      <c r="DH55" s="57" t="str" cm="1">
        <f t="array" ref="DH55">INDEX(_xlfn.ANCHORARRAY($BX$2),0,MATCH(LARGE($BX55:$DG55,1),$BX55:$DG55,0))</f>
        <v>Autonomous Vehicles</v>
      </c>
      <c r="DI55" s="58">
        <f>LARGE('Industries all mentioned partne'!$BX55:$DG55,1)</f>
        <v>1</v>
      </c>
      <c r="DJ55" s="57" t="str" cm="1">
        <f t="array" ref="DJ55">IF(DI55&lt;&gt;100%,INDEX(_xlfn.ANCHORARRAY($BX$2),0,MATCH(LARGE($BX55:$DG55,2),$BX55:$DG55,0)),"")</f>
        <v/>
      </c>
      <c r="DK55" s="58" t="str">
        <f>IF(DI55&lt;&gt;100%,LARGE('Industries all mentioned partne'!$BX55:$DG55,2),"")</f>
        <v/>
      </c>
      <c r="DL55" s="57" t="str" cm="1">
        <f t="array" ref="DL55">IF(DM55="","",INDEX(_xlfn.ANCHORARRAY($BX$2),0,MATCH(LARGE($BX55:$DG55,3),$BX55:$DG55,0)))</f>
        <v/>
      </c>
      <c r="DM55" s="110" t="str">
        <f>IF(LARGE('Industries all mentioned partne'!$BX55:$DG55,3)=0%,"",LARGE('Industries all mentioned partne'!$BX55:$DG55,3))</f>
        <v/>
      </c>
      <c r="DN55" s="52">
        <f>IF(ISTEXT(C55)=TRUE,VLOOKUP(C55,CBIMPORT!$A$2:$AL$171,38,FALSE),"")</f>
        <v>1</v>
      </c>
      <c r="DO55" s="52" t="str">
        <f>IF(ISTEXT(D55)=TRUE,VLOOKUP(D55,CBIMPORT!$A$2:$AL$171,38,FALSE),"")</f>
        <v/>
      </c>
      <c r="DP55" s="52" t="str">
        <f>IF(ISTEXT(E55)=TRUE,VLOOKUP(E55,CBIMPORT!$A$2:$AL$171,38,FALSE),"")</f>
        <v/>
      </c>
      <c r="DQ55" s="52" t="str">
        <f>IF(ISTEXT(F55)=TRUE,VLOOKUP(F55,CBIMPORT!$A$2:$AL$171,38,FALSE),"")</f>
        <v/>
      </c>
      <c r="DR55" s="52" t="str">
        <f>IF(ISTEXT(G55)=TRUE,VLOOKUP(G55,CBIMPORT!$A$2:$AL$171,38,FALSE),"")</f>
        <v/>
      </c>
      <c r="DS55" s="52" t="str">
        <f>IF(ISTEXT(H55)=TRUE,VLOOKUP(H55,CBIMPORT!$A$2:$AL$171,38,FALSE),"")</f>
        <v/>
      </c>
      <c r="DT55" s="52" t="str">
        <f>IF(ISTEXT(I55)=TRUE,VLOOKUP(I55,CBIMPORT!$A$2:$AL$171,38,FALSE),"")</f>
        <v/>
      </c>
      <c r="DU55" s="52" t="str">
        <f>IF(ISTEXT(J55)=TRUE,VLOOKUP(J55,CBIMPORT!$A$2:$AL$171,38,FALSE),"")</f>
        <v/>
      </c>
      <c r="DV55" s="52" t="str">
        <f>IF(ISTEXT(K55)=TRUE,VLOOKUP(K55,CBIMPORT!$A$2:$AL$171,38,FALSE),"")</f>
        <v/>
      </c>
      <c r="DW55" s="52" t="str">
        <f>IF(ISTEXT(L55)=TRUE,VLOOKUP(L55,CBIMPORT!$A$2:$AL$171,38,FALSE),"")</f>
        <v/>
      </c>
      <c r="DX55" s="52" t="str">
        <f>IF(ISTEXT(M55)=TRUE,VLOOKUP(M55,CBIMPORT!$A$2:$AL$171,38,FALSE),"")</f>
        <v/>
      </c>
      <c r="DY55" s="52" t="str">
        <f>IF(ISTEXT(N55)=TRUE,VLOOKUP(N55,CBIMPORT!$A$2:$AL$171,38,FALSE),"")</f>
        <v/>
      </c>
      <c r="DZ55" s="52" t="str">
        <f>IF(ISTEXT(O55)=TRUE,VLOOKUP(O55,CBIMPORT!$A$2:$AL$171,38,FALSE),"")</f>
        <v/>
      </c>
      <c r="EA55" s="52" t="str">
        <f>IF(ISTEXT(P55)=TRUE,VLOOKUP(P55,CBIMPORT!$A$2:$AL$171,38,FALSE),"")</f>
        <v/>
      </c>
      <c r="EB55" s="52" t="str">
        <f>IF(ISTEXT(Q55)=TRUE,VLOOKUP(Q55,CBIMPORT!$A$2:$AL$171,38,FALSE),"")</f>
        <v/>
      </c>
      <c r="EC55" s="52" t="str">
        <f>IF(ISTEXT(R55)=TRUE,VLOOKUP(R55,CBIMPORT!$A$2:$AL$171,38,FALSE),"")</f>
        <v/>
      </c>
      <c r="ED55" s="52" t="str">
        <f>IF(ISTEXT(S55)=TRUE,VLOOKUP(S55,CBIMPORT!$A$2:$AL$171,38,FALSE),"")</f>
        <v/>
      </c>
      <c r="EE55" s="52" t="str">
        <f>IF(ISTEXT(T55)=TRUE,VLOOKUP(T55,CBIMPORT!$A$2:$AL$171,38,FALSE),"")</f>
        <v/>
      </c>
    </row>
    <row r="56" spans="1:135" x14ac:dyDescent="0.35">
      <c r="A56" t="str">
        <v>Waymo-Trucking</v>
      </c>
      <c r="B56" s="48" t="str" cm="1">
        <f t="array" ref="B56">_xlfn.TEXTJOIN(";",TRUE,IF(ANNOUNCEMENTS!$AH$2:$AH$180=A56,ANNOUNCEMENTS!$K$2:$K$180,""))</f>
        <v>Uber Freight</v>
      </c>
      <c r="C56" s="55" t="s">
        <v>424</v>
      </c>
      <c r="D56" s="55"/>
      <c r="E56" s="55"/>
      <c r="F56" s="55"/>
      <c r="G56" s="55"/>
      <c r="H56" s="55"/>
      <c r="I56" s="55"/>
      <c r="J56" s="55"/>
      <c r="K56" s="55"/>
      <c r="L56" s="55"/>
      <c r="M56" s="55"/>
      <c r="N56" s="55"/>
      <c r="O56" s="55"/>
      <c r="P56" s="55"/>
      <c r="Q56" s="55"/>
      <c r="R56" s="55"/>
      <c r="S56" s="55"/>
      <c r="T56" s="55"/>
      <c r="V56" s="56" t="str">
        <f>IF(ISERROR(VLOOKUP(C56,CBIMPORT!$A$2:$B$171,2,FALSE)),0,VLOOKUP(C56,CBIMPORT!$A$2:$B$171,2,FALSE))</f>
        <v>Mobility Services Booking</v>
      </c>
      <c r="W56" s="56">
        <f>IF(ISERROR(VLOOKUP(D56,CBIMPORT!$A$2:$B$171,2,FALSE)),0,VLOOKUP(D56,CBIMPORT!$A$2:$B$171,2,FALSE))</f>
        <v>0</v>
      </c>
      <c r="X56" s="56">
        <f>IF(ISERROR(VLOOKUP(E56,CBIMPORT!$A$2:$B$171,2,FALSE)),0,VLOOKUP(E56,CBIMPORT!$A$2:$B$171,2,FALSE))</f>
        <v>0</v>
      </c>
      <c r="Y56" s="56">
        <f>IF(ISERROR(VLOOKUP(F56,CBIMPORT!$A$2:$B$171,2,FALSE)),0,VLOOKUP(F56,CBIMPORT!$A$2:$B$171,2,FALSE))</f>
        <v>0</v>
      </c>
      <c r="Z56" s="56">
        <f>IF(ISERROR(VLOOKUP(G56,CBIMPORT!$A$2:$B$171,2,FALSE)),0,VLOOKUP(G56,CBIMPORT!$A$2:$B$171,2,FALSE))</f>
        <v>0</v>
      </c>
      <c r="AA56" s="56">
        <f>IF(ISERROR(VLOOKUP(H56,CBIMPORT!$A$2:$B$171,2,FALSE)),0,VLOOKUP(H56,CBIMPORT!$A$2:$B$171,2,FALSE))</f>
        <v>0</v>
      </c>
      <c r="AB56" s="56">
        <f>IF(ISERROR(VLOOKUP(I56,CBIMPORT!$A$2:$B$171,2,FALSE)),0,VLOOKUP(I56,CBIMPORT!$A$2:$B$171,2,FALSE))</f>
        <v>0</v>
      </c>
      <c r="AC56" s="56">
        <f>IF(ISERROR(VLOOKUP(J56,CBIMPORT!$A$2:$B$171,2,FALSE)),0,VLOOKUP(J56,CBIMPORT!$A$2:$B$171,2,FALSE))</f>
        <v>0</v>
      </c>
      <c r="AD56" s="56">
        <f>IF(ISERROR(VLOOKUP(K56,CBIMPORT!$A$2:$B$171,2,FALSE)),0,VLOOKUP(K56,CBIMPORT!$A$2:$B$171,2,FALSE))</f>
        <v>0</v>
      </c>
      <c r="AE56" s="56">
        <f>IF(ISERROR(VLOOKUP(L56,CBIMPORT!$A$2:$B$171,2,FALSE)),0,VLOOKUP(L56,CBIMPORT!$A$2:$B$171,2,FALSE))</f>
        <v>0</v>
      </c>
      <c r="AF56" s="56">
        <f>IF(ISERROR(VLOOKUP(M56,CBIMPORT!$A$2:$B$171,2,FALSE)),0,VLOOKUP(M56,CBIMPORT!$A$2:$B$171,2,FALSE))</f>
        <v>0</v>
      </c>
      <c r="AG56" s="56">
        <f>IF(ISERROR(VLOOKUP(N56,CBIMPORT!$A$2:$B$171,2,FALSE)),0,VLOOKUP(N56,CBIMPORT!$A$2:$B$171,2,FALSE))</f>
        <v>0</v>
      </c>
      <c r="AH56" s="56">
        <f>IF(ISERROR(VLOOKUP(O56,CBIMPORT!$A$2:$B$171,2,FALSE)),0,VLOOKUP(O56,CBIMPORT!$A$2:$B$171,2,FALSE))</f>
        <v>0</v>
      </c>
      <c r="AI56" s="56">
        <f>IF(ISERROR(VLOOKUP(P56,CBIMPORT!$A$2:$B$171,2,FALSE)),0,VLOOKUP(P56,CBIMPORT!$A$2:$B$171,2,FALSE))</f>
        <v>0</v>
      </c>
      <c r="AJ56" s="56">
        <f>IF(ISERROR(VLOOKUP(Q56,CBIMPORT!$A$2:$B$171,2,FALSE)),0,VLOOKUP(Q56,CBIMPORT!$A$2:$B$171,2,FALSE))</f>
        <v>0</v>
      </c>
      <c r="AK56" s="56">
        <f>IF(ISERROR(VLOOKUP(R56,CBIMPORT!$A$2:$B$171,2,FALSE)),0,VLOOKUP(R56,CBIMPORT!$A$2:$B$171,2,FALSE))</f>
        <v>0</v>
      </c>
      <c r="AL56" s="56">
        <f>IF(ISERROR(VLOOKUP(S56,CBIMPORT!$A$2:$B$171,2,FALSE)),0,VLOOKUP(S56,CBIMPORT!$A$2:$B$171,2,FALSE))</f>
        <v>0</v>
      </c>
      <c r="AM56" s="60">
        <f t="shared" si="35"/>
        <v>0</v>
      </c>
      <c r="AN56" s="60">
        <f t="shared" si="51"/>
        <v>0</v>
      </c>
      <c r="AO56" s="60">
        <f t="shared" si="51"/>
        <v>0</v>
      </c>
      <c r="AP56" s="60">
        <f t="shared" si="51"/>
        <v>0</v>
      </c>
      <c r="AQ56" s="60">
        <f t="shared" si="51"/>
        <v>1</v>
      </c>
      <c r="AR56" s="60">
        <f t="shared" si="51"/>
        <v>0</v>
      </c>
      <c r="AS56" s="60">
        <f t="shared" si="51"/>
        <v>0</v>
      </c>
      <c r="AT56" s="60">
        <f t="shared" si="51"/>
        <v>0</v>
      </c>
      <c r="AU56" s="60">
        <f t="shared" si="51"/>
        <v>0</v>
      </c>
      <c r="AV56" s="60">
        <f t="shared" si="51"/>
        <v>0</v>
      </c>
      <c r="AW56" s="60">
        <f t="shared" si="51"/>
        <v>0</v>
      </c>
      <c r="AX56" s="60">
        <f t="shared" si="52"/>
        <v>0</v>
      </c>
      <c r="AY56" s="60">
        <f t="shared" si="52"/>
        <v>0</v>
      </c>
      <c r="AZ56" s="60">
        <f t="shared" si="52"/>
        <v>0</v>
      </c>
      <c r="BA56" s="60">
        <f t="shared" si="52"/>
        <v>0</v>
      </c>
      <c r="BB56" s="60">
        <f t="shared" si="52"/>
        <v>0</v>
      </c>
      <c r="BC56" s="60">
        <f t="shared" si="52"/>
        <v>0</v>
      </c>
      <c r="BD56" s="60">
        <f t="shared" si="52"/>
        <v>0</v>
      </c>
      <c r="BE56" s="60">
        <f t="shared" si="52"/>
        <v>0</v>
      </c>
      <c r="BF56" s="60">
        <f t="shared" si="52"/>
        <v>0</v>
      </c>
      <c r="BG56" s="60">
        <f t="shared" si="52"/>
        <v>0</v>
      </c>
      <c r="BH56" s="60">
        <f t="shared" si="53"/>
        <v>0</v>
      </c>
      <c r="BI56" s="60">
        <f t="shared" si="53"/>
        <v>0</v>
      </c>
      <c r="BJ56" s="60">
        <f t="shared" si="53"/>
        <v>0</v>
      </c>
      <c r="BK56" s="60">
        <f t="shared" si="53"/>
        <v>0</v>
      </c>
      <c r="BL56" s="60">
        <f t="shared" si="53"/>
        <v>0</v>
      </c>
      <c r="BM56" s="60">
        <f t="shared" si="53"/>
        <v>0</v>
      </c>
      <c r="BN56" s="60">
        <f t="shared" si="53"/>
        <v>0</v>
      </c>
      <c r="BO56" s="60">
        <f t="shared" si="53"/>
        <v>0</v>
      </c>
      <c r="BP56" s="60">
        <f t="shared" si="53"/>
        <v>0</v>
      </c>
      <c r="BQ56" s="60">
        <f t="shared" si="53"/>
        <v>0</v>
      </c>
      <c r="BR56" s="60">
        <f t="shared" si="54"/>
        <v>0</v>
      </c>
      <c r="BS56" s="60">
        <f t="shared" si="54"/>
        <v>0</v>
      </c>
      <c r="BT56" s="60">
        <f t="shared" si="54"/>
        <v>0</v>
      </c>
      <c r="BU56" s="60">
        <f t="shared" si="54"/>
        <v>0</v>
      </c>
      <c r="BV56" s="60">
        <f t="shared" si="54"/>
        <v>0</v>
      </c>
      <c r="BW56" s="60"/>
      <c r="BX56" s="63">
        <f t="shared" si="40"/>
        <v>0</v>
      </c>
      <c r="BY56" s="63">
        <f t="shared" si="45"/>
        <v>0</v>
      </c>
      <c r="BZ56" s="63">
        <f t="shared" si="46"/>
        <v>0</v>
      </c>
      <c r="CA56" s="63">
        <f t="shared" si="2"/>
        <v>0</v>
      </c>
      <c r="CB56" s="63">
        <f t="shared" si="3"/>
        <v>1</v>
      </c>
      <c r="CC56" s="63">
        <f t="shared" si="4"/>
        <v>0</v>
      </c>
      <c r="CD56" s="63">
        <f t="shared" si="5"/>
        <v>0</v>
      </c>
      <c r="CE56" s="63">
        <f t="shared" si="6"/>
        <v>0</v>
      </c>
      <c r="CF56" s="63">
        <f t="shared" si="7"/>
        <v>0</v>
      </c>
      <c r="CG56" s="63">
        <f t="shared" si="8"/>
        <v>0</v>
      </c>
      <c r="CH56" s="63">
        <f t="shared" si="9"/>
        <v>0</v>
      </c>
      <c r="CI56" s="63">
        <f t="shared" si="10"/>
        <v>0</v>
      </c>
      <c r="CJ56" s="63">
        <f t="shared" si="11"/>
        <v>0</v>
      </c>
      <c r="CK56" s="63">
        <f t="shared" si="12"/>
        <v>0</v>
      </c>
      <c r="CL56" s="63">
        <f t="shared" si="13"/>
        <v>0</v>
      </c>
      <c r="CM56" s="63">
        <f t="shared" si="14"/>
        <v>0</v>
      </c>
      <c r="CN56" s="63">
        <f t="shared" si="15"/>
        <v>0</v>
      </c>
      <c r="CO56" s="63">
        <f t="shared" si="16"/>
        <v>0</v>
      </c>
      <c r="CP56" s="63">
        <f t="shared" si="17"/>
        <v>0</v>
      </c>
      <c r="CQ56" s="63">
        <f t="shared" si="18"/>
        <v>0</v>
      </c>
      <c r="CR56" s="63">
        <f t="shared" si="19"/>
        <v>0</v>
      </c>
      <c r="CS56" s="63">
        <f t="shared" si="20"/>
        <v>0</v>
      </c>
      <c r="CT56" s="63">
        <f t="shared" si="21"/>
        <v>0</v>
      </c>
      <c r="CU56" s="63">
        <f t="shared" si="22"/>
        <v>0</v>
      </c>
      <c r="CV56" s="63">
        <f t="shared" si="23"/>
        <v>0</v>
      </c>
      <c r="CW56" s="63">
        <f t="shared" si="24"/>
        <v>0</v>
      </c>
      <c r="CX56" s="63">
        <f t="shared" si="25"/>
        <v>0</v>
      </c>
      <c r="CY56" s="63">
        <f t="shared" si="26"/>
        <v>0</v>
      </c>
      <c r="CZ56" s="63">
        <f t="shared" si="27"/>
        <v>0</v>
      </c>
      <c r="DA56" s="63">
        <f t="shared" si="28"/>
        <v>0</v>
      </c>
      <c r="DB56" s="63">
        <f t="shared" si="29"/>
        <v>0</v>
      </c>
      <c r="DC56" s="63">
        <f t="shared" si="30"/>
        <v>0</v>
      </c>
      <c r="DD56" s="63">
        <f t="shared" si="31"/>
        <v>0</v>
      </c>
      <c r="DE56" s="63">
        <f t="shared" si="32"/>
        <v>0</v>
      </c>
      <c r="DF56" s="63">
        <f t="shared" si="33"/>
        <v>0</v>
      </c>
      <c r="DG56" s="63">
        <f t="shared" si="34"/>
        <v>0</v>
      </c>
      <c r="DH56" s="57" t="str" cm="1">
        <f t="array" ref="DH56">INDEX(_xlfn.ANCHORARRAY($BX$2),0,MATCH(LARGE($BX56:$DG56,1),$BX56:$DG56,0))</f>
        <v>Mobility Services Booking</v>
      </c>
      <c r="DI56" s="58">
        <f>LARGE('Industries all mentioned partne'!$BX56:$DG56,1)</f>
        <v>1</v>
      </c>
      <c r="DJ56" s="57" t="str" cm="1">
        <f t="array" ref="DJ56">IF(DI56&lt;&gt;100%,INDEX(_xlfn.ANCHORARRAY($BX$2),0,MATCH(LARGE($BX56:$DG56,2),$BX56:$DG56,0)),"")</f>
        <v/>
      </c>
      <c r="DK56" s="58" t="str">
        <f>IF(DI56&lt;&gt;100%,LARGE('Industries all mentioned partne'!$BX56:$DG56,2),"")</f>
        <v/>
      </c>
      <c r="DL56" s="57" t="str" cm="1">
        <f t="array" ref="DL56">IF(DM56="","",INDEX(_xlfn.ANCHORARRAY($BX$2),0,MATCH(LARGE($BX56:$DG56,3),$BX56:$DG56,0)))</f>
        <v/>
      </c>
      <c r="DM56" s="110" t="str">
        <f>IF(LARGE('Industries all mentioned partne'!$BX56:$DG56,3)=0%,"",LARGE('Industries all mentioned partne'!$BX56:$DG56,3))</f>
        <v/>
      </c>
      <c r="DN56" s="52">
        <f>IF(ISTEXT(C56)=TRUE,VLOOKUP(C56,CBIMPORT!$A$2:$AL$171,38,FALSE),"")</f>
        <v>0</v>
      </c>
      <c r="DO56" s="52" t="str">
        <f>IF(ISTEXT(D56)=TRUE,VLOOKUP(D56,CBIMPORT!$A$2:$AL$171,38,FALSE),"")</f>
        <v/>
      </c>
      <c r="DP56" s="52" t="str">
        <f>IF(ISTEXT(E56)=TRUE,VLOOKUP(E56,CBIMPORT!$A$2:$AL$171,38,FALSE),"")</f>
        <v/>
      </c>
      <c r="DQ56" s="52" t="str">
        <f>IF(ISTEXT(F56)=TRUE,VLOOKUP(F56,CBIMPORT!$A$2:$AL$171,38,FALSE),"")</f>
        <v/>
      </c>
      <c r="DR56" s="52" t="str">
        <f>IF(ISTEXT(G56)=TRUE,VLOOKUP(G56,CBIMPORT!$A$2:$AL$171,38,FALSE),"")</f>
        <v/>
      </c>
      <c r="DS56" s="52" t="str">
        <f>IF(ISTEXT(H56)=TRUE,VLOOKUP(H56,CBIMPORT!$A$2:$AL$171,38,FALSE),"")</f>
        <v/>
      </c>
      <c r="DT56" s="52" t="str">
        <f>IF(ISTEXT(I56)=TRUE,VLOOKUP(I56,CBIMPORT!$A$2:$AL$171,38,FALSE),"")</f>
        <v/>
      </c>
      <c r="DU56" s="52" t="str">
        <f>IF(ISTEXT(J56)=TRUE,VLOOKUP(J56,CBIMPORT!$A$2:$AL$171,38,FALSE),"")</f>
        <v/>
      </c>
      <c r="DV56" s="52" t="str">
        <f>IF(ISTEXT(K56)=TRUE,VLOOKUP(K56,CBIMPORT!$A$2:$AL$171,38,FALSE),"")</f>
        <v/>
      </c>
      <c r="DW56" s="52" t="str">
        <f>IF(ISTEXT(L56)=TRUE,VLOOKUP(L56,CBIMPORT!$A$2:$AL$171,38,FALSE),"")</f>
        <v/>
      </c>
      <c r="DX56" s="52" t="str">
        <f>IF(ISTEXT(M56)=TRUE,VLOOKUP(M56,CBIMPORT!$A$2:$AL$171,38,FALSE),"")</f>
        <v/>
      </c>
      <c r="DY56" s="52" t="str">
        <f>IF(ISTEXT(N56)=TRUE,VLOOKUP(N56,CBIMPORT!$A$2:$AL$171,38,FALSE),"")</f>
        <v/>
      </c>
      <c r="DZ56" s="52" t="str">
        <f>IF(ISTEXT(O56)=TRUE,VLOOKUP(O56,CBIMPORT!$A$2:$AL$171,38,FALSE),"")</f>
        <v/>
      </c>
      <c r="EA56" s="52" t="str">
        <f>IF(ISTEXT(P56)=TRUE,VLOOKUP(P56,CBIMPORT!$A$2:$AL$171,38,FALSE),"")</f>
        <v/>
      </c>
      <c r="EB56" s="52" t="str">
        <f>IF(ISTEXT(Q56)=TRUE,VLOOKUP(Q56,CBIMPORT!$A$2:$AL$171,38,FALSE),"")</f>
        <v/>
      </c>
      <c r="EC56" s="52" t="str">
        <f>IF(ISTEXT(R56)=TRUE,VLOOKUP(R56,CBIMPORT!$A$2:$AL$171,38,FALSE),"")</f>
        <v/>
      </c>
      <c r="ED56" s="52" t="str">
        <f>IF(ISTEXT(S56)=TRUE,VLOOKUP(S56,CBIMPORT!$A$2:$AL$171,38,FALSE),"")</f>
        <v/>
      </c>
      <c r="EE56" s="52" t="str">
        <f>IF(ISTEXT(T56)=TRUE,VLOOKUP(T56,CBIMPORT!$A$2:$AL$171,38,FALSE),"")</f>
        <v/>
      </c>
    </row>
    <row r="57" spans="1:135" x14ac:dyDescent="0.35">
      <c r="A57" t="str">
        <v>Lyft-Ridehailing</v>
      </c>
      <c r="B57" s="48" t="str" cm="1">
        <f t="array" ref="B57">_xlfn.TEXTJOIN(";",TRUE,IF(ANNOUNCEMENTS!$AH$2:$AH$180=A57,ANNOUNCEMENTS!$K$2:$K$180,""))</f>
        <v>Waymo</v>
      </c>
      <c r="C57" s="55" t="s">
        <v>367</v>
      </c>
      <c r="D57" s="55"/>
      <c r="E57" s="55"/>
      <c r="F57" s="55"/>
      <c r="G57" s="55"/>
      <c r="H57" s="55"/>
      <c r="I57" s="55"/>
      <c r="J57" s="55"/>
      <c r="K57" s="55"/>
      <c r="L57" s="55"/>
      <c r="M57" s="55"/>
      <c r="N57" s="55"/>
      <c r="O57" s="55"/>
      <c r="P57" s="55"/>
      <c r="Q57" s="55"/>
      <c r="R57" s="55"/>
      <c r="S57" s="55"/>
      <c r="T57" s="55"/>
      <c r="V57" s="56" t="str">
        <f>IF(ISERROR(VLOOKUP(C57,CBIMPORT!$A$2:$B$171,2,FALSE)),0,VLOOKUP(C57,CBIMPORT!$A$2:$B$171,2,FALSE))</f>
        <v>Autonomous Vehicles</v>
      </c>
      <c r="W57" s="56">
        <f>IF(ISERROR(VLOOKUP(D57,CBIMPORT!$A$2:$B$171,2,FALSE)),0,VLOOKUP(D57,CBIMPORT!$A$2:$B$171,2,FALSE))</f>
        <v>0</v>
      </c>
      <c r="X57" s="56">
        <f>IF(ISERROR(VLOOKUP(E57,CBIMPORT!$A$2:$B$171,2,FALSE)),0,VLOOKUP(E57,CBIMPORT!$A$2:$B$171,2,FALSE))</f>
        <v>0</v>
      </c>
      <c r="Y57" s="56">
        <f>IF(ISERROR(VLOOKUP(F57,CBIMPORT!$A$2:$B$171,2,FALSE)),0,VLOOKUP(F57,CBIMPORT!$A$2:$B$171,2,FALSE))</f>
        <v>0</v>
      </c>
      <c r="Z57" s="56">
        <f>IF(ISERROR(VLOOKUP(G57,CBIMPORT!$A$2:$B$171,2,FALSE)),0,VLOOKUP(G57,CBIMPORT!$A$2:$B$171,2,FALSE))</f>
        <v>0</v>
      </c>
      <c r="AA57" s="56">
        <f>IF(ISERROR(VLOOKUP(H57,CBIMPORT!$A$2:$B$171,2,FALSE)),0,VLOOKUP(H57,CBIMPORT!$A$2:$B$171,2,FALSE))</f>
        <v>0</v>
      </c>
      <c r="AB57" s="56">
        <f>IF(ISERROR(VLOOKUP(I57,CBIMPORT!$A$2:$B$171,2,FALSE)),0,VLOOKUP(I57,CBIMPORT!$A$2:$B$171,2,FALSE))</f>
        <v>0</v>
      </c>
      <c r="AC57" s="56">
        <f>IF(ISERROR(VLOOKUP(J57,CBIMPORT!$A$2:$B$171,2,FALSE)),0,VLOOKUP(J57,CBIMPORT!$A$2:$B$171,2,FALSE))</f>
        <v>0</v>
      </c>
      <c r="AD57" s="56">
        <f>IF(ISERROR(VLOOKUP(K57,CBIMPORT!$A$2:$B$171,2,FALSE)),0,VLOOKUP(K57,CBIMPORT!$A$2:$B$171,2,FALSE))</f>
        <v>0</v>
      </c>
      <c r="AE57" s="56">
        <f>IF(ISERROR(VLOOKUP(L57,CBIMPORT!$A$2:$B$171,2,FALSE)),0,VLOOKUP(L57,CBIMPORT!$A$2:$B$171,2,FALSE))</f>
        <v>0</v>
      </c>
      <c r="AF57" s="56">
        <f>IF(ISERROR(VLOOKUP(M57,CBIMPORT!$A$2:$B$171,2,FALSE)),0,VLOOKUP(M57,CBIMPORT!$A$2:$B$171,2,FALSE))</f>
        <v>0</v>
      </c>
      <c r="AG57" s="56">
        <f>IF(ISERROR(VLOOKUP(N57,CBIMPORT!$A$2:$B$171,2,FALSE)),0,VLOOKUP(N57,CBIMPORT!$A$2:$B$171,2,FALSE))</f>
        <v>0</v>
      </c>
      <c r="AH57" s="56">
        <f>IF(ISERROR(VLOOKUP(O57,CBIMPORT!$A$2:$B$171,2,FALSE)),0,VLOOKUP(O57,CBIMPORT!$A$2:$B$171,2,FALSE))</f>
        <v>0</v>
      </c>
      <c r="AI57" s="56">
        <f>IF(ISERROR(VLOOKUP(P57,CBIMPORT!$A$2:$B$171,2,FALSE)),0,VLOOKUP(P57,CBIMPORT!$A$2:$B$171,2,FALSE))</f>
        <v>0</v>
      </c>
      <c r="AJ57" s="56">
        <f>IF(ISERROR(VLOOKUP(Q57,CBIMPORT!$A$2:$B$171,2,FALSE)),0,VLOOKUP(Q57,CBIMPORT!$A$2:$B$171,2,FALSE))</f>
        <v>0</v>
      </c>
      <c r="AK57" s="56">
        <f>IF(ISERROR(VLOOKUP(R57,CBIMPORT!$A$2:$B$171,2,FALSE)),0,VLOOKUP(R57,CBIMPORT!$A$2:$B$171,2,FALSE))</f>
        <v>0</v>
      </c>
      <c r="AL57" s="56">
        <f>IF(ISERROR(VLOOKUP(S57,CBIMPORT!$A$2:$B$171,2,FALSE)),0,VLOOKUP(S57,CBIMPORT!$A$2:$B$171,2,FALSE))</f>
        <v>0</v>
      </c>
      <c r="AM57" s="60">
        <f t="shared" si="35"/>
        <v>1</v>
      </c>
      <c r="AN57" s="60">
        <f t="shared" si="51"/>
        <v>0</v>
      </c>
      <c r="AO57" s="60">
        <f t="shared" si="51"/>
        <v>0</v>
      </c>
      <c r="AP57" s="60">
        <f t="shared" si="51"/>
        <v>0</v>
      </c>
      <c r="AQ57" s="60">
        <f t="shared" si="51"/>
        <v>0</v>
      </c>
      <c r="AR57" s="60">
        <f t="shared" si="51"/>
        <v>0</v>
      </c>
      <c r="AS57" s="60">
        <f t="shared" si="51"/>
        <v>0</v>
      </c>
      <c r="AT57" s="60">
        <f t="shared" si="51"/>
        <v>0</v>
      </c>
      <c r="AU57" s="60">
        <f t="shared" si="51"/>
        <v>0</v>
      </c>
      <c r="AV57" s="60">
        <f t="shared" si="51"/>
        <v>0</v>
      </c>
      <c r="AW57" s="60">
        <f t="shared" si="51"/>
        <v>0</v>
      </c>
      <c r="AX57" s="60">
        <f t="shared" si="52"/>
        <v>0</v>
      </c>
      <c r="AY57" s="60">
        <f t="shared" si="52"/>
        <v>0</v>
      </c>
      <c r="AZ57" s="60">
        <f t="shared" si="52"/>
        <v>0</v>
      </c>
      <c r="BA57" s="60">
        <f t="shared" si="52"/>
        <v>0</v>
      </c>
      <c r="BB57" s="60">
        <f t="shared" si="52"/>
        <v>0</v>
      </c>
      <c r="BC57" s="60">
        <f t="shared" si="52"/>
        <v>0</v>
      </c>
      <c r="BD57" s="60">
        <f t="shared" si="52"/>
        <v>0</v>
      </c>
      <c r="BE57" s="60">
        <f t="shared" si="52"/>
        <v>0</v>
      </c>
      <c r="BF57" s="60">
        <f t="shared" si="52"/>
        <v>0</v>
      </c>
      <c r="BG57" s="60">
        <f t="shared" si="52"/>
        <v>0</v>
      </c>
      <c r="BH57" s="60">
        <f t="shared" si="53"/>
        <v>0</v>
      </c>
      <c r="BI57" s="60">
        <f t="shared" si="53"/>
        <v>0</v>
      </c>
      <c r="BJ57" s="60">
        <f t="shared" si="53"/>
        <v>0</v>
      </c>
      <c r="BK57" s="60">
        <f t="shared" si="53"/>
        <v>0</v>
      </c>
      <c r="BL57" s="60">
        <f t="shared" si="53"/>
        <v>0</v>
      </c>
      <c r="BM57" s="60">
        <f t="shared" si="53"/>
        <v>0</v>
      </c>
      <c r="BN57" s="60">
        <f t="shared" si="53"/>
        <v>0</v>
      </c>
      <c r="BO57" s="60">
        <f t="shared" si="53"/>
        <v>0</v>
      </c>
      <c r="BP57" s="60">
        <f t="shared" si="53"/>
        <v>0</v>
      </c>
      <c r="BQ57" s="60">
        <f t="shared" si="53"/>
        <v>0</v>
      </c>
      <c r="BR57" s="60">
        <f t="shared" si="54"/>
        <v>0</v>
      </c>
      <c r="BS57" s="60">
        <f t="shared" si="54"/>
        <v>0</v>
      </c>
      <c r="BT57" s="60">
        <f t="shared" si="54"/>
        <v>0</v>
      </c>
      <c r="BU57" s="60">
        <f t="shared" si="54"/>
        <v>0</v>
      </c>
      <c r="BV57" s="60">
        <f t="shared" si="54"/>
        <v>0</v>
      </c>
      <c r="BW57" s="60"/>
      <c r="BX57" s="63">
        <f t="shared" si="40"/>
        <v>1</v>
      </c>
      <c r="BY57" s="63">
        <f t="shared" si="45"/>
        <v>0</v>
      </c>
      <c r="BZ57" s="63">
        <f t="shared" si="46"/>
        <v>0</v>
      </c>
      <c r="CA57" s="63">
        <f t="shared" si="2"/>
        <v>0</v>
      </c>
      <c r="CB57" s="63">
        <f t="shared" si="3"/>
        <v>0</v>
      </c>
      <c r="CC57" s="63">
        <f t="shared" si="4"/>
        <v>0</v>
      </c>
      <c r="CD57" s="63">
        <f t="shared" si="5"/>
        <v>0</v>
      </c>
      <c r="CE57" s="63">
        <f t="shared" si="6"/>
        <v>0</v>
      </c>
      <c r="CF57" s="63">
        <f t="shared" si="7"/>
        <v>0</v>
      </c>
      <c r="CG57" s="63">
        <f t="shared" si="8"/>
        <v>0</v>
      </c>
      <c r="CH57" s="63">
        <f t="shared" si="9"/>
        <v>0</v>
      </c>
      <c r="CI57" s="63">
        <f t="shared" si="10"/>
        <v>0</v>
      </c>
      <c r="CJ57" s="63">
        <f t="shared" si="11"/>
        <v>0</v>
      </c>
      <c r="CK57" s="63">
        <f t="shared" si="12"/>
        <v>0</v>
      </c>
      <c r="CL57" s="63">
        <f t="shared" si="13"/>
        <v>0</v>
      </c>
      <c r="CM57" s="63">
        <f t="shared" si="14"/>
        <v>0</v>
      </c>
      <c r="CN57" s="63">
        <f t="shared" si="15"/>
        <v>0</v>
      </c>
      <c r="CO57" s="63">
        <f t="shared" si="16"/>
        <v>0</v>
      </c>
      <c r="CP57" s="63">
        <f t="shared" si="17"/>
        <v>0</v>
      </c>
      <c r="CQ57" s="63">
        <f t="shared" si="18"/>
        <v>0</v>
      </c>
      <c r="CR57" s="63">
        <f t="shared" si="19"/>
        <v>0</v>
      </c>
      <c r="CS57" s="63">
        <f t="shared" si="20"/>
        <v>0</v>
      </c>
      <c r="CT57" s="63">
        <f t="shared" si="21"/>
        <v>0</v>
      </c>
      <c r="CU57" s="63">
        <f t="shared" si="22"/>
        <v>0</v>
      </c>
      <c r="CV57" s="63">
        <f t="shared" si="23"/>
        <v>0</v>
      </c>
      <c r="CW57" s="63">
        <f t="shared" si="24"/>
        <v>0</v>
      </c>
      <c r="CX57" s="63">
        <f t="shared" si="25"/>
        <v>0</v>
      </c>
      <c r="CY57" s="63">
        <f t="shared" si="26"/>
        <v>0</v>
      </c>
      <c r="CZ57" s="63">
        <f t="shared" si="27"/>
        <v>0</v>
      </c>
      <c r="DA57" s="63">
        <f t="shared" si="28"/>
        <v>0</v>
      </c>
      <c r="DB57" s="63">
        <f t="shared" si="29"/>
        <v>0</v>
      </c>
      <c r="DC57" s="63">
        <f t="shared" si="30"/>
        <v>0</v>
      </c>
      <c r="DD57" s="63">
        <f t="shared" si="31"/>
        <v>0</v>
      </c>
      <c r="DE57" s="63">
        <f t="shared" si="32"/>
        <v>0</v>
      </c>
      <c r="DF57" s="63">
        <f t="shared" si="33"/>
        <v>0</v>
      </c>
      <c r="DG57" s="63">
        <f t="shared" si="34"/>
        <v>0</v>
      </c>
      <c r="DH57" s="57" t="str" cm="1">
        <f t="array" ref="DH57">INDEX(_xlfn.ANCHORARRAY($BX$2),0,MATCH(LARGE($BX57:$DG57,1),$BX57:$DG57,0))</f>
        <v>Autonomous Vehicles</v>
      </c>
      <c r="DI57" s="58">
        <f>LARGE('Industries all mentioned partne'!$BX57:$DG57,1)</f>
        <v>1</v>
      </c>
      <c r="DJ57" s="57" t="str" cm="1">
        <f t="array" ref="DJ57">IF(DI57&lt;&gt;100%,INDEX(_xlfn.ANCHORARRAY($BX$2),0,MATCH(LARGE($BX57:$DG57,2),$BX57:$DG57,0)),"")</f>
        <v/>
      </c>
      <c r="DK57" s="58" t="str">
        <f>IF(DI57&lt;&gt;100%,LARGE('Industries all mentioned partne'!$BX57:$DG57,2),"")</f>
        <v/>
      </c>
      <c r="DL57" s="57" t="str" cm="1">
        <f t="array" ref="DL57">IF(DM57="","",INDEX(_xlfn.ANCHORARRAY($BX$2),0,MATCH(LARGE($BX57:$DG57,3),$BX57:$DG57,0)))</f>
        <v/>
      </c>
      <c r="DM57" s="110" t="str">
        <f>IF(LARGE('Industries all mentioned partne'!$BX57:$DG57,3)=0%,"",LARGE('Industries all mentioned partne'!$BX57:$DG57,3))</f>
        <v/>
      </c>
      <c r="DN57" s="52">
        <f>IF(ISTEXT(C57)=TRUE,VLOOKUP(C57,CBIMPORT!$A$2:$AL$171,38,FALSE),"")</f>
        <v>0</v>
      </c>
      <c r="DO57" s="52" t="str">
        <f>IF(ISTEXT(D57)=TRUE,VLOOKUP(D57,CBIMPORT!$A$2:$AL$171,38,FALSE),"")</f>
        <v/>
      </c>
      <c r="DP57" s="52" t="str">
        <f>IF(ISTEXT(E57)=TRUE,VLOOKUP(E57,CBIMPORT!$A$2:$AL$171,38,FALSE),"")</f>
        <v/>
      </c>
      <c r="DQ57" s="52" t="str">
        <f>IF(ISTEXT(F57)=TRUE,VLOOKUP(F57,CBIMPORT!$A$2:$AL$171,38,FALSE),"")</f>
        <v/>
      </c>
      <c r="DR57" s="52" t="str">
        <f>IF(ISTEXT(G57)=TRUE,VLOOKUP(G57,CBIMPORT!$A$2:$AL$171,38,FALSE),"")</f>
        <v/>
      </c>
      <c r="DS57" s="52" t="str">
        <f>IF(ISTEXT(H57)=TRUE,VLOOKUP(H57,CBIMPORT!$A$2:$AL$171,38,FALSE),"")</f>
        <v/>
      </c>
      <c r="DT57" s="52" t="str">
        <f>IF(ISTEXT(I57)=TRUE,VLOOKUP(I57,CBIMPORT!$A$2:$AL$171,38,FALSE),"")</f>
        <v/>
      </c>
      <c r="DU57" s="52" t="str">
        <f>IF(ISTEXT(J57)=TRUE,VLOOKUP(J57,CBIMPORT!$A$2:$AL$171,38,FALSE),"")</f>
        <v/>
      </c>
      <c r="DV57" s="52" t="str">
        <f>IF(ISTEXT(K57)=TRUE,VLOOKUP(K57,CBIMPORT!$A$2:$AL$171,38,FALSE),"")</f>
        <v/>
      </c>
      <c r="DW57" s="52" t="str">
        <f>IF(ISTEXT(L57)=TRUE,VLOOKUP(L57,CBIMPORT!$A$2:$AL$171,38,FALSE),"")</f>
        <v/>
      </c>
      <c r="DX57" s="52" t="str">
        <f>IF(ISTEXT(M57)=TRUE,VLOOKUP(M57,CBIMPORT!$A$2:$AL$171,38,FALSE),"")</f>
        <v/>
      </c>
      <c r="DY57" s="52" t="str">
        <f>IF(ISTEXT(N57)=TRUE,VLOOKUP(N57,CBIMPORT!$A$2:$AL$171,38,FALSE),"")</f>
        <v/>
      </c>
      <c r="DZ57" s="52" t="str">
        <f>IF(ISTEXT(O57)=TRUE,VLOOKUP(O57,CBIMPORT!$A$2:$AL$171,38,FALSE),"")</f>
        <v/>
      </c>
      <c r="EA57" s="52" t="str">
        <f>IF(ISTEXT(P57)=TRUE,VLOOKUP(P57,CBIMPORT!$A$2:$AL$171,38,FALSE),"")</f>
        <v/>
      </c>
      <c r="EB57" s="52" t="str">
        <f>IF(ISTEXT(Q57)=TRUE,VLOOKUP(Q57,CBIMPORT!$A$2:$AL$171,38,FALSE),"")</f>
        <v/>
      </c>
      <c r="EC57" s="52" t="str">
        <f>IF(ISTEXT(R57)=TRUE,VLOOKUP(R57,CBIMPORT!$A$2:$AL$171,38,FALSE),"")</f>
        <v/>
      </c>
      <c r="ED57" s="52" t="str">
        <f>IF(ISTEXT(S57)=TRUE,VLOOKUP(S57,CBIMPORT!$A$2:$AL$171,38,FALSE),"")</f>
        <v/>
      </c>
      <c r="EE57" s="52" t="str">
        <f>IF(ISTEXT(T57)=TRUE,VLOOKUP(T57,CBIMPORT!$A$2:$AL$171,38,FALSE),"")</f>
        <v/>
      </c>
    </row>
    <row r="58" spans="1:135" s="373" customFormat="1" x14ac:dyDescent="0.35">
      <c r="A58" s="373" t="str">
        <v>Waymo-Last-Mile</v>
      </c>
      <c r="B58" s="48" t="str" cm="1">
        <f t="array" ref="B58">_xlfn.TEXTJOIN(";",TRUE,IF(ANNOUNCEMENTS!$AH$2:$AH$180=A58,ANNOUNCEMENTS!$K$2:$K$180,""))</f>
        <v>Alliance Ventures (Renault, Nissan, Mitsubishi)</v>
      </c>
      <c r="C58" s="55" t="s">
        <v>472</v>
      </c>
      <c r="D58" s="55"/>
      <c r="E58" s="55"/>
      <c r="F58" s="55"/>
      <c r="G58" s="55"/>
      <c r="H58" s="55"/>
      <c r="I58" s="55"/>
      <c r="J58" s="55"/>
      <c r="K58" s="55"/>
      <c r="L58" s="55"/>
      <c r="M58" s="55"/>
      <c r="N58" s="55"/>
      <c r="O58" s="55"/>
      <c r="P58" s="55"/>
      <c r="Q58" s="55"/>
      <c r="R58" s="55"/>
      <c r="S58" s="55"/>
      <c r="T58" s="55"/>
      <c r="U58"/>
      <c r="V58" s="56" t="str">
        <f>IF(ISERROR(VLOOKUP(C58,CBIMPORT!$A$2:$B$171,2,FALSE)),0,VLOOKUP(C58,CBIMPORT!$A$2:$B$171,2,FALSE))</f>
        <v>Mobility Project</v>
      </c>
      <c r="W58" s="56">
        <f>IF(ISERROR(VLOOKUP(D58,CBIMPORT!$A$2:$B$171,2,FALSE)),0,VLOOKUP(D58,CBIMPORT!$A$2:$B$171,2,FALSE))</f>
        <v>0</v>
      </c>
      <c r="X58" s="56">
        <f>IF(ISERROR(VLOOKUP(E58,CBIMPORT!$A$2:$B$171,2,FALSE)),0,VLOOKUP(E58,CBIMPORT!$A$2:$B$171,2,FALSE))</f>
        <v>0</v>
      </c>
      <c r="Y58" s="56">
        <f>IF(ISERROR(VLOOKUP(F58,CBIMPORT!$A$2:$B$171,2,FALSE)),0,VLOOKUP(F58,CBIMPORT!$A$2:$B$171,2,FALSE))</f>
        <v>0</v>
      </c>
      <c r="Z58" s="56">
        <f>IF(ISERROR(VLOOKUP(G58,CBIMPORT!$A$2:$B$171,2,FALSE)),0,VLOOKUP(G58,CBIMPORT!$A$2:$B$171,2,FALSE))</f>
        <v>0</v>
      </c>
      <c r="AA58" s="56">
        <f>IF(ISERROR(VLOOKUP(H58,CBIMPORT!$A$2:$B$171,2,FALSE)),0,VLOOKUP(H58,CBIMPORT!$A$2:$B$171,2,FALSE))</f>
        <v>0</v>
      </c>
      <c r="AB58" s="56">
        <f>IF(ISERROR(VLOOKUP(I58,CBIMPORT!$A$2:$B$171,2,FALSE)),0,VLOOKUP(I58,CBIMPORT!$A$2:$B$171,2,FALSE))</f>
        <v>0</v>
      </c>
      <c r="AC58" s="56">
        <f>IF(ISERROR(VLOOKUP(J58,CBIMPORT!$A$2:$B$171,2,FALSE)),0,VLOOKUP(J58,CBIMPORT!$A$2:$B$171,2,FALSE))</f>
        <v>0</v>
      </c>
      <c r="AD58" s="56">
        <f>IF(ISERROR(VLOOKUP(K58,CBIMPORT!$A$2:$B$171,2,FALSE)),0,VLOOKUP(K58,CBIMPORT!$A$2:$B$171,2,FALSE))</f>
        <v>0</v>
      </c>
      <c r="AE58" s="56">
        <f>IF(ISERROR(VLOOKUP(L58,CBIMPORT!$A$2:$B$171,2,FALSE)),0,VLOOKUP(L58,CBIMPORT!$A$2:$B$171,2,FALSE))</f>
        <v>0</v>
      </c>
      <c r="AF58" s="56">
        <f>IF(ISERROR(VLOOKUP(M58,CBIMPORT!$A$2:$B$171,2,FALSE)),0,VLOOKUP(M58,CBIMPORT!$A$2:$B$171,2,FALSE))</f>
        <v>0</v>
      </c>
      <c r="AG58" s="56">
        <f>IF(ISERROR(VLOOKUP(N58,CBIMPORT!$A$2:$B$171,2,FALSE)),0,VLOOKUP(N58,CBIMPORT!$A$2:$B$171,2,FALSE))</f>
        <v>0</v>
      </c>
      <c r="AH58" s="56">
        <f>IF(ISERROR(VLOOKUP(O58,CBIMPORT!$A$2:$B$171,2,FALSE)),0,VLOOKUP(O58,CBIMPORT!$A$2:$B$171,2,FALSE))</f>
        <v>0</v>
      </c>
      <c r="AI58" s="56">
        <f>IF(ISERROR(VLOOKUP(P58,CBIMPORT!$A$2:$B$171,2,FALSE)),0,VLOOKUP(P58,CBIMPORT!$A$2:$B$171,2,FALSE))</f>
        <v>0</v>
      </c>
      <c r="AJ58" s="56">
        <f>IF(ISERROR(VLOOKUP(Q58,CBIMPORT!$A$2:$B$171,2,FALSE)),0,VLOOKUP(Q58,CBIMPORT!$A$2:$B$171,2,FALSE))</f>
        <v>0</v>
      </c>
      <c r="AK58" s="56">
        <f>IF(ISERROR(VLOOKUP(R58,CBIMPORT!$A$2:$B$171,2,FALSE)),0,VLOOKUP(R58,CBIMPORT!$A$2:$B$171,2,FALSE))</f>
        <v>0</v>
      </c>
      <c r="AL58" s="56">
        <f>IF(ISERROR(VLOOKUP(S58,CBIMPORT!$A$2:$B$171,2,FALSE)),0,VLOOKUP(S58,CBIMPORT!$A$2:$B$171,2,FALSE))</f>
        <v>0</v>
      </c>
      <c r="AM58" s="60">
        <f t="shared" si="35"/>
        <v>0</v>
      </c>
      <c r="AN58" s="60">
        <f t="shared" si="51"/>
        <v>0</v>
      </c>
      <c r="AO58" s="60">
        <f t="shared" si="51"/>
        <v>0</v>
      </c>
      <c r="AP58" s="60">
        <f t="shared" si="51"/>
        <v>0</v>
      </c>
      <c r="AQ58" s="60">
        <f t="shared" si="51"/>
        <v>0</v>
      </c>
      <c r="AR58" s="60">
        <f t="shared" si="51"/>
        <v>0</v>
      </c>
      <c r="AS58" s="60">
        <f t="shared" ref="AS58:AW58" si="55">COUNTIF($V58:$AL58,AS$2)</f>
        <v>0</v>
      </c>
      <c r="AT58" s="60">
        <f t="shared" si="55"/>
        <v>0</v>
      </c>
      <c r="AU58" s="60">
        <f t="shared" si="55"/>
        <v>1</v>
      </c>
      <c r="AV58" s="60">
        <f t="shared" si="55"/>
        <v>0</v>
      </c>
      <c r="AW58" s="60">
        <f t="shared" si="55"/>
        <v>0</v>
      </c>
      <c r="AX58" s="60">
        <f t="shared" si="52"/>
        <v>0</v>
      </c>
      <c r="AY58" s="60">
        <f t="shared" si="52"/>
        <v>0</v>
      </c>
      <c r="AZ58" s="60">
        <f t="shared" si="52"/>
        <v>0</v>
      </c>
      <c r="BA58" s="60">
        <f t="shared" si="52"/>
        <v>0</v>
      </c>
      <c r="BB58" s="60">
        <f t="shared" si="52"/>
        <v>0</v>
      </c>
      <c r="BC58" s="60">
        <f t="shared" ref="BC58:BG58" si="56">COUNTIF($V58:$AL58,BC$2)</f>
        <v>0</v>
      </c>
      <c r="BD58" s="60">
        <f t="shared" si="56"/>
        <v>0</v>
      </c>
      <c r="BE58" s="60">
        <f t="shared" si="56"/>
        <v>0</v>
      </c>
      <c r="BF58" s="60">
        <f t="shared" si="56"/>
        <v>0</v>
      </c>
      <c r="BG58" s="60">
        <f t="shared" si="56"/>
        <v>0</v>
      </c>
      <c r="BH58" s="60">
        <f t="shared" si="53"/>
        <v>0</v>
      </c>
      <c r="BI58" s="60">
        <f t="shared" si="53"/>
        <v>0</v>
      </c>
      <c r="BJ58" s="60">
        <f t="shared" si="53"/>
        <v>0</v>
      </c>
      <c r="BK58" s="60">
        <f t="shared" si="53"/>
        <v>0</v>
      </c>
      <c r="BL58" s="60">
        <f t="shared" si="53"/>
        <v>0</v>
      </c>
      <c r="BM58" s="60">
        <f t="shared" ref="BM58:BQ58" si="57">COUNTIF($V58:$AL58,BM$2)</f>
        <v>0</v>
      </c>
      <c r="BN58" s="60">
        <f t="shared" si="57"/>
        <v>0</v>
      </c>
      <c r="BO58" s="60">
        <f t="shared" si="57"/>
        <v>0</v>
      </c>
      <c r="BP58" s="60">
        <f t="shared" si="57"/>
        <v>0</v>
      </c>
      <c r="BQ58" s="60">
        <f t="shared" si="57"/>
        <v>0</v>
      </c>
      <c r="BR58" s="60">
        <f t="shared" si="54"/>
        <v>0</v>
      </c>
      <c r="BS58" s="60">
        <f t="shared" si="54"/>
        <v>0</v>
      </c>
      <c r="BT58" s="60">
        <f t="shared" si="54"/>
        <v>0</v>
      </c>
      <c r="BU58" s="60">
        <f t="shared" si="54"/>
        <v>0</v>
      </c>
      <c r="BV58" s="60">
        <f t="shared" si="54"/>
        <v>0</v>
      </c>
      <c r="BW58" s="60"/>
      <c r="BX58" s="63">
        <f t="shared" si="40"/>
        <v>0</v>
      </c>
      <c r="BY58" s="63">
        <f t="shared" si="45"/>
        <v>0</v>
      </c>
      <c r="BZ58" s="63">
        <f t="shared" si="46"/>
        <v>0</v>
      </c>
      <c r="CA58" s="63">
        <f t="shared" si="2"/>
        <v>0</v>
      </c>
      <c r="CB58" s="63">
        <f t="shared" si="3"/>
        <v>0</v>
      </c>
      <c r="CC58" s="63">
        <f t="shared" si="4"/>
        <v>0</v>
      </c>
      <c r="CD58" s="63">
        <f t="shared" si="5"/>
        <v>0</v>
      </c>
      <c r="CE58" s="63">
        <f t="shared" si="6"/>
        <v>0</v>
      </c>
      <c r="CF58" s="63">
        <f t="shared" si="7"/>
        <v>1</v>
      </c>
      <c r="CG58" s="63">
        <f t="shared" si="8"/>
        <v>0</v>
      </c>
      <c r="CH58" s="63">
        <f t="shared" si="9"/>
        <v>0</v>
      </c>
      <c r="CI58" s="63">
        <f t="shared" si="10"/>
        <v>0</v>
      </c>
      <c r="CJ58" s="63">
        <f t="shared" si="11"/>
        <v>0</v>
      </c>
      <c r="CK58" s="63">
        <f t="shared" si="12"/>
        <v>0</v>
      </c>
      <c r="CL58" s="63">
        <f t="shared" si="13"/>
        <v>0</v>
      </c>
      <c r="CM58" s="63">
        <f t="shared" si="14"/>
        <v>0</v>
      </c>
      <c r="CN58" s="63">
        <f t="shared" si="15"/>
        <v>0</v>
      </c>
      <c r="CO58" s="63">
        <f t="shared" si="16"/>
        <v>0</v>
      </c>
      <c r="CP58" s="63">
        <f t="shared" si="17"/>
        <v>0</v>
      </c>
      <c r="CQ58" s="63">
        <f t="shared" si="18"/>
        <v>0</v>
      </c>
      <c r="CR58" s="63">
        <f t="shared" si="19"/>
        <v>0</v>
      </c>
      <c r="CS58" s="63">
        <f t="shared" si="20"/>
        <v>0</v>
      </c>
      <c r="CT58" s="63">
        <f t="shared" si="21"/>
        <v>0</v>
      </c>
      <c r="CU58" s="63">
        <f t="shared" si="22"/>
        <v>0</v>
      </c>
      <c r="CV58" s="63">
        <f t="shared" si="23"/>
        <v>0</v>
      </c>
      <c r="CW58" s="63">
        <f t="shared" si="24"/>
        <v>0</v>
      </c>
      <c r="CX58" s="63">
        <f t="shared" si="25"/>
        <v>0</v>
      </c>
      <c r="CY58" s="63">
        <f t="shared" si="26"/>
        <v>0</v>
      </c>
      <c r="CZ58" s="63">
        <f t="shared" si="27"/>
        <v>0</v>
      </c>
      <c r="DA58" s="63">
        <f t="shared" si="28"/>
        <v>0</v>
      </c>
      <c r="DB58" s="63">
        <f t="shared" si="29"/>
        <v>0</v>
      </c>
      <c r="DC58" s="63">
        <f t="shared" si="30"/>
        <v>0</v>
      </c>
      <c r="DD58" s="63">
        <f t="shared" si="31"/>
        <v>0</v>
      </c>
      <c r="DE58" s="63">
        <f t="shared" si="32"/>
        <v>0</v>
      </c>
      <c r="DF58" s="63">
        <f t="shared" si="33"/>
        <v>0</v>
      </c>
      <c r="DG58" s="63">
        <f t="shared" si="34"/>
        <v>0</v>
      </c>
      <c r="DH58" s="57" t="str" cm="1">
        <f t="array" ref="DH58">INDEX(_xlfn.ANCHORARRAY($BX$2),0,MATCH(LARGE($BX58:$DG58,1),$BX58:$DG58,0))</f>
        <v>Mobility Project</v>
      </c>
      <c r="DI58" s="58">
        <f>LARGE('Industries all mentioned partne'!$BX58:$DG58,1)</f>
        <v>1</v>
      </c>
      <c r="DJ58" s="57" t="str" cm="1">
        <f t="array" ref="DJ58">IF(DI58&lt;&gt;100%,INDEX(_xlfn.ANCHORARRAY($BX$2),0,MATCH(LARGE($BX58:$DG58,2),$BX58:$DG58,0)),"")</f>
        <v/>
      </c>
      <c r="DK58" s="58" t="str">
        <f>IF(DI58&lt;&gt;100%,LARGE('Industries all mentioned partne'!$BX58:$DG58,2),"")</f>
        <v/>
      </c>
      <c r="DL58" s="57" t="str" cm="1">
        <f t="array" ref="DL58">IF(DM58="","",INDEX(_xlfn.ANCHORARRAY($BX$2),0,MATCH(LARGE($BX58:$DG58,3),$BX58:$DG58,0)))</f>
        <v/>
      </c>
      <c r="DM58" s="110" t="str">
        <f>IF(LARGE('Industries all mentioned partne'!$BX58:$DG58,3)=0%,"",LARGE('Industries all mentioned partne'!$BX58:$DG58,3))</f>
        <v/>
      </c>
      <c r="DN58" s="52">
        <f>IF(ISTEXT(C58)=TRUE,VLOOKUP(C58,CBIMPORT!$A$2:$AL$171,38,FALSE),"")</f>
        <v>0</v>
      </c>
      <c r="DO58" s="52" t="str">
        <f>IF(ISTEXT(D58)=TRUE,VLOOKUP(D58,CBIMPORT!$A$2:$AL$171,38,FALSE),"")</f>
        <v/>
      </c>
      <c r="DP58" s="52" t="str">
        <f>IF(ISTEXT(E58)=TRUE,VLOOKUP(E58,CBIMPORT!$A$2:$AL$171,38,FALSE),"")</f>
        <v/>
      </c>
      <c r="DQ58" s="52" t="str">
        <f>IF(ISTEXT(F58)=TRUE,VLOOKUP(F58,CBIMPORT!$A$2:$AL$171,38,FALSE),"")</f>
        <v/>
      </c>
      <c r="DR58" s="52" t="str">
        <f>IF(ISTEXT(G58)=TRUE,VLOOKUP(G58,CBIMPORT!$A$2:$AL$171,38,FALSE),"")</f>
        <v/>
      </c>
      <c r="DS58" s="52" t="str">
        <f>IF(ISTEXT(H58)=TRUE,VLOOKUP(H58,CBIMPORT!$A$2:$AL$171,38,FALSE),"")</f>
        <v/>
      </c>
      <c r="DT58" s="52" t="str">
        <f>IF(ISTEXT(I58)=TRUE,VLOOKUP(I58,CBIMPORT!$A$2:$AL$171,38,FALSE),"")</f>
        <v/>
      </c>
      <c r="DU58" s="52" t="str">
        <f>IF(ISTEXT(J58)=TRUE,VLOOKUP(J58,CBIMPORT!$A$2:$AL$171,38,FALSE),"")</f>
        <v/>
      </c>
      <c r="DV58" s="52" t="str">
        <f>IF(ISTEXT(K58)=TRUE,VLOOKUP(K58,CBIMPORT!$A$2:$AL$171,38,FALSE),"")</f>
        <v/>
      </c>
      <c r="DW58" s="52" t="str">
        <f>IF(ISTEXT(L58)=TRUE,VLOOKUP(L58,CBIMPORT!$A$2:$AL$171,38,FALSE),"")</f>
        <v/>
      </c>
      <c r="DX58" s="52" t="str">
        <f>IF(ISTEXT(M58)=TRUE,VLOOKUP(M58,CBIMPORT!$A$2:$AL$171,38,FALSE),"")</f>
        <v/>
      </c>
      <c r="DY58" s="52" t="str">
        <f>IF(ISTEXT(N58)=TRUE,VLOOKUP(N58,CBIMPORT!$A$2:$AL$171,38,FALSE),"")</f>
        <v/>
      </c>
      <c r="DZ58" s="52" t="str">
        <f>IF(ISTEXT(O58)=TRUE,VLOOKUP(O58,CBIMPORT!$A$2:$AL$171,38,FALSE),"")</f>
        <v/>
      </c>
      <c r="EA58" s="52" t="str">
        <f>IF(ISTEXT(P58)=TRUE,VLOOKUP(P58,CBIMPORT!$A$2:$AL$171,38,FALSE),"")</f>
        <v/>
      </c>
      <c r="EB58" s="52" t="str">
        <f>IF(ISTEXT(Q58)=TRUE,VLOOKUP(Q58,CBIMPORT!$A$2:$AL$171,38,FALSE),"")</f>
        <v/>
      </c>
      <c r="EC58" s="52" t="str">
        <f>IF(ISTEXT(R58)=TRUE,VLOOKUP(R58,CBIMPORT!$A$2:$AL$171,38,FALSE),"")</f>
        <v/>
      </c>
      <c r="ED58" s="52" t="str">
        <f>IF(ISTEXT(S58)=TRUE,VLOOKUP(S58,CBIMPORT!$A$2:$AL$171,38,FALSE),"")</f>
        <v/>
      </c>
      <c r="EE58" s="52" t="str">
        <f>IF(ISTEXT(T58)=TRUE,VLOOKUP(T58,CBIMPORT!$A$2:$AL$171,38,FALSE),"")</f>
        <v/>
      </c>
    </row>
    <row r="59" spans="1:135" x14ac:dyDescent="0.35">
      <c r="W59" s="373"/>
      <c r="X59" s="373"/>
      <c r="Y59" s="373"/>
      <c r="Z59" s="373"/>
      <c r="AA59" s="373"/>
      <c r="AB59" s="373"/>
      <c r="AC59" s="373"/>
      <c r="AD59" s="373"/>
      <c r="AE59" s="373"/>
      <c r="AF59" s="373"/>
      <c r="AG59" s="373"/>
      <c r="AH59" s="373"/>
      <c r="AI59" s="373"/>
      <c r="AJ59" s="373"/>
      <c r="AK59" s="373"/>
      <c r="AL59" s="373"/>
      <c r="AM59" s="373"/>
      <c r="AN59" s="373"/>
      <c r="AO59" s="373"/>
      <c r="AP59" s="373"/>
      <c r="AQ59" s="373"/>
      <c r="AR59" s="373"/>
      <c r="AS59" s="373"/>
      <c r="AT59" s="373"/>
      <c r="AU59" s="373"/>
      <c r="AV59" s="373"/>
      <c r="AW59" s="373"/>
      <c r="AX59" s="373"/>
      <c r="AY59" s="373"/>
      <c r="AZ59" s="373"/>
      <c r="BA59" s="373"/>
      <c r="BB59" s="373"/>
      <c r="BC59" s="373"/>
      <c r="BD59" s="373"/>
      <c r="BE59" s="373"/>
      <c r="BF59" s="373"/>
      <c r="BG59" s="373"/>
      <c r="BH59" s="373"/>
      <c r="BI59" s="373"/>
      <c r="BJ59" s="373"/>
      <c r="BK59" s="373"/>
      <c r="BL59" s="373"/>
      <c r="BM59" s="373"/>
      <c r="BN59" s="373"/>
      <c r="BO59" s="373"/>
      <c r="BP59" s="373"/>
      <c r="BQ59" s="373"/>
      <c r="BR59" s="373"/>
      <c r="BS59" s="373"/>
      <c r="BT59" s="373"/>
      <c r="BU59" s="373"/>
      <c r="BV59" s="373"/>
      <c r="BW59" s="373"/>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c r="DA59" s="374"/>
      <c r="DB59" s="374"/>
      <c r="DC59" s="374"/>
      <c r="DD59" s="374"/>
      <c r="DE59" s="374"/>
      <c r="DF59" s="374"/>
      <c r="DG59" s="374"/>
      <c r="DH59" s="374"/>
      <c r="DI59" s="374"/>
      <c r="DJ59" s="374"/>
      <c r="DK59" s="374"/>
      <c r="DL59" s="374"/>
      <c r="DM59" s="374"/>
      <c r="DN59" s="375"/>
      <c r="DO59" s="375"/>
      <c r="DP59" s="375"/>
      <c r="DQ59" s="375"/>
      <c r="DR59" s="375"/>
      <c r="DS59" s="375"/>
      <c r="DT59" s="375"/>
      <c r="DU59" s="375"/>
      <c r="DV59" s="375"/>
      <c r="DW59" s="375"/>
      <c r="DX59" s="375"/>
      <c r="DY59" s="375"/>
      <c r="DZ59" s="375"/>
      <c r="EA59" s="375"/>
      <c r="EB59" s="375"/>
      <c r="EC59" s="375"/>
      <c r="ED59" s="375"/>
      <c r="EE59" s="375"/>
    </row>
    <row r="60" spans="1:135" x14ac:dyDescent="0.35">
      <c r="W60" s="373"/>
      <c r="X60" s="373"/>
      <c r="Y60" s="373"/>
      <c r="Z60" s="373"/>
      <c r="AA60" s="373"/>
      <c r="AB60" s="373"/>
      <c r="AC60" s="373"/>
      <c r="AD60" s="373"/>
      <c r="AE60" s="373"/>
      <c r="AF60" s="373"/>
      <c r="AG60" s="373"/>
      <c r="AH60" s="373"/>
      <c r="AI60" s="373"/>
      <c r="AJ60" s="373"/>
      <c r="AK60" s="373"/>
      <c r="AL60" s="373"/>
      <c r="AM60" s="373"/>
      <c r="AN60" s="373"/>
      <c r="AO60" s="373"/>
      <c r="AP60" s="373"/>
      <c r="AQ60" s="373"/>
      <c r="AR60" s="373"/>
      <c r="AS60" s="373"/>
      <c r="AT60" s="373"/>
      <c r="AU60" s="373"/>
      <c r="AV60" s="373"/>
      <c r="AW60" s="373"/>
      <c r="AX60" s="373"/>
      <c r="AY60" s="373"/>
      <c r="AZ60" s="373"/>
      <c r="BA60" s="373"/>
      <c r="BB60" s="373"/>
      <c r="BC60" s="373"/>
      <c r="BD60" s="373"/>
      <c r="BE60" s="373"/>
      <c r="BF60" s="373"/>
      <c r="BG60" s="373"/>
      <c r="BH60" s="373"/>
      <c r="BI60" s="373"/>
      <c r="BJ60" s="373"/>
      <c r="BK60" s="373"/>
      <c r="BL60" s="373"/>
      <c r="BM60" s="373"/>
      <c r="BN60" s="373"/>
      <c r="BO60" s="373"/>
      <c r="BP60" s="373"/>
      <c r="BQ60" s="373"/>
      <c r="BR60" s="373"/>
      <c r="BS60" s="373"/>
      <c r="BT60" s="373"/>
      <c r="BU60" s="373"/>
      <c r="BV60" s="373"/>
      <c r="BW60" s="373"/>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c r="DG60" s="374"/>
      <c r="DH60" s="374"/>
      <c r="DI60" s="374"/>
      <c r="DJ60" s="374"/>
      <c r="DK60" s="374"/>
      <c r="DL60" s="374"/>
      <c r="DM60" s="374"/>
      <c r="DN60" s="375"/>
      <c r="DO60" s="375"/>
      <c r="DP60" s="375"/>
      <c r="DQ60" s="375"/>
      <c r="DR60" s="375"/>
      <c r="DS60" s="375"/>
      <c r="DT60" s="375"/>
      <c r="DU60" s="375"/>
      <c r="DV60" s="375"/>
      <c r="DW60" s="375"/>
      <c r="DX60" s="375"/>
      <c r="DY60" s="375"/>
      <c r="DZ60" s="375"/>
      <c r="EA60" s="375"/>
      <c r="EB60" s="375"/>
      <c r="EC60" s="375"/>
      <c r="ED60" s="375"/>
      <c r="EE60" s="375"/>
    </row>
    <row r="61" spans="1:135" x14ac:dyDescent="0.35">
      <c r="W61" s="373"/>
      <c r="X61" s="373"/>
      <c r="Y61" s="373"/>
      <c r="Z61" s="373"/>
      <c r="AA61" s="373"/>
      <c r="AB61" s="373"/>
      <c r="AC61" s="373"/>
      <c r="AD61" s="373"/>
      <c r="AE61" s="373"/>
      <c r="AF61" s="373"/>
      <c r="AG61" s="373"/>
      <c r="AH61" s="373"/>
      <c r="AI61" s="373"/>
      <c r="AJ61" s="373"/>
      <c r="AK61" s="373"/>
      <c r="AL61" s="373"/>
      <c r="AM61" s="373"/>
      <c r="AN61" s="373"/>
      <c r="AO61" s="373"/>
      <c r="AP61" s="373"/>
      <c r="AQ61" s="373"/>
      <c r="AR61" s="373"/>
      <c r="AS61" s="373"/>
      <c r="AT61" s="373"/>
      <c r="AU61" s="373"/>
      <c r="AV61" s="373"/>
      <c r="AW61" s="373"/>
      <c r="AX61" s="373"/>
      <c r="AY61" s="373"/>
      <c r="AZ61" s="373"/>
      <c r="BA61" s="373"/>
      <c r="BB61" s="373"/>
      <c r="BC61" s="373"/>
      <c r="BD61" s="373"/>
      <c r="BE61" s="373"/>
      <c r="BF61" s="373"/>
      <c r="BG61" s="373"/>
      <c r="BH61" s="373"/>
      <c r="BI61" s="373"/>
      <c r="BJ61" s="373"/>
      <c r="BK61" s="373"/>
      <c r="BL61" s="373"/>
      <c r="BM61" s="373"/>
      <c r="BN61" s="373"/>
      <c r="BO61" s="373"/>
      <c r="BP61" s="373"/>
      <c r="BQ61" s="373"/>
      <c r="BR61" s="373"/>
      <c r="BS61" s="373"/>
      <c r="BT61" s="373"/>
      <c r="BU61" s="373"/>
      <c r="BV61" s="373"/>
      <c r="BW61" s="373"/>
      <c r="BX61" s="374"/>
      <c r="BY61" s="374"/>
      <c r="BZ61" s="374"/>
      <c r="CA61" s="374"/>
      <c r="CB61" s="374"/>
      <c r="CC61" s="374"/>
      <c r="CD61" s="374"/>
      <c r="CE61" s="374"/>
      <c r="CF61" s="374"/>
      <c r="CG61" s="374"/>
      <c r="CH61" s="374"/>
      <c r="CI61" s="374"/>
      <c r="CJ61" s="374"/>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5"/>
      <c r="DO61" s="375"/>
      <c r="DP61" s="375"/>
      <c r="DQ61" s="375"/>
      <c r="DR61" s="375"/>
      <c r="DS61" s="375"/>
      <c r="DT61" s="375"/>
      <c r="DU61" s="375"/>
      <c r="DV61" s="375"/>
      <c r="DW61" s="375"/>
      <c r="DX61" s="375"/>
      <c r="DY61" s="375"/>
      <c r="DZ61" s="375"/>
      <c r="EA61" s="375"/>
      <c r="EB61" s="375"/>
      <c r="EC61" s="375"/>
      <c r="ED61" s="375"/>
      <c r="EE61" s="375"/>
    </row>
    <row r="62" spans="1:135" x14ac:dyDescent="0.35">
      <c r="W62" s="373"/>
      <c r="X62" s="373"/>
      <c r="Y62" s="373"/>
      <c r="Z62" s="373"/>
      <c r="AA62" s="373"/>
      <c r="AB62" s="373"/>
      <c r="AC62" s="373"/>
      <c r="AD62" s="373"/>
      <c r="AE62" s="373"/>
      <c r="AF62" s="373"/>
      <c r="AG62" s="373"/>
      <c r="AH62" s="373"/>
      <c r="AI62" s="373"/>
      <c r="AJ62" s="373"/>
      <c r="AK62" s="373"/>
      <c r="AL62" s="373"/>
      <c r="AM62" s="373"/>
      <c r="AN62" s="373"/>
      <c r="AO62" s="373"/>
      <c r="AP62" s="373"/>
      <c r="AQ62" s="373"/>
      <c r="AR62" s="373"/>
      <c r="AS62" s="373"/>
      <c r="AT62" s="373"/>
      <c r="AU62" s="373"/>
      <c r="AV62" s="373"/>
      <c r="AW62" s="373"/>
      <c r="AX62" s="373"/>
      <c r="AY62" s="373"/>
      <c r="AZ62" s="373"/>
      <c r="BA62" s="373"/>
      <c r="BB62" s="373"/>
      <c r="BC62" s="373"/>
      <c r="BD62" s="373"/>
      <c r="BE62" s="373"/>
      <c r="BF62" s="373"/>
      <c r="BG62" s="373"/>
      <c r="BH62" s="373"/>
      <c r="BI62" s="373"/>
      <c r="BJ62" s="373"/>
      <c r="BK62" s="373"/>
      <c r="BL62" s="373"/>
      <c r="BM62" s="373"/>
      <c r="BN62" s="373"/>
      <c r="BO62" s="373"/>
      <c r="BP62" s="373"/>
      <c r="BQ62" s="373"/>
      <c r="BR62" s="373"/>
      <c r="BS62" s="373"/>
      <c r="BT62" s="373"/>
      <c r="BU62" s="373"/>
      <c r="BV62" s="373"/>
      <c r="BW62" s="373"/>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c r="DI62" s="374"/>
      <c r="DJ62" s="374"/>
      <c r="DK62" s="374"/>
      <c r="DL62" s="374"/>
      <c r="DM62" s="374"/>
      <c r="DN62" s="375"/>
      <c r="DO62" s="375"/>
      <c r="DP62" s="375"/>
      <c r="DQ62" s="375"/>
      <c r="DR62" s="375"/>
      <c r="DS62" s="375"/>
      <c r="DT62" s="375"/>
      <c r="DU62" s="375"/>
      <c r="DV62" s="375"/>
      <c r="DW62" s="375"/>
      <c r="DX62" s="375"/>
      <c r="DY62" s="375"/>
      <c r="DZ62" s="375"/>
      <c r="EA62" s="375"/>
      <c r="EB62" s="375"/>
      <c r="EC62" s="375"/>
      <c r="ED62" s="375"/>
      <c r="EE62" s="375"/>
    </row>
    <row r="63" spans="1:135" x14ac:dyDescent="0.35">
      <c r="W63" s="373"/>
      <c r="X63" s="373"/>
      <c r="Y63" s="373"/>
      <c r="Z63" s="373"/>
      <c r="AA63" s="373"/>
      <c r="AB63" s="373"/>
      <c r="AC63" s="373"/>
      <c r="AD63" s="373"/>
      <c r="AE63" s="373"/>
      <c r="AF63" s="373"/>
      <c r="AG63" s="373"/>
      <c r="AH63" s="373"/>
      <c r="AI63" s="373"/>
      <c r="AJ63" s="373"/>
      <c r="AK63" s="373"/>
      <c r="AL63" s="373"/>
      <c r="AM63" s="373"/>
      <c r="AN63" s="373"/>
      <c r="AO63" s="373"/>
      <c r="AP63" s="373"/>
      <c r="AQ63" s="373"/>
      <c r="AR63" s="373"/>
      <c r="AS63" s="373"/>
      <c r="AT63" s="373"/>
      <c r="AU63" s="373"/>
      <c r="AV63" s="373"/>
      <c r="AW63" s="373"/>
      <c r="AX63" s="373"/>
      <c r="AY63" s="373"/>
      <c r="AZ63" s="373"/>
      <c r="BA63" s="373"/>
      <c r="BB63" s="373"/>
      <c r="BC63" s="373"/>
      <c r="BD63" s="373"/>
      <c r="BE63" s="373"/>
      <c r="BF63" s="373"/>
      <c r="BG63" s="373"/>
      <c r="BH63" s="373"/>
      <c r="BI63" s="373"/>
      <c r="BJ63" s="373"/>
      <c r="BK63" s="373"/>
      <c r="BL63" s="373"/>
      <c r="BM63" s="373"/>
      <c r="BN63" s="373"/>
      <c r="BO63" s="373"/>
      <c r="BP63" s="373"/>
      <c r="BQ63" s="373"/>
      <c r="BR63" s="373"/>
      <c r="BS63" s="373"/>
      <c r="BT63" s="373"/>
      <c r="BU63" s="373"/>
      <c r="BV63" s="373"/>
      <c r="BW63" s="373"/>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c r="CT63" s="374"/>
      <c r="CU63" s="374"/>
      <c r="CV63" s="374"/>
      <c r="CW63" s="374"/>
      <c r="CX63" s="374"/>
      <c r="CY63" s="374"/>
      <c r="CZ63" s="374"/>
      <c r="DA63" s="374"/>
      <c r="DB63" s="374"/>
      <c r="DC63" s="374"/>
      <c r="DD63" s="374"/>
      <c r="DE63" s="374"/>
      <c r="DF63" s="374"/>
      <c r="DG63" s="374"/>
      <c r="DH63" s="374"/>
      <c r="DI63" s="374"/>
      <c r="DJ63" s="374"/>
      <c r="DK63" s="374"/>
      <c r="DL63" s="374"/>
      <c r="DM63" s="374"/>
      <c r="DN63" s="375"/>
      <c r="DO63" s="375"/>
      <c r="DP63" s="375"/>
      <c r="DQ63" s="375"/>
      <c r="DR63" s="375"/>
      <c r="DS63" s="375"/>
      <c r="DT63" s="375"/>
      <c r="DU63" s="375"/>
      <c r="DV63" s="375"/>
      <c r="DW63" s="375"/>
      <c r="DX63" s="375"/>
      <c r="DY63" s="375"/>
      <c r="DZ63" s="375"/>
      <c r="EA63" s="375"/>
      <c r="EB63" s="375"/>
      <c r="EC63" s="375"/>
      <c r="ED63" s="375"/>
      <c r="EE63" s="375"/>
    </row>
    <row r="64" spans="1:135" x14ac:dyDescent="0.35">
      <c r="W64" s="373"/>
      <c r="X64" s="373"/>
      <c r="Y64" s="373"/>
      <c r="Z64" s="373"/>
      <c r="AA64" s="373"/>
      <c r="AB64" s="373"/>
      <c r="AC64" s="373"/>
      <c r="AD64" s="373"/>
      <c r="AE64" s="373"/>
      <c r="AF64" s="373"/>
      <c r="AG64" s="373"/>
      <c r="AH64" s="373"/>
      <c r="AI64" s="373"/>
      <c r="AJ64" s="373"/>
      <c r="AK64" s="373"/>
      <c r="AL64" s="373"/>
      <c r="AM64" s="373"/>
      <c r="AN64" s="373"/>
      <c r="AO64" s="373"/>
      <c r="AP64" s="373"/>
      <c r="AQ64" s="373"/>
      <c r="AR64" s="373"/>
      <c r="AS64" s="373"/>
      <c r="AT64" s="373"/>
      <c r="AU64" s="373"/>
      <c r="AV64" s="373"/>
      <c r="AW64" s="373"/>
      <c r="AX64" s="373"/>
      <c r="AY64" s="373"/>
      <c r="AZ64" s="373"/>
      <c r="BA64" s="373"/>
      <c r="BB64" s="373"/>
      <c r="BC64" s="373"/>
      <c r="BD64" s="373"/>
      <c r="BE64" s="373"/>
      <c r="BF64" s="373"/>
      <c r="BG64" s="373"/>
      <c r="BH64" s="373"/>
      <c r="BI64" s="373"/>
      <c r="BJ64" s="373"/>
      <c r="BK64" s="373"/>
      <c r="BL64" s="373"/>
      <c r="BM64" s="373"/>
      <c r="BN64" s="373"/>
      <c r="BO64" s="373"/>
      <c r="BP64" s="373"/>
      <c r="BQ64" s="373"/>
      <c r="BR64" s="373"/>
      <c r="BS64" s="373"/>
      <c r="BT64" s="373"/>
      <c r="BU64" s="373"/>
      <c r="BV64" s="373"/>
      <c r="BW64" s="373"/>
      <c r="BX64" s="374"/>
      <c r="BY64" s="374"/>
      <c r="BZ64" s="374"/>
      <c r="CA64" s="374"/>
      <c r="CB64" s="374"/>
      <c r="CC64" s="374"/>
      <c r="CD64" s="374"/>
      <c r="CE64" s="374"/>
      <c r="CF64" s="374"/>
      <c r="CG64" s="374"/>
      <c r="CH64" s="374"/>
      <c r="CI64" s="374"/>
      <c r="CJ64" s="374"/>
      <c r="CK64" s="374"/>
      <c r="CL64" s="374"/>
      <c r="CM64" s="374"/>
      <c r="CN64" s="374"/>
      <c r="CO64" s="374"/>
      <c r="CP64" s="374"/>
      <c r="CQ64" s="374"/>
      <c r="CR64" s="374"/>
      <c r="CS64" s="374"/>
      <c r="CT64" s="374"/>
      <c r="CU64" s="374"/>
      <c r="CV64" s="374"/>
      <c r="CW64" s="374"/>
      <c r="CX64" s="374"/>
      <c r="CY64" s="374"/>
      <c r="CZ64" s="374"/>
      <c r="DA64" s="374"/>
      <c r="DB64" s="374"/>
      <c r="DC64" s="374"/>
      <c r="DD64" s="374"/>
      <c r="DE64" s="374"/>
      <c r="DF64" s="374"/>
      <c r="DG64" s="374"/>
      <c r="DH64" s="374"/>
      <c r="DI64" s="374"/>
      <c r="DJ64" s="374"/>
      <c r="DK64" s="374"/>
      <c r="DL64" s="374"/>
      <c r="DM64" s="374"/>
      <c r="DN64" s="375"/>
      <c r="DO64" s="375"/>
      <c r="DP64" s="375"/>
      <c r="DQ64" s="375"/>
      <c r="DR64" s="375"/>
      <c r="DS64" s="375"/>
      <c r="DT64" s="375"/>
      <c r="DU64" s="375"/>
      <c r="DV64" s="375"/>
      <c r="DW64" s="375"/>
      <c r="DX64" s="375"/>
      <c r="DY64" s="375"/>
      <c r="DZ64" s="375"/>
      <c r="EA64" s="375"/>
      <c r="EB64" s="375"/>
      <c r="EC64" s="375"/>
      <c r="ED64" s="375"/>
      <c r="EE64" s="375"/>
    </row>
    <row r="65" spans="1:135" x14ac:dyDescent="0.35">
      <c r="W65" s="373"/>
      <c r="X65" s="373"/>
      <c r="Y65" s="373"/>
      <c r="Z65" s="373"/>
      <c r="AA65" s="373"/>
      <c r="AB65" s="373"/>
      <c r="AC65" s="373"/>
      <c r="AD65" s="373"/>
      <c r="AE65" s="373"/>
      <c r="AF65" s="373"/>
      <c r="AG65" s="373"/>
      <c r="AH65" s="373"/>
      <c r="AI65" s="373"/>
      <c r="AJ65" s="373"/>
      <c r="AK65" s="373"/>
      <c r="AL65" s="373"/>
      <c r="AM65" s="373"/>
      <c r="AN65" s="373"/>
      <c r="AO65" s="373"/>
      <c r="AP65" s="373"/>
      <c r="AQ65" s="373"/>
      <c r="AR65" s="373"/>
      <c r="AS65" s="373"/>
      <c r="AT65" s="373"/>
      <c r="AU65" s="373"/>
      <c r="AV65" s="373"/>
      <c r="AW65" s="373"/>
      <c r="AX65" s="373"/>
      <c r="AY65" s="373"/>
      <c r="AZ65" s="373"/>
      <c r="BA65" s="373"/>
      <c r="BB65" s="373"/>
      <c r="BC65" s="373"/>
      <c r="BD65" s="373"/>
      <c r="BE65" s="373"/>
      <c r="BF65" s="373"/>
      <c r="BG65" s="373"/>
      <c r="BH65" s="373"/>
      <c r="BI65" s="373"/>
      <c r="BJ65" s="373"/>
      <c r="BK65" s="373"/>
      <c r="BL65" s="373"/>
      <c r="BM65" s="373"/>
      <c r="BN65" s="373"/>
      <c r="BO65" s="373"/>
      <c r="BP65" s="373"/>
      <c r="BQ65" s="373"/>
      <c r="BR65" s="373"/>
      <c r="BS65" s="373"/>
      <c r="BT65" s="373"/>
      <c r="BU65" s="373"/>
      <c r="BV65" s="373"/>
      <c r="BW65" s="373"/>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c r="DJ65" s="374"/>
      <c r="DK65" s="374"/>
      <c r="DL65" s="374"/>
      <c r="DM65" s="374"/>
      <c r="DN65" s="375"/>
      <c r="DO65" s="375"/>
      <c r="DP65" s="375"/>
      <c r="DQ65" s="375"/>
      <c r="DR65" s="375"/>
      <c r="DS65" s="375"/>
      <c r="DT65" s="375"/>
      <c r="DU65" s="375"/>
      <c r="DV65" s="375"/>
      <c r="DW65" s="375"/>
      <c r="DX65" s="375"/>
      <c r="DY65" s="375"/>
      <c r="DZ65" s="375"/>
      <c r="EA65" s="375"/>
      <c r="EB65" s="375"/>
      <c r="EC65" s="375"/>
      <c r="ED65" s="375"/>
      <c r="EE65" s="375"/>
    </row>
    <row r="66" spans="1:135" x14ac:dyDescent="0.35">
      <c r="W66" s="373"/>
      <c r="X66" s="373"/>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373"/>
      <c r="AY66" s="373"/>
      <c r="AZ66" s="373"/>
      <c r="BA66" s="373"/>
      <c r="BB66" s="373"/>
      <c r="BC66" s="373"/>
      <c r="BD66" s="373"/>
      <c r="BE66" s="373"/>
      <c r="BF66" s="373"/>
      <c r="BG66" s="373"/>
      <c r="BH66" s="373"/>
      <c r="BI66" s="373"/>
      <c r="BJ66" s="373"/>
      <c r="BK66" s="373"/>
      <c r="BL66" s="373"/>
      <c r="BM66" s="373"/>
      <c r="BN66" s="373"/>
      <c r="BO66" s="373"/>
      <c r="BP66" s="373"/>
      <c r="BQ66" s="373"/>
      <c r="BR66" s="373"/>
      <c r="BS66" s="373"/>
      <c r="BT66" s="373"/>
      <c r="BU66" s="373"/>
      <c r="BV66" s="373"/>
      <c r="BW66" s="373"/>
      <c r="BX66" s="374"/>
      <c r="BY66" s="374"/>
      <c r="BZ66" s="374"/>
      <c r="CA66" s="374"/>
      <c r="CB66" s="374"/>
      <c r="CC66" s="374"/>
      <c r="CD66" s="374"/>
      <c r="CE66" s="374"/>
      <c r="CF66" s="374"/>
      <c r="CG66" s="374"/>
      <c r="CH66" s="374"/>
      <c r="CI66" s="374"/>
      <c r="CJ66" s="374"/>
      <c r="CK66" s="374"/>
      <c r="CL66" s="374"/>
      <c r="CM66" s="374"/>
      <c r="CN66" s="374"/>
      <c r="CO66" s="374"/>
      <c r="CP66" s="374"/>
      <c r="CQ66" s="374"/>
      <c r="CR66" s="374"/>
      <c r="CS66" s="374"/>
      <c r="CT66" s="374"/>
      <c r="CU66" s="374"/>
      <c r="CV66" s="374"/>
      <c r="CW66" s="374"/>
      <c r="CX66" s="374"/>
      <c r="CY66" s="374"/>
      <c r="CZ66" s="374"/>
      <c r="DA66" s="374"/>
      <c r="DB66" s="374"/>
      <c r="DC66" s="374"/>
      <c r="DD66" s="374"/>
      <c r="DE66" s="374"/>
      <c r="DF66" s="374"/>
      <c r="DG66" s="374"/>
      <c r="DH66" s="374"/>
      <c r="DI66" s="374"/>
      <c r="DJ66" s="374"/>
      <c r="DK66" s="374"/>
      <c r="DL66" s="374"/>
      <c r="DM66" s="374"/>
      <c r="DN66" s="375"/>
      <c r="DO66" s="375"/>
      <c r="DP66" s="375"/>
      <c r="DQ66" s="375"/>
      <c r="DR66" s="375"/>
      <c r="DS66" s="375"/>
      <c r="DT66" s="375"/>
      <c r="DU66" s="375"/>
      <c r="DV66" s="375"/>
      <c r="DW66" s="375"/>
      <c r="DX66" s="375"/>
      <c r="DY66" s="375"/>
      <c r="DZ66" s="375"/>
      <c r="EA66" s="375"/>
      <c r="EB66" s="375"/>
      <c r="EC66" s="375"/>
      <c r="ED66" s="375"/>
      <c r="EE66" s="375"/>
    </row>
    <row r="67" spans="1:135" x14ac:dyDescent="0.35">
      <c r="W67" s="373"/>
      <c r="X67" s="373"/>
      <c r="Y67" s="373"/>
      <c r="Z67" s="373"/>
      <c r="AA67" s="373"/>
      <c r="AB67" s="373"/>
      <c r="AC67" s="373"/>
      <c r="AD67" s="373"/>
      <c r="AE67" s="373"/>
      <c r="AF67" s="373"/>
      <c r="AG67" s="373"/>
      <c r="AH67" s="373"/>
      <c r="AI67" s="373"/>
      <c r="AJ67" s="373"/>
      <c r="AK67" s="373"/>
      <c r="AL67" s="373"/>
      <c r="AM67" s="373"/>
      <c r="AN67" s="373"/>
      <c r="AO67" s="373"/>
      <c r="AP67" s="373"/>
      <c r="AQ67" s="373"/>
      <c r="AR67" s="373"/>
      <c r="AS67" s="373"/>
      <c r="AT67" s="373"/>
      <c r="AU67" s="373"/>
      <c r="AV67" s="373"/>
      <c r="AW67" s="373"/>
      <c r="AX67" s="373"/>
      <c r="AY67" s="373"/>
      <c r="AZ67" s="373"/>
      <c r="BA67" s="373"/>
      <c r="BB67" s="373"/>
      <c r="BC67" s="373"/>
      <c r="BD67" s="373"/>
      <c r="BE67" s="373"/>
      <c r="BF67" s="373"/>
      <c r="BG67" s="373"/>
      <c r="BH67" s="373"/>
      <c r="BI67" s="373"/>
      <c r="BJ67" s="373"/>
      <c r="BK67" s="373"/>
      <c r="BL67" s="373"/>
      <c r="BM67" s="373"/>
      <c r="BN67" s="373"/>
      <c r="BO67" s="373"/>
      <c r="BP67" s="373"/>
      <c r="BQ67" s="373"/>
      <c r="BR67" s="373"/>
      <c r="BS67" s="373"/>
      <c r="BT67" s="373"/>
      <c r="BU67" s="373"/>
      <c r="BV67" s="373"/>
      <c r="BW67" s="373"/>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c r="CT67" s="374"/>
      <c r="CU67" s="374"/>
      <c r="CV67" s="374"/>
      <c r="CW67" s="374"/>
      <c r="CX67" s="374"/>
      <c r="CY67" s="374"/>
      <c r="CZ67" s="374"/>
      <c r="DA67" s="374"/>
      <c r="DB67" s="374"/>
      <c r="DC67" s="374"/>
      <c r="DD67" s="374"/>
      <c r="DE67" s="374"/>
      <c r="DF67" s="374"/>
      <c r="DG67" s="374"/>
      <c r="DH67" s="374"/>
      <c r="DI67" s="374"/>
      <c r="DJ67" s="374"/>
      <c r="DK67" s="374"/>
      <c r="DL67" s="374"/>
      <c r="DM67" s="374"/>
      <c r="DN67" s="375"/>
      <c r="DO67" s="375"/>
      <c r="DP67" s="375"/>
      <c r="DQ67" s="375"/>
      <c r="DR67" s="375"/>
      <c r="DS67" s="375"/>
      <c r="DT67" s="375"/>
      <c r="DU67" s="375"/>
      <c r="DV67" s="375"/>
      <c r="DW67" s="375"/>
      <c r="DX67" s="375"/>
      <c r="DY67" s="375"/>
      <c r="DZ67" s="375"/>
      <c r="EA67" s="375"/>
      <c r="EB67" s="375"/>
      <c r="EC67" s="375"/>
      <c r="ED67" s="375"/>
      <c r="EE67" s="375"/>
    </row>
    <row r="68" spans="1:135" x14ac:dyDescent="0.35">
      <c r="W68" s="373"/>
      <c r="X68" s="373"/>
      <c r="Y68" s="373"/>
      <c r="Z68" s="373"/>
      <c r="AA68" s="373"/>
      <c r="AB68" s="373"/>
      <c r="AC68" s="373"/>
      <c r="AD68" s="373"/>
      <c r="AE68" s="373"/>
      <c r="AF68" s="373"/>
      <c r="AG68" s="373"/>
      <c r="AH68" s="373"/>
      <c r="AI68" s="373"/>
      <c r="AJ68" s="373"/>
      <c r="AK68" s="373"/>
      <c r="AL68" s="373"/>
      <c r="AM68" s="373"/>
      <c r="AN68" s="373"/>
      <c r="AO68" s="373"/>
      <c r="AP68" s="373"/>
      <c r="AQ68" s="373"/>
      <c r="AR68" s="373"/>
      <c r="AS68" s="373"/>
      <c r="AT68" s="373"/>
      <c r="AU68" s="373"/>
      <c r="AV68" s="373"/>
      <c r="AW68" s="373"/>
      <c r="AX68" s="373"/>
      <c r="AY68" s="373"/>
      <c r="AZ68" s="373"/>
      <c r="BA68" s="373"/>
      <c r="BB68" s="373"/>
      <c r="BC68" s="373"/>
      <c r="BD68" s="373"/>
      <c r="BE68" s="373"/>
      <c r="BF68" s="373"/>
      <c r="BG68" s="373"/>
      <c r="BH68" s="373"/>
      <c r="BI68" s="373"/>
      <c r="BJ68" s="373"/>
      <c r="BK68" s="373"/>
      <c r="BL68" s="373"/>
      <c r="BM68" s="373"/>
      <c r="BN68" s="373"/>
      <c r="BO68" s="373"/>
      <c r="BP68" s="373"/>
      <c r="BQ68" s="373"/>
      <c r="BR68" s="373"/>
      <c r="BS68" s="373"/>
      <c r="BT68" s="373"/>
      <c r="BU68" s="373"/>
      <c r="BV68" s="373"/>
      <c r="BW68" s="373"/>
      <c r="BX68" s="374"/>
      <c r="BY68" s="374"/>
      <c r="BZ68" s="374"/>
      <c r="CA68" s="374"/>
      <c r="CB68" s="374"/>
      <c r="CC68" s="374"/>
      <c r="CD68" s="374"/>
      <c r="CE68" s="374"/>
      <c r="CF68" s="374"/>
      <c r="CG68" s="374"/>
      <c r="CH68" s="374"/>
      <c r="CI68" s="374"/>
      <c r="CJ68" s="374"/>
      <c r="CK68" s="374"/>
      <c r="CL68" s="374"/>
      <c r="CM68" s="374"/>
      <c r="CN68" s="374"/>
      <c r="CO68" s="374"/>
      <c r="CP68" s="374"/>
      <c r="CQ68" s="374"/>
      <c r="CR68" s="374"/>
      <c r="CS68" s="374"/>
      <c r="CT68" s="374"/>
      <c r="CU68" s="374"/>
      <c r="CV68" s="374"/>
      <c r="CW68" s="374"/>
      <c r="CX68" s="374"/>
      <c r="CY68" s="374"/>
      <c r="CZ68" s="374"/>
      <c r="DA68" s="374"/>
      <c r="DB68" s="374"/>
      <c r="DC68" s="374"/>
      <c r="DD68" s="374"/>
      <c r="DE68" s="374"/>
      <c r="DF68" s="374"/>
      <c r="DG68" s="374"/>
      <c r="DH68" s="374"/>
      <c r="DI68" s="374"/>
      <c r="DJ68" s="374"/>
      <c r="DK68" s="374"/>
      <c r="DL68" s="374"/>
      <c r="DM68" s="374"/>
      <c r="DN68" s="375"/>
      <c r="DO68" s="375"/>
      <c r="DP68" s="375"/>
      <c r="DQ68" s="375"/>
      <c r="DR68" s="375"/>
      <c r="DS68" s="375"/>
      <c r="DT68" s="375"/>
      <c r="DU68" s="375"/>
      <c r="DV68" s="375"/>
      <c r="DW68" s="375"/>
      <c r="DX68" s="375"/>
      <c r="DY68" s="375"/>
      <c r="DZ68" s="375"/>
      <c r="EA68" s="375"/>
      <c r="EB68" s="375"/>
      <c r="EC68" s="375"/>
      <c r="ED68" s="375"/>
      <c r="EE68" s="375"/>
    </row>
    <row r="69" spans="1:135" x14ac:dyDescent="0.35">
      <c r="W69" s="373"/>
      <c r="X69" s="373"/>
      <c r="Y69" s="373"/>
      <c r="Z69" s="373"/>
      <c r="AA69" s="373"/>
      <c r="AB69" s="373"/>
      <c r="AC69" s="373"/>
      <c r="AD69" s="373"/>
      <c r="AE69" s="373"/>
      <c r="AF69" s="373"/>
      <c r="AG69" s="373"/>
      <c r="AH69" s="373"/>
      <c r="AI69" s="373"/>
      <c r="AJ69" s="373"/>
      <c r="AK69" s="373"/>
      <c r="AL69" s="373"/>
      <c r="AM69" s="373"/>
      <c r="AN69" s="373"/>
      <c r="AO69" s="373"/>
      <c r="AP69" s="373"/>
      <c r="AQ69" s="373"/>
      <c r="AR69" s="373"/>
      <c r="AS69" s="373"/>
      <c r="AT69" s="373"/>
      <c r="AU69" s="373"/>
      <c r="AV69" s="373"/>
      <c r="AW69" s="373"/>
      <c r="AX69" s="373"/>
      <c r="AY69" s="373"/>
      <c r="AZ69" s="373"/>
      <c r="BA69" s="373"/>
      <c r="BB69" s="373"/>
      <c r="BC69" s="373"/>
      <c r="BD69" s="373"/>
      <c r="BE69" s="373"/>
      <c r="BF69" s="373"/>
      <c r="BG69" s="373"/>
      <c r="BH69" s="373"/>
      <c r="BI69" s="373"/>
      <c r="BJ69" s="373"/>
      <c r="BK69" s="373"/>
      <c r="BL69" s="373"/>
      <c r="BM69" s="373"/>
      <c r="BN69" s="373"/>
      <c r="BO69" s="373"/>
      <c r="BP69" s="373"/>
      <c r="BQ69" s="373"/>
      <c r="BR69" s="373"/>
      <c r="BS69" s="373"/>
      <c r="BT69" s="373"/>
      <c r="BU69" s="373"/>
      <c r="BV69" s="373"/>
      <c r="BW69" s="373"/>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c r="DM69" s="374"/>
      <c r="DN69" s="375"/>
      <c r="DO69" s="375"/>
      <c r="DP69" s="375"/>
      <c r="DQ69" s="375"/>
      <c r="DR69" s="375"/>
      <c r="DS69" s="375"/>
      <c r="DT69" s="375"/>
      <c r="DU69" s="375"/>
      <c r="DV69" s="375"/>
      <c r="DW69" s="375"/>
      <c r="DX69" s="375"/>
      <c r="DY69" s="375"/>
      <c r="DZ69" s="375"/>
      <c r="EA69" s="375"/>
      <c r="EB69" s="375"/>
      <c r="EC69" s="375"/>
      <c r="ED69" s="375"/>
      <c r="EE69" s="375"/>
    </row>
    <row r="70" spans="1:135" x14ac:dyDescent="0.35">
      <c r="A70" t="s">
        <v>1999</v>
      </c>
      <c r="B70" s="48" t="s">
        <v>880</v>
      </c>
      <c r="C70" t="s">
        <v>1952</v>
      </c>
      <c r="D70" t="s">
        <v>922</v>
      </c>
      <c r="E70" t="s">
        <v>643</v>
      </c>
      <c r="F70" t="s">
        <v>922</v>
      </c>
      <c r="V70" s="373"/>
      <c r="W70" s="373"/>
      <c r="X70" s="373"/>
      <c r="Y70" s="373"/>
      <c r="Z70" s="373"/>
      <c r="AA70" s="373"/>
      <c r="AB70" s="373"/>
      <c r="AC70" s="373"/>
      <c r="AD70" s="373"/>
      <c r="AE70" s="373"/>
      <c r="AF70" s="373"/>
      <c r="AG70" s="373"/>
      <c r="AH70" s="373"/>
      <c r="AI70" s="373"/>
      <c r="AJ70" s="373"/>
      <c r="AK70" s="373"/>
      <c r="AL70" s="373"/>
      <c r="AM70" s="373"/>
      <c r="AN70" s="373"/>
      <c r="AO70" s="373"/>
      <c r="AP70" s="373"/>
      <c r="AQ70" s="373"/>
      <c r="AR70" s="373"/>
      <c r="AS70" s="373"/>
      <c r="AT70" s="373"/>
      <c r="AU70" s="373"/>
      <c r="AV70" s="373"/>
      <c r="AW70" s="373"/>
      <c r="AX70" s="373"/>
      <c r="AY70" s="373"/>
      <c r="AZ70" s="373"/>
      <c r="BA70" s="373"/>
      <c r="BB70" s="373"/>
      <c r="BC70" s="373"/>
      <c r="BD70" s="373"/>
      <c r="BE70" s="373"/>
      <c r="BF70" s="373"/>
      <c r="BG70" s="373"/>
      <c r="BH70" s="373"/>
      <c r="BI70" s="373"/>
      <c r="BJ70" s="373"/>
      <c r="BK70" s="373"/>
      <c r="BL70" s="373"/>
      <c r="BM70" s="373"/>
      <c r="BN70" s="373"/>
      <c r="BO70" s="373"/>
      <c r="BP70" s="373"/>
      <c r="BQ70" s="373"/>
      <c r="BR70" s="373"/>
      <c r="BS70" s="373"/>
      <c r="BT70" s="373"/>
      <c r="BU70" s="373"/>
      <c r="BV70" s="373"/>
      <c r="BW70" s="373"/>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c r="DJ70" s="374"/>
      <c r="DK70" s="374"/>
      <c r="DL70" s="374"/>
      <c r="DM70" s="374"/>
      <c r="DN70" s="375"/>
      <c r="DO70" s="375"/>
      <c r="DP70" s="375"/>
      <c r="DQ70" s="375"/>
      <c r="DR70" s="375"/>
      <c r="DS70" s="375"/>
      <c r="DT70" s="375"/>
      <c r="DU70" s="375"/>
      <c r="DV70" s="375"/>
      <c r="DW70" s="375"/>
      <c r="DX70" s="375"/>
      <c r="DY70" s="375"/>
      <c r="DZ70" s="375"/>
      <c r="EA70" s="375"/>
      <c r="EB70" s="375"/>
      <c r="EC70" s="375"/>
      <c r="ED70" s="375"/>
      <c r="EE70" s="375"/>
    </row>
    <row r="71" spans="1:135" x14ac:dyDescent="0.35">
      <c r="B71" s="48" t="s">
        <v>811</v>
      </c>
      <c r="C71" t="s">
        <v>811</v>
      </c>
      <c r="V71" s="373"/>
      <c r="W71" s="373"/>
      <c r="X71" s="373"/>
      <c r="Y71" s="373"/>
      <c r="Z71" s="373"/>
      <c r="AA71" s="373"/>
      <c r="AB71" s="373"/>
      <c r="AC71" s="373"/>
      <c r="AD71" s="373"/>
      <c r="AE71" s="373"/>
      <c r="AF71" s="373"/>
      <c r="AG71" s="373"/>
      <c r="AH71" s="373"/>
      <c r="AI71" s="373"/>
      <c r="AJ71" s="373"/>
      <c r="AK71" s="373"/>
      <c r="AL71" s="373"/>
      <c r="AM71" s="373"/>
      <c r="AN71" s="373"/>
      <c r="AO71" s="373"/>
      <c r="AP71" s="373"/>
      <c r="AQ71" s="373"/>
      <c r="AR71" s="373"/>
      <c r="AS71" s="373"/>
      <c r="AT71" s="373"/>
      <c r="AU71" s="373"/>
      <c r="AV71" s="373"/>
      <c r="AW71" s="373"/>
      <c r="AX71" s="373"/>
      <c r="AY71" s="373"/>
      <c r="AZ71" s="373"/>
      <c r="BA71" s="373"/>
      <c r="BB71" s="373"/>
      <c r="BC71" s="373"/>
      <c r="BD71" s="373"/>
      <c r="BE71" s="373"/>
      <c r="BF71" s="373"/>
      <c r="BG71" s="373"/>
      <c r="BH71" s="373"/>
      <c r="BI71" s="373"/>
      <c r="BJ71" s="373"/>
      <c r="BK71" s="373"/>
      <c r="BL71" s="373"/>
      <c r="BM71" s="373"/>
      <c r="BN71" s="373"/>
      <c r="BO71" s="373"/>
      <c r="BP71" s="373"/>
      <c r="BQ71" s="373"/>
      <c r="BR71" s="373"/>
      <c r="BS71" s="373"/>
      <c r="BT71" s="373"/>
      <c r="BU71" s="373"/>
      <c r="BV71" s="373"/>
      <c r="BW71" s="373"/>
      <c r="BX71" s="374"/>
      <c r="BY71" s="374"/>
      <c r="BZ71" s="374"/>
      <c r="CA71" s="374"/>
      <c r="CB71" s="374"/>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c r="DK71" s="374"/>
      <c r="DL71" s="374"/>
      <c r="DM71" s="374"/>
      <c r="DN71" s="375"/>
      <c r="DO71" s="375"/>
      <c r="DP71" s="375"/>
      <c r="DQ71" s="375"/>
      <c r="DR71" s="375"/>
      <c r="DS71" s="375"/>
      <c r="DT71" s="375"/>
      <c r="DU71" s="375"/>
      <c r="DV71" s="375"/>
      <c r="DW71" s="375"/>
      <c r="DX71" s="375"/>
      <c r="DY71" s="375"/>
      <c r="DZ71" s="375"/>
      <c r="EA71" s="375"/>
      <c r="EB71" s="375"/>
      <c r="EC71" s="375"/>
      <c r="ED71" s="375"/>
      <c r="EE71" s="375"/>
    </row>
    <row r="72" spans="1:135" x14ac:dyDescent="0.35">
      <c r="B72" s="48" t="s">
        <v>515</v>
      </c>
      <c r="C72" t="s">
        <v>695</v>
      </c>
      <c r="D72" t="s">
        <v>684</v>
      </c>
      <c r="E72" t="s">
        <v>705</v>
      </c>
      <c r="V72" s="373"/>
      <c r="W72" s="373"/>
      <c r="X72" s="373"/>
      <c r="Y72" s="373"/>
      <c r="Z72" s="373"/>
      <c r="AA72" s="373"/>
      <c r="AB72" s="373"/>
      <c r="AC72" s="373"/>
      <c r="AD72" s="373"/>
      <c r="AE72" s="373"/>
      <c r="AF72" s="373"/>
      <c r="AG72" s="373"/>
      <c r="AH72" s="373"/>
      <c r="AI72" s="373"/>
      <c r="AJ72" s="373"/>
      <c r="AK72" s="373"/>
      <c r="AL72" s="373"/>
      <c r="AM72" s="373"/>
      <c r="AN72" s="373"/>
      <c r="AO72" s="373"/>
      <c r="AP72" s="373"/>
      <c r="AQ72" s="373"/>
      <c r="AR72" s="373"/>
      <c r="AS72" s="373"/>
      <c r="AT72" s="373"/>
      <c r="AU72" s="373"/>
      <c r="AV72" s="373"/>
      <c r="AW72" s="373"/>
      <c r="AX72" s="373"/>
      <c r="AY72" s="373"/>
      <c r="AZ72" s="373"/>
      <c r="BA72" s="373"/>
      <c r="BB72" s="373"/>
      <c r="BC72" s="373"/>
      <c r="BD72" s="373"/>
      <c r="BE72" s="373"/>
      <c r="BF72" s="373"/>
      <c r="BG72" s="373"/>
      <c r="BH72" s="373"/>
      <c r="BI72" s="373"/>
      <c r="BJ72" s="373"/>
      <c r="BK72" s="373"/>
      <c r="BL72" s="373"/>
      <c r="BM72" s="373"/>
      <c r="BN72" s="373"/>
      <c r="BO72" s="373"/>
      <c r="BP72" s="373"/>
      <c r="BQ72" s="373"/>
      <c r="BR72" s="373"/>
      <c r="BS72" s="373"/>
      <c r="BT72" s="373"/>
      <c r="BU72" s="373"/>
      <c r="BV72" s="373"/>
      <c r="BW72" s="373"/>
      <c r="BX72" s="374"/>
      <c r="BY72" s="374"/>
      <c r="BZ72" s="374"/>
      <c r="CA72" s="374"/>
      <c r="CB72" s="374"/>
      <c r="CC72" s="374"/>
      <c r="CD72" s="374"/>
      <c r="CE72" s="374"/>
      <c r="CF72" s="374"/>
      <c r="CG72" s="374"/>
      <c r="CH72" s="374"/>
      <c r="CI72" s="374"/>
      <c r="CJ72" s="374"/>
      <c r="CK72" s="374"/>
      <c r="CL72" s="374"/>
      <c r="CM72" s="374"/>
      <c r="CN72" s="374"/>
      <c r="CO72" s="374"/>
      <c r="CP72" s="374"/>
      <c r="CQ72" s="374"/>
      <c r="CR72" s="374"/>
      <c r="CS72" s="374"/>
      <c r="CT72" s="374"/>
      <c r="CU72" s="374"/>
      <c r="CV72" s="374"/>
      <c r="CW72" s="374"/>
      <c r="CX72" s="374"/>
      <c r="CY72" s="374"/>
      <c r="CZ72" s="374"/>
      <c r="DA72" s="374"/>
      <c r="DB72" s="374"/>
      <c r="DC72" s="374"/>
      <c r="DD72" s="374"/>
      <c r="DE72" s="374"/>
      <c r="DF72" s="374"/>
      <c r="DG72" s="374"/>
      <c r="DH72" s="374"/>
      <c r="DI72" s="374"/>
      <c r="DJ72" s="374"/>
      <c r="DK72" s="374"/>
      <c r="DL72" s="374"/>
      <c r="DM72" s="374"/>
      <c r="DN72" s="375"/>
      <c r="DO72" s="375"/>
      <c r="DP72" s="375"/>
      <c r="DQ72" s="375"/>
      <c r="DR72" s="375"/>
      <c r="DS72" s="375"/>
      <c r="DT72" s="375"/>
      <c r="DU72" s="375"/>
      <c r="DV72" s="375"/>
      <c r="DW72" s="375"/>
      <c r="DX72" s="375"/>
      <c r="DY72" s="375"/>
      <c r="DZ72" s="375"/>
      <c r="EA72" s="375"/>
      <c r="EB72" s="375"/>
      <c r="EC72" s="375"/>
      <c r="ED72" s="375"/>
      <c r="EE72" s="375"/>
    </row>
    <row r="73" spans="1:135" x14ac:dyDescent="0.35">
      <c r="B73" s="48" t="s">
        <v>1953</v>
      </c>
      <c r="C73" t="s">
        <v>913</v>
      </c>
      <c r="D73" t="s">
        <v>1932</v>
      </c>
      <c r="E73" t="s">
        <v>364</v>
      </c>
      <c r="V73" s="373"/>
      <c r="W73" s="373"/>
      <c r="X73" s="373"/>
      <c r="Y73" s="373"/>
      <c r="Z73" s="373"/>
      <c r="AA73" s="373"/>
      <c r="AB73" s="373"/>
      <c r="AC73" s="373"/>
      <c r="AD73" s="373"/>
      <c r="AE73" s="373"/>
      <c r="AF73" s="373"/>
      <c r="AG73" s="373"/>
      <c r="AH73" s="373"/>
      <c r="AI73" s="373"/>
      <c r="AJ73" s="373"/>
      <c r="AK73" s="373"/>
      <c r="AL73" s="373"/>
      <c r="AM73" s="373"/>
      <c r="AN73" s="373"/>
      <c r="AO73" s="373"/>
      <c r="AP73" s="373"/>
      <c r="AQ73" s="373"/>
      <c r="AR73" s="373"/>
      <c r="AS73" s="373"/>
      <c r="AT73" s="373"/>
      <c r="AU73" s="373"/>
      <c r="AV73" s="373"/>
      <c r="AW73" s="373"/>
      <c r="AX73" s="373"/>
      <c r="AY73" s="373"/>
      <c r="AZ73" s="373"/>
      <c r="BA73" s="373"/>
      <c r="BB73" s="373"/>
      <c r="BC73" s="373"/>
      <c r="BD73" s="373"/>
      <c r="BE73" s="373"/>
      <c r="BF73" s="373"/>
      <c r="BG73" s="373"/>
      <c r="BH73" s="373"/>
      <c r="BI73" s="373"/>
      <c r="BJ73" s="373"/>
      <c r="BK73" s="373"/>
      <c r="BL73" s="373"/>
      <c r="BM73" s="373"/>
      <c r="BN73" s="373"/>
      <c r="BO73" s="373"/>
      <c r="BP73" s="373"/>
      <c r="BQ73" s="373"/>
      <c r="BR73" s="373"/>
      <c r="BS73" s="373"/>
      <c r="BT73" s="373"/>
      <c r="BU73" s="373"/>
      <c r="BV73" s="373"/>
      <c r="BW73" s="373"/>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c r="DC73" s="374"/>
      <c r="DD73" s="374"/>
      <c r="DE73" s="374"/>
      <c r="DF73" s="374"/>
      <c r="DG73" s="374"/>
      <c r="DH73" s="374"/>
      <c r="DI73" s="374"/>
      <c r="DJ73" s="374"/>
      <c r="DK73" s="374"/>
      <c r="DL73" s="374"/>
      <c r="DM73" s="374"/>
      <c r="DN73" s="375"/>
      <c r="DO73" s="375"/>
      <c r="DP73" s="375"/>
      <c r="DQ73" s="375"/>
      <c r="DR73" s="375"/>
      <c r="DS73" s="375"/>
      <c r="DT73" s="375"/>
      <c r="DU73" s="375"/>
      <c r="DV73" s="375"/>
      <c r="DW73" s="375"/>
      <c r="DX73" s="375"/>
      <c r="DY73" s="375"/>
      <c r="DZ73" s="375"/>
      <c r="EA73" s="375"/>
      <c r="EB73" s="375"/>
      <c r="EC73" s="375"/>
      <c r="ED73" s="375"/>
      <c r="EE73" s="375"/>
    </row>
    <row r="74" spans="1:135" x14ac:dyDescent="0.35">
      <c r="B74" s="48" t="s">
        <v>674</v>
      </c>
      <c r="V74" s="373"/>
      <c r="W74" s="373"/>
      <c r="X74" s="373"/>
      <c r="Y74" s="373"/>
      <c r="Z74" s="373"/>
      <c r="AA74" s="373"/>
      <c r="AB74" s="373"/>
      <c r="AC74" s="373"/>
      <c r="AD74" s="373"/>
      <c r="AE74" s="373"/>
      <c r="AF74" s="373"/>
      <c r="AG74" s="373"/>
      <c r="AH74" s="373"/>
      <c r="AI74" s="373"/>
      <c r="AJ74" s="373"/>
      <c r="AK74" s="373"/>
      <c r="AL74" s="373"/>
      <c r="AM74" s="373"/>
      <c r="AN74" s="373"/>
      <c r="AO74" s="373"/>
      <c r="AP74" s="373"/>
      <c r="AQ74" s="373"/>
      <c r="AR74" s="373"/>
      <c r="AS74" s="373"/>
      <c r="AT74" s="373"/>
      <c r="AU74" s="373"/>
      <c r="AV74" s="373"/>
      <c r="AW74" s="373"/>
      <c r="AX74" s="373"/>
      <c r="AY74" s="373"/>
      <c r="AZ74" s="373"/>
      <c r="BA74" s="373"/>
      <c r="BB74" s="373"/>
      <c r="BC74" s="373"/>
      <c r="BD74" s="373"/>
      <c r="BE74" s="373"/>
      <c r="BF74" s="373"/>
      <c r="BG74" s="373"/>
      <c r="BH74" s="373"/>
      <c r="BI74" s="373"/>
      <c r="BJ74" s="373"/>
      <c r="BK74" s="373"/>
      <c r="BL74" s="373"/>
      <c r="BM74" s="373"/>
      <c r="BN74" s="373"/>
      <c r="BO74" s="373"/>
      <c r="BP74" s="373"/>
      <c r="BQ74" s="373"/>
      <c r="BR74" s="373"/>
      <c r="BS74" s="373"/>
      <c r="BT74" s="373"/>
      <c r="BU74" s="373"/>
      <c r="BV74" s="373"/>
      <c r="BW74" s="373"/>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c r="CT74" s="374"/>
      <c r="CU74" s="374"/>
      <c r="CV74" s="374"/>
      <c r="CW74" s="374"/>
      <c r="CX74" s="374"/>
      <c r="CY74" s="374"/>
      <c r="CZ74" s="374"/>
      <c r="DA74" s="374"/>
      <c r="DB74" s="374"/>
      <c r="DC74" s="374"/>
      <c r="DD74" s="374"/>
      <c r="DE74" s="374"/>
      <c r="DF74" s="374"/>
      <c r="DG74" s="374"/>
      <c r="DH74" s="374"/>
      <c r="DI74" s="374"/>
      <c r="DJ74" s="374"/>
      <c r="DK74" s="374"/>
      <c r="DL74" s="374"/>
      <c r="DM74" s="374"/>
      <c r="DN74" s="375"/>
      <c r="DO74" s="375"/>
      <c r="DP74" s="375"/>
      <c r="DQ74" s="375"/>
      <c r="DR74" s="375"/>
      <c r="DS74" s="375"/>
      <c r="DT74" s="375"/>
      <c r="DU74" s="375"/>
      <c r="DV74" s="375"/>
      <c r="DW74" s="375"/>
      <c r="DX74" s="375"/>
      <c r="DY74" s="375"/>
      <c r="DZ74" s="375"/>
      <c r="EA74" s="375"/>
      <c r="EB74" s="375"/>
      <c r="EC74" s="375"/>
      <c r="ED74" s="375"/>
      <c r="EE74" s="375"/>
    </row>
    <row r="75" spans="1:135" x14ac:dyDescent="0.35">
      <c r="B75" s="48" t="s">
        <v>755</v>
      </c>
      <c r="C75" t="s">
        <v>574</v>
      </c>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c r="AS75" s="373"/>
      <c r="AT75" s="373"/>
      <c r="AU75" s="373"/>
      <c r="AV75" s="373"/>
      <c r="AW75" s="373"/>
      <c r="AX75" s="373"/>
      <c r="AY75" s="373"/>
      <c r="AZ75" s="373"/>
      <c r="BA75" s="373"/>
      <c r="BB75" s="373"/>
      <c r="BC75" s="373"/>
      <c r="BD75" s="373"/>
      <c r="BE75" s="373"/>
      <c r="BF75" s="373"/>
      <c r="BG75" s="373"/>
      <c r="BH75" s="373"/>
      <c r="BI75" s="373"/>
      <c r="BJ75" s="373"/>
      <c r="BK75" s="373"/>
      <c r="BL75" s="373"/>
      <c r="BM75" s="373"/>
      <c r="BN75" s="373"/>
      <c r="BO75" s="373"/>
      <c r="BP75" s="373"/>
      <c r="BQ75" s="373"/>
      <c r="BR75" s="373"/>
      <c r="BS75" s="373"/>
      <c r="BT75" s="373"/>
      <c r="BU75" s="373"/>
      <c r="BV75" s="373"/>
      <c r="BW75" s="373"/>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c r="DA75" s="374"/>
      <c r="DB75" s="374"/>
      <c r="DC75" s="374"/>
      <c r="DD75" s="374"/>
      <c r="DE75" s="374"/>
      <c r="DF75" s="374"/>
      <c r="DG75" s="374"/>
      <c r="DH75" s="374"/>
      <c r="DI75" s="374"/>
      <c r="DJ75" s="374"/>
      <c r="DK75" s="374"/>
      <c r="DL75" s="374"/>
      <c r="DM75" s="374"/>
      <c r="DN75" s="375"/>
      <c r="DO75" s="375"/>
      <c r="DP75" s="375"/>
      <c r="DQ75" s="375"/>
      <c r="DR75" s="375"/>
      <c r="DS75" s="375"/>
      <c r="DT75" s="375"/>
      <c r="DU75" s="375"/>
      <c r="DV75" s="375"/>
      <c r="DW75" s="375"/>
      <c r="DX75" s="375"/>
      <c r="DY75" s="375"/>
      <c r="DZ75" s="375"/>
      <c r="EA75" s="375"/>
      <c r="EB75" s="375"/>
      <c r="EC75" s="375"/>
      <c r="ED75" s="375"/>
      <c r="EE75" s="375"/>
    </row>
    <row r="76" spans="1:135" x14ac:dyDescent="0.35">
      <c r="B76" s="48" t="s">
        <v>720</v>
      </c>
      <c r="V76" s="373"/>
      <c r="W76" s="373"/>
      <c r="X76" s="373"/>
      <c r="Y76" s="373"/>
      <c r="Z76" s="373"/>
      <c r="AA76" s="373"/>
      <c r="AB76" s="373"/>
      <c r="AC76" s="373"/>
      <c r="AD76" s="373"/>
      <c r="AE76" s="373"/>
      <c r="AF76" s="373"/>
      <c r="AG76" s="373"/>
      <c r="AH76" s="373"/>
      <c r="AI76" s="373"/>
      <c r="AJ76" s="373"/>
      <c r="AK76" s="373"/>
      <c r="AL76" s="373"/>
      <c r="AM76" s="373"/>
      <c r="AN76" s="373"/>
      <c r="AO76" s="373"/>
      <c r="AP76" s="373"/>
      <c r="AQ76" s="373"/>
      <c r="AR76" s="373"/>
      <c r="AS76" s="373"/>
      <c r="AT76" s="373"/>
      <c r="AU76" s="373"/>
      <c r="AV76" s="373"/>
      <c r="AW76" s="373"/>
      <c r="AX76" s="373"/>
      <c r="AY76" s="373"/>
      <c r="AZ76" s="373"/>
      <c r="BA76" s="373"/>
      <c r="BB76" s="373"/>
      <c r="BC76" s="373"/>
      <c r="BD76" s="373"/>
      <c r="BE76" s="373"/>
      <c r="BF76" s="373"/>
      <c r="BG76" s="373"/>
      <c r="BH76" s="373"/>
      <c r="BI76" s="373"/>
      <c r="BJ76" s="373"/>
      <c r="BK76" s="373"/>
      <c r="BL76" s="373"/>
      <c r="BM76" s="373"/>
      <c r="BN76" s="373"/>
      <c r="BO76" s="373"/>
      <c r="BP76" s="373"/>
      <c r="BQ76" s="373"/>
      <c r="BR76" s="373"/>
      <c r="BS76" s="373"/>
      <c r="BT76" s="373"/>
      <c r="BU76" s="373"/>
      <c r="BV76" s="373"/>
      <c r="BW76" s="373"/>
      <c r="BX76" s="374"/>
      <c r="BY76" s="374"/>
      <c r="BZ76" s="374"/>
      <c r="CA76" s="374"/>
      <c r="CB76" s="374"/>
      <c r="CC76" s="374"/>
      <c r="CD76" s="374"/>
      <c r="CE76" s="374"/>
      <c r="CF76" s="374"/>
      <c r="CG76" s="374"/>
      <c r="CH76" s="374"/>
      <c r="CI76" s="374"/>
      <c r="CJ76" s="374"/>
      <c r="CK76" s="374"/>
      <c r="CL76" s="374"/>
      <c r="CM76" s="374"/>
      <c r="CN76" s="374"/>
      <c r="CO76" s="374"/>
      <c r="CP76" s="374"/>
      <c r="CQ76" s="374"/>
      <c r="CR76" s="374"/>
      <c r="CS76" s="374"/>
      <c r="CT76" s="374"/>
      <c r="CU76" s="374"/>
      <c r="CV76" s="374"/>
      <c r="CW76" s="374"/>
      <c r="CX76" s="374"/>
      <c r="CY76" s="374"/>
      <c r="CZ76" s="374"/>
      <c r="DA76" s="374"/>
      <c r="DB76" s="374"/>
      <c r="DC76" s="374"/>
      <c r="DD76" s="374"/>
      <c r="DE76" s="374"/>
      <c r="DF76" s="374"/>
      <c r="DG76" s="374"/>
      <c r="DH76" s="374"/>
      <c r="DI76" s="374"/>
      <c r="DJ76" s="374"/>
      <c r="DK76" s="374"/>
      <c r="DL76" s="374"/>
      <c r="DM76" s="374"/>
      <c r="DN76" s="375"/>
      <c r="DO76" s="375"/>
      <c r="DP76" s="375"/>
      <c r="DQ76" s="375"/>
      <c r="DR76" s="375"/>
      <c r="DS76" s="375"/>
      <c r="DT76" s="375"/>
      <c r="DU76" s="375"/>
      <c r="DV76" s="375"/>
      <c r="DW76" s="375"/>
      <c r="DX76" s="375"/>
      <c r="DY76" s="375"/>
      <c r="DZ76" s="375"/>
      <c r="EA76" s="375"/>
      <c r="EB76" s="375"/>
      <c r="EC76" s="375"/>
      <c r="ED76" s="375"/>
      <c r="EE76" s="375"/>
    </row>
    <row r="77" spans="1:135" x14ac:dyDescent="0.35">
      <c r="B77" s="48" t="s">
        <v>840</v>
      </c>
      <c r="C77" t="s">
        <v>631</v>
      </c>
      <c r="V77" s="373"/>
      <c r="W77" s="373"/>
      <c r="X77" s="373"/>
      <c r="Y77" s="373"/>
      <c r="Z77" s="373"/>
      <c r="AA77" s="373"/>
      <c r="AB77" s="373"/>
      <c r="AC77" s="373"/>
      <c r="AD77" s="373"/>
      <c r="AE77" s="373"/>
      <c r="AF77" s="373"/>
      <c r="AG77" s="373"/>
      <c r="AH77" s="373"/>
      <c r="AI77" s="373"/>
      <c r="AJ77" s="373"/>
      <c r="AK77" s="373"/>
      <c r="AL77" s="373"/>
      <c r="AM77" s="373"/>
      <c r="AN77" s="373"/>
      <c r="AO77" s="373"/>
      <c r="AP77" s="373"/>
      <c r="AQ77" s="373"/>
      <c r="AR77" s="373"/>
      <c r="AS77" s="373"/>
      <c r="AT77" s="373"/>
      <c r="AU77" s="373"/>
      <c r="AV77" s="373"/>
      <c r="AW77" s="373"/>
      <c r="AX77" s="373"/>
      <c r="AY77" s="373"/>
      <c r="AZ77" s="373"/>
      <c r="BA77" s="373"/>
      <c r="BB77" s="373"/>
      <c r="BC77" s="373"/>
      <c r="BD77" s="373"/>
      <c r="BE77" s="373"/>
      <c r="BF77" s="373"/>
      <c r="BG77" s="373"/>
      <c r="BH77" s="373"/>
      <c r="BI77" s="373"/>
      <c r="BJ77" s="373"/>
      <c r="BK77" s="373"/>
      <c r="BL77" s="373"/>
      <c r="BM77" s="373"/>
      <c r="BN77" s="373"/>
      <c r="BO77" s="373"/>
      <c r="BP77" s="373"/>
      <c r="BQ77" s="373"/>
      <c r="BR77" s="373"/>
      <c r="BS77" s="373"/>
      <c r="BT77" s="373"/>
      <c r="BU77" s="373"/>
      <c r="BV77" s="373"/>
      <c r="BW77" s="373"/>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5"/>
      <c r="DO77" s="375"/>
      <c r="DP77" s="375"/>
      <c r="DQ77" s="375"/>
      <c r="DR77" s="375"/>
      <c r="DS77" s="375"/>
      <c r="DT77" s="375"/>
      <c r="DU77" s="375"/>
      <c r="DV77" s="375"/>
      <c r="DW77" s="375"/>
      <c r="DX77" s="375"/>
      <c r="DY77" s="375"/>
      <c r="DZ77" s="375"/>
      <c r="EA77" s="375"/>
      <c r="EB77" s="375"/>
      <c r="EC77" s="375"/>
      <c r="ED77" s="375"/>
      <c r="EE77" s="375"/>
    </row>
    <row r="78" spans="1:135" x14ac:dyDescent="0.35">
      <c r="B78" s="48" t="s">
        <v>1954</v>
      </c>
      <c r="C78" t="s">
        <v>872</v>
      </c>
      <c r="V78" s="373"/>
      <c r="W78" s="373"/>
      <c r="X78" s="373"/>
      <c r="Y78" s="373"/>
      <c r="Z78" s="373"/>
      <c r="AA78" s="373"/>
      <c r="AB78" s="373"/>
      <c r="AC78" s="373"/>
      <c r="AD78" s="373"/>
      <c r="AE78" s="373"/>
      <c r="AF78" s="373"/>
      <c r="AG78" s="373"/>
      <c r="AH78" s="373"/>
      <c r="AI78" s="373"/>
      <c r="AJ78" s="373"/>
      <c r="AK78" s="373"/>
      <c r="AL78" s="373"/>
      <c r="AM78" s="373"/>
      <c r="AN78" s="373"/>
      <c r="AO78" s="373"/>
      <c r="AP78" s="373"/>
      <c r="AQ78" s="373"/>
      <c r="AR78" s="373"/>
      <c r="AS78" s="373"/>
      <c r="AT78" s="373"/>
      <c r="AU78" s="373"/>
      <c r="AV78" s="373"/>
      <c r="AW78" s="373"/>
      <c r="AX78" s="373"/>
      <c r="AY78" s="373"/>
      <c r="AZ78" s="373"/>
      <c r="BA78" s="373"/>
      <c r="BB78" s="373"/>
      <c r="BC78" s="373"/>
      <c r="BD78" s="373"/>
      <c r="BE78" s="373"/>
      <c r="BF78" s="373"/>
      <c r="BG78" s="373"/>
      <c r="BH78" s="373"/>
      <c r="BI78" s="373"/>
      <c r="BJ78" s="373"/>
      <c r="BK78" s="373"/>
      <c r="BL78" s="373"/>
      <c r="BM78" s="373"/>
      <c r="BN78" s="373"/>
      <c r="BO78" s="373"/>
      <c r="BP78" s="373"/>
      <c r="BQ78" s="373"/>
      <c r="BR78" s="373"/>
      <c r="BS78" s="373"/>
      <c r="BT78" s="373"/>
      <c r="BU78" s="373"/>
      <c r="BV78" s="373"/>
      <c r="BW78" s="373"/>
      <c r="BX78" s="374"/>
      <c r="BY78" s="374"/>
      <c r="BZ78" s="374"/>
      <c r="CA78" s="374"/>
      <c r="CB78" s="374"/>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c r="DK78" s="374"/>
      <c r="DL78" s="374"/>
      <c r="DM78" s="374"/>
      <c r="DN78" s="375"/>
      <c r="DO78" s="375"/>
      <c r="DP78" s="375"/>
      <c r="DQ78" s="375"/>
      <c r="DR78" s="375"/>
      <c r="DS78" s="375"/>
      <c r="DT78" s="375"/>
      <c r="DU78" s="375"/>
      <c r="DV78" s="375"/>
      <c r="DW78" s="375"/>
      <c r="DX78" s="375"/>
      <c r="DY78" s="375"/>
      <c r="DZ78" s="375"/>
      <c r="EA78" s="375"/>
      <c r="EB78" s="375"/>
      <c r="EC78" s="375"/>
      <c r="ED78" s="375"/>
      <c r="EE78" s="375"/>
    </row>
    <row r="79" spans="1:135" x14ac:dyDescent="0.35">
      <c r="B79" s="48"/>
      <c r="V79" s="373"/>
      <c r="W79" s="373"/>
      <c r="X79" s="373"/>
      <c r="Y79" s="373"/>
      <c r="Z79" s="373"/>
      <c r="AA79" s="373"/>
      <c r="AB79" s="373"/>
      <c r="AC79" s="373"/>
      <c r="AD79" s="373"/>
      <c r="AE79" s="373"/>
      <c r="AF79" s="373"/>
      <c r="AG79" s="373"/>
      <c r="AH79" s="373"/>
      <c r="AI79" s="373"/>
      <c r="AJ79" s="373"/>
      <c r="AK79" s="373"/>
      <c r="AL79" s="373"/>
      <c r="AM79" s="373"/>
      <c r="AN79" s="373"/>
      <c r="AO79" s="373"/>
      <c r="AP79" s="373"/>
      <c r="AQ79" s="373"/>
      <c r="AR79" s="373"/>
      <c r="AS79" s="373"/>
      <c r="AT79" s="373"/>
      <c r="AU79" s="373"/>
      <c r="AV79" s="373"/>
      <c r="AW79" s="373"/>
      <c r="AX79" s="373"/>
      <c r="AY79" s="373"/>
      <c r="AZ79" s="373"/>
      <c r="BA79" s="373"/>
      <c r="BB79" s="373"/>
      <c r="BC79" s="373"/>
      <c r="BD79" s="373"/>
      <c r="BE79" s="373"/>
      <c r="BF79" s="373"/>
      <c r="BG79" s="373"/>
      <c r="BH79" s="373"/>
      <c r="BI79" s="373"/>
      <c r="BJ79" s="373"/>
      <c r="BK79" s="373"/>
      <c r="BL79" s="373"/>
      <c r="BM79" s="373"/>
      <c r="BN79" s="373"/>
      <c r="BO79" s="373"/>
      <c r="BP79" s="373"/>
      <c r="BQ79" s="373"/>
      <c r="BR79" s="373"/>
      <c r="BS79" s="373"/>
      <c r="BT79" s="373"/>
      <c r="BU79" s="373"/>
      <c r="BV79" s="373"/>
      <c r="BW79" s="373"/>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c r="CT79" s="374"/>
      <c r="CU79" s="374"/>
      <c r="CV79" s="374"/>
      <c r="CW79" s="374"/>
      <c r="CX79" s="374"/>
      <c r="CY79" s="374"/>
      <c r="CZ79" s="374"/>
      <c r="DA79" s="374"/>
      <c r="DB79" s="374"/>
      <c r="DC79" s="374"/>
      <c r="DD79" s="374"/>
      <c r="DE79" s="374"/>
      <c r="DF79" s="374"/>
      <c r="DG79" s="374"/>
      <c r="DH79" s="374"/>
      <c r="DI79" s="374"/>
      <c r="DJ79" s="374"/>
      <c r="DK79" s="374"/>
      <c r="DL79" s="374"/>
      <c r="DM79" s="374"/>
      <c r="DN79" s="375"/>
      <c r="DO79" s="375"/>
      <c r="DP79" s="375"/>
      <c r="DQ79" s="375"/>
      <c r="DR79" s="375"/>
      <c r="DS79" s="375"/>
      <c r="DT79" s="375"/>
      <c r="DU79" s="375"/>
      <c r="DV79" s="375"/>
      <c r="DW79" s="375"/>
      <c r="DX79" s="375"/>
      <c r="DY79" s="375"/>
      <c r="DZ79" s="375"/>
      <c r="EA79" s="375"/>
      <c r="EB79" s="375"/>
      <c r="EC79" s="375"/>
      <c r="ED79" s="375"/>
      <c r="EE79" s="375"/>
    </row>
    <row r="80" spans="1:135" x14ac:dyDescent="0.35">
      <c r="B80" s="48" t="s">
        <v>568</v>
      </c>
      <c r="C80" t="s">
        <v>515</v>
      </c>
      <c r="D80" t="s">
        <v>768</v>
      </c>
      <c r="E80" t="s">
        <v>798</v>
      </c>
      <c r="F80" t="s">
        <v>515</v>
      </c>
      <c r="G80" t="s">
        <v>1980</v>
      </c>
      <c r="H80" t="s">
        <v>853</v>
      </c>
      <c r="V80" s="373"/>
      <c r="W80" s="373"/>
      <c r="X80" s="373"/>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373"/>
      <c r="AY80" s="373"/>
      <c r="AZ80" s="373"/>
      <c r="BA80" s="373"/>
      <c r="BB80" s="373"/>
      <c r="BC80" s="373"/>
      <c r="BD80" s="373"/>
      <c r="BE80" s="373"/>
      <c r="BF80" s="373"/>
      <c r="BG80" s="373"/>
      <c r="BH80" s="373"/>
      <c r="BI80" s="373"/>
      <c r="BJ80" s="373"/>
      <c r="BK80" s="373"/>
      <c r="BL80" s="373"/>
      <c r="BM80" s="373"/>
      <c r="BN80" s="373"/>
      <c r="BO80" s="373"/>
      <c r="BP80" s="373"/>
      <c r="BQ80" s="373"/>
      <c r="BR80" s="373"/>
      <c r="BS80" s="373"/>
      <c r="BT80" s="373"/>
      <c r="BU80" s="373"/>
      <c r="BV80" s="373"/>
      <c r="BW80" s="373"/>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c r="DA80" s="374"/>
      <c r="DB80" s="374"/>
      <c r="DC80" s="374"/>
      <c r="DD80" s="374"/>
      <c r="DE80" s="374"/>
      <c r="DF80" s="374"/>
      <c r="DG80" s="374"/>
      <c r="DH80" s="374"/>
      <c r="DI80" s="374"/>
      <c r="DJ80" s="374"/>
      <c r="DK80" s="374"/>
      <c r="DL80" s="374"/>
      <c r="DM80" s="374"/>
      <c r="DN80" s="375"/>
      <c r="DO80" s="375"/>
      <c r="DP80" s="375"/>
      <c r="DQ80" s="375"/>
      <c r="DR80" s="375"/>
      <c r="DS80" s="375"/>
      <c r="DT80" s="375"/>
      <c r="DU80" s="375"/>
      <c r="DV80" s="375"/>
      <c r="DW80" s="375"/>
      <c r="DX80" s="375"/>
      <c r="DY80" s="375"/>
      <c r="DZ80" s="375"/>
      <c r="EA80" s="375"/>
      <c r="EB80" s="375"/>
      <c r="EC80" s="375"/>
      <c r="ED80" s="375"/>
      <c r="EE80" s="375"/>
    </row>
    <row r="81" spans="2:135" x14ac:dyDescent="0.35">
      <c r="B81" s="48" t="s">
        <v>512</v>
      </c>
      <c r="C81" t="s">
        <v>652</v>
      </c>
      <c r="D81" t="s">
        <v>512</v>
      </c>
      <c r="E81" t="s">
        <v>648</v>
      </c>
      <c r="F81" t="s">
        <v>846</v>
      </c>
      <c r="G81" t="s">
        <v>1955</v>
      </c>
      <c r="H81" t="s">
        <v>652</v>
      </c>
      <c r="I81" t="s">
        <v>883</v>
      </c>
      <c r="J81" t="s">
        <v>615</v>
      </c>
      <c r="K81" t="s">
        <v>554</v>
      </c>
      <c r="L81" t="s">
        <v>605</v>
      </c>
      <c r="M81" t="s">
        <v>1956</v>
      </c>
      <c r="N81" t="s">
        <v>1957</v>
      </c>
      <c r="O81" t="s">
        <v>615</v>
      </c>
      <c r="P81" t="s">
        <v>560</v>
      </c>
      <c r="Q81" t="s">
        <v>833</v>
      </c>
      <c r="V81" s="373"/>
      <c r="W81" s="373"/>
      <c r="X81" s="373"/>
      <c r="Y81" s="373"/>
      <c r="Z81" s="373"/>
      <c r="AA81" s="373"/>
      <c r="AB81" s="373"/>
      <c r="AC81" s="373"/>
      <c r="AD81" s="373"/>
      <c r="AE81" s="373"/>
      <c r="AF81" s="373"/>
      <c r="AG81" s="373"/>
      <c r="AH81" s="373"/>
      <c r="AI81" s="373"/>
      <c r="AJ81" s="373"/>
      <c r="AK81" s="373"/>
      <c r="AL81" s="373"/>
      <c r="AM81" s="373"/>
      <c r="AN81" s="373"/>
      <c r="AO81" s="373"/>
      <c r="AP81" s="373"/>
      <c r="AQ81" s="373"/>
      <c r="AR81" s="373"/>
      <c r="AS81" s="373"/>
      <c r="AT81" s="373"/>
      <c r="AU81" s="373"/>
      <c r="AV81" s="373"/>
      <c r="AW81" s="373"/>
      <c r="AX81" s="373"/>
      <c r="AY81" s="373"/>
      <c r="AZ81" s="373"/>
      <c r="BA81" s="373"/>
      <c r="BB81" s="373"/>
      <c r="BC81" s="373"/>
      <c r="BD81" s="373"/>
      <c r="BE81" s="373"/>
      <c r="BF81" s="373"/>
      <c r="BG81" s="373"/>
      <c r="BH81" s="373"/>
      <c r="BI81" s="373"/>
      <c r="BJ81" s="373"/>
      <c r="BK81" s="373"/>
      <c r="BL81" s="373"/>
      <c r="BM81" s="373"/>
      <c r="BN81" s="373"/>
      <c r="BO81" s="373"/>
      <c r="BP81" s="373"/>
      <c r="BQ81" s="373"/>
      <c r="BR81" s="373"/>
      <c r="BS81" s="373"/>
      <c r="BT81" s="373"/>
      <c r="BU81" s="373"/>
      <c r="BV81" s="373"/>
      <c r="BW81" s="373"/>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c r="CU81" s="374"/>
      <c r="CV81" s="374"/>
      <c r="CW81" s="374"/>
      <c r="CX81" s="374"/>
      <c r="CY81" s="374"/>
      <c r="CZ81" s="374"/>
      <c r="DA81" s="374"/>
      <c r="DB81" s="374"/>
      <c r="DC81" s="374"/>
      <c r="DD81" s="374"/>
      <c r="DE81" s="374"/>
      <c r="DF81" s="374"/>
      <c r="DG81" s="374"/>
      <c r="DH81" s="374"/>
      <c r="DI81" s="374"/>
      <c r="DJ81" s="374"/>
      <c r="DK81" s="374"/>
      <c r="DL81" s="374"/>
      <c r="DM81" s="374"/>
      <c r="DN81" s="375"/>
      <c r="DO81" s="375"/>
      <c r="DP81" s="375"/>
      <c r="DQ81" s="375"/>
      <c r="DR81" s="375"/>
      <c r="DS81" s="375"/>
      <c r="DT81" s="375"/>
      <c r="DU81" s="375"/>
      <c r="DV81" s="375"/>
      <c r="DW81" s="375"/>
      <c r="DX81" s="375"/>
      <c r="DY81" s="375"/>
      <c r="DZ81" s="375"/>
      <c r="EA81" s="375"/>
      <c r="EB81" s="375"/>
      <c r="EC81" s="375"/>
      <c r="ED81" s="375"/>
      <c r="EE81" s="375"/>
    </row>
    <row r="82" spans="2:135" x14ac:dyDescent="0.35">
      <c r="B82" s="48" t="s">
        <v>507</v>
      </c>
      <c r="C82" t="s">
        <v>700</v>
      </c>
      <c r="D82" t="s">
        <v>840</v>
      </c>
      <c r="E82" t="s">
        <v>1958</v>
      </c>
      <c r="F82" t="s">
        <v>1959</v>
      </c>
      <c r="G82" t="s">
        <v>710</v>
      </c>
      <c r="H82" t="s">
        <v>829</v>
      </c>
      <c r="V82" s="373"/>
      <c r="W82" s="373"/>
      <c r="X82" s="373"/>
      <c r="Y82" s="373"/>
      <c r="Z82" s="373"/>
      <c r="AA82" s="373"/>
      <c r="AB82" s="373"/>
      <c r="AC82" s="373"/>
      <c r="AD82" s="373"/>
      <c r="AE82" s="373"/>
      <c r="AF82" s="373"/>
      <c r="AG82" s="373"/>
      <c r="AH82" s="373"/>
      <c r="AI82" s="373"/>
      <c r="AJ82" s="373"/>
      <c r="AK82" s="373"/>
      <c r="AL82" s="373"/>
      <c r="AM82" s="373"/>
      <c r="AN82" s="373"/>
      <c r="AO82" s="373"/>
      <c r="AP82" s="373"/>
      <c r="AQ82" s="373"/>
      <c r="AR82" s="373"/>
      <c r="AS82" s="373"/>
      <c r="AT82" s="373"/>
      <c r="AU82" s="373"/>
      <c r="AV82" s="373"/>
      <c r="AW82" s="373"/>
      <c r="AX82" s="373"/>
      <c r="AY82" s="373"/>
      <c r="AZ82" s="373"/>
      <c r="BA82" s="373"/>
      <c r="BB82" s="373"/>
      <c r="BC82" s="373"/>
      <c r="BD82" s="373"/>
      <c r="BE82" s="373"/>
      <c r="BF82" s="373"/>
      <c r="BG82" s="373"/>
      <c r="BH82" s="373"/>
      <c r="BI82" s="373"/>
      <c r="BJ82" s="373"/>
      <c r="BK82" s="373"/>
      <c r="BL82" s="373"/>
      <c r="BM82" s="373"/>
      <c r="BN82" s="373"/>
      <c r="BO82" s="373"/>
      <c r="BP82" s="373"/>
      <c r="BQ82" s="373"/>
      <c r="BR82" s="373"/>
      <c r="BS82" s="373"/>
      <c r="BT82" s="373"/>
      <c r="BU82" s="373"/>
      <c r="BV82" s="373"/>
      <c r="BW82" s="373"/>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374"/>
      <c r="DA82" s="374"/>
      <c r="DB82" s="374"/>
      <c r="DC82" s="374"/>
      <c r="DD82" s="374"/>
      <c r="DE82" s="374"/>
      <c r="DF82" s="374"/>
      <c r="DG82" s="374"/>
      <c r="DH82" s="374"/>
      <c r="DI82" s="374"/>
      <c r="DJ82" s="374"/>
      <c r="DK82" s="374"/>
      <c r="DL82" s="374"/>
      <c r="DM82" s="374"/>
      <c r="DN82" s="375"/>
      <c r="DO82" s="375"/>
      <c r="DP82" s="375"/>
      <c r="DQ82" s="375"/>
      <c r="DR82" s="375"/>
      <c r="DS82" s="375"/>
      <c r="DT82" s="375"/>
      <c r="DU82" s="375"/>
      <c r="DV82" s="375"/>
      <c r="DW82" s="375"/>
      <c r="DX82" s="375"/>
      <c r="DY82" s="375"/>
      <c r="DZ82" s="375"/>
      <c r="EA82" s="375"/>
      <c r="EB82" s="375"/>
      <c r="EC82" s="375"/>
      <c r="ED82" s="375"/>
      <c r="EE82" s="375"/>
    </row>
    <row r="83" spans="2:135" x14ac:dyDescent="0.35">
      <c r="B83" s="48" t="s">
        <v>888</v>
      </c>
      <c r="C83" t="s">
        <v>917</v>
      </c>
      <c r="D83" t="s">
        <v>1960</v>
      </c>
      <c r="V83" s="373"/>
      <c r="W83" s="373"/>
      <c r="X83" s="373"/>
      <c r="Y83" s="373"/>
      <c r="Z83" s="373"/>
      <c r="AA83" s="373"/>
      <c r="AB83" s="373"/>
      <c r="AC83" s="373"/>
      <c r="AD83" s="373"/>
      <c r="AE83" s="373"/>
      <c r="AF83" s="373"/>
      <c r="AG83" s="373"/>
      <c r="AH83" s="373"/>
      <c r="AI83" s="373"/>
      <c r="AJ83" s="373"/>
      <c r="AK83" s="373"/>
      <c r="AL83" s="373"/>
      <c r="AM83" s="373"/>
      <c r="AN83" s="373"/>
      <c r="AO83" s="373"/>
      <c r="AP83" s="373"/>
      <c r="AQ83" s="373"/>
      <c r="AR83" s="373"/>
      <c r="AS83" s="373"/>
      <c r="AT83" s="373"/>
      <c r="AU83" s="373"/>
      <c r="AV83" s="373"/>
      <c r="AW83" s="373"/>
      <c r="AX83" s="373"/>
      <c r="AY83" s="373"/>
      <c r="AZ83" s="373"/>
      <c r="BA83" s="373"/>
      <c r="BB83" s="373"/>
      <c r="BC83" s="373"/>
      <c r="BD83" s="373"/>
      <c r="BE83" s="373"/>
      <c r="BF83" s="373"/>
      <c r="BG83" s="373"/>
      <c r="BH83" s="373"/>
      <c r="BI83" s="373"/>
      <c r="BJ83" s="373"/>
      <c r="BK83" s="373"/>
      <c r="BL83" s="373"/>
      <c r="BM83" s="373"/>
      <c r="BN83" s="373"/>
      <c r="BO83" s="373"/>
      <c r="BP83" s="373"/>
      <c r="BQ83" s="373"/>
      <c r="BR83" s="373"/>
      <c r="BS83" s="373"/>
      <c r="BT83" s="373"/>
      <c r="BU83" s="373"/>
      <c r="BV83" s="373"/>
      <c r="BW83" s="373"/>
      <c r="BX83" s="374"/>
      <c r="BY83" s="374"/>
      <c r="BZ83" s="374"/>
      <c r="CA83" s="374"/>
      <c r="CB83" s="374"/>
      <c r="CC83" s="374"/>
      <c r="CD83" s="374"/>
      <c r="CE83" s="374"/>
      <c r="CF83" s="374"/>
      <c r="CG83" s="374"/>
      <c r="CH83" s="374"/>
      <c r="CI83" s="374"/>
      <c r="CJ83" s="374"/>
      <c r="CK83" s="374"/>
      <c r="CL83" s="374"/>
      <c r="CM83" s="374"/>
      <c r="CN83" s="374"/>
      <c r="CO83" s="374"/>
      <c r="CP83" s="374"/>
      <c r="CQ83" s="374"/>
      <c r="CR83" s="374"/>
      <c r="CS83" s="374"/>
      <c r="CT83" s="374"/>
      <c r="CU83" s="374"/>
      <c r="CV83" s="374"/>
      <c r="CW83" s="374"/>
      <c r="CX83" s="374"/>
      <c r="CY83" s="374"/>
      <c r="CZ83" s="374"/>
      <c r="DA83" s="374"/>
      <c r="DB83" s="374"/>
      <c r="DC83" s="374"/>
      <c r="DD83" s="374"/>
      <c r="DE83" s="374"/>
      <c r="DF83" s="374"/>
      <c r="DG83" s="374"/>
      <c r="DH83" s="374"/>
      <c r="DI83" s="374"/>
      <c r="DJ83" s="374"/>
      <c r="DK83" s="374"/>
      <c r="DL83" s="374"/>
      <c r="DM83" s="374"/>
      <c r="DN83" s="375"/>
      <c r="DO83" s="375"/>
      <c r="DP83" s="375"/>
      <c r="DQ83" s="375"/>
      <c r="DR83" s="375"/>
      <c r="DS83" s="375"/>
      <c r="DT83" s="375"/>
      <c r="DU83" s="375"/>
      <c r="DV83" s="375"/>
      <c r="DW83" s="375"/>
      <c r="DX83" s="375"/>
      <c r="DY83" s="375"/>
      <c r="DZ83" s="375"/>
      <c r="EA83" s="375"/>
      <c r="EB83" s="375"/>
      <c r="EC83" s="375"/>
      <c r="ED83" s="375"/>
      <c r="EE83" s="375"/>
    </row>
    <row r="84" spans="2:135" x14ac:dyDescent="0.35">
      <c r="B84" s="48" t="s">
        <v>680</v>
      </c>
      <c r="C84" t="s">
        <v>574</v>
      </c>
      <c r="D84" t="s">
        <v>593</v>
      </c>
      <c r="V84" s="373"/>
      <c r="W84" s="373"/>
      <c r="X84" s="373"/>
      <c r="Y84" s="373"/>
      <c r="Z84" s="373"/>
      <c r="AA84" s="373"/>
      <c r="AB84" s="373"/>
      <c r="AC84" s="373"/>
      <c r="AD84" s="373"/>
      <c r="AE84" s="373"/>
      <c r="AF84" s="373"/>
      <c r="AG84" s="373"/>
      <c r="AH84" s="373"/>
      <c r="AI84" s="373"/>
      <c r="AJ84" s="373"/>
      <c r="AK84" s="373"/>
      <c r="AL84" s="373"/>
      <c r="AM84" s="373"/>
      <c r="AN84" s="373"/>
      <c r="AO84" s="373"/>
      <c r="AP84" s="373"/>
      <c r="AQ84" s="373"/>
      <c r="AR84" s="373"/>
      <c r="AS84" s="373"/>
      <c r="AT84" s="373"/>
      <c r="AU84" s="373"/>
      <c r="AV84" s="373"/>
      <c r="AW84" s="373"/>
      <c r="AX84" s="373"/>
      <c r="AY84" s="373"/>
      <c r="AZ84" s="373"/>
      <c r="BA84" s="373"/>
      <c r="BB84" s="373"/>
      <c r="BC84" s="373"/>
      <c r="BD84" s="373"/>
      <c r="BE84" s="373"/>
      <c r="BF84" s="373"/>
      <c r="BG84" s="373"/>
      <c r="BH84" s="373"/>
      <c r="BI84" s="373"/>
      <c r="BJ84" s="373"/>
      <c r="BK84" s="373"/>
      <c r="BL84" s="373"/>
      <c r="BM84" s="373"/>
      <c r="BN84" s="373"/>
      <c r="BO84" s="373"/>
      <c r="BP84" s="373"/>
      <c r="BQ84" s="373"/>
      <c r="BR84" s="373"/>
      <c r="BS84" s="373"/>
      <c r="BT84" s="373"/>
      <c r="BU84" s="373"/>
      <c r="BV84" s="373"/>
      <c r="BW84" s="373"/>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c r="DJ84" s="374"/>
      <c r="DK84" s="374"/>
      <c r="DL84" s="374"/>
      <c r="DM84" s="374"/>
      <c r="DN84" s="375"/>
      <c r="DO84" s="375"/>
      <c r="DP84" s="375"/>
      <c r="DQ84" s="375"/>
      <c r="DR84" s="375"/>
      <c r="DS84" s="375"/>
      <c r="DT84" s="375"/>
      <c r="DU84" s="375"/>
      <c r="DV84" s="375"/>
      <c r="DW84" s="375"/>
      <c r="DX84" s="375"/>
      <c r="DY84" s="375"/>
      <c r="DZ84" s="375"/>
      <c r="EA84" s="375"/>
      <c r="EB84" s="375"/>
      <c r="EC84" s="375"/>
      <c r="ED84" s="375"/>
      <c r="EE84" s="375"/>
    </row>
    <row r="85" spans="2:135" x14ac:dyDescent="0.35">
      <c r="B85" s="48" t="s">
        <v>2077</v>
      </c>
      <c r="C85" t="s">
        <v>707</v>
      </c>
      <c r="V85" s="373"/>
    </row>
    <row r="86" spans="2:135" x14ac:dyDescent="0.35">
      <c r="B86" s="48" t="s">
        <v>512</v>
      </c>
      <c r="C86" t="s">
        <v>539</v>
      </c>
      <c r="D86" t="s">
        <v>715</v>
      </c>
      <c r="E86" t="s">
        <v>740</v>
      </c>
      <c r="F86" t="s">
        <v>732</v>
      </c>
      <c r="V86" s="373"/>
    </row>
    <row r="87" spans="2:135" x14ac:dyDescent="0.35">
      <c r="B87" s="48" t="s">
        <v>724</v>
      </c>
      <c r="V87" s="373"/>
    </row>
    <row r="88" spans="2:135" x14ac:dyDescent="0.35">
      <c r="B88" s="48" t="s">
        <v>563</v>
      </c>
      <c r="C88" t="s">
        <v>587</v>
      </c>
      <c r="D88" t="s">
        <v>901</v>
      </c>
      <c r="E88" t="s">
        <v>786</v>
      </c>
      <c r="F88" t="s">
        <v>1984</v>
      </c>
      <c r="G88" t="s">
        <v>808</v>
      </c>
      <c r="H88" t="s">
        <v>808</v>
      </c>
      <c r="I88" t="s">
        <v>1989</v>
      </c>
      <c r="J88" t="s">
        <v>454</v>
      </c>
      <c r="K88" t="s">
        <v>582</v>
      </c>
      <c r="L88" t="s">
        <v>1969</v>
      </c>
      <c r="M88" t="s">
        <v>599</v>
      </c>
      <c r="N88" t="s">
        <v>549</v>
      </c>
      <c r="O88" t="s">
        <v>808</v>
      </c>
      <c r="P88" t="s">
        <v>786</v>
      </c>
      <c r="Q88" t="s">
        <v>1983</v>
      </c>
      <c r="R88" t="s">
        <v>602</v>
      </c>
      <c r="S88" t="s">
        <v>1970</v>
      </c>
      <c r="V88" s="373"/>
    </row>
    <row r="89" spans="2:135" x14ac:dyDescent="0.35">
      <c r="B89" s="48" t="s">
        <v>519</v>
      </c>
      <c r="V89" s="373"/>
    </row>
    <row r="90" spans="2:135" x14ac:dyDescent="0.35">
      <c r="B90" s="48" t="s">
        <v>793</v>
      </c>
      <c r="C90" t="s">
        <v>1963</v>
      </c>
      <c r="V90" s="373"/>
    </row>
    <row r="91" spans="2:135" x14ac:dyDescent="0.35">
      <c r="B91" s="48" t="s">
        <v>762</v>
      </c>
      <c r="C91" t="s">
        <v>1961</v>
      </c>
      <c r="D91" t="s">
        <v>1962</v>
      </c>
      <c r="E91" t="s">
        <v>1964</v>
      </c>
      <c r="F91" t="s">
        <v>748</v>
      </c>
      <c r="G91" t="s">
        <v>780</v>
      </c>
      <c r="H91" t="s">
        <v>868</v>
      </c>
      <c r="I91" t="s">
        <v>780</v>
      </c>
      <c r="V91" s="373"/>
    </row>
    <row r="92" spans="2:135" x14ac:dyDescent="0.35">
      <c r="B92" s="48" t="s">
        <v>1963</v>
      </c>
      <c r="V92" s="373"/>
    </row>
    <row r="93" spans="2:135" x14ac:dyDescent="0.35">
      <c r="B93" s="48" t="s">
        <v>1965</v>
      </c>
      <c r="C93" t="s">
        <v>1981</v>
      </c>
      <c r="V93" s="373"/>
    </row>
    <row r="94" spans="2:135" x14ac:dyDescent="0.35">
      <c r="B94" s="48" t="s">
        <v>459</v>
      </c>
      <c r="C94" t="s">
        <v>924</v>
      </c>
      <c r="D94" t="s">
        <v>1966</v>
      </c>
      <c r="V94" s="373"/>
    </row>
    <row r="95" spans="2:135" x14ac:dyDescent="0.35">
      <c r="B95" s="48" t="s">
        <v>318</v>
      </c>
      <c r="V95" s="373"/>
    </row>
    <row r="96" spans="2:135" x14ac:dyDescent="0.35">
      <c r="B96" s="48" t="s">
        <v>868</v>
      </c>
      <c r="C96" t="s">
        <v>1967</v>
      </c>
      <c r="D96" t="s">
        <v>868</v>
      </c>
      <c r="E96" t="s">
        <v>1951</v>
      </c>
      <c r="F96" t="s">
        <v>510</v>
      </c>
      <c r="G96" t="s">
        <v>1206</v>
      </c>
    </row>
    <row r="97" spans="2:10" x14ac:dyDescent="0.35">
      <c r="B97" s="48" t="s">
        <v>580</v>
      </c>
    </row>
    <row r="98" spans="2:10" x14ac:dyDescent="0.35">
      <c r="B98" s="48" t="s">
        <v>523</v>
      </c>
      <c r="C98" t="s">
        <v>1968</v>
      </c>
      <c r="D98" t="s">
        <v>379</v>
      </c>
    </row>
    <row r="99" spans="2:10" x14ac:dyDescent="0.35">
      <c r="B99" s="48" t="s">
        <v>519</v>
      </c>
      <c r="C99" t="s">
        <v>837</v>
      </c>
    </row>
    <row r="100" spans="2:10" x14ac:dyDescent="0.35">
      <c r="B100" s="48" t="s">
        <v>866</v>
      </c>
    </row>
    <row r="101" spans="2:10" x14ac:dyDescent="0.35">
      <c r="B101" s="48" t="s">
        <v>497</v>
      </c>
      <c r="C101" t="s">
        <v>1971</v>
      </c>
      <c r="D101" t="s">
        <v>1972</v>
      </c>
      <c r="E101" t="s">
        <v>507</v>
      </c>
      <c r="F101" t="s">
        <v>1973</v>
      </c>
      <c r="G101" t="s">
        <v>480</v>
      </c>
      <c r="H101" t="s">
        <v>863</v>
      </c>
    </row>
    <row r="102" spans="2:10" x14ac:dyDescent="0.35">
      <c r="B102" s="48" t="s">
        <v>774</v>
      </c>
      <c r="C102" t="s">
        <v>859</v>
      </c>
      <c r="D102" t="s">
        <v>527</v>
      </c>
      <c r="E102" t="s">
        <v>774</v>
      </c>
      <c r="F102" t="s">
        <v>863</v>
      </c>
      <c r="G102" t="s">
        <v>702</v>
      </c>
    </row>
    <row r="103" spans="2:10" x14ac:dyDescent="0.35">
      <c r="B103" s="48" t="s">
        <v>1975</v>
      </c>
    </row>
    <row r="104" spans="2:10" x14ac:dyDescent="0.35">
      <c r="B104" s="48" t="s">
        <v>440</v>
      </c>
      <c r="C104" t="s">
        <v>1982</v>
      </c>
      <c r="D104" t="s">
        <v>627</v>
      </c>
      <c r="E104" t="s">
        <v>580</v>
      </c>
      <c r="F104" t="s">
        <v>622</v>
      </c>
    </row>
    <row r="105" spans="2:10" x14ac:dyDescent="0.35">
      <c r="B105" s="48" t="s">
        <v>783</v>
      </c>
      <c r="C105" t="s">
        <v>939</v>
      </c>
      <c r="D105" t="s">
        <v>783</v>
      </c>
      <c r="E105" t="s">
        <v>863</v>
      </c>
    </row>
    <row r="106" spans="2:10" x14ac:dyDescent="0.35">
      <c r="B106" s="48" t="s">
        <v>418</v>
      </c>
      <c r="C106" t="s">
        <v>1976</v>
      </c>
      <c r="D106" t="s">
        <v>486</v>
      </c>
      <c r="E106" t="s">
        <v>1932</v>
      </c>
      <c r="F106" t="s">
        <v>489</v>
      </c>
    </row>
    <row r="107" spans="2:10" x14ac:dyDescent="0.35">
      <c r="B107" s="48" t="s">
        <v>1932</v>
      </c>
      <c r="C107" t="s">
        <v>795</v>
      </c>
      <c r="D107" t="s">
        <v>806</v>
      </c>
      <c r="E107" t="s">
        <v>507</v>
      </c>
      <c r="F107" t="s">
        <v>663</v>
      </c>
      <c r="G107" t="s">
        <v>700</v>
      </c>
      <c r="H107" t="s">
        <v>697</v>
      </c>
      <c r="I107" t="s">
        <v>692</v>
      </c>
      <c r="J107" t="s">
        <v>686</v>
      </c>
    </row>
    <row r="108" spans="2:10" x14ac:dyDescent="0.35">
      <c r="B108" s="48" t="s">
        <v>774</v>
      </c>
    </row>
    <row r="109" spans="2:10" x14ac:dyDescent="0.35">
      <c r="B109" s="48" t="s">
        <v>1977</v>
      </c>
      <c r="C109" t="s">
        <v>367</v>
      </c>
      <c r="D109" t="s">
        <v>428</v>
      </c>
    </row>
    <row r="110" spans="2:10" x14ac:dyDescent="0.35">
      <c r="B110" s="48" t="s">
        <v>840</v>
      </c>
      <c r="C110" t="s">
        <v>448</v>
      </c>
      <c r="D110" t="s">
        <v>825</v>
      </c>
      <c r="E110" t="s">
        <v>354</v>
      </c>
    </row>
    <row r="111" spans="2:10" x14ac:dyDescent="0.35">
      <c r="B111" s="48" t="s">
        <v>467</v>
      </c>
      <c r="C111" t="s">
        <v>424</v>
      </c>
    </row>
    <row r="112" spans="2:10" x14ac:dyDescent="0.35">
      <c r="B112" s="48" t="s">
        <v>745</v>
      </c>
      <c r="C112" t="s">
        <v>819</v>
      </c>
      <c r="D112" t="s">
        <v>898</v>
      </c>
      <c r="E112" t="s">
        <v>736</v>
      </c>
      <c r="F112" t="s">
        <v>472</v>
      </c>
      <c r="G112" t="s">
        <v>1978</v>
      </c>
    </row>
    <row r="113" spans="2:8" x14ac:dyDescent="0.35">
      <c r="B113" s="48" t="s">
        <v>638</v>
      </c>
      <c r="C113" t="s">
        <v>668</v>
      </c>
      <c r="D113" t="s">
        <v>1988</v>
      </c>
    </row>
    <row r="114" spans="2:8" x14ac:dyDescent="0.35">
      <c r="B114" s="48" t="s">
        <v>823</v>
      </c>
      <c r="C114" t="s">
        <v>837</v>
      </c>
    </row>
    <row r="115" spans="2:8" x14ac:dyDescent="0.35">
      <c r="B115" s="48" t="s">
        <v>758</v>
      </c>
    </row>
    <row r="116" spans="2:8" x14ac:dyDescent="0.35">
      <c r="B116" s="48" t="s">
        <v>1979</v>
      </c>
      <c r="C116" t="s">
        <v>497</v>
      </c>
      <c r="D116" t="s">
        <v>872</v>
      </c>
      <c r="E116" t="s">
        <v>907</v>
      </c>
      <c r="F116" t="s">
        <v>379</v>
      </c>
      <c r="G116" t="s">
        <v>397</v>
      </c>
      <c r="H116" t="s">
        <v>489</v>
      </c>
    </row>
    <row r="117" spans="2:8" x14ac:dyDescent="0.35">
      <c r="B117" s="48" t="s">
        <v>340</v>
      </c>
    </row>
    <row r="118" spans="2:8" x14ac:dyDescent="0.35">
      <c r="B118" s="48" t="s">
        <v>386</v>
      </c>
    </row>
    <row r="119" spans="2:8" x14ac:dyDescent="0.35">
      <c r="B119" s="48" t="s">
        <v>1933</v>
      </c>
    </row>
    <row r="120" spans="2:8" x14ac:dyDescent="0.35">
      <c r="B120" s="48" t="s">
        <v>300</v>
      </c>
      <c r="C120" t="s">
        <v>1935</v>
      </c>
    </row>
    <row r="121" spans="2:8" x14ac:dyDescent="0.35">
      <c r="B121" s="48" t="s">
        <v>397</v>
      </c>
    </row>
    <row r="122" spans="2:8" x14ac:dyDescent="0.35">
      <c r="B122" s="48" t="s">
        <v>420</v>
      </c>
    </row>
    <row r="123" spans="2:8" x14ac:dyDescent="0.35">
      <c r="B123" s="48" t="s">
        <v>424</v>
      </c>
    </row>
    <row r="124" spans="2:8" x14ac:dyDescent="0.35">
      <c r="B124" s="48" t="s">
        <v>367</v>
      </c>
    </row>
    <row r="125" spans="2:8" x14ac:dyDescent="0.35">
      <c r="B125" s="48" t="s">
        <v>472</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O171"/>
  <sheetViews>
    <sheetView workbookViewId="0">
      <selection activeCell="B1" sqref="B1"/>
    </sheetView>
  </sheetViews>
  <sheetFormatPr defaultColWidth="14.453125" defaultRowHeight="15" customHeight="1" x14ac:dyDescent="0.35"/>
  <cols>
    <col min="1" max="1" width="39.1796875" customWidth="1"/>
    <col min="2" max="2" width="25.81640625" customWidth="1"/>
    <col min="3" max="3" width="15.08984375" customWidth="1"/>
    <col min="4" max="4" width="13.08984375" customWidth="1"/>
    <col min="5" max="9" width="24.81640625" hidden="1" customWidth="1"/>
    <col min="10" max="14" width="24" hidden="1" customWidth="1"/>
    <col min="15" max="16" width="8.7265625" customWidth="1"/>
    <col min="17" max="17" width="19" customWidth="1"/>
    <col min="18" max="18" width="8.7265625" customWidth="1"/>
    <col min="19" max="19" width="59.6328125" customWidth="1"/>
    <col min="20" max="21" width="8.7265625" customWidth="1"/>
    <col min="22" max="24" width="24.81640625" customWidth="1"/>
    <col min="25" max="25" width="22.453125" customWidth="1"/>
    <col min="26" max="27" width="6.36328125" customWidth="1"/>
    <col min="28" max="28" width="40.08984375" style="69" customWidth="1"/>
    <col min="29" max="29" width="57.81640625" customWidth="1"/>
    <col min="30" max="30" width="33.36328125" customWidth="1"/>
    <col min="31" max="31" width="18.81640625" customWidth="1"/>
    <col min="32" max="32" width="8.7265625" customWidth="1"/>
    <col min="33" max="33" width="17" customWidth="1"/>
    <col min="34" max="36" width="46.08984375" customWidth="1"/>
    <col min="37" max="39" width="8.7265625" customWidth="1"/>
  </cols>
  <sheetData>
    <row r="1" spans="1:41" s="59" customFormat="1" ht="14.25" customHeight="1" thickBot="1" x14ac:dyDescent="0.4">
      <c r="A1" s="1" t="s">
        <v>244</v>
      </c>
      <c r="B1" s="59" t="s">
        <v>1990</v>
      </c>
      <c r="C1" s="1" t="s">
        <v>1946</v>
      </c>
      <c r="D1" s="1" t="s">
        <v>245</v>
      </c>
      <c r="E1" s="1" t="s">
        <v>246</v>
      </c>
      <c r="F1" s="1" t="s">
        <v>247</v>
      </c>
      <c r="G1" s="1" t="s">
        <v>248</v>
      </c>
      <c r="H1" s="1" t="s">
        <v>249</v>
      </c>
      <c r="I1" s="1" t="s">
        <v>250</v>
      </c>
      <c r="J1" s="1" t="s">
        <v>251</v>
      </c>
      <c r="K1" s="1" t="s">
        <v>252</v>
      </c>
      <c r="L1" s="1" t="s">
        <v>253</v>
      </c>
      <c r="M1" s="1" t="s">
        <v>254</v>
      </c>
      <c r="N1" s="1" t="s">
        <v>255</v>
      </c>
      <c r="O1" s="1" t="s">
        <v>256</v>
      </c>
      <c r="P1" s="1" t="s">
        <v>257</v>
      </c>
      <c r="Q1" s="1" t="s">
        <v>258</v>
      </c>
      <c r="R1" s="1" t="s">
        <v>259</v>
      </c>
      <c r="S1" s="1" t="s">
        <v>260</v>
      </c>
      <c r="T1" s="1" t="s">
        <v>261</v>
      </c>
      <c r="U1" s="1" t="s">
        <v>262</v>
      </c>
      <c r="V1" s="76" t="s">
        <v>2025</v>
      </c>
      <c r="W1" s="1" t="s">
        <v>2024</v>
      </c>
      <c r="X1" s="76" t="s">
        <v>2026</v>
      </c>
      <c r="Y1" s="1" t="s">
        <v>263</v>
      </c>
      <c r="Z1" s="1" t="s">
        <v>264</v>
      </c>
      <c r="AA1" s="1" t="s">
        <v>2041</v>
      </c>
      <c r="AB1" s="77" t="s">
        <v>2054</v>
      </c>
      <c r="AC1" s="1" t="s">
        <v>265</v>
      </c>
      <c r="AD1" s="1" t="s">
        <v>266</v>
      </c>
      <c r="AE1" s="1" t="s">
        <v>267</v>
      </c>
      <c r="AF1" s="1" t="s">
        <v>268</v>
      </c>
      <c r="AG1" s="1" t="s">
        <v>269</v>
      </c>
      <c r="AH1" s="1" t="s">
        <v>2005</v>
      </c>
      <c r="AI1" s="1"/>
      <c r="AJ1" s="1" t="s">
        <v>2027</v>
      </c>
      <c r="AK1" s="1" t="s">
        <v>270</v>
      </c>
      <c r="AL1" s="88" t="s">
        <v>2061</v>
      </c>
      <c r="AM1" s="1" t="s">
        <v>271</v>
      </c>
      <c r="AN1" s="76" t="s">
        <v>2006</v>
      </c>
    </row>
    <row r="2" spans="1:41" ht="14.25" customHeight="1" x14ac:dyDescent="0.35">
      <c r="A2" s="2" t="s">
        <v>375</v>
      </c>
      <c r="B2" s="43" t="s">
        <v>288</v>
      </c>
      <c r="C2" s="43" t="s">
        <v>286</v>
      </c>
      <c r="D2" s="2">
        <f>COUNTIF(E2:N2,#REF!)</f>
        <v>0</v>
      </c>
      <c r="E2" s="2" t="s">
        <v>274</v>
      </c>
      <c r="F2" s="2" t="s">
        <v>315</v>
      </c>
      <c r="G2" s="2" t="s">
        <v>277</v>
      </c>
      <c r="H2" s="2" t="str">
        <f t="shared" ref="H2:H48" si="0">IF(NOT(ISBLANK(I2)),RIGHT(I2,LEN(I2)-1),"")</f>
        <v/>
      </c>
      <c r="J2" s="2" t="s">
        <v>277</v>
      </c>
      <c r="K2" s="2" t="s">
        <v>277</v>
      </c>
      <c r="L2" s="2" t="s">
        <v>277</v>
      </c>
      <c r="M2" s="2" t="s">
        <v>277</v>
      </c>
      <c r="N2" s="2" t="s">
        <v>277</v>
      </c>
      <c r="O2" s="2">
        <v>26.184000000000001</v>
      </c>
      <c r="P2" s="2" t="s">
        <v>278</v>
      </c>
      <c r="Q2" s="2" t="s">
        <v>376</v>
      </c>
      <c r="R2" s="2" t="s">
        <v>279</v>
      </c>
      <c r="S2" s="2" t="s">
        <v>377</v>
      </c>
      <c r="T2" s="2" t="s">
        <v>69</v>
      </c>
      <c r="U2" s="2" t="s">
        <v>69</v>
      </c>
      <c r="V2" s="2" t="s">
        <v>290</v>
      </c>
      <c r="W2" s="2">
        <f t="shared" ref="W2:W40" si="1">IF(ISBLANK(X2),
IF(LEFT(V2,2)="51",ROUNDDOWN(AVERAGE(51,100),0),IF(LEFT(V2,3) ="100",ROUNDDOWN(AVERAGE(1001,5000),0),IF(LEFT(V2,3)="101",ROUNDDOWN(AVERAGE(101,250),0),IF(LEFT(V2,2)="11",ROUNDDOWN(AVERAGE(11,50),0),IF(LEFT(V2,3)="251",ROUNDDOWN(AVERAGE(251,500),0),IF(LEFT(V2,3)="501",ROUNDDOWN(AVERAGE(501,1000),0),IF(LEFT(V2,2)="51",ROUNDDOWN(AVERAGE(51,100),0)))))))),X2)</f>
        <v>75</v>
      </c>
      <c r="X2" s="2"/>
      <c r="Y2" s="2">
        <v>3</v>
      </c>
      <c r="Z2" s="2" t="s">
        <v>69</v>
      </c>
      <c r="AA2" s="2" t="s">
        <v>2042</v>
      </c>
      <c r="AB2" s="69">
        <f t="shared" ref="AB2:AB33" si="2">IF(AC2&lt;&gt;"n.a.",IF(AA2="€",(AC2*1.07)/1000000,IF(AA2="£",(AC2*1.26)/1000000,IF(AA2="CA",(0.73*AC2)/1000000,AC2/1000000))),AC2)</f>
        <v>4.75</v>
      </c>
      <c r="AC2" s="69">
        <v>4750000</v>
      </c>
      <c r="AD2" s="2" t="s">
        <v>378</v>
      </c>
      <c r="AE2" s="2">
        <v>1</v>
      </c>
      <c r="AF2" s="2" t="s">
        <v>69</v>
      </c>
      <c r="AG2" s="2" t="s">
        <v>69</v>
      </c>
      <c r="AH2" s="2" t="s">
        <v>2028</v>
      </c>
      <c r="AI2" s="67" t="s">
        <v>2036</v>
      </c>
      <c r="AJ2" s="2"/>
      <c r="AK2" s="2" t="s">
        <v>69</v>
      </c>
      <c r="AL2" s="2">
        <v>0</v>
      </c>
      <c r="AM2" s="2" t="s">
        <v>69</v>
      </c>
      <c r="AN2" s="68" t="s">
        <v>2008</v>
      </c>
    </row>
    <row r="3" spans="1:41" ht="14.25" customHeight="1" x14ac:dyDescent="0.35">
      <c r="A3" s="2" t="s">
        <v>431</v>
      </c>
      <c r="B3" s="43" t="s">
        <v>288</v>
      </c>
      <c r="C3" s="43" t="s">
        <v>286</v>
      </c>
      <c r="D3" s="2">
        <f>COUNTIF(E3:N3,#REF!)</f>
        <v>0</v>
      </c>
      <c r="E3" s="2" t="s">
        <v>287</v>
      </c>
      <c r="F3" s="2" t="s">
        <v>288</v>
      </c>
      <c r="G3" s="2" t="s">
        <v>313</v>
      </c>
      <c r="H3" s="2" t="str">
        <f t="shared" si="0"/>
        <v>InsurTech</v>
      </c>
      <c r="I3" s="2" t="s">
        <v>432</v>
      </c>
      <c r="J3" s="2" t="s">
        <v>324</v>
      </c>
      <c r="K3" s="2" t="s">
        <v>277</v>
      </c>
      <c r="L3" s="2" t="s">
        <v>277</v>
      </c>
      <c r="M3" s="2" t="s">
        <v>277</v>
      </c>
      <c r="N3" s="2" t="s">
        <v>277</v>
      </c>
      <c r="O3" s="2">
        <v>260</v>
      </c>
      <c r="P3" s="2" t="s">
        <v>278</v>
      </c>
      <c r="Q3" s="2">
        <v>2017</v>
      </c>
      <c r="R3" s="2" t="s">
        <v>279</v>
      </c>
      <c r="S3" s="2" t="s">
        <v>433</v>
      </c>
      <c r="T3" s="2" t="s">
        <v>69</v>
      </c>
      <c r="U3" s="2" t="s">
        <v>69</v>
      </c>
      <c r="V3" s="2" t="s">
        <v>303</v>
      </c>
      <c r="W3" s="2">
        <f t="shared" si="1"/>
        <v>1700</v>
      </c>
      <c r="X3" s="2">
        <v>1700</v>
      </c>
      <c r="Y3" s="2">
        <v>8</v>
      </c>
      <c r="Z3" s="2" t="s">
        <v>328</v>
      </c>
      <c r="AA3" s="2" t="s">
        <v>2042</v>
      </c>
      <c r="AB3" s="69">
        <f t="shared" si="2"/>
        <v>3710</v>
      </c>
      <c r="AC3" s="69">
        <v>3710000000</v>
      </c>
      <c r="AD3" s="2" t="s">
        <v>434</v>
      </c>
      <c r="AE3" s="2">
        <v>22</v>
      </c>
      <c r="AF3" s="2">
        <v>3</v>
      </c>
      <c r="AG3" s="2" t="s">
        <v>299</v>
      </c>
      <c r="AH3" s="75">
        <v>8.3000000000000004E-2</v>
      </c>
      <c r="AI3" s="75"/>
      <c r="AJ3" s="75"/>
      <c r="AK3" s="2">
        <v>1</v>
      </c>
      <c r="AL3" s="2">
        <v>1</v>
      </c>
      <c r="AM3" s="2">
        <v>164</v>
      </c>
      <c r="AN3" s="68" t="s">
        <v>2008</v>
      </c>
      <c r="AO3" s="44" t="s">
        <v>2014</v>
      </c>
    </row>
    <row r="4" spans="1:41" ht="14.25" customHeight="1" x14ac:dyDescent="0.35">
      <c r="A4" s="2" t="s">
        <v>349</v>
      </c>
      <c r="B4" s="43" t="s">
        <v>288</v>
      </c>
      <c r="C4" s="43" t="s">
        <v>286</v>
      </c>
      <c r="D4" s="2">
        <f>COUNTIF(E4:N4,#REF!)</f>
        <v>0</v>
      </c>
      <c r="E4" s="2" t="s">
        <v>274</v>
      </c>
      <c r="F4" s="2" t="s">
        <v>287</v>
      </c>
      <c r="G4" s="2" t="s">
        <v>288</v>
      </c>
      <c r="H4" s="2" t="str">
        <f t="shared" si="0"/>
        <v>Machine Learning</v>
      </c>
      <c r="I4" s="2" t="s">
        <v>314</v>
      </c>
      <c r="J4" s="2" t="s">
        <v>276</v>
      </c>
      <c r="K4" s="2" t="s">
        <v>324</v>
      </c>
      <c r="L4" s="2" t="s">
        <v>277</v>
      </c>
      <c r="M4" s="2" t="s">
        <v>277</v>
      </c>
      <c r="N4" s="2" t="s">
        <v>277</v>
      </c>
      <c r="O4" s="2">
        <v>2.9129999999999998</v>
      </c>
      <c r="P4" s="2" t="s">
        <v>278</v>
      </c>
      <c r="Q4" s="2">
        <v>2013</v>
      </c>
      <c r="R4" s="2" t="s">
        <v>279</v>
      </c>
      <c r="S4" s="2" t="s">
        <v>350</v>
      </c>
      <c r="T4" s="2" t="s">
        <v>69</v>
      </c>
      <c r="U4" s="2" t="s">
        <v>69</v>
      </c>
      <c r="V4" s="2" t="s">
        <v>303</v>
      </c>
      <c r="W4" s="2">
        <f t="shared" si="1"/>
        <v>3750</v>
      </c>
      <c r="X4" s="70">
        <v>3750</v>
      </c>
      <c r="Y4" s="2">
        <v>13</v>
      </c>
      <c r="Z4" s="2" t="s">
        <v>351</v>
      </c>
      <c r="AA4" s="2" t="s">
        <v>2042</v>
      </c>
      <c r="AB4" s="69">
        <f t="shared" si="2"/>
        <v>15118.8</v>
      </c>
      <c r="AC4" s="69">
        <v>15118800000</v>
      </c>
      <c r="AD4" s="2" t="s">
        <v>352</v>
      </c>
      <c r="AE4" s="2">
        <v>47</v>
      </c>
      <c r="AF4" s="2">
        <v>4</v>
      </c>
      <c r="AG4" s="2" t="s">
        <v>353</v>
      </c>
      <c r="AH4" s="2" t="s">
        <v>69</v>
      </c>
      <c r="AI4" s="2"/>
      <c r="AJ4" s="2"/>
      <c r="AK4" s="2" t="s">
        <v>69</v>
      </c>
      <c r="AL4" s="2">
        <v>0</v>
      </c>
      <c r="AM4" s="2">
        <v>390</v>
      </c>
      <c r="AN4" s="68" t="s">
        <v>2008</v>
      </c>
      <c r="AO4" t="s">
        <v>2015</v>
      </c>
    </row>
    <row r="5" spans="1:41" ht="14.25" customHeight="1" x14ac:dyDescent="0.35">
      <c r="A5" s="2" t="s">
        <v>285</v>
      </c>
      <c r="B5" s="43" t="s">
        <v>288</v>
      </c>
      <c r="C5" s="43" t="s">
        <v>286</v>
      </c>
      <c r="D5" s="2">
        <f>COUNTIF(E5:N5,#REF!)</f>
        <v>0</v>
      </c>
      <c r="E5" s="2" t="s">
        <v>274</v>
      </c>
      <c r="F5" s="2" t="s">
        <v>287</v>
      </c>
      <c r="G5" s="2" t="s">
        <v>288</v>
      </c>
      <c r="H5" s="2" t="str">
        <f t="shared" si="0"/>
        <v/>
      </c>
      <c r="J5" s="2" t="s">
        <v>277</v>
      </c>
      <c r="K5" s="2" t="s">
        <v>277</v>
      </c>
      <c r="L5" s="2" t="s">
        <v>277</v>
      </c>
      <c r="M5" s="2" t="s">
        <v>277</v>
      </c>
      <c r="N5" s="2" t="s">
        <v>277</v>
      </c>
      <c r="O5" s="2">
        <v>17.248000000000001</v>
      </c>
      <c r="P5" s="2" t="s">
        <v>278</v>
      </c>
      <c r="Q5" s="2">
        <v>2017</v>
      </c>
      <c r="R5" s="2" t="s">
        <v>279</v>
      </c>
      <c r="S5" s="2" t="s">
        <v>289</v>
      </c>
      <c r="T5" s="2" t="s">
        <v>69</v>
      </c>
      <c r="U5" s="2" t="s">
        <v>69</v>
      </c>
      <c r="V5" s="2" t="s">
        <v>290</v>
      </c>
      <c r="W5" s="2">
        <f t="shared" si="1"/>
        <v>120</v>
      </c>
      <c r="X5" s="70">
        <v>120</v>
      </c>
      <c r="Y5" s="2">
        <v>5</v>
      </c>
      <c r="Z5" s="2" t="s">
        <v>291</v>
      </c>
      <c r="AA5" s="2" t="s">
        <v>2042</v>
      </c>
      <c r="AB5" s="69">
        <f t="shared" si="2"/>
        <v>122.857843</v>
      </c>
      <c r="AC5" s="69">
        <v>122857843</v>
      </c>
      <c r="AD5" s="2" t="s">
        <v>292</v>
      </c>
      <c r="AE5" s="2">
        <v>17</v>
      </c>
      <c r="AF5" s="2" t="s">
        <v>69</v>
      </c>
      <c r="AG5" s="2" t="s">
        <v>69</v>
      </c>
      <c r="AH5" s="2" t="s">
        <v>2028</v>
      </c>
      <c r="AI5" s="67" t="s">
        <v>2036</v>
      </c>
      <c r="AJ5" s="2"/>
      <c r="AK5" s="2" t="s">
        <v>69</v>
      </c>
      <c r="AL5" s="2">
        <v>0</v>
      </c>
      <c r="AM5" s="2">
        <v>27</v>
      </c>
      <c r="AN5" s="68" t="s">
        <v>2008</v>
      </c>
      <c r="AO5" t="s">
        <v>2013</v>
      </c>
    </row>
    <row r="6" spans="1:41" ht="14.25" customHeight="1" x14ac:dyDescent="0.35">
      <c r="A6" s="2" t="s">
        <v>408</v>
      </c>
      <c r="B6" s="43" t="str">
        <f>IF(ISNUMBER(SEARCH(",",E6)),LEFT(E6,SEARCH(",",E6)-1),E6)</f>
        <v>Autonomous Vehicles</v>
      </c>
      <c r="C6" s="43" t="s">
        <v>286</v>
      </c>
      <c r="D6" s="2">
        <f>COUNTIF(E6:N6,#REF!)</f>
        <v>0</v>
      </c>
      <c r="E6" s="2" t="s">
        <v>288</v>
      </c>
      <c r="F6" s="2" t="s">
        <v>306</v>
      </c>
      <c r="G6" s="2" t="s">
        <v>276</v>
      </c>
      <c r="H6" s="2" t="str">
        <f t="shared" si="0"/>
        <v>Software</v>
      </c>
      <c r="I6" s="2" t="s">
        <v>387</v>
      </c>
      <c r="J6" s="2" t="s">
        <v>324</v>
      </c>
      <c r="K6" s="2" t="s">
        <v>277</v>
      </c>
      <c r="L6" s="2" t="s">
        <v>277</v>
      </c>
      <c r="M6" s="2" t="s">
        <v>277</v>
      </c>
      <c r="N6" s="2" t="s">
        <v>277</v>
      </c>
      <c r="O6" s="2">
        <v>655</v>
      </c>
      <c r="P6" s="2" t="s">
        <v>278</v>
      </c>
      <c r="Q6" s="2">
        <v>43191</v>
      </c>
      <c r="R6" s="2" t="s">
        <v>279</v>
      </c>
      <c r="S6" s="2" t="s">
        <v>409</v>
      </c>
      <c r="T6" s="2" t="s">
        <v>69</v>
      </c>
      <c r="U6" s="2" t="s">
        <v>69</v>
      </c>
      <c r="V6" s="2" t="s">
        <v>297</v>
      </c>
      <c r="W6" s="2">
        <f t="shared" si="1"/>
        <v>250</v>
      </c>
      <c r="X6" s="70">
        <v>250</v>
      </c>
      <c r="Y6" s="2">
        <v>7</v>
      </c>
      <c r="Z6" s="2" t="s">
        <v>291</v>
      </c>
      <c r="AA6" s="2" t="s">
        <v>2042</v>
      </c>
      <c r="AB6" s="69">
        <f t="shared" si="2"/>
        <v>319.89999999999998</v>
      </c>
      <c r="AC6" s="69">
        <v>319900000</v>
      </c>
      <c r="AD6" s="2" t="s">
        <v>410</v>
      </c>
      <c r="AE6" s="2">
        <v>17</v>
      </c>
      <c r="AF6" s="2" t="s">
        <v>69</v>
      </c>
      <c r="AG6" s="2" t="s">
        <v>69</v>
      </c>
      <c r="AH6" s="2" t="s">
        <v>2028</v>
      </c>
      <c r="AI6" s="67" t="s">
        <v>2036</v>
      </c>
      <c r="AJ6" s="2"/>
      <c r="AK6" s="2" t="s">
        <v>69</v>
      </c>
      <c r="AL6" s="2">
        <v>0</v>
      </c>
      <c r="AM6" s="2">
        <v>4</v>
      </c>
      <c r="AN6" s="68" t="s">
        <v>2008</v>
      </c>
    </row>
    <row r="7" spans="1:41" ht="14.25" customHeight="1" x14ac:dyDescent="0.35">
      <c r="A7" s="2" t="s">
        <v>386</v>
      </c>
      <c r="B7" s="43" t="s">
        <v>288</v>
      </c>
      <c r="C7" s="43" t="s">
        <v>286</v>
      </c>
      <c r="D7" s="2">
        <f>COUNTIF(E7:N7,#REF!)</f>
        <v>0</v>
      </c>
      <c r="E7" s="2" t="s">
        <v>287</v>
      </c>
      <c r="F7" s="2" t="s">
        <v>288</v>
      </c>
      <c r="G7" s="2" t="s">
        <v>322</v>
      </c>
      <c r="H7" s="2" t="str">
        <f t="shared" si="0"/>
        <v>Software</v>
      </c>
      <c r="I7" s="2" t="s">
        <v>387</v>
      </c>
      <c r="J7" s="2" t="s">
        <v>388</v>
      </c>
      <c r="K7" s="2" t="s">
        <v>277</v>
      </c>
      <c r="L7" s="2" t="s">
        <v>277</v>
      </c>
      <c r="M7" s="2" t="s">
        <v>277</v>
      </c>
      <c r="N7" s="2" t="s">
        <v>277</v>
      </c>
      <c r="O7" s="2">
        <v>28.18</v>
      </c>
      <c r="P7" s="2" t="s">
        <v>278</v>
      </c>
      <c r="Q7" s="2">
        <v>2017</v>
      </c>
      <c r="R7" s="2" t="s">
        <v>279</v>
      </c>
      <c r="S7" s="2" t="s">
        <v>389</v>
      </c>
      <c r="T7" s="2" t="s">
        <v>69</v>
      </c>
      <c r="U7" s="2" t="s">
        <v>69</v>
      </c>
      <c r="V7" s="2" t="s">
        <v>297</v>
      </c>
      <c r="W7" s="2">
        <f t="shared" si="1"/>
        <v>250</v>
      </c>
      <c r="X7" s="70">
        <v>250</v>
      </c>
      <c r="Y7" s="2">
        <v>9</v>
      </c>
      <c r="Z7" s="2" t="s">
        <v>304</v>
      </c>
      <c r="AA7" s="2" t="s">
        <v>2042</v>
      </c>
      <c r="AB7" s="69">
        <f t="shared" si="2"/>
        <v>302.62</v>
      </c>
      <c r="AC7" s="69">
        <v>302620000</v>
      </c>
      <c r="AD7" s="2" t="s">
        <v>390</v>
      </c>
      <c r="AE7" s="2">
        <v>29</v>
      </c>
      <c r="AF7" s="2" t="s">
        <v>69</v>
      </c>
      <c r="AG7" s="2" t="s">
        <v>69</v>
      </c>
      <c r="AH7" s="2" t="s">
        <v>2028</v>
      </c>
      <c r="AI7" s="67" t="s">
        <v>2036</v>
      </c>
      <c r="AJ7" s="2"/>
      <c r="AK7" s="2" t="s">
        <v>69</v>
      </c>
      <c r="AL7" s="2">
        <v>0</v>
      </c>
      <c r="AM7" s="2">
        <v>32</v>
      </c>
      <c r="AN7" s="68" t="s">
        <v>2008</v>
      </c>
    </row>
    <row r="8" spans="1:41" ht="14.25" customHeight="1" x14ac:dyDescent="0.35">
      <c r="A8" s="2" t="s">
        <v>354</v>
      </c>
      <c r="B8" s="43" t="s">
        <v>288</v>
      </c>
      <c r="C8" s="43" t="s">
        <v>286</v>
      </c>
      <c r="D8" s="2">
        <f>COUNTIF(E8:N8,#REF!)</f>
        <v>0</v>
      </c>
      <c r="E8" s="2" t="s">
        <v>274</v>
      </c>
      <c r="F8" s="2" t="s">
        <v>287</v>
      </c>
      <c r="G8" s="2" t="s">
        <v>288</v>
      </c>
      <c r="H8" s="2" t="str">
        <f t="shared" si="0"/>
        <v>Fleet Management</v>
      </c>
      <c r="I8" s="2" t="s">
        <v>355</v>
      </c>
      <c r="J8" s="2" t="s">
        <v>343</v>
      </c>
      <c r="K8" s="2" t="s">
        <v>356</v>
      </c>
      <c r="L8" s="2" t="s">
        <v>324</v>
      </c>
      <c r="M8" s="2" t="s">
        <v>277</v>
      </c>
      <c r="N8" s="2" t="s">
        <v>277</v>
      </c>
      <c r="O8" s="2">
        <v>4.2300000000000004</v>
      </c>
      <c r="P8" s="2" t="s">
        <v>278</v>
      </c>
      <c r="Q8" s="2">
        <v>1999</v>
      </c>
      <c r="R8" s="2" t="s">
        <v>279</v>
      </c>
      <c r="S8" s="2" t="s">
        <v>357</v>
      </c>
      <c r="T8" s="2" t="s">
        <v>69</v>
      </c>
      <c r="U8" s="2" t="s">
        <v>69</v>
      </c>
      <c r="V8" s="2" t="s">
        <v>303</v>
      </c>
      <c r="W8" s="2">
        <f t="shared" si="1"/>
        <v>3000</v>
      </c>
      <c r="X8" s="2"/>
      <c r="Y8" s="2">
        <v>6</v>
      </c>
      <c r="Z8" s="2" t="s">
        <v>328</v>
      </c>
      <c r="AA8" s="2" t="s">
        <v>2042</v>
      </c>
      <c r="AB8" s="69">
        <f t="shared" si="2"/>
        <v>2132</v>
      </c>
      <c r="AC8" s="69">
        <v>2132000000</v>
      </c>
      <c r="AD8" s="2" t="s">
        <v>358</v>
      </c>
      <c r="AE8" s="2">
        <v>8</v>
      </c>
      <c r="AF8" s="2">
        <v>1</v>
      </c>
      <c r="AG8" s="2" t="s">
        <v>299</v>
      </c>
      <c r="AH8" s="2" t="s">
        <v>2029</v>
      </c>
      <c r="AI8" s="67" t="s">
        <v>2037</v>
      </c>
      <c r="AJ8" s="2"/>
      <c r="AK8" s="2" t="s">
        <v>69</v>
      </c>
      <c r="AL8" s="2">
        <v>1</v>
      </c>
      <c r="AM8" s="2">
        <v>464</v>
      </c>
      <c r="AN8" s="68" t="s">
        <v>2008</v>
      </c>
    </row>
    <row r="9" spans="1:41" ht="14.25" customHeight="1" x14ac:dyDescent="0.35">
      <c r="A9" s="2" t="s">
        <v>359</v>
      </c>
      <c r="B9" s="43" t="s">
        <v>288</v>
      </c>
      <c r="C9" s="43" t="s">
        <v>286</v>
      </c>
      <c r="D9" s="2">
        <f>COUNTIF(E9:N9,#REF!)</f>
        <v>0</v>
      </c>
      <c r="E9" s="2" t="s">
        <v>287</v>
      </c>
      <c r="F9" s="2" t="s">
        <v>288</v>
      </c>
      <c r="G9" s="2" t="s">
        <v>332</v>
      </c>
      <c r="H9" s="2" t="str">
        <f t="shared" si="0"/>
        <v>Information Technology</v>
      </c>
      <c r="I9" s="2" t="s">
        <v>360</v>
      </c>
      <c r="J9" s="2" t="s">
        <v>315</v>
      </c>
      <c r="K9" s="2" t="s">
        <v>277</v>
      </c>
      <c r="L9" s="2" t="s">
        <v>277</v>
      </c>
      <c r="M9" s="2" t="s">
        <v>277</v>
      </c>
      <c r="N9" s="2" t="s">
        <v>277</v>
      </c>
      <c r="O9" s="2">
        <v>73.683000000000007</v>
      </c>
      <c r="P9" s="2" t="s">
        <v>278</v>
      </c>
      <c r="Q9" s="2" t="s">
        <v>361</v>
      </c>
      <c r="R9" s="2" t="s">
        <v>279</v>
      </c>
      <c r="S9" s="2" t="s">
        <v>362</v>
      </c>
      <c r="T9" s="2" t="s">
        <v>69</v>
      </c>
      <c r="U9" s="2" t="s">
        <v>69</v>
      </c>
      <c r="V9" s="2" t="s">
        <v>363</v>
      </c>
      <c r="W9" s="2">
        <f t="shared" si="1"/>
        <v>750</v>
      </c>
      <c r="X9" s="70"/>
      <c r="Y9" s="2" t="s">
        <v>69</v>
      </c>
      <c r="Z9" s="2" t="s">
        <v>69</v>
      </c>
      <c r="AA9" s="2" t="s">
        <v>277</v>
      </c>
      <c r="AB9" s="69" t="str">
        <f t="shared" si="2"/>
        <v>n.a.</v>
      </c>
      <c r="AC9" s="2" t="s">
        <v>69</v>
      </c>
      <c r="AD9" s="2" t="s">
        <v>69</v>
      </c>
      <c r="AE9" s="2" t="s">
        <v>69</v>
      </c>
      <c r="AF9" s="2" t="s">
        <v>69</v>
      </c>
      <c r="AG9" s="2" t="s">
        <v>69</v>
      </c>
      <c r="AH9" s="2" t="s">
        <v>2028</v>
      </c>
      <c r="AI9" s="67" t="s">
        <v>2036</v>
      </c>
      <c r="AJ9" s="2"/>
      <c r="AK9" s="2" t="s">
        <v>69</v>
      </c>
      <c r="AL9" s="2">
        <v>0</v>
      </c>
      <c r="AM9" s="2">
        <v>262</v>
      </c>
      <c r="AN9" s="68" t="s">
        <v>2008</v>
      </c>
    </row>
    <row r="10" spans="1:41" ht="14.25" customHeight="1" x14ac:dyDescent="0.35">
      <c r="A10" s="2" t="s">
        <v>364</v>
      </c>
      <c r="B10" s="43" t="s">
        <v>288</v>
      </c>
      <c r="C10" s="43" t="s">
        <v>286</v>
      </c>
      <c r="D10" s="2">
        <f>COUNTIF(E10:N10,#REF!)</f>
        <v>0</v>
      </c>
      <c r="E10" s="2" t="s">
        <v>288</v>
      </c>
      <c r="F10" s="2" t="s">
        <v>343</v>
      </c>
      <c r="G10" s="2" t="s">
        <v>315</v>
      </c>
      <c r="H10" s="2" t="str">
        <f t="shared" si="0"/>
        <v/>
      </c>
      <c r="J10" s="2" t="s">
        <v>277</v>
      </c>
      <c r="K10" s="2" t="s">
        <v>277</v>
      </c>
      <c r="L10" s="2" t="s">
        <v>277</v>
      </c>
      <c r="M10" s="2" t="s">
        <v>277</v>
      </c>
      <c r="N10" s="2" t="s">
        <v>277</v>
      </c>
      <c r="O10" s="2">
        <v>3.2679999999999998</v>
      </c>
      <c r="P10" s="2" t="s">
        <v>278</v>
      </c>
      <c r="Q10" s="2">
        <v>2014</v>
      </c>
      <c r="R10" s="2" t="s">
        <v>279</v>
      </c>
      <c r="S10" s="2" t="s">
        <v>365</v>
      </c>
      <c r="T10" s="2" t="s">
        <v>69</v>
      </c>
      <c r="U10" s="2" t="s">
        <v>69</v>
      </c>
      <c r="V10" s="2" t="s">
        <v>337</v>
      </c>
      <c r="W10" s="2">
        <f t="shared" si="1"/>
        <v>300</v>
      </c>
      <c r="X10" s="75">
        <v>300</v>
      </c>
      <c r="Y10" s="2">
        <v>8</v>
      </c>
      <c r="Z10" s="2" t="s">
        <v>304</v>
      </c>
      <c r="AA10" s="67" t="s">
        <v>2043</v>
      </c>
      <c r="AB10" s="69">
        <f t="shared" si="2"/>
        <v>228.816</v>
      </c>
      <c r="AC10" s="69">
        <v>181600000</v>
      </c>
      <c r="AD10" s="2" t="s">
        <v>366</v>
      </c>
      <c r="AE10" s="2">
        <v>19</v>
      </c>
      <c r="AF10" s="2" t="s">
        <v>69</v>
      </c>
      <c r="AG10" s="2" t="s">
        <v>69</v>
      </c>
      <c r="AH10" s="2" t="s">
        <v>2030</v>
      </c>
      <c r="AI10" s="67" t="s">
        <v>2038</v>
      </c>
      <c r="AJ10" s="2"/>
      <c r="AK10" s="2" t="s">
        <v>69</v>
      </c>
      <c r="AL10" s="2">
        <v>0</v>
      </c>
      <c r="AM10" s="2">
        <v>10</v>
      </c>
      <c r="AN10" s="68" t="s">
        <v>2008</v>
      </c>
      <c r="AO10" t="s">
        <v>2012</v>
      </c>
    </row>
    <row r="11" spans="1:41" ht="14.25" customHeight="1" x14ac:dyDescent="0.35">
      <c r="A11" s="2" t="s">
        <v>141</v>
      </c>
      <c r="B11" s="43" t="s">
        <v>288</v>
      </c>
      <c r="C11" s="43" t="s">
        <v>286</v>
      </c>
      <c r="D11" s="2">
        <f>COUNTIF(E11:N11,#REF!)</f>
        <v>0</v>
      </c>
      <c r="E11" s="2" t="s">
        <v>288</v>
      </c>
      <c r="F11" s="2" t="s">
        <v>276</v>
      </c>
      <c r="G11" s="2" t="s">
        <v>315</v>
      </c>
      <c r="H11" s="2" t="str">
        <f t="shared" si="0"/>
        <v/>
      </c>
      <c r="J11" s="2" t="s">
        <v>277</v>
      </c>
      <c r="K11" s="2" t="s">
        <v>277</v>
      </c>
      <c r="L11" s="2" t="s">
        <v>277</v>
      </c>
      <c r="M11" s="2" t="s">
        <v>277</v>
      </c>
      <c r="N11" s="2" t="s">
        <v>277</v>
      </c>
      <c r="O11" s="2">
        <v>38.159999999999997</v>
      </c>
      <c r="P11" s="2" t="s">
        <v>278</v>
      </c>
      <c r="Q11" s="2">
        <v>2001</v>
      </c>
      <c r="R11" s="2" t="s">
        <v>279</v>
      </c>
      <c r="S11" s="2" t="s">
        <v>395</v>
      </c>
      <c r="T11" s="2" t="s">
        <v>69</v>
      </c>
      <c r="U11" s="2" t="s">
        <v>69</v>
      </c>
      <c r="V11" s="3" t="s">
        <v>282</v>
      </c>
      <c r="W11" s="2">
        <f t="shared" si="1"/>
        <v>30</v>
      </c>
      <c r="X11" s="3"/>
      <c r="Y11" s="2">
        <v>2</v>
      </c>
      <c r="Z11" s="2" t="s">
        <v>291</v>
      </c>
      <c r="AA11" s="2" t="s">
        <v>2042</v>
      </c>
      <c r="AB11" s="69">
        <f t="shared" si="2"/>
        <v>12.615</v>
      </c>
      <c r="AC11" s="69">
        <v>12615000</v>
      </c>
      <c r="AD11" s="2" t="s">
        <v>396</v>
      </c>
      <c r="AE11" s="2">
        <v>2</v>
      </c>
      <c r="AF11" s="2" t="s">
        <v>69</v>
      </c>
      <c r="AG11" s="2" t="s">
        <v>69</v>
      </c>
      <c r="AH11" s="2" t="s">
        <v>2028</v>
      </c>
      <c r="AI11" s="67" t="s">
        <v>2036</v>
      </c>
      <c r="AJ11" s="2"/>
      <c r="AK11" s="2" t="s">
        <v>69</v>
      </c>
      <c r="AL11" s="2">
        <v>0</v>
      </c>
      <c r="AM11" s="2">
        <v>7</v>
      </c>
      <c r="AN11" s="68" t="s">
        <v>2008</v>
      </c>
    </row>
    <row r="12" spans="1:41" ht="14.25" customHeight="1" x14ac:dyDescent="0.35">
      <c r="A12" s="2" t="s">
        <v>411</v>
      </c>
      <c r="B12" s="43" t="s">
        <v>288</v>
      </c>
      <c r="C12" s="43" t="s">
        <v>286</v>
      </c>
      <c r="D12" s="2">
        <f>COUNTIF(E12:N12,#REF!)</f>
        <v>0</v>
      </c>
      <c r="E12" s="2" t="s">
        <v>274</v>
      </c>
      <c r="F12" s="2" t="s">
        <v>288</v>
      </c>
      <c r="G12" s="2" t="s">
        <v>306</v>
      </c>
      <c r="H12" s="2" t="str">
        <f t="shared" si="0"/>
        <v>Transportation</v>
      </c>
      <c r="I12" s="2" t="s">
        <v>301</v>
      </c>
      <c r="J12" s="2" t="s">
        <v>277</v>
      </c>
      <c r="K12" s="2" t="s">
        <v>277</v>
      </c>
      <c r="L12" s="2" t="s">
        <v>277</v>
      </c>
      <c r="M12" s="2" t="s">
        <v>277</v>
      </c>
      <c r="N12" s="2" t="s">
        <v>277</v>
      </c>
      <c r="O12" s="2">
        <v>638</v>
      </c>
      <c r="P12" s="2" t="s">
        <v>278</v>
      </c>
      <c r="Q12" s="2">
        <v>42522</v>
      </c>
      <c r="R12" s="2" t="s">
        <v>279</v>
      </c>
      <c r="S12" s="2" t="s">
        <v>412</v>
      </c>
      <c r="T12" s="2" t="s">
        <v>69</v>
      </c>
      <c r="U12" s="2" t="s">
        <v>69</v>
      </c>
      <c r="V12" s="2" t="s">
        <v>297</v>
      </c>
      <c r="W12" s="2">
        <f t="shared" si="1"/>
        <v>250</v>
      </c>
      <c r="X12" s="75">
        <v>250</v>
      </c>
      <c r="Y12" s="2">
        <v>4</v>
      </c>
      <c r="Z12" s="2" t="s">
        <v>304</v>
      </c>
      <c r="AA12" s="2" t="s">
        <v>2042</v>
      </c>
      <c r="AB12" s="69">
        <f t="shared" si="2"/>
        <v>520.02510199999995</v>
      </c>
      <c r="AC12" s="69">
        <v>520025102</v>
      </c>
      <c r="AD12" s="2" t="s">
        <v>413</v>
      </c>
      <c r="AE12" s="2">
        <v>18</v>
      </c>
      <c r="AF12" s="2" t="s">
        <v>69</v>
      </c>
      <c r="AG12" s="2" t="s">
        <v>69</v>
      </c>
      <c r="AH12" s="2" t="s">
        <v>69</v>
      </c>
      <c r="AI12" s="2"/>
      <c r="AJ12" s="2"/>
      <c r="AK12" s="2" t="s">
        <v>69</v>
      </c>
      <c r="AL12" s="2">
        <v>0</v>
      </c>
      <c r="AM12" s="2">
        <v>106</v>
      </c>
      <c r="AN12" s="68" t="s">
        <v>2008</v>
      </c>
      <c r="AO12" t="s">
        <v>2010</v>
      </c>
    </row>
    <row r="13" spans="1:41" ht="14.25" customHeight="1" x14ac:dyDescent="0.35">
      <c r="A13" s="2" t="s">
        <v>414</v>
      </c>
      <c r="B13" s="43" t="s">
        <v>288</v>
      </c>
      <c r="C13" s="43" t="s">
        <v>286</v>
      </c>
      <c r="D13" s="2">
        <f>COUNTIF(E13:N13,#REF!)</f>
        <v>0</v>
      </c>
      <c r="E13" s="2" t="s">
        <v>274</v>
      </c>
      <c r="F13" s="2" t="s">
        <v>287</v>
      </c>
      <c r="G13" s="2" t="s">
        <v>288</v>
      </c>
      <c r="H13" s="2" t="str">
        <f t="shared" si="0"/>
        <v>Transportation</v>
      </c>
      <c r="I13" s="2" t="s">
        <v>301</v>
      </c>
      <c r="J13" s="2" t="s">
        <v>277</v>
      </c>
      <c r="K13" s="2" t="s">
        <v>277</v>
      </c>
      <c r="L13" s="2" t="s">
        <v>277</v>
      </c>
      <c r="M13" s="2" t="s">
        <v>277</v>
      </c>
      <c r="N13" s="2" t="s">
        <v>277</v>
      </c>
      <c r="O13" s="2">
        <v>35.158999999999999</v>
      </c>
      <c r="P13" s="2" t="s">
        <v>278</v>
      </c>
      <c r="Q13" s="2" t="s">
        <v>415</v>
      </c>
      <c r="R13" s="2" t="s">
        <v>279</v>
      </c>
      <c r="S13" s="2" t="s">
        <v>416</v>
      </c>
      <c r="T13" s="2" t="s">
        <v>69</v>
      </c>
      <c r="U13" s="2" t="s">
        <v>69</v>
      </c>
      <c r="V13" s="2" t="s">
        <v>363</v>
      </c>
      <c r="W13" s="2">
        <f t="shared" si="1"/>
        <v>750</v>
      </c>
      <c r="X13" s="2"/>
      <c r="Y13" s="2">
        <v>10</v>
      </c>
      <c r="Z13" s="2" t="s">
        <v>304</v>
      </c>
      <c r="AA13" s="2" t="s">
        <v>2042</v>
      </c>
      <c r="AB13" s="69">
        <f t="shared" si="2"/>
        <v>1332</v>
      </c>
      <c r="AC13" s="69">
        <v>1332000000</v>
      </c>
      <c r="AD13" s="2" t="s">
        <v>417</v>
      </c>
      <c r="AE13" s="2">
        <v>29</v>
      </c>
      <c r="AF13" s="2" t="s">
        <v>69</v>
      </c>
      <c r="AG13" s="2" t="s">
        <v>69</v>
      </c>
      <c r="AH13" s="2" t="s">
        <v>2031</v>
      </c>
      <c r="AI13" s="67" t="s">
        <v>2039</v>
      </c>
      <c r="AJ13" s="2"/>
      <c r="AK13" s="2">
        <v>2</v>
      </c>
      <c r="AL13" s="2">
        <v>0</v>
      </c>
      <c r="AM13" s="2">
        <v>0</v>
      </c>
      <c r="AN13" s="68" t="s">
        <v>2008</v>
      </c>
      <c r="AO13" t="s">
        <v>2011</v>
      </c>
    </row>
    <row r="14" spans="1:41" ht="14.25" customHeight="1" x14ac:dyDescent="0.35">
      <c r="A14" s="2" t="s">
        <v>420</v>
      </c>
      <c r="B14" s="43" t="s">
        <v>288</v>
      </c>
      <c r="C14" s="43" t="s">
        <v>286</v>
      </c>
      <c r="D14" s="2">
        <f>COUNTIF(E14:N14,#REF!)</f>
        <v>0</v>
      </c>
      <c r="E14" s="2" t="s">
        <v>288</v>
      </c>
      <c r="F14" s="2" t="s">
        <v>313</v>
      </c>
      <c r="G14" s="2" t="s">
        <v>421</v>
      </c>
      <c r="H14" s="2" t="str">
        <f t="shared" si="0"/>
        <v>Machine Learning</v>
      </c>
      <c r="I14" s="2" t="s">
        <v>314</v>
      </c>
      <c r="J14" s="2" t="s">
        <v>324</v>
      </c>
      <c r="K14" s="2" t="s">
        <v>277</v>
      </c>
      <c r="L14" s="2" t="s">
        <v>277</v>
      </c>
      <c r="M14" s="2" t="s">
        <v>277</v>
      </c>
      <c r="N14" s="2" t="s">
        <v>277</v>
      </c>
      <c r="O14" s="2">
        <v>19.277999999999999</v>
      </c>
      <c r="P14" s="2" t="s">
        <v>278</v>
      </c>
      <c r="Q14" s="2">
        <v>2015</v>
      </c>
      <c r="R14" s="2" t="s">
        <v>279</v>
      </c>
      <c r="S14" s="2" t="s">
        <v>422</v>
      </c>
      <c r="T14" s="2" t="s">
        <v>69</v>
      </c>
      <c r="U14" s="2" t="s">
        <v>69</v>
      </c>
      <c r="V14" s="2" t="s">
        <v>363</v>
      </c>
      <c r="W14" s="2">
        <f t="shared" si="1"/>
        <v>700</v>
      </c>
      <c r="X14" s="70">
        <v>700</v>
      </c>
      <c r="Y14" s="2">
        <v>11</v>
      </c>
      <c r="Z14" s="2" t="s">
        <v>328</v>
      </c>
      <c r="AA14" s="2" t="s">
        <v>2042</v>
      </c>
      <c r="AB14" s="69">
        <f t="shared" si="2"/>
        <v>648.071101</v>
      </c>
      <c r="AC14" s="69">
        <v>648071101</v>
      </c>
      <c r="AD14" s="2" t="s">
        <v>423</v>
      </c>
      <c r="AE14" s="2">
        <v>23</v>
      </c>
      <c r="AF14" s="2" t="s">
        <v>69</v>
      </c>
      <c r="AG14" s="2" t="s">
        <v>69</v>
      </c>
      <c r="AH14" s="2" t="s">
        <v>2032</v>
      </c>
      <c r="AI14" s="2"/>
      <c r="AJ14" s="2"/>
      <c r="AK14" s="2" t="s">
        <v>69</v>
      </c>
      <c r="AL14" s="2">
        <v>1</v>
      </c>
      <c r="AM14" s="2">
        <v>222</v>
      </c>
      <c r="AN14" s="68" t="s">
        <v>2008</v>
      </c>
      <c r="AO14" t="s">
        <v>2009</v>
      </c>
    </row>
    <row r="15" spans="1:41" ht="14.25" customHeight="1" x14ac:dyDescent="0.35">
      <c r="A15" s="2" t="s">
        <v>428</v>
      </c>
      <c r="B15" s="43" t="s">
        <v>288</v>
      </c>
      <c r="C15" s="43" t="s">
        <v>286</v>
      </c>
      <c r="D15" s="2">
        <f>COUNTIF(E15:N15,#REF!)</f>
        <v>0</v>
      </c>
      <c r="E15" s="2" t="s">
        <v>274</v>
      </c>
      <c r="F15" s="2" t="s">
        <v>288</v>
      </c>
      <c r="G15" s="2" t="s">
        <v>356</v>
      </c>
      <c r="H15" s="2" t="str">
        <f t="shared" si="0"/>
        <v>Transportation</v>
      </c>
      <c r="I15" s="2" t="s">
        <v>301</v>
      </c>
      <c r="J15" s="2" t="s">
        <v>277</v>
      </c>
      <c r="K15" s="2" t="s">
        <v>277</v>
      </c>
      <c r="L15" s="2" t="s">
        <v>277</v>
      </c>
      <c r="M15" s="2" t="s">
        <v>277</v>
      </c>
      <c r="N15" s="2" t="s">
        <v>277</v>
      </c>
      <c r="O15" s="2">
        <v>2.5550000000000002</v>
      </c>
      <c r="P15" s="2" t="s">
        <v>278</v>
      </c>
      <c r="Q15" s="2">
        <v>2021</v>
      </c>
      <c r="R15" s="2" t="s">
        <v>279</v>
      </c>
      <c r="S15" s="2" t="s">
        <v>429</v>
      </c>
      <c r="T15" s="2" t="s">
        <v>69</v>
      </c>
      <c r="U15" s="2" t="s">
        <v>69</v>
      </c>
      <c r="V15" s="2" t="s">
        <v>297</v>
      </c>
      <c r="W15" s="2">
        <f t="shared" si="1"/>
        <v>110</v>
      </c>
      <c r="X15" s="75">
        <v>110</v>
      </c>
      <c r="Y15" s="2">
        <v>2</v>
      </c>
      <c r="Z15" s="2" t="s">
        <v>69</v>
      </c>
      <c r="AA15" s="67" t="s">
        <v>2045</v>
      </c>
      <c r="AB15" s="69">
        <f t="shared" si="2"/>
        <v>73</v>
      </c>
      <c r="AC15" s="69">
        <v>100000000</v>
      </c>
      <c r="AD15" s="2" t="s">
        <v>430</v>
      </c>
      <c r="AE15" s="2">
        <v>13</v>
      </c>
      <c r="AF15" s="2" t="s">
        <v>69</v>
      </c>
      <c r="AG15" s="2" t="s">
        <v>69</v>
      </c>
      <c r="AH15" s="2" t="s">
        <v>69</v>
      </c>
      <c r="AI15" s="2"/>
      <c r="AJ15" s="2"/>
      <c r="AK15" s="2" t="s">
        <v>69</v>
      </c>
      <c r="AL15" s="2">
        <v>0</v>
      </c>
      <c r="AM15" s="2">
        <v>1</v>
      </c>
      <c r="AN15" s="68" t="s">
        <v>2008</v>
      </c>
    </row>
    <row r="16" spans="1:41" ht="14.25" customHeight="1" x14ac:dyDescent="0.35">
      <c r="A16" s="67" t="s">
        <v>367</v>
      </c>
      <c r="B16" s="43" t="s">
        <v>288</v>
      </c>
      <c r="C16" s="43" t="s">
        <v>286</v>
      </c>
      <c r="D16" s="2">
        <f>COUNTIF(E16:N16,#REF!)</f>
        <v>0</v>
      </c>
      <c r="E16" s="2" t="s">
        <v>287</v>
      </c>
      <c r="F16" s="2" t="s">
        <v>368</v>
      </c>
      <c r="G16" s="2" t="s">
        <v>315</v>
      </c>
      <c r="H16" s="2" t="str">
        <f t="shared" si="0"/>
        <v>Transportation</v>
      </c>
      <c r="I16" s="2" t="s">
        <v>301</v>
      </c>
      <c r="J16" s="2" t="s">
        <v>277</v>
      </c>
      <c r="K16" s="2" t="s">
        <v>277</v>
      </c>
      <c r="L16" s="2" t="s">
        <v>277</v>
      </c>
      <c r="M16" s="2" t="s">
        <v>277</v>
      </c>
      <c r="N16" s="2" t="s">
        <v>277</v>
      </c>
      <c r="O16" s="2">
        <v>68</v>
      </c>
      <c r="P16" s="2" t="s">
        <v>278</v>
      </c>
      <c r="Q16" s="2" t="s">
        <v>369</v>
      </c>
      <c r="R16" s="2" t="s">
        <v>279</v>
      </c>
      <c r="S16" s="2" t="s">
        <v>370</v>
      </c>
      <c r="T16" s="2" t="s">
        <v>69</v>
      </c>
      <c r="U16" s="2" t="s">
        <v>69</v>
      </c>
      <c r="V16" s="2" t="s">
        <v>303</v>
      </c>
      <c r="W16" s="2">
        <f t="shared" si="1"/>
        <v>3000</v>
      </c>
      <c r="X16" s="2"/>
      <c r="Y16" s="2">
        <v>3</v>
      </c>
      <c r="Z16" s="2" t="s">
        <v>347</v>
      </c>
      <c r="AA16" s="2" t="s">
        <v>2042</v>
      </c>
      <c r="AB16" s="69">
        <f t="shared" si="2"/>
        <v>5500</v>
      </c>
      <c r="AC16" s="69">
        <v>5500000000</v>
      </c>
      <c r="AD16" s="2" t="s">
        <v>371</v>
      </c>
      <c r="AE16" s="2">
        <v>12</v>
      </c>
      <c r="AF16" s="2">
        <v>1</v>
      </c>
      <c r="AG16" s="2" t="s">
        <v>299</v>
      </c>
      <c r="AH16" s="2" t="s">
        <v>2033</v>
      </c>
      <c r="AI16" s="2">
        <v>5.0000000000000001E-4</v>
      </c>
      <c r="AJ16" s="2"/>
      <c r="AK16" s="2" t="s">
        <v>69</v>
      </c>
      <c r="AL16" s="2">
        <v>0</v>
      </c>
      <c r="AM16" s="2">
        <v>2.1379999999999999</v>
      </c>
      <c r="AN16" s="68" t="s">
        <v>2008</v>
      </c>
    </row>
    <row r="17" spans="1:41" ht="14.25" customHeight="1" x14ac:dyDescent="0.35">
      <c r="A17" s="2" t="s">
        <v>312</v>
      </c>
      <c r="B17" s="43" t="s">
        <v>288</v>
      </c>
      <c r="C17" s="43" t="s">
        <v>286</v>
      </c>
      <c r="D17" s="2">
        <f>COUNTIF(E17:N17,#REF!)</f>
        <v>0</v>
      </c>
      <c r="E17" s="2" t="s">
        <v>274</v>
      </c>
      <c r="F17" s="2" t="s">
        <v>288</v>
      </c>
      <c r="G17" s="2" t="s">
        <v>313</v>
      </c>
      <c r="H17" s="2" t="str">
        <f t="shared" si="0"/>
        <v>Machine Learning</v>
      </c>
      <c r="I17" s="2" t="s">
        <v>314</v>
      </c>
      <c r="J17" s="2" t="s">
        <v>315</v>
      </c>
      <c r="K17" s="2" t="s">
        <v>277</v>
      </c>
      <c r="L17" s="2" t="s">
        <v>277</v>
      </c>
      <c r="M17" s="2" t="s">
        <v>277</v>
      </c>
      <c r="N17" s="2" t="s">
        <v>277</v>
      </c>
      <c r="O17" s="2">
        <v>1.895</v>
      </c>
      <c r="P17" s="2" t="s">
        <v>278</v>
      </c>
      <c r="Q17" s="2">
        <v>2017</v>
      </c>
      <c r="R17" s="2" t="s">
        <v>279</v>
      </c>
      <c r="S17" s="2" t="s">
        <v>316</v>
      </c>
      <c r="T17" s="2" t="s">
        <v>69</v>
      </c>
      <c r="U17" s="2" t="s">
        <v>69</v>
      </c>
      <c r="V17" s="2" t="s">
        <v>297</v>
      </c>
      <c r="W17" s="2">
        <f t="shared" si="1"/>
        <v>175</v>
      </c>
      <c r="X17" s="2"/>
      <c r="Y17" s="2">
        <v>6</v>
      </c>
      <c r="Z17" s="2" t="s">
        <v>291</v>
      </c>
      <c r="AA17" s="2" t="s">
        <v>2042</v>
      </c>
      <c r="AB17" s="69">
        <f t="shared" si="2"/>
        <v>257.21844499999997</v>
      </c>
      <c r="AC17" s="69">
        <v>257218445</v>
      </c>
      <c r="AD17" s="2" t="s">
        <v>317</v>
      </c>
      <c r="AE17" s="2">
        <v>29</v>
      </c>
      <c r="AF17" s="2" t="s">
        <v>69</v>
      </c>
      <c r="AG17" s="2" t="s">
        <v>69</v>
      </c>
      <c r="AH17" s="2" t="s">
        <v>2028</v>
      </c>
      <c r="AI17" s="67" t="s">
        <v>2036</v>
      </c>
      <c r="AJ17" s="2"/>
      <c r="AK17" s="2" t="s">
        <v>69</v>
      </c>
      <c r="AL17" s="2">
        <v>0</v>
      </c>
      <c r="AM17" s="2">
        <v>0</v>
      </c>
      <c r="AN17" s="68" t="s">
        <v>2008</v>
      </c>
    </row>
    <row r="18" spans="1:41" ht="14.25" customHeight="1" x14ac:dyDescent="0.35">
      <c r="A18" s="43" t="s">
        <v>1937</v>
      </c>
      <c r="B18" s="43" t="s">
        <v>288</v>
      </c>
      <c r="C18" s="43" t="s">
        <v>309</v>
      </c>
      <c r="D18" s="2">
        <f>COUNTIF(E18:N18,#REF!)</f>
        <v>0</v>
      </c>
      <c r="E18" s="2" t="s">
        <v>287</v>
      </c>
      <c r="F18" s="2" t="s">
        <v>288</v>
      </c>
      <c r="G18" s="2" t="s">
        <v>276</v>
      </c>
      <c r="H18" s="2" t="str">
        <f t="shared" si="0"/>
        <v/>
      </c>
      <c r="J18" s="2" t="s">
        <v>277</v>
      </c>
      <c r="K18" s="2" t="s">
        <v>277</v>
      </c>
      <c r="L18" s="2" t="s">
        <v>277</v>
      </c>
      <c r="M18" s="2" t="s">
        <v>277</v>
      </c>
      <c r="N18" s="2" t="s">
        <v>277</v>
      </c>
      <c r="O18" s="2">
        <v>274.06099999999998</v>
      </c>
      <c r="P18" s="2" t="s">
        <v>278</v>
      </c>
      <c r="Q18" s="2">
        <v>2007</v>
      </c>
      <c r="R18" s="2" t="s">
        <v>279</v>
      </c>
      <c r="S18" s="2" t="s">
        <v>373</v>
      </c>
      <c r="T18" s="2" t="s">
        <v>69</v>
      </c>
      <c r="U18" s="2" t="s">
        <v>69</v>
      </c>
      <c r="V18" s="4" t="s">
        <v>282</v>
      </c>
      <c r="W18" s="2">
        <f t="shared" si="1"/>
        <v>60</v>
      </c>
      <c r="X18" s="2">
        <v>60</v>
      </c>
      <c r="Y18" s="2" t="s">
        <v>69</v>
      </c>
      <c r="Z18" s="2" t="s">
        <v>351</v>
      </c>
      <c r="AA18" s="2" t="s">
        <v>277</v>
      </c>
      <c r="AB18" s="69" t="str">
        <f t="shared" si="2"/>
        <v>n.a.</v>
      </c>
      <c r="AC18" s="2" t="s">
        <v>69</v>
      </c>
      <c r="AD18" s="2" t="s">
        <v>69</v>
      </c>
      <c r="AE18" s="67" t="s">
        <v>69</v>
      </c>
      <c r="AF18" s="2" t="s">
        <v>69</v>
      </c>
      <c r="AG18" s="2" t="s">
        <v>374</v>
      </c>
      <c r="AH18" s="2" t="s">
        <v>69</v>
      </c>
      <c r="AI18" s="2">
        <v>0</v>
      </c>
      <c r="AJ18" s="2"/>
      <c r="AK18" s="2" t="s">
        <v>69</v>
      </c>
      <c r="AL18" s="2">
        <v>0</v>
      </c>
      <c r="AM18" s="2" t="s">
        <v>69</v>
      </c>
      <c r="AN18" s="68" t="s">
        <v>2008</v>
      </c>
      <c r="AO18" t="s">
        <v>2023</v>
      </c>
    </row>
    <row r="19" spans="1:41" ht="14.25" customHeight="1" x14ac:dyDescent="0.35">
      <c r="A19" s="2" t="s">
        <v>272</v>
      </c>
      <c r="B19" s="43" t="s">
        <v>288</v>
      </c>
      <c r="C19" s="43" t="s">
        <v>309</v>
      </c>
      <c r="D19" s="2">
        <f>COUNTIF(E19:N19,#REF!)</f>
        <v>0</v>
      </c>
      <c r="E19" s="2" t="s">
        <v>274</v>
      </c>
      <c r="F19" s="2" t="s">
        <v>275</v>
      </c>
      <c r="G19" s="2" t="s">
        <v>276</v>
      </c>
      <c r="H19" s="2" t="str">
        <f t="shared" si="0"/>
        <v/>
      </c>
      <c r="J19" s="2" t="s">
        <v>277</v>
      </c>
      <c r="K19" s="2" t="s">
        <v>277</v>
      </c>
      <c r="L19" s="2" t="s">
        <v>277</v>
      </c>
      <c r="M19" s="2" t="s">
        <v>277</v>
      </c>
      <c r="N19" s="2" t="s">
        <v>277</v>
      </c>
      <c r="O19" s="2">
        <v>148.83699999999999</v>
      </c>
      <c r="P19" s="2" t="s">
        <v>278</v>
      </c>
      <c r="Q19" s="2">
        <v>2019</v>
      </c>
      <c r="R19" s="2" t="s">
        <v>279</v>
      </c>
      <c r="S19" s="2" t="s">
        <v>280</v>
      </c>
      <c r="T19" s="2" t="s">
        <v>69</v>
      </c>
      <c r="U19" s="2" t="s">
        <v>69</v>
      </c>
      <c r="V19" s="3" t="s">
        <v>282</v>
      </c>
      <c r="W19" s="2">
        <f t="shared" si="1"/>
        <v>30</v>
      </c>
      <c r="X19" s="3"/>
      <c r="Y19" s="2">
        <v>1</v>
      </c>
      <c r="Z19" s="2" t="s">
        <v>283</v>
      </c>
      <c r="AA19" s="2" t="s">
        <v>277</v>
      </c>
      <c r="AB19" s="69" t="str">
        <f t="shared" si="2"/>
        <v>n.a.</v>
      </c>
      <c r="AC19" s="2" t="s">
        <v>69</v>
      </c>
      <c r="AD19" s="2" t="s">
        <v>284</v>
      </c>
      <c r="AE19" s="2">
        <v>2</v>
      </c>
      <c r="AF19" s="2" t="s">
        <v>69</v>
      </c>
      <c r="AG19" s="2" t="s">
        <v>69</v>
      </c>
      <c r="AH19" s="2" t="s">
        <v>69</v>
      </c>
      <c r="AI19" s="2">
        <v>0</v>
      </c>
      <c r="AJ19" s="2"/>
      <c r="AK19" s="2" t="s">
        <v>69</v>
      </c>
      <c r="AL19" s="2">
        <v>0</v>
      </c>
      <c r="AM19" s="2">
        <v>1</v>
      </c>
      <c r="AN19" s="68" t="s">
        <v>2008</v>
      </c>
    </row>
    <row r="20" spans="1:41" ht="14.25" customHeight="1" x14ac:dyDescent="0.35">
      <c r="A20" s="2" t="s">
        <v>56</v>
      </c>
      <c r="B20" s="43" t="s">
        <v>288</v>
      </c>
      <c r="C20" s="43" t="s">
        <v>309</v>
      </c>
      <c r="D20" s="2">
        <f>COUNTIF(E20:N20,#REF!)</f>
        <v>0</v>
      </c>
      <c r="E20" s="2" t="s">
        <v>287</v>
      </c>
      <c r="F20" s="2" t="s">
        <v>288</v>
      </c>
      <c r="G20" s="2" t="s">
        <v>313</v>
      </c>
      <c r="H20" s="2" t="str">
        <f t="shared" si="0"/>
        <v>Robotics</v>
      </c>
      <c r="I20" s="2" t="s">
        <v>383</v>
      </c>
      <c r="J20" s="2" t="s">
        <v>315</v>
      </c>
      <c r="K20" s="2" t="s">
        <v>324</v>
      </c>
      <c r="L20" s="2" t="s">
        <v>277</v>
      </c>
      <c r="M20" s="2" t="s">
        <v>277</v>
      </c>
      <c r="N20" s="2" t="s">
        <v>277</v>
      </c>
      <c r="O20" s="2">
        <v>12.602</v>
      </c>
      <c r="P20" s="2" t="s">
        <v>278</v>
      </c>
      <c r="Q20" s="2">
        <v>2014</v>
      </c>
      <c r="R20" s="2" t="s">
        <v>279</v>
      </c>
      <c r="S20" s="2" t="s">
        <v>384</v>
      </c>
      <c r="T20" s="2" t="s">
        <v>69</v>
      </c>
      <c r="U20" s="2" t="s">
        <v>69</v>
      </c>
      <c r="V20" s="2" t="s">
        <v>297</v>
      </c>
      <c r="W20" s="2">
        <f t="shared" si="1"/>
        <v>250</v>
      </c>
      <c r="X20" s="2">
        <v>250</v>
      </c>
      <c r="Y20" s="2">
        <v>4</v>
      </c>
      <c r="Z20" s="2" t="s">
        <v>291</v>
      </c>
      <c r="AA20" s="2" t="s">
        <v>2044</v>
      </c>
      <c r="AB20" s="69">
        <f t="shared" si="2"/>
        <v>82.516926609999999</v>
      </c>
      <c r="AC20" s="69">
        <v>77118623</v>
      </c>
      <c r="AD20" s="2" t="s">
        <v>385</v>
      </c>
      <c r="AE20" s="2">
        <v>7</v>
      </c>
      <c r="AF20" s="2" t="s">
        <v>69</v>
      </c>
      <c r="AG20" s="2" t="s">
        <v>69</v>
      </c>
      <c r="AH20" s="2" t="s">
        <v>69</v>
      </c>
      <c r="AI20" s="67">
        <v>0</v>
      </c>
      <c r="AJ20" s="2"/>
      <c r="AK20" s="2" t="s">
        <v>69</v>
      </c>
      <c r="AL20" s="2">
        <v>0</v>
      </c>
      <c r="AM20" s="2">
        <v>3</v>
      </c>
      <c r="AN20" s="68" t="s">
        <v>2008</v>
      </c>
    </row>
    <row r="21" spans="1:41" ht="14.25" customHeight="1" x14ac:dyDescent="0.35">
      <c r="A21" s="2" t="s">
        <v>404</v>
      </c>
      <c r="B21" s="43" t="s">
        <v>288</v>
      </c>
      <c r="C21" s="43" t="s">
        <v>309</v>
      </c>
      <c r="D21" s="2">
        <f>COUNTIF(E21:N21,#REF!)</f>
        <v>0</v>
      </c>
      <c r="E21" s="2" t="s">
        <v>288</v>
      </c>
      <c r="F21" s="2" t="s">
        <v>313</v>
      </c>
      <c r="G21" s="2" t="s">
        <v>306</v>
      </c>
      <c r="H21" s="2" t="str">
        <f t="shared" si="0"/>
        <v>Transportation</v>
      </c>
      <c r="I21" s="2" t="s">
        <v>301</v>
      </c>
      <c r="J21" s="2" t="s">
        <v>277</v>
      </c>
      <c r="K21" s="2" t="s">
        <v>277</v>
      </c>
      <c r="L21" s="2" t="s">
        <v>277</v>
      </c>
      <c r="M21" s="2" t="s">
        <v>277</v>
      </c>
      <c r="N21" s="2" t="s">
        <v>277</v>
      </c>
      <c r="O21" s="2">
        <v>2.27</v>
      </c>
      <c r="P21" s="2" t="s">
        <v>278</v>
      </c>
      <c r="Q21" s="2">
        <v>2016</v>
      </c>
      <c r="R21" s="2" t="s">
        <v>279</v>
      </c>
      <c r="S21" s="2" t="s">
        <v>406</v>
      </c>
      <c r="T21" s="2" t="s">
        <v>69</v>
      </c>
      <c r="U21" s="2" t="s">
        <v>69</v>
      </c>
      <c r="V21" s="2" t="s">
        <v>337</v>
      </c>
      <c r="W21" s="2">
        <f t="shared" si="1"/>
        <v>375</v>
      </c>
      <c r="X21" s="2"/>
      <c r="Y21" s="2">
        <v>11</v>
      </c>
      <c r="Z21" s="2" t="s">
        <v>304</v>
      </c>
      <c r="AA21" s="2" t="s">
        <v>2042</v>
      </c>
      <c r="AB21" s="69">
        <f t="shared" si="2"/>
        <v>652.34307000000001</v>
      </c>
      <c r="AC21" s="69">
        <v>652343070</v>
      </c>
      <c r="AD21" s="2" t="s">
        <v>407</v>
      </c>
      <c r="AE21" s="2">
        <v>22</v>
      </c>
      <c r="AF21" s="2" t="s">
        <v>69</v>
      </c>
      <c r="AG21" s="2" t="s">
        <v>69</v>
      </c>
      <c r="AH21" s="2" t="s">
        <v>69</v>
      </c>
      <c r="AI21" s="67">
        <v>0</v>
      </c>
      <c r="AJ21" s="2"/>
      <c r="AK21" s="2" t="s">
        <v>69</v>
      </c>
      <c r="AL21" s="2">
        <v>0</v>
      </c>
      <c r="AM21" s="2">
        <v>9</v>
      </c>
      <c r="AN21" s="68" t="s">
        <v>2008</v>
      </c>
    </row>
    <row r="22" spans="1:41" ht="14.25" customHeight="1" x14ac:dyDescent="0.35">
      <c r="A22" s="2" t="s">
        <v>293</v>
      </c>
      <c r="B22" s="43" t="s">
        <v>288</v>
      </c>
      <c r="C22" s="43" t="s">
        <v>309</v>
      </c>
      <c r="D22" s="2">
        <f>COUNTIF(E22:N22,#REF!)</f>
        <v>0</v>
      </c>
      <c r="E22" s="2" t="s">
        <v>294</v>
      </c>
      <c r="F22" s="2" t="s">
        <v>295</v>
      </c>
      <c r="G22" s="2" t="s">
        <v>276</v>
      </c>
      <c r="H22" s="2" t="str">
        <f t="shared" si="0"/>
        <v/>
      </c>
      <c r="J22" s="2" t="s">
        <v>277</v>
      </c>
      <c r="K22" s="2" t="s">
        <v>277</v>
      </c>
      <c r="L22" s="2" t="s">
        <v>277</v>
      </c>
      <c r="M22" s="2" t="s">
        <v>277</v>
      </c>
      <c r="N22" s="2" t="s">
        <v>277</v>
      </c>
      <c r="O22" s="2">
        <v>8.0459999999999994</v>
      </c>
      <c r="P22" s="2" t="s">
        <v>278</v>
      </c>
      <c r="Q22" s="2">
        <v>2017</v>
      </c>
      <c r="R22" s="2" t="s">
        <v>279</v>
      </c>
      <c r="S22" s="2" t="s">
        <v>296</v>
      </c>
      <c r="T22" s="2" t="s">
        <v>69</v>
      </c>
      <c r="U22" s="2" t="s">
        <v>69</v>
      </c>
      <c r="V22" s="2" t="s">
        <v>297</v>
      </c>
      <c r="W22" s="2">
        <f t="shared" si="1"/>
        <v>175</v>
      </c>
      <c r="X22" s="2"/>
      <c r="Y22" s="2">
        <v>13</v>
      </c>
      <c r="Z22" s="2" t="s">
        <v>69</v>
      </c>
      <c r="AA22" s="2" t="s">
        <v>2042</v>
      </c>
      <c r="AB22" s="69">
        <f t="shared" si="2"/>
        <v>30.083497999999999</v>
      </c>
      <c r="AC22" s="69">
        <v>30083498</v>
      </c>
      <c r="AD22" s="2" t="s">
        <v>298</v>
      </c>
      <c r="AE22" s="2">
        <v>23</v>
      </c>
      <c r="AF22" s="2">
        <v>1</v>
      </c>
      <c r="AG22" s="2" t="s">
        <v>299</v>
      </c>
      <c r="AH22" s="2" t="s">
        <v>2033</v>
      </c>
      <c r="AI22" s="67">
        <v>0</v>
      </c>
      <c r="AJ22" s="2"/>
      <c r="AK22" s="2" t="s">
        <v>69</v>
      </c>
      <c r="AL22" s="2">
        <v>0</v>
      </c>
      <c r="AM22" s="2" t="s">
        <v>69</v>
      </c>
      <c r="AN22" s="68" t="s">
        <v>2008</v>
      </c>
    </row>
    <row r="23" spans="1:41" ht="14.25" customHeight="1" x14ac:dyDescent="0.35">
      <c r="A23" s="2" t="s">
        <v>1951</v>
      </c>
      <c r="B23" s="43" t="s">
        <v>784</v>
      </c>
      <c r="C23" s="43" t="s">
        <v>309</v>
      </c>
      <c r="D23" s="2">
        <f>COUNTIF(E23:N23,#REF!)</f>
        <v>0</v>
      </c>
      <c r="E23" s="2" t="s">
        <v>287</v>
      </c>
      <c r="F23" s="2" t="s">
        <v>482</v>
      </c>
      <c r="G23" s="2" t="s">
        <v>502</v>
      </c>
      <c r="H23" s="2" t="str">
        <f t="shared" si="0"/>
        <v>Product Design</v>
      </c>
      <c r="I23" s="2" t="s">
        <v>547</v>
      </c>
      <c r="J23" s="2" t="s">
        <v>277</v>
      </c>
      <c r="K23" s="2" t="s">
        <v>277</v>
      </c>
      <c r="L23" s="2" t="s">
        <v>277</v>
      </c>
      <c r="M23" s="2" t="s">
        <v>277</v>
      </c>
      <c r="N23" s="2" t="s">
        <v>277</v>
      </c>
      <c r="O23" s="2">
        <v>381.1</v>
      </c>
      <c r="P23" s="2" t="s">
        <v>278</v>
      </c>
      <c r="Q23" s="2">
        <v>1946</v>
      </c>
      <c r="R23" s="2" t="s">
        <v>279</v>
      </c>
      <c r="S23" s="2" t="s">
        <v>548</v>
      </c>
      <c r="T23" s="2" t="s">
        <v>69</v>
      </c>
      <c r="U23" s="2" t="s">
        <v>69</v>
      </c>
      <c r="V23" s="2" t="s">
        <v>290</v>
      </c>
      <c r="W23" s="2">
        <f t="shared" si="1"/>
        <v>75</v>
      </c>
      <c r="X23" s="2"/>
      <c r="Y23" s="2" t="s">
        <v>69</v>
      </c>
      <c r="Z23" s="2" t="s">
        <v>69</v>
      </c>
      <c r="AA23" s="2" t="s">
        <v>277</v>
      </c>
      <c r="AB23" s="69" t="str">
        <f t="shared" si="2"/>
        <v>n.a.</v>
      </c>
      <c r="AC23" s="2" t="s">
        <v>69</v>
      </c>
      <c r="AD23" s="2" t="s">
        <v>69</v>
      </c>
      <c r="AE23" s="2" t="s">
        <v>69</v>
      </c>
      <c r="AF23" s="2" t="s">
        <v>69</v>
      </c>
      <c r="AG23" s="2" t="s">
        <v>69</v>
      </c>
      <c r="AH23" s="2" t="s">
        <v>69</v>
      </c>
      <c r="AI23" s="67">
        <v>0</v>
      </c>
      <c r="AJ23" s="2"/>
      <c r="AK23" s="2" t="s">
        <v>69</v>
      </c>
      <c r="AL23" s="2">
        <v>0</v>
      </c>
      <c r="AM23" s="2" t="s">
        <v>69</v>
      </c>
      <c r="AN23" s="68" t="s">
        <v>2008</v>
      </c>
    </row>
    <row r="24" spans="1:41" ht="14.25" customHeight="1" x14ac:dyDescent="0.35">
      <c r="A24" s="113" t="s">
        <v>1933</v>
      </c>
      <c r="B24" s="43" t="s">
        <v>288</v>
      </c>
      <c r="C24" s="43" t="s">
        <v>309</v>
      </c>
      <c r="D24" s="2">
        <f>COUNTIF(E24:N24,#REF!)</f>
        <v>0</v>
      </c>
      <c r="E24" s="2" t="s">
        <v>288</v>
      </c>
      <c r="F24" s="2" t="s">
        <v>313</v>
      </c>
      <c r="G24" s="2" t="s">
        <v>391</v>
      </c>
      <c r="H24" s="2" t="str">
        <f t="shared" si="0"/>
        <v>Information Technology</v>
      </c>
      <c r="I24" s="2" t="s">
        <v>360</v>
      </c>
      <c r="J24" s="2" t="s">
        <v>276</v>
      </c>
      <c r="K24" s="2" t="s">
        <v>324</v>
      </c>
      <c r="L24" s="2" t="s">
        <v>277</v>
      </c>
      <c r="M24" s="2" t="s">
        <v>277</v>
      </c>
      <c r="N24" s="2" t="s">
        <v>277</v>
      </c>
      <c r="O24" s="2">
        <v>16.861999999999998</v>
      </c>
      <c r="P24" s="2" t="s">
        <v>278</v>
      </c>
      <c r="Q24" s="2" t="s">
        <v>392</v>
      </c>
      <c r="R24" s="2" t="s">
        <v>279</v>
      </c>
      <c r="S24" s="2" t="s">
        <v>393</v>
      </c>
      <c r="T24" s="2" t="s">
        <v>69</v>
      </c>
      <c r="U24" s="2" t="s">
        <v>69</v>
      </c>
      <c r="V24" s="2" t="s">
        <v>337</v>
      </c>
      <c r="W24" s="2">
        <f t="shared" si="1"/>
        <v>375</v>
      </c>
      <c r="X24" s="2"/>
      <c r="Y24" s="2">
        <v>7</v>
      </c>
      <c r="Z24" s="2" t="s">
        <v>351</v>
      </c>
      <c r="AA24" s="2" t="s">
        <v>2044</v>
      </c>
      <c r="AB24" s="69">
        <f t="shared" si="2"/>
        <v>108.44449893000001</v>
      </c>
      <c r="AC24" s="69">
        <v>101349999</v>
      </c>
      <c r="AD24" s="2" t="s">
        <v>394</v>
      </c>
      <c r="AE24" s="2">
        <v>12</v>
      </c>
      <c r="AF24" s="2" t="s">
        <v>69</v>
      </c>
      <c r="AG24" s="2" t="s">
        <v>374</v>
      </c>
      <c r="AH24" s="2" t="s">
        <v>2028</v>
      </c>
      <c r="AI24" s="67" t="s">
        <v>2036</v>
      </c>
      <c r="AJ24" s="2"/>
      <c r="AK24" s="2" t="s">
        <v>69</v>
      </c>
      <c r="AL24" s="2">
        <v>1</v>
      </c>
      <c r="AM24" s="2" t="s">
        <v>69</v>
      </c>
      <c r="AN24" s="68" t="s">
        <v>2008</v>
      </c>
    </row>
    <row r="25" spans="1:41" ht="14.25" customHeight="1" x14ac:dyDescent="0.35">
      <c r="A25" s="2" t="s">
        <v>300</v>
      </c>
      <c r="B25" s="43" t="s">
        <v>288</v>
      </c>
      <c r="C25" s="43" t="s">
        <v>309</v>
      </c>
      <c r="D25" s="2">
        <f>COUNTIF(E25:N25,#REF!)</f>
        <v>0</v>
      </c>
      <c r="E25" s="2" t="s">
        <v>274</v>
      </c>
      <c r="F25" s="2" t="s">
        <v>288</v>
      </c>
      <c r="G25" s="2" t="s">
        <v>276</v>
      </c>
      <c r="H25" s="2" t="str">
        <f t="shared" si="0"/>
        <v>Transportation</v>
      </c>
      <c r="I25" s="2" t="s">
        <v>301</v>
      </c>
      <c r="J25" s="2" t="s">
        <v>277</v>
      </c>
      <c r="K25" s="2" t="s">
        <v>277</v>
      </c>
      <c r="L25" s="2" t="s">
        <v>277</v>
      </c>
      <c r="M25" s="2" t="s">
        <v>277</v>
      </c>
      <c r="N25" s="2" t="s">
        <v>277</v>
      </c>
      <c r="O25" s="2">
        <v>15.991</v>
      </c>
      <c r="P25" s="2" t="s">
        <v>278</v>
      </c>
      <c r="Q25" s="2">
        <v>2016</v>
      </c>
      <c r="R25" s="2" t="s">
        <v>279</v>
      </c>
      <c r="S25" s="2" t="s">
        <v>302</v>
      </c>
      <c r="T25" s="2" t="s">
        <v>69</v>
      </c>
      <c r="U25" s="2" t="s">
        <v>69</v>
      </c>
      <c r="V25" s="2" t="s">
        <v>303</v>
      </c>
      <c r="W25" s="2">
        <f t="shared" si="1"/>
        <v>1133</v>
      </c>
      <c r="X25" s="2">
        <v>1133</v>
      </c>
      <c r="Y25" s="2">
        <v>6</v>
      </c>
      <c r="Z25" s="2" t="s">
        <v>304</v>
      </c>
      <c r="AA25" s="2" t="s">
        <v>2042</v>
      </c>
      <c r="AB25" s="69">
        <f t="shared" si="2"/>
        <v>2132.1488549999999</v>
      </c>
      <c r="AC25" s="69">
        <v>2132148855</v>
      </c>
      <c r="AD25" s="2" t="s">
        <v>305</v>
      </c>
      <c r="AE25" s="2">
        <v>12</v>
      </c>
      <c r="AF25" s="2">
        <v>1</v>
      </c>
      <c r="AG25" s="2" t="s">
        <v>299</v>
      </c>
      <c r="AH25" s="2" t="s">
        <v>2031</v>
      </c>
      <c r="AI25" s="67" t="s">
        <v>2040</v>
      </c>
      <c r="AJ25" s="2"/>
      <c r="AK25" s="2" t="s">
        <v>69</v>
      </c>
      <c r="AL25" s="2">
        <v>0</v>
      </c>
      <c r="AM25" s="2">
        <v>98</v>
      </c>
      <c r="AN25" s="68" t="s">
        <v>2008</v>
      </c>
      <c r="AO25" s="44" t="s">
        <v>2007</v>
      </c>
    </row>
    <row r="26" spans="1:41" ht="14.25" customHeight="1" x14ac:dyDescent="0.35">
      <c r="A26" s="43" t="s">
        <v>1935</v>
      </c>
      <c r="B26" s="43" t="s">
        <v>288</v>
      </c>
      <c r="C26" s="43" t="s">
        <v>309</v>
      </c>
      <c r="D26" s="2">
        <f>COUNTIF(E26:N26,#REF!)</f>
        <v>0</v>
      </c>
      <c r="E26" s="2" t="s">
        <v>295</v>
      </c>
      <c r="F26" s="2" t="s">
        <v>306</v>
      </c>
      <c r="G26" s="2" t="s">
        <v>276</v>
      </c>
      <c r="H26" s="2" t="str">
        <f t="shared" si="0"/>
        <v/>
      </c>
      <c r="J26" s="2" t="s">
        <v>277</v>
      </c>
      <c r="K26" s="2" t="s">
        <v>277</v>
      </c>
      <c r="L26" s="2" t="s">
        <v>277</v>
      </c>
      <c r="M26" s="2" t="s">
        <v>277</v>
      </c>
      <c r="N26" s="2" t="s">
        <v>277</v>
      </c>
      <c r="O26" s="2">
        <v>4.5549999999999997</v>
      </c>
      <c r="P26" s="2" t="s">
        <v>278</v>
      </c>
      <c r="Q26" s="2">
        <v>2021</v>
      </c>
      <c r="R26" s="2" t="s">
        <v>279</v>
      </c>
      <c r="S26" s="2" t="s">
        <v>307</v>
      </c>
      <c r="T26" s="2" t="s">
        <v>69</v>
      </c>
      <c r="U26" s="2" t="s">
        <v>69</v>
      </c>
      <c r="V26" s="2" t="s">
        <v>290</v>
      </c>
      <c r="W26" s="2">
        <f t="shared" si="1"/>
        <v>75</v>
      </c>
      <c r="X26" s="2"/>
      <c r="Y26" s="2">
        <v>5</v>
      </c>
      <c r="Z26" s="2" t="s">
        <v>69</v>
      </c>
      <c r="AA26" s="2" t="s">
        <v>2042</v>
      </c>
      <c r="AB26" s="69">
        <f t="shared" si="2"/>
        <v>53</v>
      </c>
      <c r="AC26" s="69">
        <v>53000000</v>
      </c>
      <c r="AD26" s="2" t="s">
        <v>308</v>
      </c>
      <c r="AE26" s="2">
        <v>26</v>
      </c>
      <c r="AF26" s="2" t="s">
        <v>69</v>
      </c>
      <c r="AG26" s="2" t="s">
        <v>69</v>
      </c>
      <c r="AH26" s="2" t="s">
        <v>2034</v>
      </c>
      <c r="AI26" s="67" t="s">
        <v>2037</v>
      </c>
      <c r="AJ26" s="2"/>
      <c r="AK26" s="2" t="s">
        <v>69</v>
      </c>
      <c r="AL26" s="2">
        <v>0</v>
      </c>
      <c r="AM26" s="2" t="s">
        <v>69</v>
      </c>
      <c r="AN26" s="68" t="s">
        <v>2008</v>
      </c>
    </row>
    <row r="27" spans="1:41" ht="14.25" customHeight="1" x14ac:dyDescent="0.35">
      <c r="A27" s="2" t="s">
        <v>674</v>
      </c>
      <c r="B27" s="43" t="s">
        <v>288</v>
      </c>
      <c r="C27" s="43" t="s">
        <v>309</v>
      </c>
      <c r="D27" s="2">
        <f>COUNTIF(E27:N27,#REF!)</f>
        <v>0</v>
      </c>
      <c r="E27" s="2" t="s">
        <v>274</v>
      </c>
      <c r="F27" s="2" t="s">
        <v>449</v>
      </c>
      <c r="G27" s="2" t="s">
        <v>295</v>
      </c>
      <c r="H27" s="2" t="str">
        <f t="shared" si="0"/>
        <v>Robotics</v>
      </c>
      <c r="I27" s="2" t="s">
        <v>383</v>
      </c>
      <c r="J27" s="2" t="s">
        <v>324</v>
      </c>
      <c r="K27" s="2" t="s">
        <v>277</v>
      </c>
      <c r="L27" s="2" t="s">
        <v>277</v>
      </c>
      <c r="M27" s="2" t="s">
        <v>277</v>
      </c>
      <c r="N27" s="2" t="s">
        <v>277</v>
      </c>
      <c r="O27" s="2">
        <v>2.0569999999999999</v>
      </c>
      <c r="P27" s="2" t="s">
        <v>278</v>
      </c>
      <c r="Q27" s="2" t="s">
        <v>675</v>
      </c>
      <c r="R27" s="2" t="s">
        <v>279</v>
      </c>
      <c r="S27" s="2" t="s">
        <v>676</v>
      </c>
      <c r="T27" s="2" t="s">
        <v>69</v>
      </c>
      <c r="U27" s="2" t="s">
        <v>69</v>
      </c>
      <c r="V27" s="2" t="s">
        <v>337</v>
      </c>
      <c r="W27" s="2">
        <f t="shared" si="1"/>
        <v>375</v>
      </c>
      <c r="X27" s="2"/>
      <c r="Y27" s="2">
        <v>6</v>
      </c>
      <c r="Z27" s="2" t="s">
        <v>291</v>
      </c>
      <c r="AA27" s="2" t="s">
        <v>2042</v>
      </c>
      <c r="AB27" s="69">
        <f t="shared" si="2"/>
        <v>197.715822</v>
      </c>
      <c r="AC27" s="69">
        <v>197715822</v>
      </c>
      <c r="AD27" s="2" t="s">
        <v>677</v>
      </c>
      <c r="AE27" s="2">
        <v>22</v>
      </c>
      <c r="AF27" s="2" t="s">
        <v>69</v>
      </c>
      <c r="AG27" s="2" t="s">
        <v>69</v>
      </c>
      <c r="AH27" s="2" t="s">
        <v>2033</v>
      </c>
      <c r="AI27" s="2">
        <v>5.0000000000000001E-4</v>
      </c>
      <c r="AJ27" s="2"/>
      <c r="AK27" s="2">
        <v>1</v>
      </c>
      <c r="AL27" s="2">
        <v>0</v>
      </c>
      <c r="AM27" s="2" t="s">
        <v>69</v>
      </c>
      <c r="AN27" s="68" t="s">
        <v>2008</v>
      </c>
    </row>
    <row r="28" spans="1:41" ht="14.25" customHeight="1" x14ac:dyDescent="0.35">
      <c r="A28" s="2" t="s">
        <v>418</v>
      </c>
      <c r="B28" s="43" t="s">
        <v>288</v>
      </c>
      <c r="C28" s="237" t="s">
        <v>286</v>
      </c>
      <c r="D28" s="2">
        <f>COUNTIF(E28:N28,#REF!)</f>
        <v>0</v>
      </c>
      <c r="E28" s="2" t="s">
        <v>288</v>
      </c>
      <c r="F28" s="2" t="s">
        <v>276</v>
      </c>
      <c r="G28" s="2" t="s">
        <v>315</v>
      </c>
      <c r="H28" s="2" t="str">
        <f t="shared" si="0"/>
        <v/>
      </c>
      <c r="J28" s="2" t="s">
        <v>277</v>
      </c>
      <c r="K28" s="2" t="s">
        <v>277</v>
      </c>
      <c r="L28" s="2" t="s">
        <v>277</v>
      </c>
      <c r="M28" s="2" t="s">
        <v>277</v>
      </c>
      <c r="N28" s="2" t="s">
        <v>277</v>
      </c>
      <c r="O28" s="2">
        <v>93.745999999999995</v>
      </c>
      <c r="P28" s="2" t="s">
        <v>278</v>
      </c>
      <c r="Q28" s="2">
        <v>2005</v>
      </c>
      <c r="R28" s="2" t="s">
        <v>279</v>
      </c>
      <c r="S28" s="2" t="s">
        <v>419</v>
      </c>
      <c r="T28" s="2" t="s">
        <v>69</v>
      </c>
      <c r="U28" s="2" t="s">
        <v>69</v>
      </c>
      <c r="V28" s="2" t="s">
        <v>297</v>
      </c>
      <c r="W28" s="2">
        <f t="shared" si="1"/>
        <v>175</v>
      </c>
      <c r="X28" s="2"/>
      <c r="Y28" s="2" t="s">
        <v>69</v>
      </c>
      <c r="Z28" s="2" t="s">
        <v>351</v>
      </c>
      <c r="AA28" s="2" t="s">
        <v>277</v>
      </c>
      <c r="AB28" s="69" t="str">
        <f t="shared" si="2"/>
        <v>n.a.</v>
      </c>
      <c r="AC28" s="2" t="s">
        <v>69</v>
      </c>
      <c r="AD28" s="2" t="s">
        <v>69</v>
      </c>
      <c r="AE28" s="2" t="s">
        <v>69</v>
      </c>
      <c r="AF28" s="2">
        <v>1</v>
      </c>
      <c r="AG28" s="2" t="s">
        <v>353</v>
      </c>
      <c r="AH28" s="2" t="s">
        <v>2028</v>
      </c>
      <c r="AI28" s="67" t="s">
        <v>2036</v>
      </c>
      <c r="AJ28" s="2"/>
      <c r="AK28" s="2" t="s">
        <v>69</v>
      </c>
      <c r="AL28" s="2">
        <v>0</v>
      </c>
      <c r="AM28" s="2">
        <v>1</v>
      </c>
      <c r="AN28" s="68" t="s">
        <v>2008</v>
      </c>
    </row>
    <row r="29" spans="1:41" ht="14.25" customHeight="1" x14ac:dyDescent="0.35">
      <c r="A29" s="2" t="s">
        <v>1936</v>
      </c>
      <c r="B29" s="43" t="s">
        <v>288</v>
      </c>
      <c r="C29" s="43" t="s">
        <v>309</v>
      </c>
      <c r="D29" s="2">
        <f>COUNTIF(E29:N29,#REF!)</f>
        <v>0</v>
      </c>
      <c r="E29" s="2" t="s">
        <v>288</v>
      </c>
      <c r="F29" s="2" t="s">
        <v>277</v>
      </c>
      <c r="G29" s="2" t="s">
        <v>277</v>
      </c>
      <c r="H29" s="2" t="str">
        <f t="shared" si="0"/>
        <v/>
      </c>
      <c r="J29" s="2" t="s">
        <v>277</v>
      </c>
      <c r="K29" s="2" t="s">
        <v>277</v>
      </c>
      <c r="L29" s="2" t="s">
        <v>277</v>
      </c>
      <c r="M29" s="2" t="s">
        <v>277</v>
      </c>
      <c r="N29" s="2" t="s">
        <v>277</v>
      </c>
      <c r="O29" s="2">
        <v>171.499</v>
      </c>
      <c r="P29" s="2" t="s">
        <v>278</v>
      </c>
      <c r="Q29" s="2">
        <v>2016</v>
      </c>
      <c r="R29" s="2" t="s">
        <v>279</v>
      </c>
      <c r="S29" s="2" t="s">
        <v>310</v>
      </c>
      <c r="T29" s="2" t="s">
        <v>69</v>
      </c>
      <c r="U29" s="2" t="s">
        <v>69</v>
      </c>
      <c r="V29" s="3" t="s">
        <v>282</v>
      </c>
      <c r="W29" s="2">
        <f t="shared" si="1"/>
        <v>30</v>
      </c>
      <c r="X29" s="3"/>
      <c r="Y29" s="2">
        <v>2</v>
      </c>
      <c r="Z29" s="2" t="s">
        <v>69</v>
      </c>
      <c r="AA29" s="2" t="s">
        <v>277</v>
      </c>
      <c r="AB29" s="69" t="str">
        <f t="shared" si="2"/>
        <v>n.a.</v>
      </c>
      <c r="AC29" s="2" t="s">
        <v>69</v>
      </c>
      <c r="AD29" s="2" t="s">
        <v>311</v>
      </c>
      <c r="AE29" s="2">
        <v>2</v>
      </c>
      <c r="AF29" s="2" t="s">
        <v>69</v>
      </c>
      <c r="AG29" s="2" t="s">
        <v>69</v>
      </c>
      <c r="AH29" s="2" t="s">
        <v>2028</v>
      </c>
      <c r="AI29" s="67" t="s">
        <v>2036</v>
      </c>
      <c r="AJ29" s="2"/>
      <c r="AK29" s="2" t="s">
        <v>69</v>
      </c>
      <c r="AL29" s="2">
        <v>0</v>
      </c>
      <c r="AM29" s="2">
        <v>10</v>
      </c>
      <c r="AN29" s="68" t="s">
        <v>2008</v>
      </c>
    </row>
    <row r="30" spans="1:41" ht="14.25" customHeight="1" x14ac:dyDescent="0.35">
      <c r="A30" s="43" t="s">
        <v>1932</v>
      </c>
      <c r="B30" s="43" t="s">
        <v>288</v>
      </c>
      <c r="C30" s="43" t="s">
        <v>309</v>
      </c>
      <c r="D30" s="2">
        <f>COUNTIF(E30:N30,B30)</f>
        <v>0</v>
      </c>
      <c r="E30" s="2" t="s">
        <v>287</v>
      </c>
      <c r="F30" s="2" t="s">
        <v>313</v>
      </c>
      <c r="G30" s="2" t="s">
        <v>482</v>
      </c>
      <c r="H30" s="2" t="str">
        <f t="shared" si="0"/>
        <v/>
      </c>
      <c r="J30" s="2" t="s">
        <v>277</v>
      </c>
      <c r="K30" s="2" t="s">
        <v>277</v>
      </c>
      <c r="L30" s="2" t="s">
        <v>277</v>
      </c>
      <c r="M30" s="2" t="s">
        <v>277</v>
      </c>
      <c r="N30" s="2" t="s">
        <v>277</v>
      </c>
      <c r="O30" s="2">
        <v>105.874</v>
      </c>
      <c r="P30" s="2" t="s">
        <v>278</v>
      </c>
      <c r="Q30" s="2" t="s">
        <v>849</v>
      </c>
      <c r="R30" s="2" t="s">
        <v>279</v>
      </c>
      <c r="S30" s="2" t="s">
        <v>850</v>
      </c>
      <c r="T30" s="2" t="s">
        <v>69</v>
      </c>
      <c r="U30" s="2" t="s">
        <v>69</v>
      </c>
      <c r="V30" s="2" t="s">
        <v>327</v>
      </c>
      <c r="W30" s="2">
        <f t="shared" si="1"/>
        <v>3000</v>
      </c>
      <c r="X30" s="2"/>
      <c r="Y30" s="2" t="s">
        <v>69</v>
      </c>
      <c r="Z30" s="2" t="s">
        <v>69</v>
      </c>
      <c r="AA30" s="2" t="s">
        <v>277</v>
      </c>
      <c r="AB30" s="69" t="str">
        <f t="shared" si="2"/>
        <v>n.a.</v>
      </c>
      <c r="AC30" s="2" t="s">
        <v>69</v>
      </c>
      <c r="AD30" s="2" t="s">
        <v>69</v>
      </c>
      <c r="AE30" s="2" t="s">
        <v>69</v>
      </c>
      <c r="AF30" s="2">
        <v>5</v>
      </c>
      <c r="AG30" s="2" t="s">
        <v>299</v>
      </c>
      <c r="AH30" s="2" t="s">
        <v>2035</v>
      </c>
      <c r="AI30" s="2">
        <v>10</v>
      </c>
      <c r="AJ30" s="2"/>
      <c r="AK30" s="2">
        <v>8</v>
      </c>
      <c r="AL30" s="2">
        <v>0</v>
      </c>
      <c r="AM30" s="2">
        <v>5.7859999999999996</v>
      </c>
      <c r="AN30" s="68" t="s">
        <v>2008</v>
      </c>
    </row>
    <row r="31" spans="1:41" ht="14.25" customHeight="1" x14ac:dyDescent="0.35">
      <c r="A31" s="2" t="s">
        <v>379</v>
      </c>
      <c r="B31" s="372" t="s">
        <v>398</v>
      </c>
      <c r="C31" s="43" t="s">
        <v>331</v>
      </c>
      <c r="D31" s="2">
        <f>COUNTIF(E31:N31,#REF!)</f>
        <v>0</v>
      </c>
      <c r="E31" s="2" t="s">
        <v>287</v>
      </c>
      <c r="F31" s="2" t="s">
        <v>288</v>
      </c>
      <c r="G31" s="2" t="s">
        <v>380</v>
      </c>
      <c r="H31" s="2" t="str">
        <f t="shared" si="0"/>
        <v/>
      </c>
      <c r="J31" s="2" t="s">
        <v>277</v>
      </c>
      <c r="K31" s="2" t="s">
        <v>277</v>
      </c>
      <c r="L31" s="2" t="s">
        <v>277</v>
      </c>
      <c r="M31" s="2" t="s">
        <v>277</v>
      </c>
      <c r="N31" s="2" t="s">
        <v>277</v>
      </c>
      <c r="O31" s="2">
        <v>8.0280000000000005</v>
      </c>
      <c r="P31" s="2" t="s">
        <v>278</v>
      </c>
      <c r="Q31" s="2" t="s">
        <v>311</v>
      </c>
      <c r="R31" s="2" t="s">
        <v>279</v>
      </c>
      <c r="S31" s="2" t="s">
        <v>381</v>
      </c>
      <c r="T31" s="2" t="s">
        <v>69</v>
      </c>
      <c r="U31" s="2" t="s">
        <v>69</v>
      </c>
      <c r="V31" s="3" t="s">
        <v>282</v>
      </c>
      <c r="W31" s="2">
        <f t="shared" si="1"/>
        <v>50</v>
      </c>
      <c r="X31" s="74">
        <v>50</v>
      </c>
      <c r="Y31" s="2">
        <v>2</v>
      </c>
      <c r="Z31" s="2" t="s">
        <v>291</v>
      </c>
      <c r="AA31" s="2" t="s">
        <v>2042</v>
      </c>
      <c r="AB31" s="69">
        <f t="shared" si="2"/>
        <v>45</v>
      </c>
      <c r="AC31" s="69">
        <v>45000000</v>
      </c>
      <c r="AD31" s="2" t="s">
        <v>382</v>
      </c>
      <c r="AE31" s="2">
        <v>5</v>
      </c>
      <c r="AF31" s="2" t="s">
        <v>69</v>
      </c>
      <c r="AG31" s="2" t="s">
        <v>69</v>
      </c>
      <c r="AH31" s="2" t="s">
        <v>69</v>
      </c>
      <c r="AI31" s="2"/>
      <c r="AJ31" s="2"/>
      <c r="AK31" s="2" t="s">
        <v>69</v>
      </c>
      <c r="AL31" s="2">
        <v>0</v>
      </c>
      <c r="AM31" s="2" t="s">
        <v>69</v>
      </c>
      <c r="AN31" s="68" t="s">
        <v>2008</v>
      </c>
    </row>
    <row r="32" spans="1:41" ht="14.25" customHeight="1" x14ac:dyDescent="0.35">
      <c r="A32" s="2" t="s">
        <v>117</v>
      </c>
      <c r="B32" s="43" t="s">
        <v>330</v>
      </c>
      <c r="C32" s="43" t="s">
        <v>331</v>
      </c>
      <c r="D32" s="2">
        <f>COUNTIF(E32:N32,#REF!)</f>
        <v>0</v>
      </c>
      <c r="E32" s="2" t="s">
        <v>313</v>
      </c>
      <c r="F32" s="2" t="s">
        <v>332</v>
      </c>
      <c r="G32" s="2" t="s">
        <v>333</v>
      </c>
      <c r="H32" s="2" t="str">
        <f t="shared" si="0"/>
        <v>Sustainability</v>
      </c>
      <c r="I32" s="2" t="s">
        <v>334</v>
      </c>
      <c r="J32" s="2" t="s">
        <v>324</v>
      </c>
      <c r="K32" s="2" t="s">
        <v>277</v>
      </c>
      <c r="L32" s="2" t="s">
        <v>277</v>
      </c>
      <c r="M32" s="2" t="s">
        <v>277</v>
      </c>
      <c r="N32" s="2" t="s">
        <v>277</v>
      </c>
      <c r="O32" s="2">
        <v>159.03899999999999</v>
      </c>
      <c r="P32" s="2" t="s">
        <v>278</v>
      </c>
      <c r="Q32" s="2" t="s">
        <v>335</v>
      </c>
      <c r="R32" s="2" t="s">
        <v>279</v>
      </c>
      <c r="S32" s="2" t="s">
        <v>336</v>
      </c>
      <c r="T32" s="2" t="s">
        <v>69</v>
      </c>
      <c r="U32" s="2" t="s">
        <v>69</v>
      </c>
      <c r="V32" s="2" t="s">
        <v>337</v>
      </c>
      <c r="W32" s="2">
        <f t="shared" si="1"/>
        <v>250</v>
      </c>
      <c r="X32" s="70">
        <v>250</v>
      </c>
      <c r="Y32" s="2" t="s">
        <v>69</v>
      </c>
      <c r="Z32" s="2" t="s">
        <v>69</v>
      </c>
      <c r="AA32" s="2" t="s">
        <v>277</v>
      </c>
      <c r="AB32" s="69" t="str">
        <f t="shared" si="2"/>
        <v>n.a.</v>
      </c>
      <c r="AC32" s="2" t="s">
        <v>69</v>
      </c>
      <c r="AD32" s="2" t="s">
        <v>69</v>
      </c>
      <c r="AE32" s="2" t="s">
        <v>69</v>
      </c>
      <c r="AF32" s="2">
        <v>1</v>
      </c>
      <c r="AG32" s="2" t="s">
        <v>299</v>
      </c>
      <c r="AH32" s="2" t="s">
        <v>69</v>
      </c>
      <c r="AI32" s="2"/>
      <c r="AJ32" s="2"/>
      <c r="AK32" s="2" t="s">
        <v>69</v>
      </c>
      <c r="AL32" s="2">
        <v>0</v>
      </c>
      <c r="AM32" s="2">
        <v>0</v>
      </c>
      <c r="AN32" s="68" t="s">
        <v>2008</v>
      </c>
      <c r="AO32" t="s">
        <v>2016</v>
      </c>
    </row>
    <row r="33" spans="1:41" ht="14.25" customHeight="1" x14ac:dyDescent="0.35">
      <c r="A33" s="2" t="s">
        <v>397</v>
      </c>
      <c r="B33" s="372" t="s">
        <v>398</v>
      </c>
      <c r="C33" s="43" t="s">
        <v>331</v>
      </c>
      <c r="D33" s="2">
        <f>COUNTIF(E33:N33,#REF!)</f>
        <v>0</v>
      </c>
      <c r="E33" s="2" t="s">
        <v>399</v>
      </c>
      <c r="F33" s="2" t="s">
        <v>322</v>
      </c>
      <c r="G33" s="2" t="s">
        <v>324</v>
      </c>
      <c r="H33" s="2" t="str">
        <f t="shared" si="0"/>
        <v/>
      </c>
      <c r="J33" s="2" t="s">
        <v>277</v>
      </c>
      <c r="K33" s="2" t="s">
        <v>277</v>
      </c>
      <c r="L33" s="2" t="s">
        <v>277</v>
      </c>
      <c r="M33" s="2" t="s">
        <v>277</v>
      </c>
      <c r="N33" s="2" t="s">
        <v>277</v>
      </c>
      <c r="O33" s="2">
        <v>177.38399999999999</v>
      </c>
      <c r="P33" s="2" t="s">
        <v>278</v>
      </c>
      <c r="Q33" s="2" t="s">
        <v>400</v>
      </c>
      <c r="R33" s="2" t="s">
        <v>279</v>
      </c>
      <c r="S33" s="2" t="s">
        <v>401</v>
      </c>
      <c r="T33" s="2" t="s">
        <v>402</v>
      </c>
      <c r="U33" s="2" t="s">
        <v>69</v>
      </c>
      <c r="V33" s="2" t="s">
        <v>327</v>
      </c>
      <c r="W33" s="2">
        <f t="shared" si="1"/>
        <v>74928</v>
      </c>
      <c r="X33" s="70">
        <v>74928</v>
      </c>
      <c r="Y33" s="2">
        <v>1</v>
      </c>
      <c r="Z33" s="2" t="s">
        <v>347</v>
      </c>
      <c r="AA33" s="2" t="s">
        <v>277</v>
      </c>
      <c r="AB33" s="69" t="str">
        <f t="shared" si="2"/>
        <v>n.a.</v>
      </c>
      <c r="AC33" s="2" t="s">
        <v>69</v>
      </c>
      <c r="AD33" s="2" t="s">
        <v>403</v>
      </c>
      <c r="AE33" s="2">
        <v>2</v>
      </c>
      <c r="AF33" s="2">
        <v>9</v>
      </c>
      <c r="AG33" s="2" t="s">
        <v>299</v>
      </c>
      <c r="AH33" s="70">
        <f>7.7</f>
        <v>7.7</v>
      </c>
      <c r="AI33" s="70"/>
      <c r="AJ33" s="70"/>
      <c r="AK33" s="2">
        <v>5</v>
      </c>
      <c r="AL33" s="2">
        <v>0</v>
      </c>
      <c r="AM33" s="2">
        <v>0</v>
      </c>
      <c r="AN33" s="68" t="s">
        <v>2008</v>
      </c>
      <c r="AO33" t="s">
        <v>2017</v>
      </c>
    </row>
    <row r="34" spans="1:41" ht="14.25" customHeight="1" x14ac:dyDescent="0.35">
      <c r="A34" s="2" t="s">
        <v>724</v>
      </c>
      <c r="B34" s="372" t="s">
        <v>398</v>
      </c>
      <c r="C34" s="67" t="s">
        <v>331</v>
      </c>
      <c r="D34" s="2">
        <f>COUNTIF(E34:N34,B34)</f>
        <v>0</v>
      </c>
      <c r="E34" s="2" t="s">
        <v>306</v>
      </c>
      <c r="F34" s="2" t="s">
        <v>321</v>
      </c>
      <c r="G34" s="2" t="s">
        <v>725</v>
      </c>
      <c r="H34" s="2" t="str">
        <f t="shared" si="0"/>
        <v>Ride Sharing</v>
      </c>
      <c r="I34" s="2" t="s">
        <v>323</v>
      </c>
      <c r="J34" s="2" t="s">
        <v>324</v>
      </c>
      <c r="K34" s="2" t="s">
        <v>277</v>
      </c>
      <c r="L34" s="2" t="s">
        <v>277</v>
      </c>
      <c r="M34" s="2" t="s">
        <v>277</v>
      </c>
      <c r="N34" s="2" t="s">
        <v>277</v>
      </c>
      <c r="O34" s="2">
        <v>10.068</v>
      </c>
      <c r="P34" s="2" t="s">
        <v>278</v>
      </c>
      <c r="Q34" s="2" t="s">
        <v>726</v>
      </c>
      <c r="R34" s="2" t="s">
        <v>279</v>
      </c>
      <c r="S34" s="2" t="s">
        <v>727</v>
      </c>
      <c r="T34" s="2" t="s">
        <v>69</v>
      </c>
      <c r="U34" s="2" t="s">
        <v>69</v>
      </c>
      <c r="V34" s="2" t="s">
        <v>303</v>
      </c>
      <c r="W34" s="2">
        <f t="shared" si="1"/>
        <v>3000</v>
      </c>
      <c r="X34" s="2"/>
      <c r="Y34" s="2">
        <v>9</v>
      </c>
      <c r="Z34" s="2" t="s">
        <v>69</v>
      </c>
      <c r="AA34" s="2" t="s">
        <v>2042</v>
      </c>
      <c r="AB34" s="69">
        <f t="shared" ref="AB34:AB65" si="3">IF(AC34&lt;&gt;"n.a.",IF(AA34="€",(AC34*1.07)/1000000,IF(AA34="£",(AC34*1.26)/1000000,IF(AA34="CA",(0.73*AC34)/1000000,AC34/1000000))),AC34)</f>
        <v>887.06411100000003</v>
      </c>
      <c r="AC34" s="69">
        <v>887064111</v>
      </c>
      <c r="AD34" s="2" t="s">
        <v>728</v>
      </c>
      <c r="AE34" s="2">
        <v>31</v>
      </c>
      <c r="AF34" s="2">
        <v>3</v>
      </c>
      <c r="AG34" s="2" t="s">
        <v>299</v>
      </c>
      <c r="AH34" s="70">
        <v>0.2</v>
      </c>
      <c r="AI34" s="70"/>
      <c r="AJ34" s="70"/>
      <c r="AK34" s="2" t="s">
        <v>69</v>
      </c>
      <c r="AL34" s="2">
        <v>0</v>
      </c>
      <c r="AM34" s="2">
        <v>20</v>
      </c>
      <c r="AN34" s="68" t="s">
        <v>2008</v>
      </c>
      <c r="AO34" t="s">
        <v>2018</v>
      </c>
    </row>
    <row r="35" spans="1:41" ht="14.25" customHeight="1" x14ac:dyDescent="0.35">
      <c r="A35" s="2" t="s">
        <v>340</v>
      </c>
      <c r="B35" s="43" t="s">
        <v>319</v>
      </c>
      <c r="C35" s="43" t="s">
        <v>320</v>
      </c>
      <c r="D35" s="2">
        <f>COUNTIF(E35:N35,#REF!)</f>
        <v>0</v>
      </c>
      <c r="E35" s="2" t="s">
        <v>342</v>
      </c>
      <c r="F35" s="2" t="s">
        <v>295</v>
      </c>
      <c r="G35" s="2" t="s">
        <v>343</v>
      </c>
      <c r="H35" s="2" t="str">
        <f t="shared" si="0"/>
        <v>Mobile Apps</v>
      </c>
      <c r="I35" s="2" t="s">
        <v>344</v>
      </c>
      <c r="J35" s="2" t="s">
        <v>324</v>
      </c>
      <c r="K35" s="2" t="s">
        <v>277</v>
      </c>
      <c r="L35" s="2" t="s">
        <v>277</v>
      </c>
      <c r="M35" s="2" t="s">
        <v>277</v>
      </c>
      <c r="N35" s="2" t="s">
        <v>277</v>
      </c>
      <c r="O35" s="2">
        <v>5.93</v>
      </c>
      <c r="P35" s="2" t="s">
        <v>278</v>
      </c>
      <c r="Q35" s="2" t="s">
        <v>345</v>
      </c>
      <c r="R35" s="2" t="s">
        <v>279</v>
      </c>
      <c r="S35" s="2" t="s">
        <v>346</v>
      </c>
      <c r="T35" s="2" t="s">
        <v>69</v>
      </c>
      <c r="U35" s="2" t="s">
        <v>69</v>
      </c>
      <c r="V35" s="2" t="s">
        <v>303</v>
      </c>
      <c r="W35" s="2">
        <f t="shared" si="1"/>
        <v>4126</v>
      </c>
      <c r="X35" s="2">
        <v>4126</v>
      </c>
      <c r="Y35" s="2">
        <v>18</v>
      </c>
      <c r="Z35" s="2" t="s">
        <v>347</v>
      </c>
      <c r="AA35" s="2" t="s">
        <v>2042</v>
      </c>
      <c r="AB35" s="69">
        <f t="shared" si="3"/>
        <v>2043.839702</v>
      </c>
      <c r="AC35" s="69">
        <v>2043839702</v>
      </c>
      <c r="AD35" s="2" t="s">
        <v>348</v>
      </c>
      <c r="AE35" s="2">
        <v>42</v>
      </c>
      <c r="AF35" s="2" t="s">
        <v>69</v>
      </c>
      <c r="AG35" s="2" t="s">
        <v>69</v>
      </c>
      <c r="AH35" s="70">
        <v>1.26</v>
      </c>
      <c r="AI35" s="70"/>
      <c r="AJ35" s="70"/>
      <c r="AK35" s="2" t="s">
        <v>69</v>
      </c>
      <c r="AL35" s="2">
        <v>0</v>
      </c>
      <c r="AM35" s="2">
        <v>3</v>
      </c>
      <c r="AN35" s="68" t="s">
        <v>2008</v>
      </c>
      <c r="AO35" t="s">
        <v>2019</v>
      </c>
    </row>
    <row r="36" spans="1:41" ht="14.25" customHeight="1" x14ac:dyDescent="0.35">
      <c r="A36" s="2" t="s">
        <v>338</v>
      </c>
      <c r="B36" s="43" t="s">
        <v>330</v>
      </c>
      <c r="C36" s="43" t="s">
        <v>320</v>
      </c>
      <c r="D36" s="2">
        <f>COUNTIF(E36:N36,#REF!)</f>
        <v>0</v>
      </c>
      <c r="E36" s="2" t="s">
        <v>315</v>
      </c>
      <c r="F36" s="2" t="s">
        <v>324</v>
      </c>
      <c r="G36" s="2" t="s">
        <v>277</v>
      </c>
      <c r="H36" s="2" t="str">
        <f t="shared" si="0"/>
        <v/>
      </c>
      <c r="J36" s="2" t="s">
        <v>277</v>
      </c>
      <c r="K36" s="2" t="s">
        <v>277</v>
      </c>
      <c r="L36" s="2" t="s">
        <v>277</v>
      </c>
      <c r="M36" s="2" t="s">
        <v>277</v>
      </c>
      <c r="N36" s="2" t="s">
        <v>277</v>
      </c>
      <c r="O36" s="2">
        <v>262.64400000000001</v>
      </c>
      <c r="P36" s="2" t="s">
        <v>278</v>
      </c>
      <c r="Q36" s="2">
        <v>2017</v>
      </c>
      <c r="R36" s="2" t="s">
        <v>279</v>
      </c>
      <c r="S36" s="2" t="s">
        <v>339</v>
      </c>
      <c r="T36" s="2" t="s">
        <v>69</v>
      </c>
      <c r="U36" s="2" t="s">
        <v>69</v>
      </c>
      <c r="V36" s="2" t="s">
        <v>297</v>
      </c>
      <c r="W36" s="2">
        <f t="shared" si="1"/>
        <v>180</v>
      </c>
      <c r="X36" s="70">
        <v>180</v>
      </c>
      <c r="Y36" s="2" t="s">
        <v>69</v>
      </c>
      <c r="Z36" s="2" t="s">
        <v>69</v>
      </c>
      <c r="AA36" s="2" t="s">
        <v>277</v>
      </c>
      <c r="AB36" s="69" t="str">
        <f t="shared" si="3"/>
        <v>n.a.</v>
      </c>
      <c r="AC36" s="2" t="s">
        <v>69</v>
      </c>
      <c r="AD36" s="2" t="s">
        <v>69</v>
      </c>
      <c r="AE36" s="2" t="s">
        <v>69</v>
      </c>
      <c r="AF36" s="2" t="s">
        <v>69</v>
      </c>
      <c r="AG36" s="2" t="s">
        <v>69</v>
      </c>
      <c r="AH36" s="2" t="s">
        <v>69</v>
      </c>
      <c r="AI36" s="2"/>
      <c r="AJ36" s="2"/>
      <c r="AK36" s="2" t="s">
        <v>69</v>
      </c>
      <c r="AL36" s="2">
        <v>0</v>
      </c>
      <c r="AM36" s="2" t="s">
        <v>69</v>
      </c>
      <c r="AN36" s="68" t="s">
        <v>2008</v>
      </c>
      <c r="AO36" s="44" t="s">
        <v>2022</v>
      </c>
    </row>
    <row r="37" spans="1:41" ht="14.25" customHeight="1" x14ac:dyDescent="0.35">
      <c r="A37" s="2" t="s">
        <v>736</v>
      </c>
      <c r="B37" s="43" t="s">
        <v>319</v>
      </c>
      <c r="C37" s="43" t="s">
        <v>320</v>
      </c>
      <c r="D37" s="2">
        <f>COUNTIF(E37:N37,B37)</f>
        <v>0</v>
      </c>
      <c r="E37" s="2" t="s">
        <v>425</v>
      </c>
      <c r="F37" s="2" t="s">
        <v>321</v>
      </c>
      <c r="G37" s="2" t="s">
        <v>333</v>
      </c>
      <c r="H37" s="2" t="str">
        <f t="shared" si="0"/>
        <v>Software</v>
      </c>
      <c r="I37" s="2" t="s">
        <v>387</v>
      </c>
      <c r="J37" s="2" t="s">
        <v>324</v>
      </c>
      <c r="K37" s="2" t="s">
        <v>277</v>
      </c>
      <c r="L37" s="2" t="s">
        <v>277</v>
      </c>
      <c r="M37" s="2" t="s">
        <v>277</v>
      </c>
      <c r="N37" s="2" t="s">
        <v>277</v>
      </c>
      <c r="O37" s="2">
        <v>3.698</v>
      </c>
      <c r="P37" s="2" t="s">
        <v>278</v>
      </c>
      <c r="Q37" s="2" t="s">
        <v>737</v>
      </c>
      <c r="R37" s="2" t="s">
        <v>279</v>
      </c>
      <c r="S37" s="2" t="s">
        <v>738</v>
      </c>
      <c r="T37" s="2" t="s">
        <v>69</v>
      </c>
      <c r="U37" s="2" t="s">
        <v>69</v>
      </c>
      <c r="V37" s="2" t="s">
        <v>479</v>
      </c>
      <c r="W37" s="2">
        <f t="shared" si="1"/>
        <v>4419</v>
      </c>
      <c r="X37" s="70">
        <v>4419</v>
      </c>
      <c r="Y37" s="2">
        <v>28</v>
      </c>
      <c r="Z37" s="2" t="s">
        <v>328</v>
      </c>
      <c r="AA37" s="2" t="s">
        <v>2042</v>
      </c>
      <c r="AB37" s="69">
        <f t="shared" si="3"/>
        <v>4913.6067780000003</v>
      </c>
      <c r="AC37" s="69">
        <v>4913606778</v>
      </c>
      <c r="AD37" s="2" t="s">
        <v>739</v>
      </c>
      <c r="AE37" s="2">
        <v>90</v>
      </c>
      <c r="AF37" s="2">
        <v>12</v>
      </c>
      <c r="AG37" s="2" t="s">
        <v>299</v>
      </c>
      <c r="AH37" s="71">
        <v>4.0949999999999998</v>
      </c>
      <c r="AI37" s="71"/>
      <c r="AJ37" s="71"/>
      <c r="AK37" s="2">
        <v>3</v>
      </c>
      <c r="AL37" s="2">
        <v>1</v>
      </c>
      <c r="AM37" s="2">
        <v>542</v>
      </c>
      <c r="AN37" s="68" t="s">
        <v>2008</v>
      </c>
      <c r="AO37" s="44" t="s">
        <v>2021</v>
      </c>
    </row>
    <row r="38" spans="1:41" ht="14.25" customHeight="1" x14ac:dyDescent="0.35">
      <c r="A38" s="2" t="s">
        <v>318</v>
      </c>
      <c r="B38" s="43" t="s">
        <v>319</v>
      </c>
      <c r="C38" s="43" t="s">
        <v>320</v>
      </c>
      <c r="D38" s="2">
        <f>COUNTIF(E38:N38,#REF!)</f>
        <v>0</v>
      </c>
      <c r="E38" s="2" t="s">
        <v>306</v>
      </c>
      <c r="F38" s="2" t="s">
        <v>321</v>
      </c>
      <c r="G38" s="2" t="s">
        <v>322</v>
      </c>
      <c r="H38" s="2" t="str">
        <f t="shared" si="0"/>
        <v>Ride Sharing</v>
      </c>
      <c r="I38" s="2" t="s">
        <v>323</v>
      </c>
      <c r="J38" s="2" t="s">
        <v>315</v>
      </c>
      <c r="K38" s="2" t="s">
        <v>324</v>
      </c>
      <c r="L38" s="2" t="s">
        <v>277</v>
      </c>
      <c r="M38" s="2" t="s">
        <v>277</v>
      </c>
      <c r="N38" s="2" t="s">
        <v>277</v>
      </c>
      <c r="O38" s="2">
        <v>583</v>
      </c>
      <c r="P38" s="2" t="s">
        <v>278</v>
      </c>
      <c r="Q38" s="2" t="s">
        <v>325</v>
      </c>
      <c r="R38" s="2" t="s">
        <v>279</v>
      </c>
      <c r="S38" s="2" t="s">
        <v>326</v>
      </c>
      <c r="T38" s="2" t="s">
        <v>69</v>
      </c>
      <c r="U38" s="2" t="s">
        <v>69</v>
      </c>
      <c r="V38" s="2" t="s">
        <v>327</v>
      </c>
      <c r="W38" s="2">
        <f t="shared" si="1"/>
        <v>3000</v>
      </c>
      <c r="X38" s="2"/>
      <c r="Y38" s="2">
        <v>32</v>
      </c>
      <c r="Z38" s="2" t="s">
        <v>328</v>
      </c>
      <c r="AA38" s="2" t="s">
        <v>2042</v>
      </c>
      <c r="AB38" s="69">
        <f t="shared" si="3"/>
        <v>25212.45</v>
      </c>
      <c r="AC38" s="69">
        <v>25212450000</v>
      </c>
      <c r="AD38" s="2" t="s">
        <v>329</v>
      </c>
      <c r="AE38" s="2">
        <v>119</v>
      </c>
      <c r="AF38" s="2">
        <v>13</v>
      </c>
      <c r="AG38" s="2" t="s">
        <v>299</v>
      </c>
      <c r="AH38" s="71">
        <v>14.029</v>
      </c>
      <c r="AI38" s="71"/>
      <c r="AJ38" s="71"/>
      <c r="AK38" s="2">
        <v>16</v>
      </c>
      <c r="AL38" s="2">
        <v>1</v>
      </c>
      <c r="AM38" s="2">
        <v>1.0900000000000001</v>
      </c>
      <c r="AN38" s="68" t="s">
        <v>2008</v>
      </c>
      <c r="AO38" s="72"/>
    </row>
    <row r="39" spans="1:41" ht="14.25" customHeight="1" x14ac:dyDescent="0.35">
      <c r="A39" s="43" t="s">
        <v>580</v>
      </c>
      <c r="B39" s="43" t="s">
        <v>449</v>
      </c>
      <c r="C39" s="43" t="s">
        <v>320</v>
      </c>
      <c r="D39" s="2">
        <f>COUNTIF(E39:N39,#REF!)</f>
        <v>0</v>
      </c>
      <c r="E39" s="2" t="s">
        <v>425</v>
      </c>
      <c r="F39" s="2" t="s">
        <v>295</v>
      </c>
      <c r="G39" s="2" t="s">
        <v>321</v>
      </c>
      <c r="H39" s="2" t="str">
        <f t="shared" si="0"/>
        <v/>
      </c>
      <c r="J39" s="2" t="s">
        <v>277</v>
      </c>
      <c r="K39" s="2" t="s">
        <v>277</v>
      </c>
      <c r="L39" s="2" t="s">
        <v>277</v>
      </c>
      <c r="M39" s="2" t="s">
        <v>277</v>
      </c>
      <c r="N39" s="2" t="s">
        <v>277</v>
      </c>
      <c r="O39" s="2">
        <v>40.68</v>
      </c>
      <c r="P39" s="2" t="s">
        <v>278</v>
      </c>
      <c r="Q39" s="2">
        <v>41852</v>
      </c>
      <c r="R39" s="2" t="s">
        <v>279</v>
      </c>
      <c r="S39" s="2" t="s">
        <v>581</v>
      </c>
      <c r="T39" s="2" t="s">
        <v>69</v>
      </c>
      <c r="U39" s="2" t="s">
        <v>69</v>
      </c>
      <c r="V39" s="2" t="s">
        <v>297</v>
      </c>
      <c r="W39" s="2">
        <f t="shared" si="1"/>
        <v>175</v>
      </c>
      <c r="X39" s="2"/>
      <c r="Y39" s="2" t="s">
        <v>69</v>
      </c>
      <c r="Z39" s="2" t="s">
        <v>69</v>
      </c>
      <c r="AA39" s="2" t="s">
        <v>277</v>
      </c>
      <c r="AB39" s="69" t="str">
        <f t="shared" si="3"/>
        <v>n.a.</v>
      </c>
      <c r="AC39" s="2" t="s">
        <v>69</v>
      </c>
      <c r="AD39" s="2" t="s">
        <v>69</v>
      </c>
      <c r="AE39" s="2" t="s">
        <v>69</v>
      </c>
      <c r="AF39" s="2">
        <v>2</v>
      </c>
      <c r="AG39" s="2" t="s">
        <v>299</v>
      </c>
      <c r="AH39" s="71">
        <v>10.901</v>
      </c>
      <c r="AI39" s="71"/>
      <c r="AJ39" s="71"/>
      <c r="AK39" s="2" t="s">
        <v>69</v>
      </c>
      <c r="AL39" s="2">
        <v>0</v>
      </c>
      <c r="AM39" s="2" t="s">
        <v>69</v>
      </c>
      <c r="AN39" s="68" t="s">
        <v>2008</v>
      </c>
      <c r="AO39" t="s">
        <v>2020</v>
      </c>
    </row>
    <row r="40" spans="1:41" ht="14.25" customHeight="1" x14ac:dyDescent="0.35">
      <c r="A40" s="43" t="s">
        <v>424</v>
      </c>
      <c r="B40" s="43" t="s">
        <v>319</v>
      </c>
      <c r="C40" s="43" t="s">
        <v>320</v>
      </c>
      <c r="D40" s="2">
        <f>COUNTIF(E40:N40,#REF!)</f>
        <v>0</v>
      </c>
      <c r="E40" s="2" t="s">
        <v>425</v>
      </c>
      <c r="F40" s="2" t="s">
        <v>306</v>
      </c>
      <c r="G40" s="2" t="s">
        <v>321</v>
      </c>
      <c r="H40" s="2" t="str">
        <f t="shared" si="0"/>
        <v>Supply Chain Management</v>
      </c>
      <c r="I40" s="2" t="s">
        <v>426</v>
      </c>
      <c r="J40" s="2" t="s">
        <v>277</v>
      </c>
      <c r="K40" s="2" t="s">
        <v>277</v>
      </c>
      <c r="L40" s="2" t="s">
        <v>277</v>
      </c>
      <c r="M40" s="2" t="s">
        <v>277</v>
      </c>
      <c r="N40" s="2" t="s">
        <v>277</v>
      </c>
      <c r="O40" s="2">
        <v>2.6829999999999998</v>
      </c>
      <c r="P40" s="2" t="s">
        <v>278</v>
      </c>
      <c r="Q40" s="2">
        <v>2017</v>
      </c>
      <c r="R40" s="2" t="s">
        <v>279</v>
      </c>
      <c r="S40" s="73" t="s">
        <v>2004</v>
      </c>
      <c r="T40" s="2" t="s">
        <v>69</v>
      </c>
      <c r="U40" s="2" t="s">
        <v>69</v>
      </c>
      <c r="V40" s="2" t="s">
        <v>327</v>
      </c>
      <c r="W40" s="2">
        <f t="shared" si="1"/>
        <v>3000</v>
      </c>
      <c r="X40" s="2"/>
      <c r="Y40" s="2">
        <v>2</v>
      </c>
      <c r="Z40" s="2" t="s">
        <v>347</v>
      </c>
      <c r="AA40" s="2" t="s">
        <v>2042</v>
      </c>
      <c r="AB40" s="69">
        <f t="shared" si="3"/>
        <v>1050</v>
      </c>
      <c r="AC40" s="69">
        <v>1050000000</v>
      </c>
      <c r="AD40" s="2" t="s">
        <v>427</v>
      </c>
      <c r="AE40" s="2">
        <v>4</v>
      </c>
      <c r="AF40" s="2">
        <v>1</v>
      </c>
      <c r="AG40" s="2" t="s">
        <v>299</v>
      </c>
      <c r="AH40" s="71">
        <v>6.9470000000000001</v>
      </c>
      <c r="AI40" s="71"/>
      <c r="AJ40" s="71"/>
      <c r="AK40" s="2" t="s">
        <v>69</v>
      </c>
      <c r="AL40" s="2">
        <v>0</v>
      </c>
      <c r="AM40" s="2" t="s">
        <v>69</v>
      </c>
      <c r="AN40" s="68" t="s">
        <v>2008</v>
      </c>
      <c r="AO40" t="s">
        <v>2020</v>
      </c>
    </row>
    <row r="41" spans="1:41" ht="14.25" customHeight="1" x14ac:dyDescent="0.35">
      <c r="A41" s="111" t="s">
        <v>2077</v>
      </c>
      <c r="B41" s="43" t="s">
        <v>306</v>
      </c>
      <c r="C41" s="43" t="s">
        <v>435</v>
      </c>
      <c r="D41" s="2">
        <f t="shared" ref="D41:D48" si="4">COUNTIF(E41:N41,B41)</f>
        <v>0</v>
      </c>
      <c r="E41" s="2" t="s">
        <v>281</v>
      </c>
      <c r="F41" s="2"/>
      <c r="G41" s="2" t="s">
        <v>277</v>
      </c>
      <c r="H41" s="2" t="str">
        <f t="shared" si="0"/>
        <v/>
      </c>
      <c r="J41" s="2" t="s">
        <v>277</v>
      </c>
      <c r="K41" s="2" t="s">
        <v>277</v>
      </c>
      <c r="L41" s="2" t="s">
        <v>277</v>
      </c>
      <c r="M41" s="2" t="s">
        <v>277</v>
      </c>
      <c r="N41" s="2" t="s">
        <v>277</v>
      </c>
      <c r="O41" s="2">
        <v>369.96199999999999</v>
      </c>
      <c r="P41" s="2" t="s">
        <v>278</v>
      </c>
      <c r="Q41" s="2">
        <v>2020</v>
      </c>
      <c r="R41" s="2" t="s">
        <v>279</v>
      </c>
      <c r="S41" s="2" t="s">
        <v>679</v>
      </c>
      <c r="T41" s="2" t="s">
        <v>69</v>
      </c>
      <c r="U41" s="2" t="s">
        <v>69</v>
      </c>
      <c r="V41" s="2" t="s">
        <v>69</v>
      </c>
      <c r="W41" s="2"/>
      <c r="X41" s="2"/>
      <c r="Y41" s="2" t="s">
        <v>69</v>
      </c>
      <c r="Z41" s="2" t="s">
        <v>69</v>
      </c>
      <c r="AA41" s="2" t="s">
        <v>277</v>
      </c>
      <c r="AB41" s="69" t="str">
        <f t="shared" si="3"/>
        <v>n.a.</v>
      </c>
      <c r="AC41" s="2" t="s">
        <v>69</v>
      </c>
      <c r="AD41" s="2" t="s">
        <v>69</v>
      </c>
      <c r="AE41" s="2" t="s">
        <v>69</v>
      </c>
      <c r="AF41" s="2" t="s">
        <v>69</v>
      </c>
      <c r="AG41" s="2" t="s">
        <v>69</v>
      </c>
      <c r="AH41" s="2" t="s">
        <v>69</v>
      </c>
      <c r="AI41" s="2"/>
      <c r="AJ41" s="2"/>
      <c r="AK41" s="2" t="s">
        <v>69</v>
      </c>
      <c r="AL41" s="2">
        <v>0</v>
      </c>
      <c r="AM41" s="2" t="s">
        <v>69</v>
      </c>
      <c r="AN41" s="68" t="s">
        <v>2008</v>
      </c>
    </row>
    <row r="42" spans="1:41" ht="14.25" customHeight="1" x14ac:dyDescent="0.35">
      <c r="A42" t="s">
        <v>1988</v>
      </c>
      <c r="B42" s="43" t="s">
        <v>660</v>
      </c>
      <c r="C42" s="43" t="s">
        <v>435</v>
      </c>
      <c r="D42" s="2">
        <f t="shared" si="4"/>
        <v>1</v>
      </c>
      <c r="E42" s="2" t="s">
        <v>588</v>
      </c>
      <c r="F42" s="2" t="s">
        <v>660</v>
      </c>
      <c r="G42" s="2" t="s">
        <v>277</v>
      </c>
      <c r="H42" s="2" t="str">
        <f t="shared" si="0"/>
        <v/>
      </c>
      <c r="J42" s="2" t="s">
        <v>277</v>
      </c>
      <c r="K42" s="2" t="s">
        <v>277</v>
      </c>
      <c r="L42" s="2" t="s">
        <v>277</v>
      </c>
      <c r="M42" s="2" t="s">
        <v>277</v>
      </c>
      <c r="N42" s="2" t="s">
        <v>277</v>
      </c>
      <c r="O42" s="2">
        <v>253.41200000000001</v>
      </c>
      <c r="P42" s="2" t="s">
        <v>278</v>
      </c>
      <c r="Q42" s="2" t="s">
        <v>661</v>
      </c>
      <c r="R42" s="2" t="s">
        <v>279</v>
      </c>
      <c r="S42" s="2" t="s">
        <v>662</v>
      </c>
      <c r="T42" s="2" t="s">
        <v>69</v>
      </c>
      <c r="U42" s="2" t="s">
        <v>69</v>
      </c>
      <c r="V42" s="2" t="s">
        <v>303</v>
      </c>
      <c r="W42" s="2"/>
      <c r="X42" s="2"/>
      <c r="Y42" s="2" t="s">
        <v>69</v>
      </c>
      <c r="Z42" s="2" t="s">
        <v>69</v>
      </c>
      <c r="AA42" s="2" t="s">
        <v>277</v>
      </c>
      <c r="AB42" s="69" t="str">
        <f t="shared" si="3"/>
        <v>n.a.</v>
      </c>
      <c r="AC42" s="2" t="s">
        <v>69</v>
      </c>
      <c r="AD42" s="2" t="s">
        <v>69</v>
      </c>
      <c r="AE42" s="2" t="s">
        <v>69</v>
      </c>
      <c r="AF42" s="2" t="s">
        <v>69</v>
      </c>
      <c r="AG42" s="2" t="s">
        <v>69</v>
      </c>
      <c r="AH42" s="2" t="s">
        <v>2031</v>
      </c>
      <c r="AI42" s="2"/>
      <c r="AJ42" s="2"/>
      <c r="AK42" s="2" t="s">
        <v>69</v>
      </c>
      <c r="AL42" s="2">
        <v>0</v>
      </c>
      <c r="AM42" s="2" t="s">
        <v>69</v>
      </c>
      <c r="AN42" s="68" t="s">
        <v>2008</v>
      </c>
    </row>
    <row r="43" spans="1:41" ht="14.25" customHeight="1" x14ac:dyDescent="0.35">
      <c r="A43" s="2" t="s">
        <v>472</v>
      </c>
      <c r="B43" s="43" t="s">
        <v>473</v>
      </c>
      <c r="C43" s="43" t="s">
        <v>435</v>
      </c>
      <c r="D43" s="2">
        <f t="shared" si="4"/>
        <v>0</v>
      </c>
      <c r="E43" s="2" t="s">
        <v>287</v>
      </c>
      <c r="F43" s="2" t="s">
        <v>288</v>
      </c>
      <c r="G43" s="2" t="s">
        <v>313</v>
      </c>
      <c r="H43" s="2" t="str">
        <f t="shared" si="0"/>
        <v>Robotics</v>
      </c>
      <c r="I43" s="2" t="s">
        <v>383</v>
      </c>
      <c r="J43" s="2" t="s">
        <v>324</v>
      </c>
      <c r="K43" s="2" t="s">
        <v>474</v>
      </c>
      <c r="L43" s="2" t="s">
        <v>277</v>
      </c>
      <c r="M43" s="2" t="s">
        <v>277</v>
      </c>
      <c r="N43" s="2" t="s">
        <v>277</v>
      </c>
      <c r="O43" s="2">
        <v>145.43600000000001</v>
      </c>
      <c r="P43" s="2" t="s">
        <v>278</v>
      </c>
      <c r="Q43" s="2" t="s">
        <v>475</v>
      </c>
      <c r="R43" s="2" t="s">
        <v>279</v>
      </c>
      <c r="S43" s="2" t="s">
        <v>476</v>
      </c>
      <c r="T43" s="2" t="s">
        <v>477</v>
      </c>
      <c r="U43" s="2" t="s">
        <v>478</v>
      </c>
      <c r="V43" s="2" t="s">
        <v>479</v>
      </c>
      <c r="W43" s="2"/>
      <c r="X43" s="2"/>
      <c r="Y43" s="2" t="s">
        <v>69</v>
      </c>
      <c r="Z43" s="2" t="s">
        <v>69</v>
      </c>
      <c r="AA43" s="2" t="s">
        <v>277</v>
      </c>
      <c r="AB43" s="69" t="str">
        <f t="shared" si="3"/>
        <v>n.a.</v>
      </c>
      <c r="AC43" s="2" t="s">
        <v>69</v>
      </c>
      <c r="AD43" s="2" t="s">
        <v>69</v>
      </c>
      <c r="AE43" s="2" t="s">
        <v>69</v>
      </c>
      <c r="AF43" s="2" t="s">
        <v>69</v>
      </c>
      <c r="AG43" s="2" t="s">
        <v>69</v>
      </c>
      <c r="AH43" s="2" t="s">
        <v>69</v>
      </c>
      <c r="AI43" s="2"/>
      <c r="AJ43" s="2"/>
      <c r="AK43" s="2">
        <v>13</v>
      </c>
      <c r="AL43" s="2">
        <v>0</v>
      </c>
      <c r="AM43" s="2" t="s">
        <v>69</v>
      </c>
      <c r="AN43" s="68" t="s">
        <v>2008</v>
      </c>
    </row>
    <row r="44" spans="1:41" ht="14.25" customHeight="1" x14ac:dyDescent="0.35">
      <c r="A44" s="2" t="s">
        <v>1979</v>
      </c>
      <c r="B44" s="43" t="s">
        <v>606</v>
      </c>
      <c r="C44" s="43" t="s">
        <v>435</v>
      </c>
      <c r="D44" s="2">
        <f t="shared" si="4"/>
        <v>0</v>
      </c>
      <c r="E44" s="2" t="s">
        <v>531</v>
      </c>
      <c r="F44" s="2" t="s">
        <v>498</v>
      </c>
      <c r="G44" s="2" t="s">
        <v>532</v>
      </c>
      <c r="H44" s="2" t="str">
        <f t="shared" si="0"/>
        <v>Food and Beverage</v>
      </c>
      <c r="I44" s="2" t="s">
        <v>533</v>
      </c>
      <c r="J44" s="2" t="s">
        <v>277</v>
      </c>
      <c r="K44" s="2" t="s">
        <v>277</v>
      </c>
      <c r="L44" s="2" t="s">
        <v>277</v>
      </c>
      <c r="M44" s="2" t="s">
        <v>277</v>
      </c>
      <c r="N44" s="2" t="s">
        <v>277</v>
      </c>
      <c r="O44" s="2">
        <v>1.319</v>
      </c>
      <c r="P44" s="2" t="s">
        <v>278</v>
      </c>
      <c r="Q44" s="2" t="s">
        <v>534</v>
      </c>
      <c r="R44" s="2" t="s">
        <v>279</v>
      </c>
      <c r="S44" s="2" t="s">
        <v>535</v>
      </c>
      <c r="T44" s="2" t="s">
        <v>69</v>
      </c>
      <c r="U44" s="2" t="s">
        <v>69</v>
      </c>
      <c r="V44" s="2" t="s">
        <v>327</v>
      </c>
      <c r="W44" s="2"/>
      <c r="X44" s="2"/>
      <c r="Y44" s="2">
        <v>1</v>
      </c>
      <c r="Z44" s="2" t="s">
        <v>328</v>
      </c>
      <c r="AA44" s="2" t="s">
        <v>2042</v>
      </c>
      <c r="AB44" s="69">
        <f t="shared" si="3"/>
        <v>96.6</v>
      </c>
      <c r="AC44" s="69">
        <v>96600000</v>
      </c>
      <c r="AD44" s="2" t="s">
        <v>536</v>
      </c>
      <c r="AE44" s="2">
        <v>1</v>
      </c>
      <c r="AF44" s="2">
        <v>28</v>
      </c>
      <c r="AG44" s="2" t="s">
        <v>299</v>
      </c>
      <c r="AH44" s="2" t="s">
        <v>2035</v>
      </c>
      <c r="AI44" s="2"/>
      <c r="AJ44" s="2"/>
      <c r="AK44" s="2">
        <v>6</v>
      </c>
      <c r="AL44" s="2">
        <v>1</v>
      </c>
      <c r="AM44" s="2">
        <v>96</v>
      </c>
      <c r="AN44" s="68" t="s">
        <v>2008</v>
      </c>
    </row>
    <row r="45" spans="1:41" ht="14.25" customHeight="1" x14ac:dyDescent="0.35">
      <c r="A45" s="2" t="s">
        <v>939</v>
      </c>
      <c r="B45" s="43" t="s">
        <v>940</v>
      </c>
      <c r="C45" s="43" t="s">
        <v>435</v>
      </c>
      <c r="D45" s="2">
        <f t="shared" si="4"/>
        <v>0</v>
      </c>
      <c r="E45" s="2" t="s">
        <v>288</v>
      </c>
      <c r="F45" s="2" t="s">
        <v>640</v>
      </c>
      <c r="G45" s="2" t="s">
        <v>600</v>
      </c>
      <c r="H45" s="2" t="str">
        <f t="shared" si="0"/>
        <v>Software</v>
      </c>
      <c r="I45" s="2" t="s">
        <v>387</v>
      </c>
      <c r="J45" s="2" t="s">
        <v>277</v>
      </c>
      <c r="K45" s="2" t="s">
        <v>277</v>
      </c>
      <c r="L45" s="2" t="s">
        <v>277</v>
      </c>
      <c r="M45" s="2" t="s">
        <v>277</v>
      </c>
      <c r="N45" s="2" t="s">
        <v>277</v>
      </c>
      <c r="O45" s="2">
        <v>12.284000000000001</v>
      </c>
      <c r="P45" s="2" t="s">
        <v>278</v>
      </c>
      <c r="Q45" s="2">
        <v>2017</v>
      </c>
      <c r="R45" s="2" t="s">
        <v>279</v>
      </c>
      <c r="S45" s="2" t="s">
        <v>941</v>
      </c>
      <c r="T45" s="2" t="s">
        <v>69</v>
      </c>
      <c r="U45" s="2" t="s">
        <v>69</v>
      </c>
      <c r="V45" s="2" t="s">
        <v>337</v>
      </c>
      <c r="W45" s="2"/>
      <c r="X45" s="2"/>
      <c r="Y45" s="2">
        <v>5</v>
      </c>
      <c r="Z45" s="2" t="s">
        <v>304</v>
      </c>
      <c r="AA45" s="2" t="s">
        <v>2042</v>
      </c>
      <c r="AB45" s="69">
        <f t="shared" si="3"/>
        <v>351.5</v>
      </c>
      <c r="AC45" s="69">
        <v>351500000</v>
      </c>
      <c r="AD45" s="2" t="s">
        <v>942</v>
      </c>
      <c r="AE45" s="2">
        <v>20</v>
      </c>
      <c r="AF45" s="2">
        <v>3</v>
      </c>
      <c r="AG45" s="2" t="s">
        <v>299</v>
      </c>
      <c r="AH45" s="2" t="s">
        <v>69</v>
      </c>
      <c r="AI45" s="2"/>
      <c r="AJ45" s="2"/>
      <c r="AK45" s="2" t="s">
        <v>69</v>
      </c>
      <c r="AL45" s="2">
        <v>0</v>
      </c>
      <c r="AM45" s="2">
        <v>5</v>
      </c>
      <c r="AN45" s="68" t="s">
        <v>2008</v>
      </c>
    </row>
    <row r="46" spans="1:41" ht="14.25" customHeight="1" x14ac:dyDescent="0.35">
      <c r="A46" s="53" t="s">
        <v>680</v>
      </c>
      <c r="B46" s="43" t="s">
        <v>306</v>
      </c>
      <c r="C46" s="43" t="s">
        <v>435</v>
      </c>
      <c r="D46" s="2">
        <f t="shared" si="4"/>
        <v>0</v>
      </c>
      <c r="E46" s="2" t="s">
        <v>681</v>
      </c>
      <c r="F46" s="2" t="s">
        <v>468</v>
      </c>
      <c r="G46" s="2" t="s">
        <v>682</v>
      </c>
      <c r="H46" s="2" t="str">
        <f t="shared" si="0"/>
        <v>Transportation</v>
      </c>
      <c r="I46" s="2" t="s">
        <v>301</v>
      </c>
      <c r="J46" s="2" t="s">
        <v>277</v>
      </c>
      <c r="K46" s="2" t="s">
        <v>277</v>
      </c>
      <c r="L46" s="2" t="s">
        <v>277</v>
      </c>
      <c r="M46" s="2" t="s">
        <v>277</v>
      </c>
      <c r="N46" s="2" t="s">
        <v>277</v>
      </c>
      <c r="O46" s="2">
        <v>153.066</v>
      </c>
      <c r="P46" s="2" t="s">
        <v>278</v>
      </c>
      <c r="Q46" s="2">
        <v>1983</v>
      </c>
      <c r="R46" s="2" t="s">
        <v>279</v>
      </c>
      <c r="S46" s="2" t="s">
        <v>683</v>
      </c>
      <c r="T46" s="2" t="s">
        <v>69</v>
      </c>
      <c r="U46" s="2" t="s">
        <v>69</v>
      </c>
      <c r="V46" s="2" t="s">
        <v>327</v>
      </c>
      <c r="W46" s="2"/>
      <c r="X46" s="2"/>
      <c r="Y46" s="2" t="s">
        <v>69</v>
      </c>
      <c r="Z46" s="2" t="s">
        <v>69</v>
      </c>
      <c r="AA46" s="2" t="s">
        <v>277</v>
      </c>
      <c r="AB46" s="69" t="str">
        <f t="shared" si="3"/>
        <v>n.a.</v>
      </c>
      <c r="AC46" s="2" t="s">
        <v>69</v>
      </c>
      <c r="AD46" s="2" t="s">
        <v>69</v>
      </c>
      <c r="AE46" s="2" t="s">
        <v>69</v>
      </c>
      <c r="AF46" s="2" t="s">
        <v>69</v>
      </c>
      <c r="AG46" s="2" t="s">
        <v>69</v>
      </c>
      <c r="AH46" s="2" t="s">
        <v>69</v>
      </c>
      <c r="AI46" s="2"/>
      <c r="AJ46" s="2"/>
      <c r="AK46" s="2" t="s">
        <v>69</v>
      </c>
      <c r="AL46" s="2">
        <v>0</v>
      </c>
      <c r="AM46" s="2" t="s">
        <v>69</v>
      </c>
      <c r="AN46" s="68" t="s">
        <v>2008</v>
      </c>
    </row>
    <row r="47" spans="1:41" ht="14.25" customHeight="1" x14ac:dyDescent="0.35">
      <c r="A47" s="2" t="s">
        <v>823</v>
      </c>
      <c r="B47" s="43" t="str">
        <f>IF(ISNUMBER(SEARCH(",",E47)),LEFT(E47,SEARCH(",",E47)-1),E47)</f>
        <v>Retail</v>
      </c>
      <c r="C47" s="43" t="s">
        <v>435</v>
      </c>
      <c r="D47" s="2">
        <f t="shared" si="4"/>
        <v>1</v>
      </c>
      <c r="E47" s="2" t="s">
        <v>516</v>
      </c>
      <c r="F47" s="2" t="s">
        <v>277</v>
      </c>
      <c r="G47" s="2" t="s">
        <v>277</v>
      </c>
      <c r="H47" s="2" t="str">
        <f t="shared" si="0"/>
        <v/>
      </c>
      <c r="J47" s="2" t="s">
        <v>277</v>
      </c>
      <c r="K47" s="2" t="s">
        <v>277</v>
      </c>
      <c r="L47" s="2" t="s">
        <v>277</v>
      </c>
      <c r="M47" s="2" t="s">
        <v>277</v>
      </c>
      <c r="N47" s="2" t="s">
        <v>277</v>
      </c>
      <c r="O47" s="2">
        <v>19.215</v>
      </c>
      <c r="P47" s="2" t="s">
        <v>278</v>
      </c>
      <c r="Q47" s="2">
        <v>1949</v>
      </c>
      <c r="R47" s="2" t="s">
        <v>279</v>
      </c>
      <c r="S47" s="2" t="s">
        <v>824</v>
      </c>
      <c r="T47" s="2" t="s">
        <v>69</v>
      </c>
      <c r="U47" s="2" t="s">
        <v>69</v>
      </c>
      <c r="V47" s="2" t="s">
        <v>327</v>
      </c>
      <c r="W47" s="2"/>
      <c r="X47" s="2"/>
      <c r="Y47" s="2" t="s">
        <v>69</v>
      </c>
      <c r="Z47" s="2" t="s">
        <v>351</v>
      </c>
      <c r="AA47" s="2" t="s">
        <v>277</v>
      </c>
      <c r="AB47" s="69" t="str">
        <f t="shared" si="3"/>
        <v>n.a.</v>
      </c>
      <c r="AC47" s="2" t="s">
        <v>69</v>
      </c>
      <c r="AD47" s="2" t="s">
        <v>69</v>
      </c>
      <c r="AE47" s="2" t="s">
        <v>69</v>
      </c>
      <c r="AF47" s="2" t="s">
        <v>69</v>
      </c>
      <c r="AG47" s="2" t="s">
        <v>374</v>
      </c>
      <c r="AH47" s="2" t="s">
        <v>2035</v>
      </c>
      <c r="AI47" s="2"/>
      <c r="AJ47" s="2"/>
      <c r="AK47" s="2">
        <v>1</v>
      </c>
      <c r="AL47" s="2">
        <v>0</v>
      </c>
      <c r="AM47" s="2">
        <v>3.339</v>
      </c>
      <c r="AN47" s="68" t="s">
        <v>2008</v>
      </c>
    </row>
    <row r="48" spans="1:41" ht="14.25" customHeight="1" x14ac:dyDescent="0.35">
      <c r="A48" s="2" t="s">
        <v>819</v>
      </c>
      <c r="B48" s="43" t="s">
        <v>820</v>
      </c>
      <c r="C48" s="43" t="s">
        <v>435</v>
      </c>
      <c r="D48" s="2">
        <f t="shared" si="4"/>
        <v>0</v>
      </c>
      <c r="E48" s="2" t="s">
        <v>287</v>
      </c>
      <c r="F48" s="2" t="s">
        <v>603</v>
      </c>
      <c r="G48" s="2" t="s">
        <v>821</v>
      </c>
      <c r="H48" s="2" t="str">
        <f t="shared" si="0"/>
        <v/>
      </c>
      <c r="J48" s="2" t="s">
        <v>277</v>
      </c>
      <c r="K48" s="2" t="s">
        <v>277</v>
      </c>
      <c r="L48" s="2" t="s">
        <v>277</v>
      </c>
      <c r="M48" s="2" t="s">
        <v>277</v>
      </c>
      <c r="N48" s="2" t="s">
        <v>277</v>
      </c>
      <c r="O48" s="2">
        <v>123.97799999999999</v>
      </c>
      <c r="P48" s="2" t="s">
        <v>278</v>
      </c>
      <c r="Q48" s="2">
        <v>1946</v>
      </c>
      <c r="R48" s="2" t="s">
        <v>279</v>
      </c>
      <c r="S48" s="2" t="s">
        <v>822</v>
      </c>
      <c r="T48" s="2" t="s">
        <v>69</v>
      </c>
      <c r="U48" s="2" t="s">
        <v>69</v>
      </c>
      <c r="V48" s="2" t="s">
        <v>327</v>
      </c>
      <c r="W48" s="2"/>
      <c r="X48" s="2"/>
      <c r="Y48" s="2" t="s">
        <v>69</v>
      </c>
      <c r="Z48" s="2" t="s">
        <v>69</v>
      </c>
      <c r="AA48" s="2" t="s">
        <v>277</v>
      </c>
      <c r="AB48" s="69" t="str">
        <f t="shared" si="3"/>
        <v>n.a.</v>
      </c>
      <c r="AC48" s="2" t="s">
        <v>69</v>
      </c>
      <c r="AD48" s="2" t="s">
        <v>69</v>
      </c>
      <c r="AE48" s="2" t="s">
        <v>69</v>
      </c>
      <c r="AF48" s="2" t="s">
        <v>69</v>
      </c>
      <c r="AG48" s="2" t="s">
        <v>69</v>
      </c>
      <c r="AH48" s="2" t="s">
        <v>2032</v>
      </c>
      <c r="AI48" s="2"/>
      <c r="AJ48" s="2"/>
      <c r="AK48" s="2" t="s">
        <v>69</v>
      </c>
      <c r="AL48" s="2">
        <v>0</v>
      </c>
      <c r="AM48" s="2">
        <v>10</v>
      </c>
      <c r="AN48" s="68" t="s">
        <v>2008</v>
      </c>
    </row>
    <row r="49" spans="1:40" ht="14.25" customHeight="1" x14ac:dyDescent="0.35">
      <c r="A49" s="42" t="s">
        <v>1952</v>
      </c>
      <c r="B49" s="43" t="s">
        <v>481</v>
      </c>
      <c r="C49" s="43" t="s">
        <v>435</v>
      </c>
      <c r="V49" s="2" t="s">
        <v>327</v>
      </c>
      <c r="W49" s="2"/>
      <c r="X49" s="2"/>
      <c r="AA49" s="2" t="s">
        <v>277</v>
      </c>
      <c r="AB49" s="69">
        <f t="shared" si="3"/>
        <v>0</v>
      </c>
      <c r="AH49" s="2" t="s">
        <v>2029</v>
      </c>
      <c r="AI49" s="2"/>
      <c r="AJ49" s="2"/>
      <c r="AL49" s="42">
        <v>0</v>
      </c>
      <c r="AM49" s="42">
        <v>500</v>
      </c>
      <c r="AN49" s="68" t="s">
        <v>2008</v>
      </c>
    </row>
    <row r="50" spans="1:40" ht="14.25" customHeight="1" x14ac:dyDescent="0.35">
      <c r="A50" s="2" t="s">
        <v>917</v>
      </c>
      <c r="B50" s="43" t="s">
        <v>398</v>
      </c>
      <c r="C50" s="43" t="s">
        <v>435</v>
      </c>
      <c r="D50" s="2">
        <f>COUNTIF(E50:N50,B50)</f>
        <v>0</v>
      </c>
      <c r="E50" s="2" t="s">
        <v>918</v>
      </c>
      <c r="F50" s="2" t="s">
        <v>919</v>
      </c>
      <c r="G50" s="2" t="s">
        <v>324</v>
      </c>
      <c r="H50" s="2" t="str">
        <f>IF(NOT(ISBLANK(I50)),RIGHT(I50,LEN(I50)-1),"")</f>
        <v>Travel</v>
      </c>
      <c r="I50" s="2" t="s">
        <v>920</v>
      </c>
      <c r="J50" s="2" t="s">
        <v>277</v>
      </c>
      <c r="K50" s="2" t="s">
        <v>277</v>
      </c>
      <c r="L50" s="2" t="s">
        <v>277</v>
      </c>
      <c r="M50" s="2" t="s">
        <v>277</v>
      </c>
      <c r="N50" s="2" t="s">
        <v>277</v>
      </c>
      <c r="O50" s="2">
        <v>265.40199999999999</v>
      </c>
      <c r="P50" s="2" t="s">
        <v>278</v>
      </c>
      <c r="Q50" s="2">
        <v>1928</v>
      </c>
      <c r="R50" s="2" t="s">
        <v>279</v>
      </c>
      <c r="S50" s="2" t="s">
        <v>921</v>
      </c>
      <c r="T50" s="2" t="s">
        <v>69</v>
      </c>
      <c r="U50" s="2" t="s">
        <v>69</v>
      </c>
      <c r="V50" s="2" t="s">
        <v>327</v>
      </c>
      <c r="W50" s="2"/>
      <c r="X50" s="2"/>
      <c r="Y50" s="2" t="s">
        <v>69</v>
      </c>
      <c r="Z50" s="2" t="s">
        <v>69</v>
      </c>
      <c r="AA50" s="2" t="s">
        <v>277</v>
      </c>
      <c r="AB50" s="69" t="str">
        <f t="shared" si="3"/>
        <v>n.a.</v>
      </c>
      <c r="AC50" s="2" t="s">
        <v>69</v>
      </c>
      <c r="AD50" s="2" t="s">
        <v>69</v>
      </c>
      <c r="AE50" s="2" t="s">
        <v>69</v>
      </c>
      <c r="AF50" s="2" t="s">
        <v>69</v>
      </c>
      <c r="AG50" s="2" t="s">
        <v>69</v>
      </c>
      <c r="AH50" s="2" t="s">
        <v>2029</v>
      </c>
      <c r="AI50" s="2"/>
      <c r="AJ50" s="2"/>
      <c r="AK50" s="2" t="s">
        <v>69</v>
      </c>
      <c r="AL50" s="2">
        <v>0</v>
      </c>
      <c r="AM50" s="2" t="s">
        <v>69</v>
      </c>
      <c r="AN50" s="68" t="s">
        <v>2008</v>
      </c>
    </row>
    <row r="51" spans="1:40" ht="14.25" customHeight="1" x14ac:dyDescent="0.35">
      <c r="A51" s="18" t="s">
        <v>1206</v>
      </c>
      <c r="B51" s="43" t="s">
        <v>330</v>
      </c>
      <c r="C51" s="43" t="s">
        <v>435</v>
      </c>
      <c r="S51" t="s">
        <v>1207</v>
      </c>
      <c r="W51" s="2"/>
      <c r="AA51" s="2" t="s">
        <v>277</v>
      </c>
      <c r="AB51" s="69">
        <f t="shared" si="3"/>
        <v>0</v>
      </c>
      <c r="AL51">
        <v>0</v>
      </c>
      <c r="AN51" s="68" t="s">
        <v>2008</v>
      </c>
    </row>
    <row r="52" spans="1:40" ht="14.25" customHeight="1" x14ac:dyDescent="0.35">
      <c r="A52" s="2" t="s">
        <v>605</v>
      </c>
      <c r="B52" s="43" t="s">
        <v>606</v>
      </c>
      <c r="C52" s="43" t="s">
        <v>435</v>
      </c>
      <c r="D52" s="2">
        <f>COUNTIF(E52:N52,B52)</f>
        <v>0</v>
      </c>
      <c r="E52" s="2" t="s">
        <v>607</v>
      </c>
      <c r="F52" s="2" t="s">
        <v>576</v>
      </c>
      <c r="G52" s="2" t="s">
        <v>608</v>
      </c>
      <c r="H52" s="2" t="str">
        <f>IF(NOT(ISBLANK(I52)),RIGHT(I52,LEN(I52)-1),"")</f>
        <v>Nutrition</v>
      </c>
      <c r="I52" s="2" t="s">
        <v>609</v>
      </c>
      <c r="J52" s="2" t="s">
        <v>610</v>
      </c>
      <c r="K52" s="2" t="s">
        <v>611</v>
      </c>
      <c r="L52" s="2" t="s">
        <v>277</v>
      </c>
      <c r="M52" s="2" t="s">
        <v>277</v>
      </c>
      <c r="N52" s="2" t="s">
        <v>277</v>
      </c>
      <c r="O52" s="2">
        <v>393</v>
      </c>
      <c r="P52" s="2" t="s">
        <v>278</v>
      </c>
      <c r="Q52" s="2">
        <v>2009</v>
      </c>
      <c r="R52" s="2" t="s">
        <v>279</v>
      </c>
      <c r="S52" s="2" t="s">
        <v>612</v>
      </c>
      <c r="T52" s="2" t="s">
        <v>69</v>
      </c>
      <c r="U52" s="2" t="s">
        <v>69</v>
      </c>
      <c r="V52" s="2" t="s">
        <v>363</v>
      </c>
      <c r="W52" s="2"/>
      <c r="X52" s="2"/>
      <c r="Y52" s="2">
        <v>15</v>
      </c>
      <c r="Z52" s="2" t="s">
        <v>328</v>
      </c>
      <c r="AA52" s="2" t="s">
        <v>2042</v>
      </c>
      <c r="AB52" s="69">
        <f t="shared" si="3"/>
        <v>158.053</v>
      </c>
      <c r="AC52" s="69">
        <v>158053000</v>
      </c>
      <c r="AD52" s="2" t="s">
        <v>613</v>
      </c>
      <c r="AE52" s="2">
        <v>29</v>
      </c>
      <c r="AF52" s="2" t="s">
        <v>69</v>
      </c>
      <c r="AG52" s="2" t="s">
        <v>69</v>
      </c>
      <c r="AH52" s="2" t="s">
        <v>2030</v>
      </c>
      <c r="AI52" s="2"/>
      <c r="AJ52" s="2"/>
      <c r="AK52" s="2" t="s">
        <v>69</v>
      </c>
      <c r="AL52" s="2">
        <v>1</v>
      </c>
      <c r="AM52" s="2" t="s">
        <v>69</v>
      </c>
      <c r="AN52" s="68" t="s">
        <v>2008</v>
      </c>
    </row>
    <row r="53" spans="1:40" ht="14.25" customHeight="1" x14ac:dyDescent="0.35">
      <c r="A53" s="2" t="s">
        <v>497</v>
      </c>
      <c r="B53" s="43" t="s">
        <v>481</v>
      </c>
      <c r="C53" s="43" t="s">
        <v>435</v>
      </c>
      <c r="D53" s="2">
        <f>COUNTIF(E53:N53,B53)</f>
        <v>0</v>
      </c>
      <c r="E53" s="2" t="s">
        <v>287</v>
      </c>
      <c r="F53" s="2" t="s">
        <v>498</v>
      </c>
      <c r="G53" s="2" t="s">
        <v>499</v>
      </c>
      <c r="H53" s="2" t="str">
        <f>IF(NOT(ISBLANK(I53)),RIGHT(I53,LEN(I53)-1),"")</f>
        <v>Industrial</v>
      </c>
      <c r="I53" s="2" t="s">
        <v>500</v>
      </c>
      <c r="J53" s="2" t="s">
        <v>501</v>
      </c>
      <c r="K53" s="2" t="s">
        <v>380</v>
      </c>
      <c r="L53" s="2" t="s">
        <v>482</v>
      </c>
      <c r="M53" s="2" t="s">
        <v>502</v>
      </c>
      <c r="N53" s="2" t="s">
        <v>368</v>
      </c>
      <c r="O53" s="2">
        <v>22.689</v>
      </c>
      <c r="P53" s="2" t="s">
        <v>278</v>
      </c>
      <c r="Q53" s="2" t="s">
        <v>503</v>
      </c>
      <c r="R53" s="2" t="s">
        <v>279</v>
      </c>
      <c r="S53" s="2" t="s">
        <v>504</v>
      </c>
      <c r="T53" s="2" t="s">
        <v>69</v>
      </c>
      <c r="U53" s="2" t="s">
        <v>505</v>
      </c>
      <c r="V53" s="2" t="s">
        <v>327</v>
      </c>
      <c r="W53" s="2"/>
      <c r="X53" s="2"/>
      <c r="Y53" s="2">
        <v>1</v>
      </c>
      <c r="Z53" s="2" t="s">
        <v>69</v>
      </c>
      <c r="AA53" s="2" t="s">
        <v>277</v>
      </c>
      <c r="AB53" s="69" t="str">
        <f t="shared" si="3"/>
        <v>n.a.</v>
      </c>
      <c r="AC53" s="2" t="s">
        <v>69</v>
      </c>
      <c r="AD53" s="2" t="s">
        <v>506</v>
      </c>
      <c r="AE53" s="2">
        <v>1</v>
      </c>
      <c r="AF53" s="2">
        <v>16</v>
      </c>
      <c r="AG53" s="2" t="s">
        <v>299</v>
      </c>
      <c r="AH53" s="2" t="s">
        <v>2032</v>
      </c>
      <c r="AI53" s="2"/>
      <c r="AJ53" s="2"/>
      <c r="AK53" s="2">
        <v>33</v>
      </c>
      <c r="AL53" s="2">
        <v>0</v>
      </c>
      <c r="AM53" s="2">
        <v>38.357999999999997</v>
      </c>
      <c r="AN53" s="68" t="s">
        <v>2008</v>
      </c>
    </row>
    <row r="54" spans="1:40" ht="14.25" customHeight="1" x14ac:dyDescent="0.35">
      <c r="A54" s="2" t="s">
        <v>924</v>
      </c>
      <c r="B54" s="43" t="s">
        <v>925</v>
      </c>
      <c r="C54" s="43" t="s">
        <v>435</v>
      </c>
      <c r="D54" s="2">
        <f>COUNTIF(E54:N54,B54)</f>
        <v>0</v>
      </c>
      <c r="E54" s="2" t="s">
        <v>926</v>
      </c>
      <c r="F54" s="2" t="s">
        <v>927</v>
      </c>
      <c r="G54" s="2" t="s">
        <v>928</v>
      </c>
      <c r="H54" s="2" t="str">
        <f>IF(NOT(ISBLANK(I54)),RIGHT(I54,LEN(I54)-1),"")</f>
        <v>Universities</v>
      </c>
      <c r="I54" s="2" t="s">
        <v>929</v>
      </c>
      <c r="J54" s="2" t="s">
        <v>277</v>
      </c>
      <c r="K54" s="2" t="s">
        <v>277</v>
      </c>
      <c r="L54" s="2" t="s">
        <v>277</v>
      </c>
      <c r="M54" s="2" t="s">
        <v>277</v>
      </c>
      <c r="N54" s="2" t="s">
        <v>277</v>
      </c>
      <c r="O54" s="2">
        <v>33.063000000000002</v>
      </c>
      <c r="P54" s="2" t="s">
        <v>278</v>
      </c>
      <c r="Q54" s="2">
        <v>1839</v>
      </c>
      <c r="R54" s="2" t="s">
        <v>69</v>
      </c>
      <c r="S54" s="2" t="s">
        <v>930</v>
      </c>
      <c r="T54" s="2" t="s">
        <v>931</v>
      </c>
      <c r="U54" s="2" t="s">
        <v>69</v>
      </c>
      <c r="V54" s="2" t="s">
        <v>327</v>
      </c>
      <c r="W54" s="2"/>
      <c r="X54" s="2"/>
      <c r="Y54" s="2">
        <v>4</v>
      </c>
      <c r="Z54" s="2" t="s">
        <v>69</v>
      </c>
      <c r="AA54" s="2" t="s">
        <v>2042</v>
      </c>
      <c r="AB54" s="69">
        <f t="shared" si="3"/>
        <v>16.8</v>
      </c>
      <c r="AC54" s="69">
        <v>16800000</v>
      </c>
      <c r="AD54" s="2" t="s">
        <v>932</v>
      </c>
      <c r="AE54" s="2">
        <v>1</v>
      </c>
      <c r="AF54" s="2">
        <v>1</v>
      </c>
      <c r="AG54" s="2" t="s">
        <v>299</v>
      </c>
      <c r="AH54" s="2" t="s">
        <v>69</v>
      </c>
      <c r="AI54" s="2"/>
      <c r="AJ54" s="2"/>
      <c r="AK54" s="2">
        <v>9</v>
      </c>
      <c r="AL54" s="2">
        <v>0</v>
      </c>
      <c r="AM54" s="2" t="s">
        <v>69</v>
      </c>
      <c r="AN54" s="68" t="s">
        <v>2008</v>
      </c>
    </row>
    <row r="55" spans="1:40" ht="14.25" customHeight="1" x14ac:dyDescent="0.35">
      <c r="A55" s="2" t="s">
        <v>512</v>
      </c>
      <c r="B55" s="43" t="s">
        <v>481</v>
      </c>
      <c r="C55" s="43" t="s">
        <v>435</v>
      </c>
      <c r="D55" s="2">
        <f>COUNTIF(E55:N55,B55)</f>
        <v>0</v>
      </c>
      <c r="E55" s="2" t="s">
        <v>287</v>
      </c>
      <c r="F55" s="2" t="s">
        <v>482</v>
      </c>
      <c r="G55" s="2" t="s">
        <v>277</v>
      </c>
      <c r="H55" s="2" t="str">
        <f>IF(NOT(ISBLANK(I55)),RIGHT(I55,LEN(I55)-1),"")</f>
        <v/>
      </c>
      <c r="J55" s="2" t="s">
        <v>277</v>
      </c>
      <c r="K55" s="2" t="s">
        <v>277</v>
      </c>
      <c r="L55" s="2" t="s">
        <v>277</v>
      </c>
      <c r="M55" s="2" t="s">
        <v>277</v>
      </c>
      <c r="N55" s="2" t="s">
        <v>277</v>
      </c>
      <c r="O55" s="2">
        <v>163.11000000000001</v>
      </c>
      <c r="P55" s="2" t="s">
        <v>278</v>
      </c>
      <c r="Q55" s="2" t="s">
        <v>513</v>
      </c>
      <c r="R55" s="2" t="s">
        <v>279</v>
      </c>
      <c r="S55" s="2" t="s">
        <v>514</v>
      </c>
      <c r="T55" s="2" t="s">
        <v>69</v>
      </c>
      <c r="U55" s="2" t="s">
        <v>69</v>
      </c>
      <c r="V55" s="2" t="s">
        <v>327</v>
      </c>
      <c r="W55" s="2"/>
      <c r="X55" s="2"/>
      <c r="Y55" s="2" t="s">
        <v>69</v>
      </c>
      <c r="Z55" s="2" t="s">
        <v>328</v>
      </c>
      <c r="AA55" s="2" t="s">
        <v>277</v>
      </c>
      <c r="AB55" s="69" t="str">
        <f t="shared" si="3"/>
        <v>n.a.</v>
      </c>
      <c r="AC55" s="2" t="s">
        <v>69</v>
      </c>
      <c r="AD55" s="2" t="s">
        <v>69</v>
      </c>
      <c r="AE55" s="2" t="s">
        <v>69</v>
      </c>
      <c r="AF55" s="2">
        <v>7</v>
      </c>
      <c r="AG55" s="2" t="s">
        <v>299</v>
      </c>
      <c r="AH55" s="2" t="s">
        <v>2029</v>
      </c>
      <c r="AI55" s="2"/>
      <c r="AJ55" s="2"/>
      <c r="AK55" s="2">
        <v>4</v>
      </c>
      <c r="AL55" s="2">
        <v>1</v>
      </c>
      <c r="AM55" s="2">
        <v>6.7770000000000001</v>
      </c>
      <c r="AN55" s="68" t="s">
        <v>2008</v>
      </c>
    </row>
    <row r="56" spans="1:40" ht="14.25" customHeight="1" x14ac:dyDescent="0.35">
      <c r="A56" s="42" t="s">
        <v>1958</v>
      </c>
      <c r="B56" s="43" t="s">
        <v>537</v>
      </c>
      <c r="C56" s="43" t="s">
        <v>435</v>
      </c>
      <c r="Q56">
        <v>2007</v>
      </c>
      <c r="R56" s="2" t="s">
        <v>279</v>
      </c>
      <c r="S56" s="44" t="s">
        <v>1987</v>
      </c>
      <c r="W56" s="2"/>
      <c r="AA56" s="2" t="s">
        <v>277</v>
      </c>
      <c r="AB56" s="69">
        <f t="shared" si="3"/>
        <v>0</v>
      </c>
      <c r="AL56" s="42">
        <v>0</v>
      </c>
      <c r="AN56" s="68" t="s">
        <v>2008</v>
      </c>
    </row>
    <row r="57" spans="1:40" ht="14.25" customHeight="1" x14ac:dyDescent="0.35">
      <c r="A57" s="43" t="s">
        <v>1956</v>
      </c>
      <c r="B57" s="43" t="s">
        <v>606</v>
      </c>
      <c r="C57" s="43" t="s">
        <v>435</v>
      </c>
      <c r="D57" s="2">
        <f t="shared" ref="D57:D74" si="5">COUNTIF(E57:N57,B57)</f>
        <v>0</v>
      </c>
      <c r="E57" s="2" t="s">
        <v>498</v>
      </c>
      <c r="F57" s="2" t="s">
        <v>576</v>
      </c>
      <c r="G57" s="2" t="s">
        <v>277</v>
      </c>
      <c r="H57" s="2" t="str">
        <f t="shared" ref="H57:H67" si="6">IF(NOT(ISBLANK(I57)),RIGHT(I57,LEN(I57)-1),"")</f>
        <v/>
      </c>
      <c r="J57" s="2" t="s">
        <v>277</v>
      </c>
      <c r="K57" s="2" t="s">
        <v>277</v>
      </c>
      <c r="L57" s="2" t="s">
        <v>277</v>
      </c>
      <c r="M57" s="2" t="s">
        <v>277</v>
      </c>
      <c r="N57" s="2" t="s">
        <v>277</v>
      </c>
      <c r="O57" s="2">
        <v>154.77699999999999</v>
      </c>
      <c r="P57" s="2" t="s">
        <v>278</v>
      </c>
      <c r="Q57" s="2">
        <v>2016</v>
      </c>
      <c r="R57" s="2" t="s">
        <v>279</v>
      </c>
      <c r="S57" s="2" t="s">
        <v>614</v>
      </c>
      <c r="T57" s="2" t="s">
        <v>69</v>
      </c>
      <c r="U57" s="2" t="s">
        <v>69</v>
      </c>
      <c r="V57" s="2" t="s">
        <v>327</v>
      </c>
      <c r="W57" s="2"/>
      <c r="X57" s="2"/>
      <c r="Y57" s="2" t="s">
        <v>69</v>
      </c>
      <c r="Z57" s="2" t="s">
        <v>328</v>
      </c>
      <c r="AA57" s="2" t="s">
        <v>277</v>
      </c>
      <c r="AB57" s="69" t="str">
        <f t="shared" si="3"/>
        <v>n.a.</v>
      </c>
      <c r="AC57" s="2" t="s">
        <v>69</v>
      </c>
      <c r="AD57" s="2" t="s">
        <v>69</v>
      </c>
      <c r="AE57" s="2" t="s">
        <v>69</v>
      </c>
      <c r="AF57" s="2">
        <v>1</v>
      </c>
      <c r="AG57" s="2" t="s">
        <v>299</v>
      </c>
      <c r="AH57" s="2" t="s">
        <v>2031</v>
      </c>
      <c r="AI57" s="2"/>
      <c r="AJ57" s="2"/>
      <c r="AK57" s="2" t="s">
        <v>69</v>
      </c>
      <c r="AL57" s="2">
        <v>1</v>
      </c>
      <c r="AM57" s="2" t="s">
        <v>69</v>
      </c>
      <c r="AN57" s="68" t="s">
        <v>2008</v>
      </c>
    </row>
    <row r="58" spans="1:40" ht="14.25" customHeight="1" x14ac:dyDescent="0.35">
      <c r="A58" s="2" t="s">
        <v>515</v>
      </c>
      <c r="B58" s="43" t="s">
        <v>481</v>
      </c>
      <c r="C58" s="43" t="s">
        <v>435</v>
      </c>
      <c r="D58" s="2">
        <f t="shared" si="5"/>
        <v>0</v>
      </c>
      <c r="E58" s="2" t="s">
        <v>287</v>
      </c>
      <c r="F58" s="2" t="s">
        <v>482</v>
      </c>
      <c r="G58" s="2" t="s">
        <v>516</v>
      </c>
      <c r="H58" s="2" t="str">
        <f t="shared" si="6"/>
        <v>Transportation</v>
      </c>
      <c r="I58" s="2" t="s">
        <v>301</v>
      </c>
      <c r="J58" s="2" t="s">
        <v>277</v>
      </c>
      <c r="K58" s="2" t="s">
        <v>277</v>
      </c>
      <c r="L58" s="2" t="s">
        <v>277</v>
      </c>
      <c r="M58" s="2" t="s">
        <v>277</v>
      </c>
      <c r="N58" s="2" t="s">
        <v>277</v>
      </c>
      <c r="O58" s="2">
        <v>11.74</v>
      </c>
      <c r="P58" s="2" t="s">
        <v>278</v>
      </c>
      <c r="Q58" s="2">
        <v>1871</v>
      </c>
      <c r="R58" s="2" t="s">
        <v>279</v>
      </c>
      <c r="S58" s="2" t="s">
        <v>517</v>
      </c>
      <c r="T58" s="2" t="s">
        <v>69</v>
      </c>
      <c r="U58" s="2" t="s">
        <v>69</v>
      </c>
      <c r="V58" s="2" t="s">
        <v>327</v>
      </c>
      <c r="W58" s="2"/>
      <c r="X58" s="2"/>
      <c r="Y58" s="2" t="s">
        <v>69</v>
      </c>
      <c r="Z58" s="2" t="s">
        <v>328</v>
      </c>
      <c r="AA58" s="2" t="s">
        <v>277</v>
      </c>
      <c r="AB58" s="69" t="str">
        <f t="shared" si="3"/>
        <v>n.a.</v>
      </c>
      <c r="AC58" s="2" t="s">
        <v>69</v>
      </c>
      <c r="AD58" s="2" t="s">
        <v>69</v>
      </c>
      <c r="AE58" s="2" t="s">
        <v>69</v>
      </c>
      <c r="AF58" s="2">
        <v>15</v>
      </c>
      <c r="AG58" s="2" t="s">
        <v>299</v>
      </c>
      <c r="AH58" s="2" t="s">
        <v>2035</v>
      </c>
      <c r="AI58" s="2"/>
      <c r="AJ58" s="2"/>
      <c r="AK58" s="2">
        <v>18</v>
      </c>
      <c r="AL58" s="2">
        <v>1</v>
      </c>
      <c r="AM58" s="2">
        <v>12.19</v>
      </c>
      <c r="AN58" s="68" t="s">
        <v>2008</v>
      </c>
    </row>
    <row r="59" spans="1:40" ht="14.25" customHeight="1" x14ac:dyDescent="0.35">
      <c r="A59" s="2" t="s">
        <v>913</v>
      </c>
      <c r="B59" s="43" t="s">
        <v>902</v>
      </c>
      <c r="C59" s="43" t="s">
        <v>435</v>
      </c>
      <c r="D59" s="2">
        <f t="shared" si="5"/>
        <v>0</v>
      </c>
      <c r="E59" s="2" t="s">
        <v>287</v>
      </c>
      <c r="F59" s="2" t="s">
        <v>324</v>
      </c>
      <c r="G59" s="2" t="s">
        <v>277</v>
      </c>
      <c r="H59" s="2" t="str">
        <f t="shared" si="6"/>
        <v/>
      </c>
      <c r="J59" s="2" t="s">
        <v>277</v>
      </c>
      <c r="K59" s="2" t="s">
        <v>277</v>
      </c>
      <c r="L59" s="2" t="s">
        <v>277</v>
      </c>
      <c r="M59" s="2" t="s">
        <v>277</v>
      </c>
      <c r="N59" s="2" t="s">
        <v>277</v>
      </c>
      <c r="O59" s="2">
        <v>68.432000000000002</v>
      </c>
      <c r="P59" s="2" t="s">
        <v>278</v>
      </c>
      <c r="Q59" s="2" t="s">
        <v>914</v>
      </c>
      <c r="R59" s="2" t="s">
        <v>279</v>
      </c>
      <c r="S59" s="2" t="s">
        <v>915</v>
      </c>
      <c r="T59" s="2" t="s">
        <v>69</v>
      </c>
      <c r="U59" s="2" t="s">
        <v>69</v>
      </c>
      <c r="V59" s="3" t="s">
        <v>282</v>
      </c>
      <c r="W59" s="2"/>
      <c r="X59" s="3"/>
      <c r="Y59" s="2">
        <v>1</v>
      </c>
      <c r="Z59" s="2" t="s">
        <v>69</v>
      </c>
      <c r="AA59" s="2" t="s">
        <v>2042</v>
      </c>
      <c r="AB59" s="69">
        <f t="shared" si="3"/>
        <v>28.9</v>
      </c>
      <c r="AC59" s="69">
        <v>28900000</v>
      </c>
      <c r="AD59" s="2" t="s">
        <v>378</v>
      </c>
      <c r="AE59" s="2">
        <v>1</v>
      </c>
      <c r="AF59" s="2" t="s">
        <v>69</v>
      </c>
      <c r="AG59" s="2" t="s">
        <v>69</v>
      </c>
      <c r="AH59" s="2" t="s">
        <v>2028</v>
      </c>
      <c r="AI59" s="2"/>
      <c r="AJ59" s="2"/>
      <c r="AK59" s="2" t="s">
        <v>69</v>
      </c>
      <c r="AL59" s="2">
        <v>0</v>
      </c>
      <c r="AM59" s="2" t="s">
        <v>69</v>
      </c>
      <c r="AN59" s="68" t="s">
        <v>2008</v>
      </c>
    </row>
    <row r="60" spans="1:40" ht="14.25" customHeight="1" x14ac:dyDescent="0.35">
      <c r="A60" s="2" t="s">
        <v>684</v>
      </c>
      <c r="B60" s="43" t="str">
        <f>IF(ISNUMBER(SEARCH(",",E60)),LEFT(E60,SEARCH(",",E60)-1),E60)</f>
        <v>Logistics</v>
      </c>
      <c r="C60" s="43" t="s">
        <v>435</v>
      </c>
      <c r="D60" s="2">
        <f t="shared" si="5"/>
        <v>1</v>
      </c>
      <c r="E60" s="2" t="s">
        <v>306</v>
      </c>
      <c r="F60" s="2" t="s">
        <v>603</v>
      </c>
      <c r="G60" s="2" t="s">
        <v>277</v>
      </c>
      <c r="H60" s="2" t="str">
        <f t="shared" si="6"/>
        <v/>
      </c>
      <c r="J60" s="2" t="s">
        <v>277</v>
      </c>
      <c r="K60" s="2" t="s">
        <v>277</v>
      </c>
      <c r="L60" s="2" t="s">
        <v>277</v>
      </c>
      <c r="M60" s="2" t="s">
        <v>277</v>
      </c>
      <c r="N60" s="2" t="s">
        <v>277</v>
      </c>
      <c r="O60" s="2">
        <v>210.13</v>
      </c>
      <c r="P60" s="2" t="s">
        <v>278</v>
      </c>
      <c r="Q60" s="2">
        <v>1986</v>
      </c>
      <c r="R60" s="2" t="s">
        <v>279</v>
      </c>
      <c r="S60" s="2" t="s">
        <v>685</v>
      </c>
      <c r="T60" s="2" t="s">
        <v>69</v>
      </c>
      <c r="U60" s="2" t="s">
        <v>69</v>
      </c>
      <c r="V60" s="2" t="s">
        <v>303</v>
      </c>
      <c r="W60" s="2"/>
      <c r="X60" s="2"/>
      <c r="Y60" s="2" t="s">
        <v>69</v>
      </c>
      <c r="Z60" s="2" t="s">
        <v>69</v>
      </c>
      <c r="AA60" s="2" t="s">
        <v>277</v>
      </c>
      <c r="AB60" s="69" t="str">
        <f t="shared" si="3"/>
        <v>n.a.</v>
      </c>
      <c r="AC60" s="2" t="s">
        <v>69</v>
      </c>
      <c r="AD60" s="2" t="s">
        <v>69</v>
      </c>
      <c r="AE60" s="2" t="s">
        <v>69</v>
      </c>
      <c r="AF60" s="2">
        <v>1</v>
      </c>
      <c r="AG60" s="2" t="s">
        <v>299</v>
      </c>
      <c r="AH60" s="2" t="s">
        <v>69</v>
      </c>
      <c r="AI60" s="2"/>
      <c r="AJ60" s="2"/>
      <c r="AK60" s="2" t="s">
        <v>69</v>
      </c>
      <c r="AL60" s="2">
        <v>0</v>
      </c>
      <c r="AM60" s="2">
        <v>0</v>
      </c>
      <c r="AN60" s="68" t="s">
        <v>2008</v>
      </c>
    </row>
    <row r="61" spans="1:40" ht="14.25" customHeight="1" x14ac:dyDescent="0.35">
      <c r="A61" s="2" t="s">
        <v>480</v>
      </c>
      <c r="B61" s="43" t="s">
        <v>481</v>
      </c>
      <c r="C61" s="43" t="s">
        <v>435</v>
      </c>
      <c r="D61" s="2">
        <f t="shared" si="5"/>
        <v>0</v>
      </c>
      <c r="E61" s="2" t="s">
        <v>287</v>
      </c>
      <c r="F61" s="2" t="s">
        <v>313</v>
      </c>
      <c r="G61" s="2" t="s">
        <v>482</v>
      </c>
      <c r="H61" s="2" t="str">
        <f t="shared" si="6"/>
        <v>Oil and Gas</v>
      </c>
      <c r="I61" s="2" t="s">
        <v>483</v>
      </c>
      <c r="J61" s="2" t="s">
        <v>277</v>
      </c>
      <c r="K61" s="2" t="s">
        <v>277</v>
      </c>
      <c r="L61" s="2" t="s">
        <v>277</v>
      </c>
      <c r="M61" s="2" t="s">
        <v>277</v>
      </c>
      <c r="N61" s="2" t="s">
        <v>277</v>
      </c>
      <c r="O61" s="2">
        <v>1.486</v>
      </c>
      <c r="P61" s="2" t="s">
        <v>278</v>
      </c>
      <c r="Q61" s="2">
        <v>1919</v>
      </c>
      <c r="R61" s="2" t="s">
        <v>279</v>
      </c>
      <c r="S61" s="2" t="s">
        <v>484</v>
      </c>
      <c r="T61" s="2" t="s">
        <v>69</v>
      </c>
      <c r="U61" s="2" t="s">
        <v>69</v>
      </c>
      <c r="V61" s="2" t="s">
        <v>327</v>
      </c>
      <c r="W61" s="2"/>
      <c r="X61" s="2"/>
      <c r="Y61" s="2">
        <v>2</v>
      </c>
      <c r="Z61" s="2" t="s">
        <v>328</v>
      </c>
      <c r="AA61" s="2" t="s">
        <v>2042</v>
      </c>
      <c r="AB61" s="69">
        <f t="shared" si="3"/>
        <v>5.2625000000000002</v>
      </c>
      <c r="AC61" s="69">
        <v>5262500</v>
      </c>
      <c r="AD61" s="2" t="s">
        <v>485</v>
      </c>
      <c r="AE61" s="2">
        <v>3</v>
      </c>
      <c r="AF61" s="2">
        <v>6</v>
      </c>
      <c r="AG61" s="2" t="s">
        <v>299</v>
      </c>
      <c r="AH61" s="2" t="s">
        <v>2029</v>
      </c>
      <c r="AI61" s="2"/>
      <c r="AJ61" s="2"/>
      <c r="AK61" s="2">
        <v>6</v>
      </c>
      <c r="AL61" s="2">
        <v>1</v>
      </c>
      <c r="AM61" s="2">
        <v>3.8319999999999999</v>
      </c>
      <c r="AN61" s="68" t="s">
        <v>2008</v>
      </c>
    </row>
    <row r="62" spans="1:40" ht="14.25" customHeight="1" x14ac:dyDescent="0.35">
      <c r="A62" s="2" t="s">
        <v>783</v>
      </c>
      <c r="B62" s="43" t="s">
        <v>784</v>
      </c>
      <c r="C62" s="43" t="s">
        <v>435</v>
      </c>
      <c r="D62" s="2">
        <f t="shared" si="5"/>
        <v>0</v>
      </c>
      <c r="E62" s="2" t="s">
        <v>287</v>
      </c>
      <c r="F62" s="2" t="s">
        <v>491</v>
      </c>
      <c r="G62" s="2" t="s">
        <v>277</v>
      </c>
      <c r="H62" s="2" t="str">
        <f t="shared" si="6"/>
        <v/>
      </c>
      <c r="J62" s="2" t="s">
        <v>277</v>
      </c>
      <c r="K62" s="2" t="s">
        <v>277</v>
      </c>
      <c r="L62" s="2" t="s">
        <v>277</v>
      </c>
      <c r="M62" s="2" t="s">
        <v>277</v>
      </c>
      <c r="N62" s="2" t="s">
        <v>277</v>
      </c>
      <c r="O62" s="2">
        <v>171.13499999999999</v>
      </c>
      <c r="P62" s="2" t="s">
        <v>278</v>
      </c>
      <c r="Q62" s="2">
        <v>1942</v>
      </c>
      <c r="R62" s="2" t="s">
        <v>279</v>
      </c>
      <c r="S62" s="2" t="s">
        <v>785</v>
      </c>
      <c r="T62" s="2" t="s">
        <v>69</v>
      </c>
      <c r="U62" s="2" t="s">
        <v>69</v>
      </c>
      <c r="V62" s="2" t="s">
        <v>327</v>
      </c>
      <c r="W62" s="2"/>
      <c r="X62" s="2"/>
      <c r="Y62" s="2" t="s">
        <v>69</v>
      </c>
      <c r="Z62" s="2" t="s">
        <v>69</v>
      </c>
      <c r="AA62" s="2" t="s">
        <v>277</v>
      </c>
      <c r="AB62" s="69" t="str">
        <f t="shared" si="3"/>
        <v>n.a.</v>
      </c>
      <c r="AC62" s="2" t="s">
        <v>69</v>
      </c>
      <c r="AD62" s="2" t="s">
        <v>69</v>
      </c>
      <c r="AE62" s="2" t="s">
        <v>69</v>
      </c>
      <c r="AF62" s="2" t="s">
        <v>69</v>
      </c>
      <c r="AG62" s="2" t="s">
        <v>69</v>
      </c>
      <c r="AH62" s="2" t="s">
        <v>2033</v>
      </c>
      <c r="AI62" s="2"/>
      <c r="AJ62" s="2"/>
      <c r="AK62" s="2">
        <v>1</v>
      </c>
      <c r="AL62" s="2">
        <v>0</v>
      </c>
      <c r="AM62" s="2">
        <v>238</v>
      </c>
      <c r="AN62" s="68" t="s">
        <v>2008</v>
      </c>
    </row>
    <row r="63" spans="1:40" ht="14.25" customHeight="1" x14ac:dyDescent="0.35">
      <c r="A63" s="2" t="s">
        <v>907</v>
      </c>
      <c r="B63" s="43" t="s">
        <v>398</v>
      </c>
      <c r="C63" s="43" t="s">
        <v>435</v>
      </c>
      <c r="D63" s="2">
        <f t="shared" si="5"/>
        <v>0</v>
      </c>
      <c r="E63" s="2" t="s">
        <v>908</v>
      </c>
      <c r="F63" s="2" t="s">
        <v>277</v>
      </c>
      <c r="G63" s="2" t="s">
        <v>277</v>
      </c>
      <c r="H63" s="2" t="str">
        <f t="shared" si="6"/>
        <v/>
      </c>
      <c r="J63" s="2" t="s">
        <v>277</v>
      </c>
      <c r="K63" s="2" t="s">
        <v>277</v>
      </c>
      <c r="L63" s="2" t="s">
        <v>277</v>
      </c>
      <c r="M63" s="2" t="s">
        <v>277</v>
      </c>
      <c r="N63" s="2" t="s">
        <v>277</v>
      </c>
      <c r="S63" s="2" t="s">
        <v>909</v>
      </c>
      <c r="V63" s="2" t="s">
        <v>327</v>
      </c>
      <c r="W63" s="2"/>
      <c r="X63" s="2"/>
      <c r="AA63" s="2" t="s">
        <v>277</v>
      </c>
      <c r="AB63" s="69">
        <f t="shared" si="3"/>
        <v>0</v>
      </c>
      <c r="AL63">
        <v>0</v>
      </c>
      <c r="AN63" s="68" t="s">
        <v>2008</v>
      </c>
    </row>
    <row r="64" spans="1:40" ht="14.25" customHeight="1" x14ac:dyDescent="0.35">
      <c r="A64" s="2" t="s">
        <v>486</v>
      </c>
      <c r="B64" s="43" t="s">
        <v>481</v>
      </c>
      <c r="C64" s="43" t="s">
        <v>435</v>
      </c>
      <c r="D64" s="2">
        <f t="shared" si="5"/>
        <v>0</v>
      </c>
      <c r="E64" s="2" t="s">
        <v>287</v>
      </c>
      <c r="F64" s="2" t="s">
        <v>277</v>
      </c>
      <c r="G64" s="2" t="s">
        <v>277</v>
      </c>
      <c r="H64" s="2" t="str">
        <f t="shared" si="6"/>
        <v/>
      </c>
      <c r="J64" s="2" t="s">
        <v>277</v>
      </c>
      <c r="K64" s="2" t="s">
        <v>277</v>
      </c>
      <c r="L64" s="2" t="s">
        <v>277</v>
      </c>
      <c r="M64" s="2" t="s">
        <v>277</v>
      </c>
      <c r="N64" s="2" t="s">
        <v>277</v>
      </c>
      <c r="O64" s="2">
        <v>174.02199999999999</v>
      </c>
      <c r="P64" s="2" t="s">
        <v>487</v>
      </c>
      <c r="Q64" s="2">
        <v>1998</v>
      </c>
      <c r="R64" s="2" t="s">
        <v>279</v>
      </c>
      <c r="S64" s="2" t="s">
        <v>488</v>
      </c>
      <c r="T64" s="2" t="s">
        <v>69</v>
      </c>
      <c r="U64" s="2" t="s">
        <v>69</v>
      </c>
      <c r="V64" s="2" t="s">
        <v>327</v>
      </c>
      <c r="W64" s="2"/>
      <c r="X64" s="2"/>
      <c r="Y64" s="2" t="s">
        <v>69</v>
      </c>
      <c r="Z64" s="2" t="s">
        <v>351</v>
      </c>
      <c r="AA64" s="2" t="s">
        <v>277</v>
      </c>
      <c r="AB64" s="69" t="str">
        <f t="shared" si="3"/>
        <v>n.a.</v>
      </c>
      <c r="AC64" s="2" t="s">
        <v>69</v>
      </c>
      <c r="AD64" s="2" t="s">
        <v>69</v>
      </c>
      <c r="AE64" s="2" t="s">
        <v>69</v>
      </c>
      <c r="AF64" s="2">
        <v>1</v>
      </c>
      <c r="AG64" s="2" t="s">
        <v>353</v>
      </c>
      <c r="AH64" s="2" t="s">
        <v>2029</v>
      </c>
      <c r="AI64" s="2"/>
      <c r="AJ64" s="2"/>
      <c r="AK64" s="2" t="s">
        <v>69</v>
      </c>
      <c r="AL64" s="2">
        <v>1</v>
      </c>
      <c r="AM64" s="2">
        <v>1</v>
      </c>
      <c r="AN64" s="68" t="s">
        <v>2008</v>
      </c>
    </row>
    <row r="65" spans="1:40" ht="14.25" customHeight="1" x14ac:dyDescent="0.35">
      <c r="A65" s="2" t="s">
        <v>459</v>
      </c>
      <c r="B65" s="43" t="str">
        <f>IF(ISNUMBER(SEARCH(",",E65)),LEFT(E65,SEARCH(",",E65)-1),E65)</f>
        <v>Artificial Intelligence (AI)</v>
      </c>
      <c r="C65" s="43" t="s">
        <v>435</v>
      </c>
      <c r="D65" s="2">
        <f t="shared" si="5"/>
        <v>1</v>
      </c>
      <c r="E65" s="2" t="s">
        <v>274</v>
      </c>
      <c r="F65" s="2" t="s">
        <v>287</v>
      </c>
      <c r="G65" s="2" t="s">
        <v>288</v>
      </c>
      <c r="H65" s="2" t="str">
        <f t="shared" si="6"/>
        <v>Enterprise Software</v>
      </c>
      <c r="I65" s="2" t="s">
        <v>460</v>
      </c>
      <c r="J65" s="2" t="s">
        <v>461</v>
      </c>
      <c r="K65" s="2" t="s">
        <v>356</v>
      </c>
      <c r="L65" s="2" t="s">
        <v>462</v>
      </c>
      <c r="M65" s="2" t="s">
        <v>463</v>
      </c>
      <c r="N65" s="2" t="s">
        <v>464</v>
      </c>
      <c r="O65" s="2">
        <v>110.471</v>
      </c>
      <c r="P65" s="2" t="s">
        <v>278</v>
      </c>
      <c r="Q65" s="2">
        <v>2016</v>
      </c>
      <c r="R65" s="2" t="s">
        <v>279</v>
      </c>
      <c r="S65" s="2" t="s">
        <v>465</v>
      </c>
      <c r="T65" s="2" t="s">
        <v>69</v>
      </c>
      <c r="U65" s="2" t="s">
        <v>69</v>
      </c>
      <c r="V65" s="3" t="s">
        <v>282</v>
      </c>
      <c r="W65" s="2"/>
      <c r="X65" s="3"/>
      <c r="Y65" s="2">
        <v>3</v>
      </c>
      <c r="Z65" s="2" t="s">
        <v>283</v>
      </c>
      <c r="AA65" s="2" t="s">
        <v>2042</v>
      </c>
      <c r="AB65" s="69">
        <f t="shared" si="3"/>
        <v>3.58</v>
      </c>
      <c r="AC65" s="69">
        <v>3580000</v>
      </c>
      <c r="AD65" s="2" t="s">
        <v>466</v>
      </c>
      <c r="AE65" s="2">
        <v>2</v>
      </c>
      <c r="AF65" s="2" t="s">
        <v>69</v>
      </c>
      <c r="AG65" s="2" t="s">
        <v>69</v>
      </c>
      <c r="AH65" s="2" t="s">
        <v>69</v>
      </c>
      <c r="AI65" s="2"/>
      <c r="AJ65" s="2"/>
      <c r="AK65" s="2" t="s">
        <v>69</v>
      </c>
      <c r="AL65" s="2">
        <v>0</v>
      </c>
      <c r="AM65" s="2" t="s">
        <v>69</v>
      </c>
      <c r="AN65" s="68" t="s">
        <v>2008</v>
      </c>
    </row>
    <row r="66" spans="1:40" ht="14.25" customHeight="1" x14ac:dyDescent="0.35">
      <c r="A66" s="2" t="s">
        <v>888</v>
      </c>
      <c r="B66" s="43" t="s">
        <v>398</v>
      </c>
      <c r="C66" s="43" t="s">
        <v>435</v>
      </c>
      <c r="D66" s="2">
        <f t="shared" si="5"/>
        <v>0</v>
      </c>
      <c r="E66" s="2" t="s">
        <v>306</v>
      </c>
      <c r="F66" s="2" t="s">
        <v>324</v>
      </c>
      <c r="G66" s="2" t="s">
        <v>388</v>
      </c>
      <c r="H66" s="2" t="str">
        <f t="shared" si="6"/>
        <v/>
      </c>
      <c r="J66" s="2" t="s">
        <v>277</v>
      </c>
      <c r="K66" s="2" t="s">
        <v>277</v>
      </c>
      <c r="L66" s="2" t="s">
        <v>277</v>
      </c>
      <c r="M66" s="2" t="s">
        <v>277</v>
      </c>
      <c r="N66" s="2" t="s">
        <v>277</v>
      </c>
      <c r="O66" s="2">
        <v>120.55</v>
      </c>
      <c r="P66" s="2" t="s">
        <v>278</v>
      </c>
      <c r="Q66" s="2">
        <v>1994</v>
      </c>
      <c r="R66" s="2" t="s">
        <v>279</v>
      </c>
      <c r="S66" s="2" t="s">
        <v>889</v>
      </c>
      <c r="T66" s="2" t="s">
        <v>69</v>
      </c>
      <c r="U66" s="2" t="s">
        <v>69</v>
      </c>
      <c r="V66" s="2" t="s">
        <v>327</v>
      </c>
      <c r="W66" s="2"/>
      <c r="X66" s="2"/>
      <c r="Y66" s="2" t="s">
        <v>69</v>
      </c>
      <c r="Z66" s="2" t="s">
        <v>69</v>
      </c>
      <c r="AA66" s="2" t="s">
        <v>277</v>
      </c>
      <c r="AB66" s="69" t="str">
        <f t="shared" ref="AB66:AB96" si="7">IF(AC66&lt;&gt;"n.a.",IF(AA66="€",(AC66*1.07)/1000000,IF(AA66="£",(AC66*1.26)/1000000,IF(AA66="CA",(0.73*AC66)/1000000,AC66/1000000))),AC66)</f>
        <v>n.a.</v>
      </c>
      <c r="AC66" s="2" t="s">
        <v>69</v>
      </c>
      <c r="AD66" s="2" t="s">
        <v>69</v>
      </c>
      <c r="AE66" s="2" t="s">
        <v>69</v>
      </c>
      <c r="AF66" s="2">
        <v>3</v>
      </c>
      <c r="AG66" s="2" t="s">
        <v>299</v>
      </c>
      <c r="AH66" s="2" t="s">
        <v>2028</v>
      </c>
      <c r="AI66" s="2"/>
      <c r="AJ66" s="2"/>
      <c r="AK66" s="2">
        <v>2</v>
      </c>
      <c r="AL66" s="2">
        <v>0</v>
      </c>
      <c r="AM66" s="2">
        <v>49</v>
      </c>
      <c r="AN66" s="68" t="s">
        <v>2008</v>
      </c>
    </row>
    <row r="67" spans="1:40" ht="14.25" customHeight="1" x14ac:dyDescent="0.35">
      <c r="A67" s="2" t="s">
        <v>686</v>
      </c>
      <c r="B67" s="43" t="s">
        <v>306</v>
      </c>
      <c r="C67" s="43" t="s">
        <v>435</v>
      </c>
      <c r="D67" s="2">
        <f t="shared" si="5"/>
        <v>1</v>
      </c>
      <c r="E67" s="2" t="s">
        <v>681</v>
      </c>
      <c r="F67" s="2" t="s">
        <v>449</v>
      </c>
      <c r="G67" s="2" t="s">
        <v>687</v>
      </c>
      <c r="H67" s="2" t="str">
        <f t="shared" si="6"/>
        <v>Logistics</v>
      </c>
      <c r="I67" s="2" t="s">
        <v>688</v>
      </c>
      <c r="J67" s="2" t="s">
        <v>469</v>
      </c>
      <c r="K67" s="2" t="s">
        <v>277</v>
      </c>
      <c r="L67" s="2" t="s">
        <v>277</v>
      </c>
      <c r="M67" s="2" t="s">
        <v>277</v>
      </c>
      <c r="N67" s="2" t="s">
        <v>277</v>
      </c>
      <c r="O67" s="2">
        <v>1.3520000000000001</v>
      </c>
      <c r="P67" s="2" t="s">
        <v>278</v>
      </c>
      <c r="Q67" s="2" t="s">
        <v>689</v>
      </c>
      <c r="R67" s="2" t="s">
        <v>279</v>
      </c>
      <c r="S67" s="2" t="s">
        <v>690</v>
      </c>
      <c r="T67" s="2" t="s">
        <v>69</v>
      </c>
      <c r="U67" s="2" t="s">
        <v>69</v>
      </c>
      <c r="V67" s="2" t="s">
        <v>327</v>
      </c>
      <c r="W67" s="2"/>
      <c r="X67" s="2"/>
      <c r="Y67" s="2">
        <v>1</v>
      </c>
      <c r="Z67" s="2" t="s">
        <v>69</v>
      </c>
      <c r="AA67" s="282" t="s">
        <v>2042</v>
      </c>
      <c r="AB67" s="69">
        <f t="shared" si="7"/>
        <v>0</v>
      </c>
      <c r="AC67" s="282">
        <v>0</v>
      </c>
      <c r="AD67" s="2" t="s">
        <v>691</v>
      </c>
      <c r="AE67" s="2">
        <v>1</v>
      </c>
      <c r="AF67" s="2">
        <v>1</v>
      </c>
      <c r="AG67" s="2" t="s">
        <v>299</v>
      </c>
      <c r="AH67" s="2" t="s">
        <v>2033</v>
      </c>
      <c r="AI67" s="2"/>
      <c r="AJ67" s="2"/>
      <c r="AK67" s="2">
        <v>5</v>
      </c>
      <c r="AL67" s="2">
        <v>0</v>
      </c>
      <c r="AM67" s="2">
        <v>0</v>
      </c>
      <c r="AN67" s="68" t="s">
        <v>2008</v>
      </c>
    </row>
    <row r="68" spans="1:40" ht="14.25" customHeight="1" x14ac:dyDescent="0.35">
      <c r="A68" s="2" t="s">
        <v>1970</v>
      </c>
      <c r="B68" s="43" t="s">
        <v>537</v>
      </c>
      <c r="C68" s="43" t="s">
        <v>435</v>
      </c>
      <c r="D68" s="2">
        <f t="shared" si="5"/>
        <v>0</v>
      </c>
      <c r="E68" s="42" t="s">
        <v>949</v>
      </c>
      <c r="F68" s="42" t="s">
        <v>949</v>
      </c>
      <c r="G68" s="42" t="s">
        <v>949</v>
      </c>
      <c r="H68" s="43" t="s">
        <v>949</v>
      </c>
      <c r="I68" s="42" t="s">
        <v>949</v>
      </c>
      <c r="J68" s="2" t="s">
        <v>277</v>
      </c>
      <c r="K68" s="2" t="s">
        <v>277</v>
      </c>
      <c r="L68" s="2" t="s">
        <v>277</v>
      </c>
      <c r="M68" s="2" t="s">
        <v>277</v>
      </c>
      <c r="N68" s="2" t="s">
        <v>277</v>
      </c>
      <c r="S68" s="2" t="s">
        <v>538</v>
      </c>
      <c r="W68" s="2"/>
      <c r="AA68" s="2" t="s">
        <v>277</v>
      </c>
      <c r="AB68" s="69">
        <f t="shared" si="7"/>
        <v>0</v>
      </c>
      <c r="AL68">
        <v>0</v>
      </c>
      <c r="AN68" s="68" t="s">
        <v>2008</v>
      </c>
    </row>
    <row r="69" spans="1:40" ht="14.25" customHeight="1" x14ac:dyDescent="0.35">
      <c r="A69" s="2" t="s">
        <v>489</v>
      </c>
      <c r="B69" s="43" t="s">
        <v>490</v>
      </c>
      <c r="C69" s="43" t="s">
        <v>435</v>
      </c>
      <c r="D69" s="2">
        <f t="shared" si="5"/>
        <v>0</v>
      </c>
      <c r="E69" s="2" t="s">
        <v>287</v>
      </c>
      <c r="F69" s="2" t="s">
        <v>313</v>
      </c>
      <c r="G69" s="2" t="s">
        <v>491</v>
      </c>
      <c r="H69" s="2" t="str">
        <f t="shared" ref="H69:H74" si="8">IF(NOT(ISBLANK(I69)),RIGHT(I69,LEN(I69)-1),"")</f>
        <v>Transportation</v>
      </c>
      <c r="I69" s="2" t="s">
        <v>301</v>
      </c>
      <c r="J69" s="2" t="s">
        <v>277</v>
      </c>
      <c r="K69" s="2" t="s">
        <v>277</v>
      </c>
      <c r="L69" s="2" t="s">
        <v>277</v>
      </c>
      <c r="M69" s="2" t="s">
        <v>277</v>
      </c>
      <c r="N69" s="2" t="s">
        <v>277</v>
      </c>
      <c r="O69" s="2">
        <v>17.497</v>
      </c>
      <c r="P69" s="2" t="s">
        <v>278</v>
      </c>
      <c r="Q69" s="2">
        <v>2015</v>
      </c>
      <c r="R69" s="2" t="s">
        <v>279</v>
      </c>
      <c r="S69" s="2" t="s">
        <v>492</v>
      </c>
      <c r="T69" s="2" t="s">
        <v>69</v>
      </c>
      <c r="U69" s="2" t="s">
        <v>69</v>
      </c>
      <c r="V69" s="2" t="s">
        <v>337</v>
      </c>
      <c r="W69" s="2"/>
      <c r="X69" s="2"/>
      <c r="Y69" s="2">
        <v>3</v>
      </c>
      <c r="Z69" s="2" t="s">
        <v>351</v>
      </c>
      <c r="AA69" s="2" t="s">
        <v>2042</v>
      </c>
      <c r="AB69" s="69">
        <f t="shared" si="7"/>
        <v>168.47380899999999</v>
      </c>
      <c r="AC69" s="69">
        <v>168473809</v>
      </c>
      <c r="AD69" s="2" t="s">
        <v>493</v>
      </c>
      <c r="AE69" s="2">
        <v>5</v>
      </c>
      <c r="AF69" s="2" t="s">
        <v>69</v>
      </c>
      <c r="AG69" s="2" t="s">
        <v>374</v>
      </c>
      <c r="AH69" s="2" t="s">
        <v>2032</v>
      </c>
      <c r="AI69" s="2"/>
      <c r="AJ69" s="2"/>
      <c r="AK69" s="2" t="s">
        <v>69</v>
      </c>
      <c r="AL69" s="2">
        <v>1</v>
      </c>
      <c r="AM69" s="2">
        <v>1</v>
      </c>
      <c r="AN69" s="68" t="s">
        <v>2008</v>
      </c>
    </row>
    <row r="70" spans="1:40" ht="14.25" customHeight="1" x14ac:dyDescent="0.35">
      <c r="A70" s="2" t="s">
        <v>1961</v>
      </c>
      <c r="B70" s="43" t="s">
        <v>481</v>
      </c>
      <c r="C70" s="43" t="s">
        <v>435</v>
      </c>
      <c r="D70" s="2">
        <f t="shared" si="5"/>
        <v>0</v>
      </c>
      <c r="E70" s="2" t="s">
        <v>287</v>
      </c>
      <c r="F70" s="2" t="s">
        <v>288</v>
      </c>
      <c r="G70" s="2" t="s">
        <v>494</v>
      </c>
      <c r="H70" s="2" t="str">
        <f t="shared" si="8"/>
        <v>Software</v>
      </c>
      <c r="I70" s="2" t="s">
        <v>387</v>
      </c>
      <c r="J70" s="2" t="s">
        <v>277</v>
      </c>
      <c r="K70" s="2" t="s">
        <v>277</v>
      </c>
      <c r="L70" s="2" t="s">
        <v>277</v>
      </c>
      <c r="M70" s="2" t="s">
        <v>277</v>
      </c>
      <c r="N70" s="2" t="s">
        <v>277</v>
      </c>
      <c r="O70" s="2">
        <v>3.2789999999999999</v>
      </c>
      <c r="P70" s="2" t="s">
        <v>278</v>
      </c>
      <c r="Q70" s="2">
        <v>2017</v>
      </c>
      <c r="R70" s="2" t="s">
        <v>279</v>
      </c>
      <c r="S70" s="2" t="s">
        <v>495</v>
      </c>
      <c r="T70" s="2" t="s">
        <v>69</v>
      </c>
      <c r="U70" s="2" t="s">
        <v>69</v>
      </c>
      <c r="V70" s="2" t="s">
        <v>303</v>
      </c>
      <c r="W70" s="2"/>
      <c r="X70" s="2"/>
      <c r="Y70" s="2">
        <v>7</v>
      </c>
      <c r="Z70" s="2" t="s">
        <v>328</v>
      </c>
      <c r="AA70" s="2" t="s">
        <v>2042</v>
      </c>
      <c r="AB70" s="69">
        <f t="shared" si="7"/>
        <v>599.32388900000001</v>
      </c>
      <c r="AC70" s="69">
        <v>599323889</v>
      </c>
      <c r="AD70" s="2" t="s">
        <v>496</v>
      </c>
      <c r="AE70" s="2">
        <v>12</v>
      </c>
      <c r="AF70" s="2" t="s">
        <v>69</v>
      </c>
      <c r="AG70" s="2" t="s">
        <v>69</v>
      </c>
      <c r="AH70" s="2" t="s">
        <v>2031</v>
      </c>
      <c r="AI70" s="2"/>
      <c r="AJ70" s="2"/>
      <c r="AK70" s="2" t="s">
        <v>69</v>
      </c>
      <c r="AL70" s="2">
        <v>1</v>
      </c>
      <c r="AM70" s="2">
        <v>10</v>
      </c>
      <c r="AN70" s="68" t="s">
        <v>2008</v>
      </c>
    </row>
    <row r="71" spans="1:40" ht="14.25" customHeight="1" x14ac:dyDescent="0.35">
      <c r="A71" s="2" t="s">
        <v>554</v>
      </c>
      <c r="B71" s="43" t="str">
        <f>IF(ISNUMBER(SEARCH(",",E71)),LEFT(E71,SEARCH(",",E71)-1),E71)</f>
        <v>Consumer Electronics</v>
      </c>
      <c r="C71" s="43" t="s">
        <v>435</v>
      </c>
      <c r="D71" s="2">
        <f t="shared" si="5"/>
        <v>1</v>
      </c>
      <c r="E71" s="2" t="s">
        <v>555</v>
      </c>
      <c r="F71" s="2" t="s">
        <v>499</v>
      </c>
      <c r="G71" s="2" t="s">
        <v>556</v>
      </c>
      <c r="H71" s="2" t="str">
        <f t="shared" si="8"/>
        <v>Machinery Manufacturing</v>
      </c>
      <c r="I71" s="2" t="s">
        <v>557</v>
      </c>
      <c r="J71" s="2" t="s">
        <v>482</v>
      </c>
      <c r="K71" s="2" t="s">
        <v>277</v>
      </c>
      <c r="L71" s="2" t="s">
        <v>277</v>
      </c>
      <c r="M71" s="2" t="s">
        <v>277</v>
      </c>
      <c r="N71" s="2" t="s">
        <v>277</v>
      </c>
      <c r="O71" s="2">
        <v>2.33</v>
      </c>
      <c r="P71" s="2" t="s">
        <v>278</v>
      </c>
      <c r="Q71" s="2">
        <v>1919</v>
      </c>
      <c r="R71" s="2" t="s">
        <v>279</v>
      </c>
      <c r="S71" s="2" t="s">
        <v>558</v>
      </c>
      <c r="T71" s="2" t="s">
        <v>69</v>
      </c>
      <c r="U71" s="2" t="s">
        <v>69</v>
      </c>
      <c r="V71" s="2" t="s">
        <v>327</v>
      </c>
      <c r="W71" s="2"/>
      <c r="X71" s="2"/>
      <c r="Y71" s="2">
        <v>1</v>
      </c>
      <c r="Z71" s="2" t="s">
        <v>328</v>
      </c>
      <c r="AA71" s="2" t="s">
        <v>2044</v>
      </c>
      <c r="AB71" s="69">
        <f t="shared" si="7"/>
        <v>1070.0000000000002</v>
      </c>
      <c r="AC71" s="69">
        <v>1000000000</v>
      </c>
      <c r="AD71" s="2" t="s">
        <v>559</v>
      </c>
      <c r="AE71" s="2" t="s">
        <v>69</v>
      </c>
      <c r="AF71" s="2">
        <v>8</v>
      </c>
      <c r="AG71" s="2" t="s">
        <v>299</v>
      </c>
      <c r="AH71" s="2" t="s">
        <v>2029</v>
      </c>
      <c r="AI71" s="2"/>
      <c r="AJ71" s="2"/>
      <c r="AK71" s="2">
        <v>3</v>
      </c>
      <c r="AL71" s="2">
        <v>1</v>
      </c>
      <c r="AM71" s="2">
        <v>410</v>
      </c>
      <c r="AN71" s="68" t="s">
        <v>2008</v>
      </c>
    </row>
    <row r="72" spans="1:40" ht="14.25" customHeight="1" x14ac:dyDescent="0.35">
      <c r="A72" s="2" t="s">
        <v>652</v>
      </c>
      <c r="B72" s="43" t="s">
        <v>653</v>
      </c>
      <c r="C72" s="43" t="s">
        <v>435</v>
      </c>
      <c r="D72" s="2">
        <f t="shared" si="5"/>
        <v>1</v>
      </c>
      <c r="E72" s="2" t="s">
        <v>380</v>
      </c>
      <c r="F72" s="2" t="s">
        <v>654</v>
      </c>
      <c r="G72" s="2" t="s">
        <v>399</v>
      </c>
      <c r="H72" s="2" t="str">
        <f t="shared" si="8"/>
        <v>Telecommunications</v>
      </c>
      <c r="I72" s="2" t="s">
        <v>655</v>
      </c>
      <c r="J72" s="2" t="s">
        <v>277</v>
      </c>
      <c r="K72" s="2" t="s">
        <v>277</v>
      </c>
      <c r="L72" s="2" t="s">
        <v>277</v>
      </c>
      <c r="M72" s="2" t="s">
        <v>277</v>
      </c>
      <c r="N72" s="2" t="s">
        <v>277</v>
      </c>
      <c r="O72" s="2">
        <v>160</v>
      </c>
      <c r="P72" s="2" t="s">
        <v>278</v>
      </c>
      <c r="Q72" s="2" t="s">
        <v>656</v>
      </c>
      <c r="R72" s="2" t="s">
        <v>279</v>
      </c>
      <c r="S72" s="2" t="s">
        <v>657</v>
      </c>
      <c r="T72" s="2" t="s">
        <v>658</v>
      </c>
      <c r="U72" s="2" t="s">
        <v>291</v>
      </c>
      <c r="V72" s="2" t="s">
        <v>327</v>
      </c>
      <c r="W72" s="2"/>
      <c r="X72" s="2"/>
      <c r="Y72" s="2">
        <v>4</v>
      </c>
      <c r="Z72" s="2" t="s">
        <v>351</v>
      </c>
      <c r="AA72" s="2" t="s">
        <v>2042</v>
      </c>
      <c r="AB72" s="69">
        <f t="shared" si="7"/>
        <v>1208.3871059999999</v>
      </c>
      <c r="AC72" s="69">
        <v>1208387106</v>
      </c>
      <c r="AD72" s="2" t="s">
        <v>659</v>
      </c>
      <c r="AE72" s="2">
        <v>4</v>
      </c>
      <c r="AF72" s="2">
        <v>40</v>
      </c>
      <c r="AG72" s="2" t="s">
        <v>353</v>
      </c>
      <c r="AH72" s="2" t="s">
        <v>2034</v>
      </c>
      <c r="AI72" s="2"/>
      <c r="AJ72" s="2"/>
      <c r="AK72" s="2">
        <v>16</v>
      </c>
      <c r="AL72" s="2">
        <v>1</v>
      </c>
      <c r="AM72" s="2">
        <v>64</v>
      </c>
      <c r="AN72" s="68" t="s">
        <v>2008</v>
      </c>
    </row>
    <row r="73" spans="1:40" ht="14.25" customHeight="1" x14ac:dyDescent="0.35">
      <c r="A73" s="2" t="s">
        <v>523</v>
      </c>
      <c r="B73" s="43" t="str">
        <f>IF(ISNUMBER(SEARCH(",",E73)),LEFT(E73,SEARCH(",",E73)-1),E73)</f>
        <v>Autonomous Vehicles</v>
      </c>
      <c r="C73" s="43" t="s">
        <v>435</v>
      </c>
      <c r="D73" s="2">
        <f t="shared" si="5"/>
        <v>1</v>
      </c>
      <c r="E73" s="2" t="s">
        <v>288</v>
      </c>
      <c r="F73" s="2" t="s">
        <v>313</v>
      </c>
      <c r="G73" s="2" t="s">
        <v>277</v>
      </c>
      <c r="H73" s="2" t="str">
        <f t="shared" si="8"/>
        <v/>
      </c>
      <c r="J73" s="2" t="s">
        <v>277</v>
      </c>
      <c r="K73" s="2" t="s">
        <v>277</v>
      </c>
      <c r="L73" s="2" t="s">
        <v>277</v>
      </c>
      <c r="M73" s="2" t="s">
        <v>277</v>
      </c>
      <c r="N73" s="2" t="s">
        <v>277</v>
      </c>
      <c r="O73" s="2">
        <v>45.539000000000001</v>
      </c>
      <c r="P73" s="2" t="s">
        <v>278</v>
      </c>
      <c r="Q73" s="2" t="s">
        <v>524</v>
      </c>
      <c r="R73" s="2" t="s">
        <v>279</v>
      </c>
      <c r="S73" s="2" t="s">
        <v>525</v>
      </c>
      <c r="T73" s="2" t="s">
        <v>69</v>
      </c>
      <c r="U73" s="2" t="s">
        <v>69</v>
      </c>
      <c r="V73" s="2" t="s">
        <v>297</v>
      </c>
      <c r="W73" s="2"/>
      <c r="X73" s="2"/>
      <c r="Y73" s="2">
        <v>1</v>
      </c>
      <c r="Z73" s="2" t="s">
        <v>291</v>
      </c>
      <c r="AA73" s="2" t="s">
        <v>2044</v>
      </c>
      <c r="AB73" s="69">
        <f t="shared" si="7"/>
        <v>10.7</v>
      </c>
      <c r="AC73" s="69">
        <v>10000000</v>
      </c>
      <c r="AD73" s="2" t="s">
        <v>526</v>
      </c>
      <c r="AE73" s="2" t="s">
        <v>69</v>
      </c>
      <c r="AF73" s="2" t="s">
        <v>69</v>
      </c>
      <c r="AG73" s="2" t="s">
        <v>69</v>
      </c>
      <c r="AH73" s="2" t="s">
        <v>69</v>
      </c>
      <c r="AI73" s="2"/>
      <c r="AJ73" s="2"/>
      <c r="AK73" s="2" t="s">
        <v>69</v>
      </c>
      <c r="AL73" s="2">
        <v>0</v>
      </c>
      <c r="AM73" s="2" t="s">
        <v>69</v>
      </c>
      <c r="AN73" s="68" t="s">
        <v>2008</v>
      </c>
    </row>
    <row r="74" spans="1:40" ht="14.25" customHeight="1" x14ac:dyDescent="0.35">
      <c r="A74" s="2" t="s">
        <v>448</v>
      </c>
      <c r="B74" s="43" t="s">
        <v>449</v>
      </c>
      <c r="C74" s="43" t="s">
        <v>435</v>
      </c>
      <c r="D74" s="2">
        <f t="shared" si="5"/>
        <v>1</v>
      </c>
      <c r="E74" s="2" t="s">
        <v>450</v>
      </c>
      <c r="F74" s="2" t="s">
        <v>274</v>
      </c>
      <c r="G74" s="2" t="s">
        <v>449</v>
      </c>
      <c r="H74" s="2" t="str">
        <f t="shared" si="8"/>
        <v>Farmers Market</v>
      </c>
      <c r="I74" s="2" t="s">
        <v>451</v>
      </c>
      <c r="J74" s="2" t="s">
        <v>295</v>
      </c>
      <c r="K74" s="2" t="s">
        <v>277</v>
      </c>
      <c r="L74" s="2" t="s">
        <v>277</v>
      </c>
      <c r="M74" s="2" t="s">
        <v>277</v>
      </c>
      <c r="N74" s="2" t="s">
        <v>277</v>
      </c>
      <c r="O74" s="2">
        <v>12.786</v>
      </c>
      <c r="P74" s="2" t="s">
        <v>278</v>
      </c>
      <c r="Q74" s="2">
        <v>2016</v>
      </c>
      <c r="R74" s="2" t="s">
        <v>279</v>
      </c>
      <c r="S74" s="2" t="s">
        <v>452</v>
      </c>
      <c r="T74" s="2" t="s">
        <v>69</v>
      </c>
      <c r="U74" s="2" t="s">
        <v>69</v>
      </c>
      <c r="V74" s="3" t="s">
        <v>282</v>
      </c>
      <c r="W74" s="2"/>
      <c r="X74" s="3"/>
      <c r="Y74" s="2">
        <v>9</v>
      </c>
      <c r="Z74" s="2" t="s">
        <v>291</v>
      </c>
      <c r="AA74" s="2" t="s">
        <v>2042</v>
      </c>
      <c r="AB74" s="69">
        <f t="shared" si="7"/>
        <v>34.444467000000003</v>
      </c>
      <c r="AC74" s="69">
        <v>34444467</v>
      </c>
      <c r="AD74" s="2" t="s">
        <v>453</v>
      </c>
      <c r="AE74" s="2">
        <v>18</v>
      </c>
      <c r="AF74" s="2" t="s">
        <v>69</v>
      </c>
      <c r="AG74" s="2" t="s">
        <v>69</v>
      </c>
      <c r="AH74" s="2" t="s">
        <v>2031</v>
      </c>
      <c r="AI74" s="2"/>
      <c r="AJ74" s="2"/>
      <c r="AK74" s="2" t="s">
        <v>69</v>
      </c>
      <c r="AL74" s="2">
        <v>0</v>
      </c>
      <c r="AM74" s="2" t="s">
        <v>69</v>
      </c>
      <c r="AN74" s="68" t="s">
        <v>2008</v>
      </c>
    </row>
    <row r="75" spans="1:40" ht="14.25" customHeight="1" x14ac:dyDescent="0.35">
      <c r="A75" t="s">
        <v>1962</v>
      </c>
      <c r="B75" s="43" t="s">
        <v>490</v>
      </c>
      <c r="C75" s="43" t="s">
        <v>435</v>
      </c>
      <c r="D75">
        <v>0</v>
      </c>
      <c r="O75" s="42">
        <v>249.441</v>
      </c>
      <c r="P75" s="42" t="s">
        <v>278</v>
      </c>
      <c r="Q75" s="42">
        <v>1953</v>
      </c>
      <c r="R75" s="2" t="s">
        <v>279</v>
      </c>
      <c r="S75" s="44" t="s">
        <v>1985</v>
      </c>
      <c r="T75" s="42"/>
      <c r="U75" s="42" t="s">
        <v>949</v>
      </c>
      <c r="V75" s="2" t="s">
        <v>327</v>
      </c>
      <c r="W75" s="2"/>
      <c r="X75" s="2"/>
      <c r="Y75">
        <v>11</v>
      </c>
      <c r="AA75" s="2" t="s">
        <v>277</v>
      </c>
      <c r="AB75" s="69">
        <f t="shared" si="7"/>
        <v>0</v>
      </c>
      <c r="AD75" s="42" t="s">
        <v>1986</v>
      </c>
      <c r="AL75" s="42">
        <v>1</v>
      </c>
      <c r="AM75" s="42" t="s">
        <v>949</v>
      </c>
      <c r="AN75" s="68" t="s">
        <v>2008</v>
      </c>
    </row>
    <row r="76" spans="1:40" ht="14.25" customHeight="1" x14ac:dyDescent="0.35">
      <c r="A76" s="2" t="s">
        <v>745</v>
      </c>
      <c r="B76" s="43" t="s">
        <v>490</v>
      </c>
      <c r="C76" s="43" t="s">
        <v>435</v>
      </c>
      <c r="D76" s="2">
        <f t="shared" ref="D76:D106" si="9">COUNTIF(E76:N76,B76)</f>
        <v>0</v>
      </c>
      <c r="E76" s="2" t="s">
        <v>287</v>
      </c>
      <c r="F76" s="2" t="s">
        <v>649</v>
      </c>
      <c r="G76" s="2" t="s">
        <v>482</v>
      </c>
      <c r="H76" s="2" t="str">
        <f t="shared" ref="H76:H106" si="10">IF(NOT(ISBLANK(I76)),RIGHT(I76,LEN(I76)-1),"")</f>
        <v>Transportation</v>
      </c>
      <c r="I76" s="2" t="s">
        <v>301</v>
      </c>
      <c r="J76" s="2" t="s">
        <v>277</v>
      </c>
      <c r="K76" s="2" t="s">
        <v>277</v>
      </c>
      <c r="L76" s="2" t="s">
        <v>277</v>
      </c>
      <c r="M76" s="2" t="s">
        <v>277</v>
      </c>
      <c r="N76" s="2" t="s">
        <v>277</v>
      </c>
      <c r="O76" s="2">
        <v>158.292</v>
      </c>
      <c r="P76" s="2" t="s">
        <v>278</v>
      </c>
      <c r="Q76" s="2" t="s">
        <v>746</v>
      </c>
      <c r="R76" s="2" t="s">
        <v>279</v>
      </c>
      <c r="S76" s="2" t="s">
        <v>747</v>
      </c>
      <c r="T76" s="2" t="s">
        <v>69</v>
      </c>
      <c r="U76" s="2" t="s">
        <v>69</v>
      </c>
      <c r="V76" s="2" t="s">
        <v>327</v>
      </c>
      <c r="W76" s="2"/>
      <c r="X76" s="2"/>
      <c r="Y76" s="2" t="s">
        <v>69</v>
      </c>
      <c r="Z76" s="2" t="s">
        <v>351</v>
      </c>
      <c r="AA76" s="2" t="s">
        <v>277</v>
      </c>
      <c r="AB76" s="69" t="str">
        <f t="shared" si="7"/>
        <v>n.a.</v>
      </c>
      <c r="AC76" s="2" t="s">
        <v>69</v>
      </c>
      <c r="AD76" s="2" t="s">
        <v>69</v>
      </c>
      <c r="AE76" s="2" t="s">
        <v>69</v>
      </c>
      <c r="AF76" s="2">
        <v>1</v>
      </c>
      <c r="AG76" s="2" t="s">
        <v>353</v>
      </c>
      <c r="AH76" s="2" t="s">
        <v>2031</v>
      </c>
      <c r="AI76" s="2"/>
      <c r="AJ76" s="2"/>
      <c r="AK76" s="2" t="s">
        <v>69</v>
      </c>
      <c r="AL76" s="2">
        <v>0</v>
      </c>
      <c r="AM76" s="2">
        <v>2.6989999999999998</v>
      </c>
      <c r="AN76" s="68" t="s">
        <v>2008</v>
      </c>
    </row>
    <row r="77" spans="1:40" ht="14.25" customHeight="1" x14ac:dyDescent="0.35">
      <c r="A77" s="2" t="s">
        <v>560</v>
      </c>
      <c r="B77" s="43" t="str">
        <f>IF(ISNUMBER(SEARCH(",",E77)),LEFT(E77,SEARCH(",",E77)-1),E77)</f>
        <v>Consumer Electronics</v>
      </c>
      <c r="C77" s="43" t="s">
        <v>435</v>
      </c>
      <c r="D77" s="2">
        <f t="shared" si="9"/>
        <v>1</v>
      </c>
      <c r="E77" s="2" t="s">
        <v>555</v>
      </c>
      <c r="F77" s="2" t="s">
        <v>561</v>
      </c>
      <c r="G77" s="2" t="s">
        <v>556</v>
      </c>
      <c r="H77" s="2" t="str">
        <f t="shared" si="10"/>
        <v>Manufacturing</v>
      </c>
      <c r="I77" s="2" t="s">
        <v>551</v>
      </c>
      <c r="J77" s="2" t="s">
        <v>277</v>
      </c>
      <c r="K77" s="2" t="s">
        <v>277</v>
      </c>
      <c r="L77" s="2" t="s">
        <v>277</v>
      </c>
      <c r="M77" s="2" t="s">
        <v>277</v>
      </c>
      <c r="N77" s="2" t="s">
        <v>277</v>
      </c>
      <c r="O77" s="2">
        <v>181.654</v>
      </c>
      <c r="P77" s="2" t="s">
        <v>278</v>
      </c>
      <c r="Q77" s="2">
        <v>1905</v>
      </c>
      <c r="R77" s="2" t="s">
        <v>279</v>
      </c>
      <c r="S77" s="2" t="s">
        <v>562</v>
      </c>
      <c r="T77" s="2" t="s">
        <v>69</v>
      </c>
      <c r="U77" s="2" t="s">
        <v>69</v>
      </c>
      <c r="V77" s="2" t="s">
        <v>327</v>
      </c>
      <c r="W77" s="2"/>
      <c r="X77" s="2"/>
      <c r="Y77" s="2" t="s">
        <v>69</v>
      </c>
      <c r="Z77" s="2" t="s">
        <v>351</v>
      </c>
      <c r="AA77" s="2" t="s">
        <v>277</v>
      </c>
      <c r="AB77" s="69" t="str">
        <f t="shared" si="7"/>
        <v>n.a.</v>
      </c>
      <c r="AC77" s="2" t="s">
        <v>69</v>
      </c>
      <c r="AD77" s="2" t="s">
        <v>69</v>
      </c>
      <c r="AE77" s="2" t="s">
        <v>69</v>
      </c>
      <c r="AF77" s="2">
        <v>1</v>
      </c>
      <c r="AG77" s="2" t="s">
        <v>353</v>
      </c>
      <c r="AH77" s="2" t="s">
        <v>2029</v>
      </c>
      <c r="AI77" s="2"/>
      <c r="AJ77" s="2"/>
      <c r="AK77" s="2">
        <v>1</v>
      </c>
      <c r="AL77" s="2">
        <v>0</v>
      </c>
      <c r="AM77" s="2" t="s">
        <v>69</v>
      </c>
      <c r="AN77" s="68" t="s">
        <v>2008</v>
      </c>
    </row>
    <row r="78" spans="1:40" ht="14.25" customHeight="1" x14ac:dyDescent="0.35">
      <c r="A78" s="2" t="s">
        <v>748</v>
      </c>
      <c r="B78" s="43" t="s">
        <v>490</v>
      </c>
      <c r="C78" s="43" t="s">
        <v>435</v>
      </c>
      <c r="D78" s="2">
        <f>COUNTIF(E78:N78,B78)</f>
        <v>0</v>
      </c>
      <c r="E78" s="2" t="s">
        <v>287</v>
      </c>
      <c r="F78" s="2" t="s">
        <v>749</v>
      </c>
      <c r="G78" s="2" t="s">
        <v>482</v>
      </c>
      <c r="H78" s="2" t="str">
        <f t="shared" si="10"/>
        <v/>
      </c>
      <c r="J78" s="2" t="s">
        <v>277</v>
      </c>
      <c r="K78" s="2" t="s">
        <v>277</v>
      </c>
      <c r="L78" s="2" t="s">
        <v>277</v>
      </c>
      <c r="M78" s="2" t="s">
        <v>277</v>
      </c>
      <c r="N78" s="2" t="s">
        <v>277</v>
      </c>
      <c r="O78" s="2">
        <v>164.297</v>
      </c>
      <c r="P78" s="2" t="s">
        <v>278</v>
      </c>
      <c r="Q78" s="2" t="s">
        <v>750</v>
      </c>
      <c r="R78" s="2" t="s">
        <v>279</v>
      </c>
      <c r="S78" s="2" t="s">
        <v>751</v>
      </c>
      <c r="T78" s="2" t="s">
        <v>69</v>
      </c>
      <c r="U78" s="2" t="s">
        <v>69</v>
      </c>
      <c r="V78" s="2" t="s">
        <v>327</v>
      </c>
      <c r="W78" s="2"/>
      <c r="X78" s="2"/>
      <c r="Y78" s="2" t="s">
        <v>69</v>
      </c>
      <c r="Z78" s="2" t="s">
        <v>69</v>
      </c>
      <c r="AA78" s="2" t="s">
        <v>277</v>
      </c>
      <c r="AB78" s="69" t="str">
        <f t="shared" si="7"/>
        <v>n.a.</v>
      </c>
      <c r="AC78" s="2" t="s">
        <v>69</v>
      </c>
      <c r="AD78" s="2" t="s">
        <v>69</v>
      </c>
      <c r="AE78" s="2" t="s">
        <v>69</v>
      </c>
      <c r="AF78" s="2">
        <v>7</v>
      </c>
      <c r="AG78" s="2" t="s">
        <v>299</v>
      </c>
      <c r="AH78" s="2" t="s">
        <v>2035</v>
      </c>
      <c r="AI78" s="2"/>
      <c r="AJ78" s="2"/>
      <c r="AK78" s="2">
        <v>21</v>
      </c>
      <c r="AL78" s="2">
        <v>0</v>
      </c>
      <c r="AM78" s="2" t="s">
        <v>69</v>
      </c>
      <c r="AN78" s="68" t="s">
        <v>2008</v>
      </c>
    </row>
    <row r="79" spans="1:40" ht="14.25" customHeight="1" x14ac:dyDescent="0.35">
      <c r="A79" s="2" t="s">
        <v>587</v>
      </c>
      <c r="B79" s="43" t="s">
        <v>588</v>
      </c>
      <c r="C79" s="43" t="s">
        <v>435</v>
      </c>
      <c r="D79" s="2">
        <f>COUNTIF(E79:N79,B79)</f>
        <v>0</v>
      </c>
      <c r="E79" s="2" t="s">
        <v>287</v>
      </c>
      <c r="F79" s="2" t="s">
        <v>313</v>
      </c>
      <c r="G79" s="2" t="s">
        <v>494</v>
      </c>
      <c r="H79" s="2" t="str">
        <f t="shared" si="10"/>
        <v>Manufacturing</v>
      </c>
      <c r="I79" s="2" t="s">
        <v>551</v>
      </c>
      <c r="J79" s="2" t="s">
        <v>324</v>
      </c>
      <c r="K79" s="2" t="s">
        <v>277</v>
      </c>
      <c r="L79" s="2" t="s">
        <v>277</v>
      </c>
      <c r="M79" s="2" t="s">
        <v>277</v>
      </c>
      <c r="N79" s="2" t="s">
        <v>277</v>
      </c>
      <c r="O79" s="2">
        <v>202</v>
      </c>
      <c r="P79" s="2" t="s">
        <v>278</v>
      </c>
      <c r="Q79" s="2" t="s">
        <v>752</v>
      </c>
      <c r="R79" s="2" t="s">
        <v>279</v>
      </c>
      <c r="S79" s="2" t="s">
        <v>753</v>
      </c>
      <c r="T79" s="2" t="s">
        <v>69</v>
      </c>
      <c r="U79" s="2" t="s">
        <v>69</v>
      </c>
      <c r="V79" s="2" t="s">
        <v>327</v>
      </c>
      <c r="W79" s="2"/>
      <c r="X79" s="2"/>
      <c r="Y79" s="2">
        <v>3</v>
      </c>
      <c r="Z79" s="2" t="s">
        <v>328</v>
      </c>
      <c r="AA79" s="2" t="s">
        <v>2042</v>
      </c>
      <c r="AB79" s="69">
        <f t="shared" si="7"/>
        <v>6000.5053129999997</v>
      </c>
      <c r="AC79" s="69">
        <v>6000505313</v>
      </c>
      <c r="AD79" s="2" t="s">
        <v>754</v>
      </c>
      <c r="AE79" s="2">
        <v>2</v>
      </c>
      <c r="AF79" s="2">
        <v>10</v>
      </c>
      <c r="AG79" s="2" t="s">
        <v>299</v>
      </c>
      <c r="AH79" s="2" t="s">
        <v>2035</v>
      </c>
      <c r="AI79" s="2"/>
      <c r="AJ79" s="2"/>
      <c r="AK79" s="2">
        <v>25</v>
      </c>
      <c r="AL79" s="2">
        <v>1</v>
      </c>
      <c r="AM79" s="2">
        <v>14.006</v>
      </c>
      <c r="AN79" s="68" t="s">
        <v>2008</v>
      </c>
    </row>
    <row r="80" spans="1:40" ht="14.25" customHeight="1" x14ac:dyDescent="0.35">
      <c r="A80" s="2" t="s">
        <v>1954</v>
      </c>
      <c r="B80" s="43" t="s">
        <v>490</v>
      </c>
      <c r="C80" s="43" t="s">
        <v>435</v>
      </c>
      <c r="D80" s="2">
        <f>COUNTIF(E80:N80,B80)</f>
        <v>0</v>
      </c>
      <c r="E80" s="2" t="s">
        <v>589</v>
      </c>
      <c r="F80" s="2" t="s">
        <v>588</v>
      </c>
      <c r="G80" s="2" t="s">
        <v>590</v>
      </c>
      <c r="H80" s="2" t="str">
        <f t="shared" si="10"/>
        <v/>
      </c>
      <c r="J80" s="2" t="s">
        <v>277</v>
      </c>
      <c r="K80" s="2" t="s">
        <v>277</v>
      </c>
      <c r="L80" s="2" t="s">
        <v>277</v>
      </c>
      <c r="M80" s="2" t="s">
        <v>277</v>
      </c>
      <c r="N80" s="2" t="s">
        <v>277</v>
      </c>
      <c r="O80" s="2" t="s">
        <v>591</v>
      </c>
      <c r="P80" s="2" t="s">
        <v>278</v>
      </c>
      <c r="Q80" s="2">
        <v>1992</v>
      </c>
      <c r="R80" s="2" t="s">
        <v>279</v>
      </c>
      <c r="S80" s="2" t="s">
        <v>592</v>
      </c>
      <c r="T80" s="2" t="s">
        <v>69</v>
      </c>
      <c r="U80" s="2" t="s">
        <v>69</v>
      </c>
      <c r="V80" s="3" t="s">
        <v>282</v>
      </c>
      <c r="W80" s="2"/>
      <c r="X80" s="3"/>
      <c r="Y80" s="2" t="s">
        <v>69</v>
      </c>
      <c r="Z80" s="2" t="s">
        <v>69</v>
      </c>
      <c r="AA80" s="2" t="s">
        <v>277</v>
      </c>
      <c r="AB80" s="69" t="str">
        <f t="shared" si="7"/>
        <v>n.a.</v>
      </c>
      <c r="AC80" s="2" t="s">
        <v>69</v>
      </c>
      <c r="AD80" s="2" t="s">
        <v>69</v>
      </c>
      <c r="AE80" s="2" t="s">
        <v>69</v>
      </c>
      <c r="AF80" s="2" t="s">
        <v>69</v>
      </c>
      <c r="AG80" s="2" t="s">
        <v>69</v>
      </c>
      <c r="AH80" s="2" t="s">
        <v>2028</v>
      </c>
      <c r="AI80" s="2"/>
      <c r="AJ80" s="2"/>
      <c r="AK80" s="2" t="s">
        <v>69</v>
      </c>
      <c r="AL80" s="2">
        <v>0</v>
      </c>
      <c r="AM80" s="2" t="s">
        <v>69</v>
      </c>
      <c r="AN80" s="68" t="s">
        <v>2008</v>
      </c>
    </row>
    <row r="81" spans="1:40" ht="14.25" customHeight="1" x14ac:dyDescent="0.35">
      <c r="A81" s="2" t="s">
        <v>519</v>
      </c>
      <c r="B81" s="43" t="s">
        <v>520</v>
      </c>
      <c r="C81" s="43" t="s">
        <v>435</v>
      </c>
      <c r="D81" s="2">
        <f t="shared" si="9"/>
        <v>0</v>
      </c>
      <c r="E81" s="2" t="s">
        <v>287</v>
      </c>
      <c r="F81" s="2" t="s">
        <v>277</v>
      </c>
      <c r="G81" s="2" t="s">
        <v>277</v>
      </c>
      <c r="H81" s="2" t="str">
        <f t="shared" si="10"/>
        <v/>
      </c>
      <c r="J81" s="2" t="s">
        <v>277</v>
      </c>
      <c r="K81" s="2" t="s">
        <v>277</v>
      </c>
      <c r="L81" s="2" t="s">
        <v>277</v>
      </c>
      <c r="M81" s="2" t="s">
        <v>277</v>
      </c>
      <c r="N81" s="2" t="s">
        <v>277</v>
      </c>
      <c r="O81" s="2">
        <v>52.033999999999999</v>
      </c>
      <c r="P81" s="2" t="s">
        <v>278</v>
      </c>
      <c r="Q81" s="2">
        <v>2018</v>
      </c>
      <c r="R81" s="2" t="s">
        <v>279</v>
      </c>
      <c r="S81" s="2" t="s">
        <v>521</v>
      </c>
      <c r="T81" s="2" t="s">
        <v>69</v>
      </c>
      <c r="U81" s="2" t="s">
        <v>69</v>
      </c>
      <c r="V81" s="3" t="s">
        <v>282</v>
      </c>
      <c r="W81" s="2"/>
      <c r="X81" s="3"/>
      <c r="Y81" s="2">
        <v>1</v>
      </c>
      <c r="Z81" s="2" t="s">
        <v>291</v>
      </c>
      <c r="AA81" s="2" t="s">
        <v>2044</v>
      </c>
      <c r="AB81" s="69">
        <f t="shared" si="7"/>
        <v>25.68</v>
      </c>
      <c r="AC81" s="69">
        <v>24000000</v>
      </c>
      <c r="AD81" s="2" t="s">
        <v>522</v>
      </c>
      <c r="AE81" s="2">
        <v>2</v>
      </c>
      <c r="AF81" s="2" t="s">
        <v>69</v>
      </c>
      <c r="AG81" s="2" t="s">
        <v>69</v>
      </c>
      <c r="AH81" s="2" t="s">
        <v>69</v>
      </c>
      <c r="AI81" s="2"/>
      <c r="AJ81" s="2"/>
      <c r="AK81" s="2" t="s">
        <v>69</v>
      </c>
      <c r="AL81" s="2">
        <v>0</v>
      </c>
      <c r="AM81" s="2" t="s">
        <v>69</v>
      </c>
      <c r="AN81" s="68" t="s">
        <v>2008</v>
      </c>
    </row>
    <row r="82" spans="1:40" ht="14.25" customHeight="1" x14ac:dyDescent="0.35">
      <c r="A82" s="2" t="s">
        <v>507</v>
      </c>
      <c r="B82" s="43" t="s">
        <v>481</v>
      </c>
      <c r="C82" s="43" t="s">
        <v>435</v>
      </c>
      <c r="D82" s="2">
        <f t="shared" si="9"/>
        <v>0</v>
      </c>
      <c r="E82" s="2" t="s">
        <v>287</v>
      </c>
      <c r="F82" s="2" t="s">
        <v>482</v>
      </c>
      <c r="G82" s="2" t="s">
        <v>508</v>
      </c>
      <c r="H82" s="2" t="str">
        <f t="shared" si="10"/>
        <v/>
      </c>
      <c r="J82" s="2" t="s">
        <v>277</v>
      </c>
      <c r="K82" s="2" t="s">
        <v>277</v>
      </c>
      <c r="L82" s="2" t="s">
        <v>277</v>
      </c>
      <c r="M82" s="2" t="s">
        <v>277</v>
      </c>
      <c r="N82" s="2" t="s">
        <v>277</v>
      </c>
      <c r="O82" s="2">
        <v>93.519000000000005</v>
      </c>
      <c r="P82" s="2" t="s">
        <v>278</v>
      </c>
      <c r="Q82" s="2">
        <v>1898</v>
      </c>
      <c r="R82" s="2" t="s">
        <v>279</v>
      </c>
      <c r="S82" s="2" t="s">
        <v>509</v>
      </c>
      <c r="T82" s="2" t="s">
        <v>69</v>
      </c>
      <c r="U82" s="2" t="s">
        <v>69</v>
      </c>
      <c r="V82" s="2" t="s">
        <v>297</v>
      </c>
      <c r="W82" s="2"/>
      <c r="X82" s="2"/>
      <c r="Y82" s="2" t="s">
        <v>69</v>
      </c>
      <c r="Z82" s="2" t="s">
        <v>69</v>
      </c>
      <c r="AA82" s="2" t="s">
        <v>277</v>
      </c>
      <c r="AB82" s="69" t="str">
        <f t="shared" si="7"/>
        <v>n.a.</v>
      </c>
      <c r="AC82" s="2" t="s">
        <v>69</v>
      </c>
      <c r="AD82" s="2" t="s">
        <v>69</v>
      </c>
      <c r="AE82" s="2" t="s">
        <v>69</v>
      </c>
      <c r="AF82" s="2" t="s">
        <v>69</v>
      </c>
      <c r="AG82" s="2" t="s">
        <v>69</v>
      </c>
      <c r="AH82" s="2" t="s">
        <v>2031</v>
      </c>
      <c r="AI82" s="2"/>
      <c r="AJ82" s="2"/>
      <c r="AK82" s="2">
        <v>1</v>
      </c>
      <c r="AL82" s="2">
        <v>0</v>
      </c>
      <c r="AM82" s="2">
        <v>0</v>
      </c>
      <c r="AN82" s="68" t="s">
        <v>2008</v>
      </c>
    </row>
    <row r="83" spans="1:40" ht="14.25" customHeight="1" x14ac:dyDescent="0.35">
      <c r="A83" t="s">
        <v>1989</v>
      </c>
      <c r="B83" s="43" t="s">
        <v>784</v>
      </c>
      <c r="C83" s="43" t="s">
        <v>435</v>
      </c>
      <c r="D83" s="2">
        <f t="shared" si="9"/>
        <v>0</v>
      </c>
      <c r="E83" s="2" t="s">
        <v>287</v>
      </c>
      <c r="F83" s="2" t="s">
        <v>322</v>
      </c>
      <c r="G83" s="2" t="s">
        <v>324</v>
      </c>
      <c r="H83" s="2" t="str">
        <f t="shared" si="10"/>
        <v/>
      </c>
      <c r="J83" s="2" t="s">
        <v>277</v>
      </c>
      <c r="K83" s="2" t="s">
        <v>277</v>
      </c>
      <c r="L83" s="2" t="s">
        <v>277</v>
      </c>
      <c r="M83" s="2" t="s">
        <v>277</v>
      </c>
      <c r="N83" s="2" t="s">
        <v>277</v>
      </c>
      <c r="O83" s="2">
        <v>258.71899999999999</v>
      </c>
      <c r="P83" s="2" t="s">
        <v>278</v>
      </c>
      <c r="Q83" s="2" t="s">
        <v>787</v>
      </c>
      <c r="R83" s="2" t="s">
        <v>279</v>
      </c>
      <c r="S83" s="2" t="s">
        <v>788</v>
      </c>
      <c r="T83" s="2" t="s">
        <v>69</v>
      </c>
      <c r="U83" s="2" t="s">
        <v>69</v>
      </c>
      <c r="V83" s="3" t="s">
        <v>446</v>
      </c>
      <c r="W83" s="2"/>
      <c r="X83" s="3"/>
      <c r="Y83" s="2">
        <v>1</v>
      </c>
      <c r="Z83" s="2" t="s">
        <v>328</v>
      </c>
      <c r="AA83" s="2" t="s">
        <v>2042</v>
      </c>
      <c r="AB83" s="69">
        <f t="shared" si="7"/>
        <v>8.0015000000000003E-2</v>
      </c>
      <c r="AC83" s="69">
        <v>80015</v>
      </c>
      <c r="AD83" s="2" t="s">
        <v>789</v>
      </c>
      <c r="AE83" s="2" t="s">
        <v>69</v>
      </c>
      <c r="AF83" s="2">
        <v>1</v>
      </c>
      <c r="AG83" s="2" t="s">
        <v>299</v>
      </c>
      <c r="AH83" s="2" t="s">
        <v>69</v>
      </c>
      <c r="AI83" s="2"/>
      <c r="AJ83" s="2"/>
      <c r="AK83" s="2" t="s">
        <v>69</v>
      </c>
      <c r="AL83" s="2">
        <v>1</v>
      </c>
      <c r="AM83" s="2" t="s">
        <v>69</v>
      </c>
      <c r="AN83" s="68" t="s">
        <v>2008</v>
      </c>
    </row>
    <row r="84" spans="1:40" ht="14.25" customHeight="1" x14ac:dyDescent="0.35">
      <c r="A84" s="2" t="s">
        <v>574</v>
      </c>
      <c r="B84" s="43" t="s">
        <v>449</v>
      </c>
      <c r="C84" s="43" t="s">
        <v>435</v>
      </c>
      <c r="D84" s="2">
        <f t="shared" si="9"/>
        <v>0</v>
      </c>
      <c r="E84" s="2" t="s">
        <v>575</v>
      </c>
      <c r="F84" s="2" t="s">
        <v>576</v>
      </c>
      <c r="G84" s="2" t="s">
        <v>295</v>
      </c>
      <c r="H84" s="2" t="str">
        <f t="shared" si="10"/>
        <v>Marketplace</v>
      </c>
      <c r="I84" s="2" t="s">
        <v>577</v>
      </c>
      <c r="J84" s="2" t="s">
        <v>277</v>
      </c>
      <c r="K84" s="2" t="s">
        <v>277</v>
      </c>
      <c r="L84" s="2" t="s">
        <v>277</v>
      </c>
      <c r="M84" s="2" t="s">
        <v>277</v>
      </c>
      <c r="N84" s="2" t="s">
        <v>277</v>
      </c>
      <c r="O84" s="2">
        <v>878</v>
      </c>
      <c r="P84" s="2" t="s">
        <v>278</v>
      </c>
      <c r="Q84" s="2">
        <v>2004</v>
      </c>
      <c r="R84" s="2" t="s">
        <v>279</v>
      </c>
      <c r="S84" s="2" t="s">
        <v>578</v>
      </c>
      <c r="T84" s="2" t="s">
        <v>69</v>
      </c>
      <c r="U84" s="2" t="s">
        <v>69</v>
      </c>
      <c r="V84" s="2" t="s">
        <v>303</v>
      </c>
      <c r="W84" s="2"/>
      <c r="X84" s="2"/>
      <c r="Y84" s="2">
        <v>9</v>
      </c>
      <c r="Z84" s="2" t="s">
        <v>351</v>
      </c>
      <c r="AA84" s="2" t="s">
        <v>2042</v>
      </c>
      <c r="AB84" s="69">
        <f t="shared" si="7"/>
        <v>284.10000000000002</v>
      </c>
      <c r="AC84" s="69">
        <v>284100000</v>
      </c>
      <c r="AD84" s="2" t="s">
        <v>579</v>
      </c>
      <c r="AE84" s="2">
        <v>11</v>
      </c>
      <c r="AF84" s="2">
        <v>13</v>
      </c>
      <c r="AG84" s="2" t="s">
        <v>353</v>
      </c>
      <c r="AH84" s="2" t="s">
        <v>2031</v>
      </c>
      <c r="AI84" s="2"/>
      <c r="AJ84" s="2"/>
      <c r="AK84" s="2">
        <v>2</v>
      </c>
      <c r="AL84" s="2">
        <v>1</v>
      </c>
      <c r="AM84" s="2">
        <v>48</v>
      </c>
      <c r="AN84" s="68" t="s">
        <v>2008</v>
      </c>
    </row>
    <row r="85" spans="1:40" ht="14.25" customHeight="1" x14ac:dyDescent="0.35">
      <c r="A85" s="43" t="s">
        <v>454</v>
      </c>
      <c r="B85" s="43" t="s">
        <v>330</v>
      </c>
      <c r="C85" s="43" t="s">
        <v>435</v>
      </c>
      <c r="D85" s="2">
        <f t="shared" si="9"/>
        <v>0</v>
      </c>
      <c r="E85" s="2" t="s">
        <v>455</v>
      </c>
      <c r="F85" s="2" t="s">
        <v>287</v>
      </c>
      <c r="G85" s="2" t="s">
        <v>456</v>
      </c>
      <c r="H85" s="2" t="str">
        <f t="shared" si="10"/>
        <v>Software</v>
      </c>
      <c r="I85" s="2" t="s">
        <v>387</v>
      </c>
      <c r="J85" s="2" t="s">
        <v>277</v>
      </c>
      <c r="K85" s="2" t="s">
        <v>277</v>
      </c>
      <c r="L85" s="2" t="s">
        <v>277</v>
      </c>
      <c r="M85" s="2" t="s">
        <v>277</v>
      </c>
      <c r="N85" s="2" t="s">
        <v>277</v>
      </c>
      <c r="O85" s="2">
        <v>88.442999999999998</v>
      </c>
      <c r="P85" s="2" t="s">
        <v>278</v>
      </c>
      <c r="Q85" s="2">
        <v>1996</v>
      </c>
      <c r="R85" s="2" t="s">
        <v>279</v>
      </c>
      <c r="S85" s="2" t="s">
        <v>457</v>
      </c>
      <c r="T85" s="2" t="s">
        <v>69</v>
      </c>
      <c r="U85" s="2" t="s">
        <v>69</v>
      </c>
      <c r="V85" s="3" t="s">
        <v>282</v>
      </c>
      <c r="W85" s="2"/>
      <c r="X85" s="3"/>
      <c r="Y85" s="2">
        <v>1</v>
      </c>
      <c r="Z85" s="2" t="s">
        <v>69</v>
      </c>
      <c r="AA85" s="2" t="s">
        <v>2042</v>
      </c>
      <c r="AB85" s="69">
        <f t="shared" si="7"/>
        <v>2</v>
      </c>
      <c r="AC85" s="69">
        <v>2000000</v>
      </c>
      <c r="AD85" s="2" t="s">
        <v>458</v>
      </c>
      <c r="AE85" s="2">
        <v>1</v>
      </c>
      <c r="AF85" s="2" t="s">
        <v>69</v>
      </c>
      <c r="AG85" s="2" t="s">
        <v>69</v>
      </c>
      <c r="AH85" s="2" t="s">
        <v>2028</v>
      </c>
      <c r="AI85" s="2"/>
      <c r="AJ85" s="2"/>
      <c r="AK85" s="2" t="s">
        <v>69</v>
      </c>
      <c r="AL85" s="2">
        <v>0</v>
      </c>
      <c r="AM85" s="2" t="s">
        <v>69</v>
      </c>
      <c r="AN85" s="68" t="s">
        <v>2008</v>
      </c>
    </row>
    <row r="86" spans="1:40" ht="14.25" customHeight="1" x14ac:dyDescent="0.35">
      <c r="A86" s="2" t="s">
        <v>825</v>
      </c>
      <c r="B86" s="43" t="s">
        <v>516</v>
      </c>
      <c r="C86" s="43" t="s">
        <v>435</v>
      </c>
      <c r="D86" s="2">
        <f t="shared" si="9"/>
        <v>1</v>
      </c>
      <c r="E86" s="2" t="s">
        <v>575</v>
      </c>
      <c r="F86" s="2" t="s">
        <v>826</v>
      </c>
      <c r="G86" s="2" t="s">
        <v>576</v>
      </c>
      <c r="H86" s="2" t="str">
        <f t="shared" si="10"/>
        <v>Grocery</v>
      </c>
      <c r="I86" s="2" t="s">
        <v>827</v>
      </c>
      <c r="J86" s="2" t="s">
        <v>380</v>
      </c>
      <c r="K86" s="2" t="s">
        <v>482</v>
      </c>
      <c r="L86" s="2" t="s">
        <v>516</v>
      </c>
      <c r="M86" s="2" t="s">
        <v>277</v>
      </c>
      <c r="N86" s="2" t="s">
        <v>277</v>
      </c>
      <c r="O86" s="2">
        <v>161.15199999999999</v>
      </c>
      <c r="P86" s="2" t="s">
        <v>278</v>
      </c>
      <c r="Q86" s="2">
        <v>1905</v>
      </c>
      <c r="R86" s="2" t="s">
        <v>279</v>
      </c>
      <c r="S86" s="2" t="s">
        <v>828</v>
      </c>
      <c r="T86" s="2" t="s">
        <v>69</v>
      </c>
      <c r="U86" s="2" t="s">
        <v>69</v>
      </c>
      <c r="V86" s="2" t="s">
        <v>327</v>
      </c>
      <c r="W86" s="2"/>
      <c r="X86" s="2"/>
      <c r="Y86" s="2" t="s">
        <v>69</v>
      </c>
      <c r="Z86" s="2" t="s">
        <v>69</v>
      </c>
      <c r="AA86" s="2" t="s">
        <v>277</v>
      </c>
      <c r="AB86" s="69" t="str">
        <f t="shared" si="7"/>
        <v>n.a.</v>
      </c>
      <c r="AC86" s="2" t="s">
        <v>69</v>
      </c>
      <c r="AD86" s="2" t="s">
        <v>69</v>
      </c>
      <c r="AE86" s="2" t="s">
        <v>69</v>
      </c>
      <c r="AF86" s="2">
        <v>1</v>
      </c>
      <c r="AG86" s="2" t="s">
        <v>299</v>
      </c>
      <c r="AH86" s="2" t="s">
        <v>2029</v>
      </c>
      <c r="AI86" s="2"/>
      <c r="AJ86" s="2"/>
      <c r="AK86" s="2" t="s">
        <v>69</v>
      </c>
      <c r="AL86" s="2">
        <v>0</v>
      </c>
      <c r="AM86" s="2">
        <v>9</v>
      </c>
      <c r="AN86" s="68" t="s">
        <v>2008</v>
      </c>
    </row>
    <row r="87" spans="1:40" ht="14.25" customHeight="1" x14ac:dyDescent="0.35">
      <c r="A87" s="2" t="s">
        <v>692</v>
      </c>
      <c r="B87" s="43" t="s">
        <v>306</v>
      </c>
      <c r="C87" s="43" t="s">
        <v>435</v>
      </c>
      <c r="D87" s="2">
        <f t="shared" si="9"/>
        <v>1</v>
      </c>
      <c r="E87" s="2" t="s">
        <v>468</v>
      </c>
      <c r="F87" s="2" t="s">
        <v>306</v>
      </c>
      <c r="G87" s="2" t="s">
        <v>693</v>
      </c>
      <c r="H87" s="2" t="str">
        <f t="shared" si="10"/>
        <v>Supply Chain Management</v>
      </c>
      <c r="I87" s="2" t="s">
        <v>426</v>
      </c>
      <c r="J87" s="2" t="s">
        <v>324</v>
      </c>
      <c r="K87" s="2" t="s">
        <v>277</v>
      </c>
      <c r="L87" s="2" t="s">
        <v>277</v>
      </c>
      <c r="M87" s="2" t="s">
        <v>277</v>
      </c>
      <c r="N87" s="2" t="s">
        <v>277</v>
      </c>
      <c r="O87" s="2">
        <v>323.17500000000001</v>
      </c>
      <c r="P87" s="2" t="s">
        <v>278</v>
      </c>
      <c r="Q87" s="2">
        <v>1998</v>
      </c>
      <c r="R87" s="2" t="s">
        <v>279</v>
      </c>
      <c r="S87" s="2" t="s">
        <v>694</v>
      </c>
      <c r="T87" s="2" t="s">
        <v>69</v>
      </c>
      <c r="U87" s="2" t="s">
        <v>69</v>
      </c>
      <c r="V87" s="2" t="s">
        <v>479</v>
      </c>
      <c r="W87" s="2"/>
      <c r="X87" s="2"/>
      <c r="Y87" s="2" t="s">
        <v>69</v>
      </c>
      <c r="Z87" s="2" t="s">
        <v>69</v>
      </c>
      <c r="AA87" s="2" t="s">
        <v>277</v>
      </c>
      <c r="AB87" s="69" t="str">
        <f t="shared" si="7"/>
        <v>n.a.</v>
      </c>
      <c r="AC87" s="2" t="s">
        <v>69</v>
      </c>
      <c r="AD87" s="2" t="s">
        <v>69</v>
      </c>
      <c r="AE87" s="2" t="s">
        <v>69</v>
      </c>
      <c r="AF87" s="2" t="s">
        <v>69</v>
      </c>
      <c r="AG87" s="2" t="s">
        <v>69</v>
      </c>
      <c r="AH87" s="2" t="s">
        <v>2031</v>
      </c>
      <c r="AI87" s="2"/>
      <c r="AJ87" s="2"/>
      <c r="AK87" s="2" t="s">
        <v>69</v>
      </c>
      <c r="AL87" s="2">
        <v>0</v>
      </c>
      <c r="AM87" s="2" t="s">
        <v>69</v>
      </c>
      <c r="AN87" s="68" t="s">
        <v>2008</v>
      </c>
    </row>
    <row r="88" spans="1:40" ht="14.25" customHeight="1" x14ac:dyDescent="0.35">
      <c r="A88" s="2" t="s">
        <v>695</v>
      </c>
      <c r="B88" s="43" t="s">
        <v>306</v>
      </c>
      <c r="C88" s="43" t="s">
        <v>435</v>
      </c>
      <c r="D88" s="2">
        <f t="shared" si="9"/>
        <v>0</v>
      </c>
      <c r="E88" s="2" t="s">
        <v>287</v>
      </c>
      <c r="F88" s="2" t="s">
        <v>324</v>
      </c>
      <c r="G88" s="2" t="s">
        <v>388</v>
      </c>
      <c r="H88" s="2" t="str">
        <f t="shared" si="10"/>
        <v/>
      </c>
      <c r="J88" s="2" t="s">
        <v>277</v>
      </c>
      <c r="K88" s="2" t="s">
        <v>277</v>
      </c>
      <c r="L88" s="2" t="s">
        <v>277</v>
      </c>
      <c r="M88" s="2" t="s">
        <v>277</v>
      </c>
      <c r="N88" s="2" t="s">
        <v>277</v>
      </c>
      <c r="O88" s="2">
        <v>309.91899999999998</v>
      </c>
      <c r="P88" s="2" t="s">
        <v>278</v>
      </c>
      <c r="Q88" s="2">
        <v>1935</v>
      </c>
      <c r="R88" s="2" t="s">
        <v>279</v>
      </c>
      <c r="S88" s="2" t="s">
        <v>696</v>
      </c>
      <c r="T88" s="2" t="s">
        <v>69</v>
      </c>
      <c r="U88" s="2" t="s">
        <v>69</v>
      </c>
      <c r="V88" s="2" t="s">
        <v>363</v>
      </c>
      <c r="W88" s="2"/>
      <c r="X88" s="2"/>
      <c r="Y88" s="2" t="s">
        <v>69</v>
      </c>
      <c r="Z88" s="2" t="s">
        <v>69</v>
      </c>
      <c r="AA88" s="2" t="s">
        <v>277</v>
      </c>
      <c r="AB88" s="69" t="str">
        <f t="shared" si="7"/>
        <v>n.a.</v>
      </c>
      <c r="AC88" s="2" t="s">
        <v>69</v>
      </c>
      <c r="AD88" s="2" t="s">
        <v>69</v>
      </c>
      <c r="AE88" s="2" t="s">
        <v>69</v>
      </c>
      <c r="AF88" s="2" t="s">
        <v>69</v>
      </c>
      <c r="AG88" s="2" t="s">
        <v>69</v>
      </c>
      <c r="AH88" s="2" t="s">
        <v>2031</v>
      </c>
      <c r="AI88" s="2"/>
      <c r="AJ88" s="2"/>
      <c r="AK88" s="2" t="s">
        <v>69</v>
      </c>
      <c r="AL88" s="2">
        <v>0</v>
      </c>
      <c r="AM88" s="2" t="s">
        <v>69</v>
      </c>
      <c r="AN88" s="68" t="s">
        <v>2008</v>
      </c>
    </row>
    <row r="89" spans="1:40" ht="14.25" customHeight="1" x14ac:dyDescent="0.35">
      <c r="A89" s="2" t="s">
        <v>1965</v>
      </c>
      <c r="B89" s="43" t="s">
        <v>398</v>
      </c>
      <c r="C89" s="43" t="s">
        <v>435</v>
      </c>
      <c r="D89" s="2">
        <f t="shared" si="9"/>
        <v>0</v>
      </c>
      <c r="E89" s="2" t="s">
        <v>306</v>
      </c>
      <c r="F89" s="2" t="s">
        <v>324</v>
      </c>
      <c r="G89" s="2" t="s">
        <v>277</v>
      </c>
      <c r="H89" s="2" t="str">
        <f t="shared" si="10"/>
        <v/>
      </c>
      <c r="J89" s="2" t="s">
        <v>277</v>
      </c>
      <c r="K89" s="2" t="s">
        <v>277</v>
      </c>
      <c r="L89" s="2" t="s">
        <v>277</v>
      </c>
      <c r="M89" s="2" t="s">
        <v>277</v>
      </c>
      <c r="N89" s="2" t="s">
        <v>277</v>
      </c>
      <c r="O89" s="2">
        <v>638.71100000000001</v>
      </c>
      <c r="P89" s="2" t="s">
        <v>278</v>
      </c>
      <c r="Q89" s="2">
        <v>1911</v>
      </c>
      <c r="R89" s="2" t="s">
        <v>279</v>
      </c>
      <c r="S89" s="2" t="s">
        <v>890</v>
      </c>
      <c r="T89" s="2" t="s">
        <v>69</v>
      </c>
      <c r="U89" s="2" t="s">
        <v>69</v>
      </c>
      <c r="V89" s="2" t="s">
        <v>479</v>
      </c>
      <c r="W89" s="2"/>
      <c r="X89" s="2"/>
      <c r="Y89" s="2" t="s">
        <v>69</v>
      </c>
      <c r="Z89" s="2" t="s">
        <v>69</v>
      </c>
      <c r="AA89" s="2" t="s">
        <v>277</v>
      </c>
      <c r="AB89" s="69" t="str">
        <f t="shared" si="7"/>
        <v>n.a.</v>
      </c>
      <c r="AC89" s="2" t="s">
        <v>69</v>
      </c>
      <c r="AD89" s="2" t="s">
        <v>69</v>
      </c>
      <c r="AE89" s="2" t="s">
        <v>69</v>
      </c>
      <c r="AF89" s="2" t="s">
        <v>69</v>
      </c>
      <c r="AG89" s="2" t="s">
        <v>69</v>
      </c>
      <c r="AH89" s="2" t="s">
        <v>2033</v>
      </c>
      <c r="AI89" s="2"/>
      <c r="AJ89" s="2"/>
      <c r="AK89" s="2" t="s">
        <v>69</v>
      </c>
      <c r="AL89" s="2">
        <v>0</v>
      </c>
      <c r="AM89" s="2" t="s">
        <v>69</v>
      </c>
      <c r="AN89" s="68" t="s">
        <v>2008</v>
      </c>
    </row>
    <row r="90" spans="1:40" ht="14.25" customHeight="1" x14ac:dyDescent="0.35">
      <c r="A90" s="96" t="s">
        <v>527</v>
      </c>
      <c r="B90" s="43" t="str">
        <f>IF(ISNUMBER(SEARCH(",",E90)),LEFT(E90,SEARCH(",",E90)-1),E90)</f>
        <v>Autonomous Vehicles</v>
      </c>
      <c r="C90" s="43" t="s">
        <v>435</v>
      </c>
      <c r="D90" s="2">
        <f t="shared" si="9"/>
        <v>1</v>
      </c>
      <c r="E90" s="2" t="s">
        <v>288</v>
      </c>
      <c r="F90" s="2" t="s">
        <v>276</v>
      </c>
      <c r="G90" s="2" t="s">
        <v>277</v>
      </c>
      <c r="H90" s="2" t="str">
        <f t="shared" si="10"/>
        <v/>
      </c>
      <c r="J90" s="2" t="s">
        <v>277</v>
      </c>
      <c r="K90" s="2" t="s">
        <v>277</v>
      </c>
      <c r="L90" s="2" t="s">
        <v>277</v>
      </c>
      <c r="M90" s="2" t="s">
        <v>277</v>
      </c>
      <c r="N90" s="2" t="s">
        <v>277</v>
      </c>
      <c r="O90" s="2">
        <v>15.807</v>
      </c>
      <c r="P90" s="2" t="s">
        <v>278</v>
      </c>
      <c r="Q90" s="2">
        <v>2015</v>
      </c>
      <c r="R90" s="2" t="s">
        <v>279</v>
      </c>
      <c r="S90" s="2" t="s">
        <v>528</v>
      </c>
      <c r="T90" s="2" t="s">
        <v>69</v>
      </c>
      <c r="U90" s="2" t="s">
        <v>69</v>
      </c>
      <c r="V90" s="2" t="s">
        <v>303</v>
      </c>
      <c r="W90" s="2"/>
      <c r="X90" s="2"/>
      <c r="Y90" s="2">
        <v>12</v>
      </c>
      <c r="Z90" s="2" t="s">
        <v>69</v>
      </c>
      <c r="AA90" s="2" t="s">
        <v>2042</v>
      </c>
      <c r="AB90" s="69">
        <f t="shared" si="7"/>
        <v>2200.3000019999999</v>
      </c>
      <c r="AC90" s="69">
        <v>2200300002</v>
      </c>
      <c r="AD90" s="2" t="s">
        <v>529</v>
      </c>
      <c r="AE90" s="2">
        <v>52</v>
      </c>
      <c r="AF90" s="2" t="s">
        <v>69</v>
      </c>
      <c r="AG90" s="2" t="s">
        <v>69</v>
      </c>
      <c r="AH90" s="2" t="s">
        <v>2030</v>
      </c>
      <c r="AI90" s="2"/>
      <c r="AJ90" s="2"/>
      <c r="AK90" s="2">
        <v>5</v>
      </c>
      <c r="AL90" s="2">
        <v>0</v>
      </c>
      <c r="AM90" s="2">
        <v>26</v>
      </c>
      <c r="AN90" s="68" t="s">
        <v>2008</v>
      </c>
    </row>
    <row r="91" spans="1:40" ht="14.25" customHeight="1" x14ac:dyDescent="0.35">
      <c r="A91" s="2" t="s">
        <v>1967</v>
      </c>
      <c r="B91" s="43" t="s">
        <v>330</v>
      </c>
      <c r="C91" s="43" t="s">
        <v>435</v>
      </c>
      <c r="D91" s="2">
        <f t="shared" si="9"/>
        <v>0</v>
      </c>
      <c r="E91" s="2" t="s">
        <v>332</v>
      </c>
      <c r="F91" s="2" t="s">
        <v>468</v>
      </c>
      <c r="G91" s="2" t="s">
        <v>324</v>
      </c>
      <c r="H91" s="2" t="str">
        <f t="shared" si="10"/>
        <v/>
      </c>
      <c r="J91" s="2" t="s">
        <v>277</v>
      </c>
      <c r="K91" s="2" t="s">
        <v>277</v>
      </c>
      <c r="L91" s="2" t="s">
        <v>277</v>
      </c>
      <c r="M91" s="2" t="s">
        <v>277</v>
      </c>
      <c r="N91" s="2" t="s">
        <v>277</v>
      </c>
      <c r="O91" s="2">
        <v>894.40300000000002</v>
      </c>
      <c r="P91" s="2" t="s">
        <v>278</v>
      </c>
      <c r="Q91" s="2">
        <v>2018</v>
      </c>
      <c r="R91" s="2" t="s">
        <v>279</v>
      </c>
      <c r="S91" s="2" t="s">
        <v>723</v>
      </c>
      <c r="T91" s="2" t="s">
        <v>69</v>
      </c>
      <c r="U91" s="2" t="s">
        <v>69</v>
      </c>
      <c r="V91" s="3" t="s">
        <v>282</v>
      </c>
      <c r="W91" s="2"/>
      <c r="X91" s="3"/>
      <c r="Y91" s="2" t="s">
        <v>69</v>
      </c>
      <c r="Z91" s="2" t="s">
        <v>69</v>
      </c>
      <c r="AA91" s="2" t="s">
        <v>277</v>
      </c>
      <c r="AB91" s="69" t="str">
        <f t="shared" si="7"/>
        <v>n.a.</v>
      </c>
      <c r="AC91" s="2" t="s">
        <v>69</v>
      </c>
      <c r="AD91" s="2" t="s">
        <v>69</v>
      </c>
      <c r="AE91" s="2" t="s">
        <v>69</v>
      </c>
      <c r="AF91" s="2" t="s">
        <v>69</v>
      </c>
      <c r="AG91" s="2" t="s">
        <v>69</v>
      </c>
      <c r="AH91" s="2" t="s">
        <v>69</v>
      </c>
      <c r="AI91" s="2"/>
      <c r="AJ91" s="2"/>
      <c r="AK91" s="2" t="s">
        <v>69</v>
      </c>
      <c r="AL91" s="2">
        <v>0</v>
      </c>
      <c r="AM91" s="2" t="s">
        <v>69</v>
      </c>
      <c r="AN91" s="68" t="s">
        <v>2008</v>
      </c>
    </row>
    <row r="92" spans="1:40" ht="14.25" customHeight="1" x14ac:dyDescent="0.35">
      <c r="A92" s="2" t="s">
        <v>1959</v>
      </c>
      <c r="B92" s="43" t="s">
        <v>784</v>
      </c>
      <c r="C92" s="43" t="s">
        <v>435</v>
      </c>
      <c r="D92" s="2">
        <f t="shared" si="9"/>
        <v>0</v>
      </c>
      <c r="E92" s="2" t="s">
        <v>287</v>
      </c>
      <c r="F92" s="2" t="s">
        <v>324</v>
      </c>
      <c r="G92" s="2" t="s">
        <v>277</v>
      </c>
      <c r="H92" s="2" t="str">
        <f t="shared" si="10"/>
        <v/>
      </c>
      <c r="J92" s="2" t="s">
        <v>277</v>
      </c>
      <c r="K92" s="2" t="s">
        <v>277</v>
      </c>
      <c r="L92" s="2" t="s">
        <v>277</v>
      </c>
      <c r="M92" s="2" t="s">
        <v>277</v>
      </c>
      <c r="N92" s="2" t="s">
        <v>277</v>
      </c>
      <c r="O92" s="2">
        <v>245.88300000000001</v>
      </c>
      <c r="P92" s="2" t="s">
        <v>278</v>
      </c>
      <c r="Q92" s="2" t="s">
        <v>790</v>
      </c>
      <c r="R92" s="2" t="s">
        <v>279</v>
      </c>
      <c r="S92" s="2" t="s">
        <v>791</v>
      </c>
      <c r="T92" s="2" t="s">
        <v>69</v>
      </c>
      <c r="U92" s="2" t="s">
        <v>69</v>
      </c>
      <c r="V92" s="2" t="s">
        <v>363</v>
      </c>
      <c r="W92" s="2"/>
      <c r="X92" s="2"/>
      <c r="Y92" s="2" t="s">
        <v>69</v>
      </c>
      <c r="Z92" s="2" t="s">
        <v>69</v>
      </c>
      <c r="AA92" s="2" t="s">
        <v>277</v>
      </c>
      <c r="AB92" s="69" t="str">
        <f t="shared" si="7"/>
        <v>n.a.</v>
      </c>
      <c r="AC92" s="2" t="s">
        <v>69</v>
      </c>
      <c r="AD92" s="2" t="s">
        <v>69</v>
      </c>
      <c r="AE92" s="2" t="s">
        <v>69</v>
      </c>
      <c r="AF92" s="2" t="s">
        <v>69</v>
      </c>
      <c r="AG92" s="2" t="s">
        <v>69</v>
      </c>
      <c r="AH92" s="2" t="s">
        <v>2028</v>
      </c>
      <c r="AI92" s="2"/>
      <c r="AJ92" s="2"/>
      <c r="AK92" s="2" t="s">
        <v>69</v>
      </c>
      <c r="AL92" s="2">
        <v>0</v>
      </c>
      <c r="AM92" s="2">
        <v>0</v>
      </c>
      <c r="AN92" s="68" t="s">
        <v>2008</v>
      </c>
    </row>
    <row r="93" spans="1:40" ht="14.25" customHeight="1" x14ac:dyDescent="0.35">
      <c r="A93" s="2" t="s">
        <v>1973</v>
      </c>
      <c r="B93" s="43" t="s">
        <v>784</v>
      </c>
      <c r="C93" s="43" t="s">
        <v>435</v>
      </c>
      <c r="D93" s="2">
        <f t="shared" si="9"/>
        <v>0</v>
      </c>
      <c r="E93" s="2" t="s">
        <v>287</v>
      </c>
      <c r="F93" s="2" t="s">
        <v>482</v>
      </c>
      <c r="G93" s="2" t="s">
        <v>277</v>
      </c>
      <c r="H93" s="2" t="str">
        <f t="shared" si="10"/>
        <v/>
      </c>
      <c r="J93" s="2" t="s">
        <v>277</v>
      </c>
      <c r="K93" s="2" t="s">
        <v>277</v>
      </c>
      <c r="L93" s="2" t="s">
        <v>277</v>
      </c>
      <c r="M93" s="2" t="s">
        <v>277</v>
      </c>
      <c r="N93" s="2" t="s">
        <v>277</v>
      </c>
      <c r="O93" s="2">
        <v>152.55000000000001</v>
      </c>
      <c r="P93" s="2" t="s">
        <v>278</v>
      </c>
      <c r="Q93" s="2">
        <v>1975</v>
      </c>
      <c r="R93" s="2" t="s">
        <v>279</v>
      </c>
      <c r="S93" s="2" t="s">
        <v>792</v>
      </c>
      <c r="T93" s="2" t="s">
        <v>69</v>
      </c>
      <c r="U93" s="2" t="s">
        <v>69</v>
      </c>
      <c r="V93" s="2" t="s">
        <v>327</v>
      </c>
      <c r="W93" s="2"/>
      <c r="X93" s="2"/>
      <c r="Y93" s="2" t="s">
        <v>69</v>
      </c>
      <c r="Z93" s="2" t="s">
        <v>69</v>
      </c>
      <c r="AA93" s="2" t="s">
        <v>277</v>
      </c>
      <c r="AB93" s="69" t="str">
        <f t="shared" si="7"/>
        <v>n.a.</v>
      </c>
      <c r="AC93" s="2" t="s">
        <v>69</v>
      </c>
      <c r="AD93" s="2" t="s">
        <v>69</v>
      </c>
      <c r="AE93" s="2" t="s">
        <v>69</v>
      </c>
      <c r="AF93" s="2" t="s">
        <v>69</v>
      </c>
      <c r="AG93" s="2" t="s">
        <v>69</v>
      </c>
      <c r="AH93" s="2" t="s">
        <v>2029</v>
      </c>
      <c r="AI93" s="2"/>
      <c r="AJ93" s="2"/>
      <c r="AK93" s="2" t="s">
        <v>69</v>
      </c>
      <c r="AL93" s="2">
        <v>0</v>
      </c>
      <c r="AM93" s="2">
        <v>119</v>
      </c>
      <c r="AN93" s="68" t="s">
        <v>2008</v>
      </c>
    </row>
    <row r="94" spans="1:40" ht="14.25" customHeight="1" x14ac:dyDescent="0.35">
      <c r="A94" s="2" t="s">
        <v>1983</v>
      </c>
      <c r="B94" s="43" t="s">
        <v>902</v>
      </c>
      <c r="C94" s="43" t="s">
        <v>435</v>
      </c>
      <c r="D94" s="2">
        <f t="shared" si="9"/>
        <v>0</v>
      </c>
      <c r="E94" s="2" t="s">
        <v>550</v>
      </c>
      <c r="F94" s="2" t="s">
        <v>332</v>
      </c>
      <c r="G94" s="2" t="s">
        <v>324</v>
      </c>
      <c r="H94" s="2" t="str">
        <f t="shared" si="10"/>
        <v/>
      </c>
      <c r="J94" s="2" t="s">
        <v>277</v>
      </c>
      <c r="K94" s="2" t="s">
        <v>277</v>
      </c>
      <c r="L94" s="2" t="s">
        <v>277</v>
      </c>
      <c r="M94" s="2" t="s">
        <v>277</v>
      </c>
      <c r="N94" s="2" t="s">
        <v>277</v>
      </c>
      <c r="O94" s="2">
        <v>415.81</v>
      </c>
      <c r="P94" s="2" t="s">
        <v>278</v>
      </c>
      <c r="Q94" s="2">
        <v>1955</v>
      </c>
      <c r="R94" s="2" t="s">
        <v>279</v>
      </c>
      <c r="S94" s="2" t="s">
        <v>916</v>
      </c>
      <c r="T94" s="2" t="s">
        <v>69</v>
      </c>
      <c r="U94" s="2" t="s">
        <v>69</v>
      </c>
      <c r="V94" s="2" t="s">
        <v>363</v>
      </c>
      <c r="W94" s="2"/>
      <c r="X94" s="2"/>
      <c r="Y94" s="2" t="s">
        <v>69</v>
      </c>
      <c r="Z94" s="2" t="s">
        <v>69</v>
      </c>
      <c r="AA94" s="2" t="s">
        <v>277</v>
      </c>
      <c r="AB94" s="69" t="str">
        <f t="shared" si="7"/>
        <v>n.a.</v>
      </c>
      <c r="AC94" s="2" t="s">
        <v>69</v>
      </c>
      <c r="AD94" s="2" t="s">
        <v>69</v>
      </c>
      <c r="AE94" s="2" t="s">
        <v>69</v>
      </c>
      <c r="AF94" s="2" t="s">
        <v>69</v>
      </c>
      <c r="AG94" s="2" t="s">
        <v>69</v>
      </c>
      <c r="AH94" s="2" t="s">
        <v>69</v>
      </c>
      <c r="AI94" s="2"/>
      <c r="AJ94" s="2"/>
      <c r="AK94" s="2" t="s">
        <v>69</v>
      </c>
      <c r="AL94" s="2">
        <v>0</v>
      </c>
      <c r="AM94" s="2" t="s">
        <v>69</v>
      </c>
      <c r="AN94" s="68" t="s">
        <v>2008</v>
      </c>
    </row>
    <row r="95" spans="1:40" ht="14.25" customHeight="1" x14ac:dyDescent="0.35">
      <c r="A95" s="2" t="s">
        <v>853</v>
      </c>
      <c r="B95" s="43" t="s">
        <v>852</v>
      </c>
      <c r="C95" s="43" t="s">
        <v>435</v>
      </c>
      <c r="D95" s="2">
        <f t="shared" si="9"/>
        <v>1</v>
      </c>
      <c r="E95" s="2" t="s">
        <v>274</v>
      </c>
      <c r="F95" s="2" t="s">
        <v>854</v>
      </c>
      <c r="G95" s="2" t="s">
        <v>569</v>
      </c>
      <c r="H95" s="2" t="str">
        <f t="shared" si="10"/>
        <v>Computer Vision</v>
      </c>
      <c r="I95" s="2" t="s">
        <v>855</v>
      </c>
      <c r="J95" s="2" t="s">
        <v>565</v>
      </c>
      <c r="K95" s="2" t="s">
        <v>380</v>
      </c>
      <c r="L95" s="2" t="s">
        <v>600</v>
      </c>
      <c r="M95" s="2" t="s">
        <v>276</v>
      </c>
      <c r="N95" s="2" t="s">
        <v>852</v>
      </c>
      <c r="O95" s="2">
        <v>8.8209999999999997</v>
      </c>
      <c r="P95" s="2" t="s">
        <v>278</v>
      </c>
      <c r="Q95" s="2" t="s">
        <v>856</v>
      </c>
      <c r="R95" s="2" t="s">
        <v>279</v>
      </c>
      <c r="S95" s="2" t="s">
        <v>857</v>
      </c>
      <c r="T95" s="2" t="s">
        <v>69</v>
      </c>
      <c r="U95" s="2" t="s">
        <v>69</v>
      </c>
      <c r="V95" s="2" t="s">
        <v>297</v>
      </c>
      <c r="W95" s="2"/>
      <c r="X95" s="2"/>
      <c r="Y95" s="2">
        <v>4</v>
      </c>
      <c r="Z95" s="2" t="s">
        <v>328</v>
      </c>
      <c r="AA95" s="2" t="s">
        <v>2042</v>
      </c>
      <c r="AB95" s="69">
        <f t="shared" si="7"/>
        <v>72.296446000000003</v>
      </c>
      <c r="AC95" s="69">
        <v>72296446</v>
      </c>
      <c r="AD95" s="2" t="s">
        <v>858</v>
      </c>
      <c r="AE95" s="2">
        <v>15</v>
      </c>
      <c r="AF95" s="2">
        <v>1</v>
      </c>
      <c r="AG95" s="2" t="s">
        <v>299</v>
      </c>
      <c r="AH95" s="2" t="s">
        <v>2028</v>
      </c>
      <c r="AI95" s="2"/>
      <c r="AJ95" s="2"/>
      <c r="AK95" s="2" t="s">
        <v>69</v>
      </c>
      <c r="AL95" s="2">
        <v>1</v>
      </c>
      <c r="AM95" s="2">
        <v>3</v>
      </c>
      <c r="AN95" s="68" t="s">
        <v>2008</v>
      </c>
    </row>
    <row r="96" spans="1:40" ht="14.25" customHeight="1" x14ac:dyDescent="0.35">
      <c r="A96" s="2" t="s">
        <v>593</v>
      </c>
      <c r="B96" s="43" t="s">
        <v>588</v>
      </c>
      <c r="C96" s="43" t="s">
        <v>435</v>
      </c>
      <c r="D96" s="2">
        <f t="shared" si="9"/>
        <v>1</v>
      </c>
      <c r="E96" s="2" t="s">
        <v>499</v>
      </c>
      <c r="F96" s="2" t="s">
        <v>588</v>
      </c>
      <c r="G96" s="2" t="s">
        <v>594</v>
      </c>
      <c r="H96" s="2" t="str">
        <f t="shared" si="10"/>
        <v>Medical</v>
      </c>
      <c r="I96" s="2" t="s">
        <v>595</v>
      </c>
      <c r="J96" s="2" t="s">
        <v>277</v>
      </c>
      <c r="K96" s="2" t="s">
        <v>277</v>
      </c>
      <c r="L96" s="2" t="s">
        <v>277</v>
      </c>
      <c r="M96" s="2" t="s">
        <v>277</v>
      </c>
      <c r="N96" s="2" t="s">
        <v>277</v>
      </c>
      <c r="O96" s="2">
        <v>935.048</v>
      </c>
      <c r="P96" s="2" t="s">
        <v>278</v>
      </c>
      <c r="Q96" s="2">
        <v>2016</v>
      </c>
      <c r="R96" s="2" t="s">
        <v>279</v>
      </c>
      <c r="S96" s="2" t="s">
        <v>596</v>
      </c>
      <c r="T96" s="2" t="s">
        <v>597</v>
      </c>
      <c r="U96" s="2" t="s">
        <v>598</v>
      </c>
      <c r="V96" s="3" t="s">
        <v>282</v>
      </c>
      <c r="W96" s="2"/>
      <c r="X96" s="3"/>
      <c r="Y96" s="2" t="s">
        <v>69</v>
      </c>
      <c r="Z96" s="2" t="s">
        <v>69</v>
      </c>
      <c r="AA96" s="2" t="s">
        <v>277</v>
      </c>
      <c r="AB96" s="69" t="str">
        <f t="shared" si="7"/>
        <v>n.a.</v>
      </c>
      <c r="AC96" s="2" t="s">
        <v>69</v>
      </c>
      <c r="AD96" s="2" t="s">
        <v>69</v>
      </c>
      <c r="AE96" s="2" t="s">
        <v>69</v>
      </c>
      <c r="AF96" s="2" t="s">
        <v>69</v>
      </c>
      <c r="AG96" s="2" t="s">
        <v>69</v>
      </c>
      <c r="AH96" s="2" t="s">
        <v>69</v>
      </c>
      <c r="AI96" s="2"/>
      <c r="AJ96" s="2"/>
      <c r="AK96" s="2">
        <v>9</v>
      </c>
      <c r="AL96" s="2">
        <v>0</v>
      </c>
      <c r="AM96" s="2" t="s">
        <v>69</v>
      </c>
      <c r="AN96" s="68" t="s">
        <v>2008</v>
      </c>
    </row>
    <row r="97" spans="1:40" ht="14.25" customHeight="1" x14ac:dyDescent="0.35">
      <c r="A97" s="2" t="s">
        <v>829</v>
      </c>
      <c r="B97" s="43" t="s">
        <v>516</v>
      </c>
      <c r="C97" s="43" t="s">
        <v>435</v>
      </c>
      <c r="D97" s="2">
        <f t="shared" si="9"/>
        <v>1</v>
      </c>
      <c r="E97" s="2" t="s">
        <v>830</v>
      </c>
      <c r="F97" s="2" t="s">
        <v>306</v>
      </c>
      <c r="G97" s="2" t="s">
        <v>516</v>
      </c>
      <c r="H97" s="2" t="str">
        <f t="shared" si="10"/>
        <v/>
      </c>
      <c r="J97" s="2" t="s">
        <v>277</v>
      </c>
      <c r="K97" s="2" t="s">
        <v>277</v>
      </c>
      <c r="L97" s="2" t="s">
        <v>277</v>
      </c>
      <c r="M97" s="2" t="s">
        <v>277</v>
      </c>
      <c r="N97" s="2" t="s">
        <v>277</v>
      </c>
      <c r="O97" s="2">
        <v>208</v>
      </c>
      <c r="P97" s="2" t="s">
        <v>278</v>
      </c>
      <c r="Q97" s="2">
        <v>1883</v>
      </c>
      <c r="R97" s="2" t="s">
        <v>279</v>
      </c>
      <c r="S97" s="2" t="s">
        <v>831</v>
      </c>
      <c r="T97" s="2" t="s">
        <v>69</v>
      </c>
      <c r="U97" s="2" t="s">
        <v>69</v>
      </c>
      <c r="V97" s="2" t="s">
        <v>327</v>
      </c>
      <c r="W97" s="2"/>
      <c r="X97" s="2"/>
      <c r="Y97" s="2">
        <v>1</v>
      </c>
      <c r="Z97" s="2" t="s">
        <v>328</v>
      </c>
      <c r="AA97" s="2" t="s">
        <v>2042</v>
      </c>
      <c r="AB97" s="69">
        <f t="shared" ref="AB97:AB128" si="11">IF(AC97&lt;&gt;"n.a.",IF(AA97="€",(AC97*1.07)/1000000,IF(AA97="£",(AC97*1.26)/1000000,IF(AA97="CA",(0.73*AC97)/1000000,AC97/1000000))),AC97)</f>
        <v>550</v>
      </c>
      <c r="AC97" s="69">
        <v>550000000</v>
      </c>
      <c r="AD97" s="2" t="s">
        <v>832</v>
      </c>
      <c r="AE97" s="2">
        <v>1</v>
      </c>
      <c r="AF97" s="2">
        <v>12</v>
      </c>
      <c r="AG97" s="2" t="s">
        <v>299</v>
      </c>
      <c r="AH97" s="2" t="s">
        <v>2035</v>
      </c>
      <c r="AI97" s="2"/>
      <c r="AJ97" s="2"/>
      <c r="AK97" s="2">
        <v>4</v>
      </c>
      <c r="AL97" s="2">
        <v>1</v>
      </c>
      <c r="AM97" s="2">
        <v>17</v>
      </c>
      <c r="AN97" s="68" t="s">
        <v>2008</v>
      </c>
    </row>
    <row r="98" spans="1:40" ht="14.25" customHeight="1" x14ac:dyDescent="0.35">
      <c r="A98" s="2" t="s">
        <v>1976</v>
      </c>
      <c r="B98" s="43" t="s">
        <v>398</v>
      </c>
      <c r="C98" s="43" t="s">
        <v>435</v>
      </c>
      <c r="D98" s="2">
        <f t="shared" si="9"/>
        <v>0</v>
      </c>
      <c r="F98" s="2" t="s">
        <v>277</v>
      </c>
      <c r="G98" s="2" t="s">
        <v>277</v>
      </c>
      <c r="H98" s="2" t="str">
        <f t="shared" si="10"/>
        <v/>
      </c>
      <c r="J98" s="2" t="s">
        <v>277</v>
      </c>
      <c r="K98" s="2" t="s">
        <v>277</v>
      </c>
      <c r="L98" s="2" t="s">
        <v>277</v>
      </c>
      <c r="M98" s="2" t="s">
        <v>277</v>
      </c>
      <c r="N98" s="2" t="s">
        <v>277</v>
      </c>
      <c r="S98" s="2" t="s">
        <v>905</v>
      </c>
      <c r="W98" s="2"/>
      <c r="AA98" s="2" t="s">
        <v>277</v>
      </c>
      <c r="AB98" s="69">
        <f t="shared" si="11"/>
        <v>0</v>
      </c>
      <c r="AL98">
        <v>0</v>
      </c>
      <c r="AN98" s="68" t="s">
        <v>2008</v>
      </c>
    </row>
    <row r="99" spans="1:40" ht="14.25" customHeight="1" x14ac:dyDescent="0.35">
      <c r="A99" s="2" t="s">
        <v>663</v>
      </c>
      <c r="B99" s="43" t="s">
        <v>660</v>
      </c>
      <c r="C99" s="43" t="s">
        <v>435</v>
      </c>
      <c r="D99" s="2">
        <f t="shared" si="9"/>
        <v>1</v>
      </c>
      <c r="E99" s="2" t="s">
        <v>664</v>
      </c>
      <c r="F99" s="2" t="s">
        <v>588</v>
      </c>
      <c r="G99" s="2" t="s">
        <v>660</v>
      </c>
      <c r="H99" s="2" t="str">
        <f t="shared" si="10"/>
        <v/>
      </c>
      <c r="J99" s="2" t="s">
        <v>277</v>
      </c>
      <c r="K99" s="2" t="s">
        <v>277</v>
      </c>
      <c r="L99" s="2" t="s">
        <v>277</v>
      </c>
      <c r="M99" s="2" t="s">
        <v>277</v>
      </c>
      <c r="N99" s="2" t="s">
        <v>277</v>
      </c>
      <c r="O99" s="2">
        <v>71.606999999999999</v>
      </c>
      <c r="P99" s="2" t="s">
        <v>278</v>
      </c>
      <c r="Q99" s="2" t="s">
        <v>665</v>
      </c>
      <c r="R99" s="2" t="s">
        <v>279</v>
      </c>
      <c r="S99" s="2" t="s">
        <v>666</v>
      </c>
      <c r="T99" s="2" t="s">
        <v>667</v>
      </c>
      <c r="U99" s="2" t="s">
        <v>69</v>
      </c>
      <c r="V99" s="2" t="s">
        <v>327</v>
      </c>
      <c r="W99" s="2"/>
      <c r="X99" s="2"/>
      <c r="Y99" s="2" t="s">
        <v>69</v>
      </c>
      <c r="Z99" s="2" t="s">
        <v>69</v>
      </c>
      <c r="AA99" s="2" t="s">
        <v>277</v>
      </c>
      <c r="AB99" s="69" t="str">
        <f t="shared" si="11"/>
        <v>n.a.</v>
      </c>
      <c r="AC99" s="2" t="s">
        <v>69</v>
      </c>
      <c r="AD99" s="2" t="s">
        <v>69</v>
      </c>
      <c r="AE99" s="2" t="s">
        <v>69</v>
      </c>
      <c r="AF99" s="2">
        <v>8</v>
      </c>
      <c r="AG99" s="2" t="s">
        <v>299</v>
      </c>
      <c r="AH99" s="2" t="s">
        <v>2035</v>
      </c>
      <c r="AI99" s="2"/>
      <c r="AJ99" s="2"/>
      <c r="AK99" s="2">
        <v>26</v>
      </c>
      <c r="AL99" s="2">
        <v>0</v>
      </c>
      <c r="AM99" s="2">
        <v>52</v>
      </c>
      <c r="AN99" s="68" t="s">
        <v>2008</v>
      </c>
    </row>
    <row r="100" spans="1:40" ht="14.25" customHeight="1" x14ac:dyDescent="0.35">
      <c r="A100" s="2" t="s">
        <v>833</v>
      </c>
      <c r="B100" s="43" t="s">
        <v>516</v>
      </c>
      <c r="C100" s="43" t="s">
        <v>435</v>
      </c>
      <c r="D100" s="2">
        <f t="shared" si="9"/>
        <v>1</v>
      </c>
      <c r="E100" s="2" t="s">
        <v>799</v>
      </c>
      <c r="F100" s="2" t="s">
        <v>575</v>
      </c>
      <c r="G100" s="2" t="s">
        <v>654</v>
      </c>
      <c r="H100" s="2" t="str">
        <f t="shared" si="10"/>
        <v>Retail</v>
      </c>
      <c r="I100" s="2" t="s">
        <v>834</v>
      </c>
      <c r="J100" s="2" t="s">
        <v>277</v>
      </c>
      <c r="K100" s="2" t="s">
        <v>277</v>
      </c>
      <c r="L100" s="2" t="s">
        <v>277</v>
      </c>
      <c r="M100" s="2" t="s">
        <v>277</v>
      </c>
      <c r="N100" s="2" t="s">
        <v>277</v>
      </c>
      <c r="O100" s="2">
        <v>49.518000000000001</v>
      </c>
      <c r="P100" s="2" t="s">
        <v>278</v>
      </c>
      <c r="Q100" s="2" t="s">
        <v>835</v>
      </c>
      <c r="R100" s="2" t="s">
        <v>279</v>
      </c>
      <c r="S100" s="2" t="s">
        <v>836</v>
      </c>
      <c r="T100" s="2" t="s">
        <v>69</v>
      </c>
      <c r="U100" s="2" t="s">
        <v>69</v>
      </c>
      <c r="V100" s="2" t="s">
        <v>327</v>
      </c>
      <c r="W100" s="2"/>
      <c r="X100" s="2"/>
      <c r="Y100" s="2" t="s">
        <v>69</v>
      </c>
      <c r="Z100" s="2" t="s">
        <v>69</v>
      </c>
      <c r="AA100" s="2" t="s">
        <v>277</v>
      </c>
      <c r="AB100" s="69" t="str">
        <f t="shared" si="11"/>
        <v>n.a.</v>
      </c>
      <c r="AC100" s="2" t="s">
        <v>69</v>
      </c>
      <c r="AD100" s="2" t="s">
        <v>69</v>
      </c>
      <c r="AE100" s="2" t="s">
        <v>69</v>
      </c>
      <c r="AF100" s="2">
        <v>1</v>
      </c>
      <c r="AG100" s="2" t="s">
        <v>299</v>
      </c>
      <c r="AH100" s="2" t="s">
        <v>69</v>
      </c>
      <c r="AI100" s="2"/>
      <c r="AJ100" s="2"/>
      <c r="AK100" s="2" t="s">
        <v>69</v>
      </c>
      <c r="AL100" s="2">
        <v>0</v>
      </c>
      <c r="AM100" s="2">
        <v>18</v>
      </c>
      <c r="AN100" s="68" t="s">
        <v>2008</v>
      </c>
    </row>
    <row r="101" spans="1:40" ht="14.25" customHeight="1" x14ac:dyDescent="0.35">
      <c r="A101" s="2" t="s">
        <v>732</v>
      </c>
      <c r="B101" s="43" t="s">
        <v>319</v>
      </c>
      <c r="C101" s="43" t="s">
        <v>435</v>
      </c>
      <c r="D101" s="2">
        <f t="shared" si="9"/>
        <v>0</v>
      </c>
      <c r="E101" s="2" t="s">
        <v>425</v>
      </c>
      <c r="F101" s="2" t="s">
        <v>733</v>
      </c>
      <c r="G101" s="2" t="s">
        <v>324</v>
      </c>
      <c r="H101" s="2" t="str">
        <f t="shared" si="10"/>
        <v/>
      </c>
      <c r="J101" s="2" t="s">
        <v>277</v>
      </c>
      <c r="K101" s="2" t="s">
        <v>277</v>
      </c>
      <c r="L101" s="2" t="s">
        <v>277</v>
      </c>
      <c r="M101" s="2" t="s">
        <v>277</v>
      </c>
      <c r="N101" s="2" t="s">
        <v>277</v>
      </c>
      <c r="O101" s="2">
        <v>23.998999999999999</v>
      </c>
      <c r="P101" s="2" t="s">
        <v>278</v>
      </c>
      <c r="Q101" s="2">
        <v>2015</v>
      </c>
      <c r="R101" s="2" t="s">
        <v>279</v>
      </c>
      <c r="S101" s="2" t="s">
        <v>734</v>
      </c>
      <c r="T101" s="2" t="s">
        <v>69</v>
      </c>
      <c r="U101" s="2" t="s">
        <v>69</v>
      </c>
      <c r="V101" s="3" t="s">
        <v>282</v>
      </c>
      <c r="W101" s="2"/>
      <c r="X101" s="3"/>
      <c r="Y101" s="2">
        <v>6</v>
      </c>
      <c r="Z101" s="2" t="s">
        <v>69</v>
      </c>
      <c r="AA101" s="2" t="s">
        <v>2042</v>
      </c>
      <c r="AB101" s="69">
        <f t="shared" si="11"/>
        <v>14.555705</v>
      </c>
      <c r="AC101" s="69">
        <v>14555705</v>
      </c>
      <c r="AD101" s="2" t="s">
        <v>735</v>
      </c>
      <c r="AE101" s="2">
        <v>9</v>
      </c>
      <c r="AF101" s="2" t="s">
        <v>69</v>
      </c>
      <c r="AG101" s="2" t="s">
        <v>69</v>
      </c>
      <c r="AH101" s="2" t="s">
        <v>69</v>
      </c>
      <c r="AI101" s="2"/>
      <c r="AJ101" s="2"/>
      <c r="AK101" s="2" t="s">
        <v>69</v>
      </c>
      <c r="AL101" s="2">
        <v>0</v>
      </c>
      <c r="AM101" s="2">
        <v>0</v>
      </c>
      <c r="AN101" s="68" t="s">
        <v>2008</v>
      </c>
    </row>
    <row r="102" spans="1:40" ht="14.25" customHeight="1" x14ac:dyDescent="0.35">
      <c r="A102" s="2" t="s">
        <v>582</v>
      </c>
      <c r="B102" s="43" t="str">
        <f>IF(ISNUMBER(SEARCH(",",E102)),LEFT(E102,SEARCH(",",E102)-1),E102)</f>
        <v>Environmental Engineering</v>
      </c>
      <c r="C102" s="43" t="s">
        <v>435</v>
      </c>
      <c r="D102" s="2">
        <f t="shared" si="9"/>
        <v>1</v>
      </c>
      <c r="E102" s="2" t="s">
        <v>583</v>
      </c>
      <c r="F102" s="2" t="s">
        <v>482</v>
      </c>
      <c r="G102" s="2" t="s">
        <v>584</v>
      </c>
      <c r="H102" s="2" t="str">
        <f t="shared" si="10"/>
        <v>Transportation</v>
      </c>
      <c r="I102" s="2" t="s">
        <v>301</v>
      </c>
      <c r="J102" s="2" t="s">
        <v>277</v>
      </c>
      <c r="K102" s="2" t="s">
        <v>277</v>
      </c>
      <c r="L102" s="2" t="s">
        <v>277</v>
      </c>
      <c r="M102" s="2" t="s">
        <v>277</v>
      </c>
      <c r="N102" s="2" t="s">
        <v>277</v>
      </c>
      <c r="O102" s="2">
        <v>7.952</v>
      </c>
      <c r="P102" s="2" t="s">
        <v>278</v>
      </c>
      <c r="Q102" s="2">
        <v>2008</v>
      </c>
      <c r="R102" s="2" t="s">
        <v>279</v>
      </c>
      <c r="S102" s="2" t="s">
        <v>585</v>
      </c>
      <c r="T102" s="2" t="s">
        <v>69</v>
      </c>
      <c r="U102" s="2" t="s">
        <v>69</v>
      </c>
      <c r="V102" s="2" t="s">
        <v>297</v>
      </c>
      <c r="W102" s="2"/>
      <c r="X102" s="2"/>
      <c r="Y102" s="2">
        <v>7</v>
      </c>
      <c r="Z102" s="2" t="s">
        <v>328</v>
      </c>
      <c r="AA102" s="2" t="s">
        <v>2042</v>
      </c>
      <c r="AB102" s="69">
        <f t="shared" si="11"/>
        <v>222.1</v>
      </c>
      <c r="AC102" s="69">
        <v>222100000</v>
      </c>
      <c r="AD102" s="2" t="s">
        <v>586</v>
      </c>
      <c r="AE102" s="2">
        <v>3</v>
      </c>
      <c r="AF102" s="2" t="s">
        <v>69</v>
      </c>
      <c r="AG102" s="2" t="s">
        <v>69</v>
      </c>
      <c r="AH102" s="2" t="s">
        <v>2032</v>
      </c>
      <c r="AI102" s="2"/>
      <c r="AJ102" s="2"/>
      <c r="AK102" s="2" t="s">
        <v>69</v>
      </c>
      <c r="AL102" s="2">
        <v>1</v>
      </c>
      <c r="AM102" s="2">
        <v>0</v>
      </c>
      <c r="AN102" s="68" t="s">
        <v>2008</v>
      </c>
    </row>
    <row r="103" spans="1:40" ht="14.25" customHeight="1" x14ac:dyDescent="0.35">
      <c r="A103" s="2" t="s">
        <v>697</v>
      </c>
      <c r="B103" s="43" t="s">
        <v>306</v>
      </c>
      <c r="C103" s="43" t="s">
        <v>435</v>
      </c>
      <c r="D103" s="2">
        <f t="shared" si="9"/>
        <v>0</v>
      </c>
      <c r="E103" s="2" t="s">
        <v>281</v>
      </c>
      <c r="F103" s="2" t="s">
        <v>277</v>
      </c>
      <c r="G103" s="2" t="s">
        <v>277</v>
      </c>
      <c r="H103" s="2" t="str">
        <f t="shared" si="10"/>
        <v/>
      </c>
      <c r="J103" s="2" t="s">
        <v>277</v>
      </c>
      <c r="K103" s="2" t="s">
        <v>277</v>
      </c>
      <c r="L103" s="2" t="s">
        <v>277</v>
      </c>
      <c r="M103" s="2" t="s">
        <v>277</v>
      </c>
      <c r="N103" s="2" t="s">
        <v>277</v>
      </c>
      <c r="O103" s="2">
        <v>280.15899999999999</v>
      </c>
      <c r="P103" s="2" t="s">
        <v>278</v>
      </c>
      <c r="Q103" s="2" t="s">
        <v>698</v>
      </c>
      <c r="R103" s="2" t="s">
        <v>279</v>
      </c>
      <c r="S103" s="2" t="s">
        <v>699</v>
      </c>
      <c r="T103" s="2" t="s">
        <v>69</v>
      </c>
      <c r="U103" s="2" t="s">
        <v>69</v>
      </c>
      <c r="V103" s="3" t="s">
        <v>282</v>
      </c>
      <c r="W103" s="2"/>
      <c r="X103" s="3"/>
      <c r="Y103" s="2" t="s">
        <v>69</v>
      </c>
      <c r="Z103" s="2" t="s">
        <v>69</v>
      </c>
      <c r="AA103" s="2" t="s">
        <v>277</v>
      </c>
      <c r="AB103" s="69" t="str">
        <f t="shared" si="11"/>
        <v>n.a.</v>
      </c>
      <c r="AC103" s="2" t="s">
        <v>69</v>
      </c>
      <c r="AD103" s="2" t="s">
        <v>69</v>
      </c>
      <c r="AE103" s="2" t="s">
        <v>69</v>
      </c>
      <c r="AF103" s="2" t="s">
        <v>69</v>
      </c>
      <c r="AG103" s="2" t="s">
        <v>69</v>
      </c>
      <c r="AH103" s="2" t="s">
        <v>69</v>
      </c>
      <c r="AI103" s="2"/>
      <c r="AJ103" s="2"/>
      <c r="AK103" s="2" t="s">
        <v>69</v>
      </c>
      <c r="AL103" s="2">
        <v>0</v>
      </c>
      <c r="AM103" s="2">
        <v>0</v>
      </c>
      <c r="AN103" s="68" t="s">
        <v>2008</v>
      </c>
    </row>
    <row r="104" spans="1:40" ht="14.25" customHeight="1" x14ac:dyDescent="0.35">
      <c r="A104" s="2" t="s">
        <v>863</v>
      </c>
      <c r="B104" s="43" t="s">
        <v>368</v>
      </c>
      <c r="C104" s="43" t="s">
        <v>435</v>
      </c>
      <c r="D104" s="2">
        <f t="shared" si="9"/>
        <v>1</v>
      </c>
      <c r="E104" s="2" t="s">
        <v>287</v>
      </c>
      <c r="F104" s="2" t="s">
        <v>288</v>
      </c>
      <c r="G104" s="2" t="s">
        <v>368</v>
      </c>
      <c r="H104" s="2" t="str">
        <f t="shared" si="10"/>
        <v>Software</v>
      </c>
      <c r="I104" s="2" t="s">
        <v>387</v>
      </c>
      <c r="J104" s="2" t="s">
        <v>277</v>
      </c>
      <c r="K104" s="2" t="s">
        <v>277</v>
      </c>
      <c r="L104" s="2" t="s">
        <v>277</v>
      </c>
      <c r="M104" s="2" t="s">
        <v>277</v>
      </c>
      <c r="N104" s="2" t="s">
        <v>277</v>
      </c>
      <c r="O104" s="2">
        <v>688</v>
      </c>
      <c r="P104" s="2" t="s">
        <v>278</v>
      </c>
      <c r="Q104" s="2">
        <v>2012</v>
      </c>
      <c r="R104" s="2" t="s">
        <v>279</v>
      </c>
      <c r="S104" s="2" t="s">
        <v>864</v>
      </c>
      <c r="T104" s="2" t="s">
        <v>69</v>
      </c>
      <c r="U104" s="2" t="s">
        <v>69</v>
      </c>
      <c r="V104" s="2" t="s">
        <v>337</v>
      </c>
      <c r="W104" s="2"/>
      <c r="X104" s="2"/>
      <c r="Y104" s="2">
        <v>11</v>
      </c>
      <c r="Z104" s="2" t="s">
        <v>328</v>
      </c>
      <c r="AA104" s="2" t="s">
        <v>2042</v>
      </c>
      <c r="AB104" s="69">
        <f t="shared" si="11"/>
        <v>779.75</v>
      </c>
      <c r="AC104" s="69">
        <v>779750000</v>
      </c>
      <c r="AD104" s="2" t="s">
        <v>865</v>
      </c>
      <c r="AE104" s="2">
        <v>25</v>
      </c>
      <c r="AF104" s="2">
        <v>2</v>
      </c>
      <c r="AG104" s="2" t="s">
        <v>299</v>
      </c>
      <c r="AH104" s="2" t="s">
        <v>2032</v>
      </c>
      <c r="AI104" s="2"/>
      <c r="AJ104" s="2"/>
      <c r="AK104" s="2">
        <v>2</v>
      </c>
      <c r="AL104" s="2">
        <v>1</v>
      </c>
      <c r="AM104" s="2">
        <v>168</v>
      </c>
      <c r="AN104" s="68" t="s">
        <v>2008</v>
      </c>
    </row>
    <row r="105" spans="1:40" ht="14.25" customHeight="1" x14ac:dyDescent="0.35">
      <c r="A105" s="2" t="s">
        <v>793</v>
      </c>
      <c r="B105" s="43" t="s">
        <v>784</v>
      </c>
      <c r="C105" s="43" t="s">
        <v>435</v>
      </c>
      <c r="D105" s="2">
        <f t="shared" si="9"/>
        <v>0</v>
      </c>
      <c r="E105" s="2" t="s">
        <v>287</v>
      </c>
      <c r="F105" s="2" t="s">
        <v>482</v>
      </c>
      <c r="G105" s="2" t="s">
        <v>324</v>
      </c>
      <c r="H105" s="2" t="str">
        <f t="shared" si="10"/>
        <v/>
      </c>
      <c r="J105" s="2" t="s">
        <v>277</v>
      </c>
      <c r="K105" s="2" t="s">
        <v>277</v>
      </c>
      <c r="L105" s="2" t="s">
        <v>277</v>
      </c>
      <c r="M105" s="2" t="s">
        <v>277</v>
      </c>
      <c r="N105" s="2" t="s">
        <v>277</v>
      </c>
      <c r="O105" s="2">
        <v>195.71299999999999</v>
      </c>
      <c r="P105" s="2" t="s">
        <v>278</v>
      </c>
      <c r="Q105" s="2">
        <v>1898</v>
      </c>
      <c r="R105" s="2" t="s">
        <v>279</v>
      </c>
      <c r="S105" s="2" t="s">
        <v>794</v>
      </c>
      <c r="T105" s="2" t="s">
        <v>69</v>
      </c>
      <c r="U105" s="2" t="s">
        <v>69</v>
      </c>
      <c r="V105" s="2" t="s">
        <v>327</v>
      </c>
      <c r="W105" s="2"/>
      <c r="X105" s="2"/>
      <c r="Y105" s="2" t="s">
        <v>69</v>
      </c>
      <c r="Z105" s="2" t="s">
        <v>69</v>
      </c>
      <c r="AA105" s="2" t="s">
        <v>277</v>
      </c>
      <c r="AB105" s="69" t="str">
        <f t="shared" si="11"/>
        <v>n.a.</v>
      </c>
      <c r="AC105" s="2" t="s">
        <v>69</v>
      </c>
      <c r="AD105" s="2" t="s">
        <v>69</v>
      </c>
      <c r="AE105" s="2" t="s">
        <v>69</v>
      </c>
      <c r="AF105" s="2" t="s">
        <v>69</v>
      </c>
      <c r="AG105" s="2" t="s">
        <v>69</v>
      </c>
      <c r="AH105" s="2" t="s">
        <v>2029</v>
      </c>
      <c r="AI105" s="2"/>
      <c r="AJ105" s="2"/>
      <c r="AK105" s="2">
        <v>1</v>
      </c>
      <c r="AL105" s="2">
        <v>0</v>
      </c>
      <c r="AM105" s="2">
        <v>277</v>
      </c>
      <c r="AN105" s="68" t="s">
        <v>2008</v>
      </c>
    </row>
    <row r="106" spans="1:40" ht="14.25" customHeight="1" x14ac:dyDescent="0.35">
      <c r="A106" s="2" t="s">
        <v>510</v>
      </c>
      <c r="B106" s="43" t="s">
        <v>481</v>
      </c>
      <c r="C106" s="43" t="s">
        <v>435</v>
      </c>
      <c r="D106" s="2">
        <f t="shared" si="9"/>
        <v>0</v>
      </c>
      <c r="E106" s="2" t="s">
        <v>287</v>
      </c>
      <c r="F106" s="2" t="s">
        <v>498</v>
      </c>
      <c r="G106" s="2" t="s">
        <v>482</v>
      </c>
      <c r="H106" s="2" t="str">
        <f t="shared" si="10"/>
        <v/>
      </c>
      <c r="J106" s="2" t="s">
        <v>277</v>
      </c>
      <c r="K106" s="2" t="s">
        <v>277</v>
      </c>
      <c r="L106" s="2" t="s">
        <v>277</v>
      </c>
      <c r="M106" s="2" t="s">
        <v>277</v>
      </c>
      <c r="N106" s="2" t="s">
        <v>277</v>
      </c>
      <c r="O106" s="2">
        <v>86.174999999999997</v>
      </c>
      <c r="P106" s="2" t="s">
        <v>278</v>
      </c>
      <c r="Q106" s="2">
        <v>1889</v>
      </c>
      <c r="R106" s="2" t="s">
        <v>279</v>
      </c>
      <c r="S106" s="2" t="s">
        <v>511</v>
      </c>
      <c r="T106" s="2" t="s">
        <v>69</v>
      </c>
      <c r="U106" s="2" t="s">
        <v>69</v>
      </c>
      <c r="V106" s="2" t="s">
        <v>327</v>
      </c>
      <c r="W106" s="2"/>
      <c r="X106" s="2"/>
      <c r="Y106" s="2" t="s">
        <v>69</v>
      </c>
      <c r="Z106" s="2" t="s">
        <v>328</v>
      </c>
      <c r="AA106" s="2" t="s">
        <v>277</v>
      </c>
      <c r="AB106" s="69" t="str">
        <f t="shared" si="11"/>
        <v>n.a.</v>
      </c>
      <c r="AC106" s="2" t="s">
        <v>69</v>
      </c>
      <c r="AD106" s="2" t="s">
        <v>69</v>
      </c>
      <c r="AE106" s="2" t="s">
        <v>69</v>
      </c>
      <c r="AF106" s="2">
        <v>20</v>
      </c>
      <c r="AG106" s="2" t="s">
        <v>299</v>
      </c>
      <c r="AH106" s="2" t="s">
        <v>2029</v>
      </c>
      <c r="AI106" s="2"/>
      <c r="AJ106" s="2"/>
      <c r="AK106" s="2">
        <v>2</v>
      </c>
      <c r="AL106" s="2">
        <v>1</v>
      </c>
      <c r="AM106" s="2">
        <v>3.6120000000000001</v>
      </c>
      <c r="AN106" s="68" t="s">
        <v>2008</v>
      </c>
    </row>
    <row r="107" spans="1:40" ht="14.25" customHeight="1" x14ac:dyDescent="0.35">
      <c r="A107" s="2" t="s">
        <v>872</v>
      </c>
      <c r="B107" s="43" t="s">
        <v>1992</v>
      </c>
      <c r="C107" s="43" t="s">
        <v>435</v>
      </c>
      <c r="D107" s="2">
        <f t="shared" ref="D107:D138" si="12">COUNTIF(E107:N107,B107)</f>
        <v>0</v>
      </c>
      <c r="E107" s="2" t="s">
        <v>873</v>
      </c>
      <c r="F107" s="2" t="s">
        <v>874</v>
      </c>
      <c r="G107" s="2" t="s">
        <v>875</v>
      </c>
      <c r="H107" s="2" t="str">
        <f t="shared" ref="H107:H138" si="13">IF(NOT(ISBLANK(I107)),RIGHT(I107,LEN(I107)-1),"")</f>
        <v>Enterprise Software</v>
      </c>
      <c r="I107" s="2" t="s">
        <v>460</v>
      </c>
      <c r="J107" s="2" t="s">
        <v>876</v>
      </c>
      <c r="K107" s="2" t="s">
        <v>315</v>
      </c>
      <c r="L107" s="2" t="s">
        <v>277</v>
      </c>
      <c r="M107" s="2" t="s">
        <v>277</v>
      </c>
      <c r="N107" s="2" t="s">
        <v>277</v>
      </c>
      <c r="O107" s="2">
        <v>82</v>
      </c>
      <c r="P107" s="2" t="s">
        <v>278</v>
      </c>
      <c r="Q107" s="2" t="s">
        <v>877</v>
      </c>
      <c r="R107" s="2" t="s">
        <v>279</v>
      </c>
      <c r="S107" s="2" t="s">
        <v>878</v>
      </c>
      <c r="T107" s="2" t="s">
        <v>69</v>
      </c>
      <c r="U107" s="2" t="s">
        <v>879</v>
      </c>
      <c r="V107" s="2" t="s">
        <v>327</v>
      </c>
      <c r="W107" s="2"/>
      <c r="X107" s="2"/>
      <c r="Y107" s="2">
        <v>2</v>
      </c>
      <c r="Z107" s="2" t="s">
        <v>328</v>
      </c>
      <c r="AA107" s="2" t="s">
        <v>2042</v>
      </c>
      <c r="AB107" s="69">
        <f t="shared" si="11"/>
        <v>1</v>
      </c>
      <c r="AC107" s="69">
        <v>1000000</v>
      </c>
      <c r="AD107" s="2" t="s">
        <v>862</v>
      </c>
      <c r="AE107" s="2">
        <v>2</v>
      </c>
      <c r="AF107" s="2">
        <v>255</v>
      </c>
      <c r="AG107" s="2" t="s">
        <v>299</v>
      </c>
      <c r="AH107" s="2" t="s">
        <v>2035</v>
      </c>
      <c r="AI107" s="2"/>
      <c r="AJ107" s="2"/>
      <c r="AK107" s="2">
        <v>218</v>
      </c>
      <c r="AL107" s="2">
        <v>1</v>
      </c>
      <c r="AM107" s="2">
        <v>56.52</v>
      </c>
      <c r="AN107" s="68" t="s">
        <v>2008</v>
      </c>
    </row>
    <row r="108" spans="1:40" ht="14.25" customHeight="1" x14ac:dyDescent="0.35">
      <c r="A108" s="2" t="s">
        <v>1960</v>
      </c>
      <c r="B108" s="43" t="s">
        <v>473</v>
      </c>
      <c r="C108" s="43" t="s">
        <v>435</v>
      </c>
      <c r="D108" s="2">
        <f t="shared" si="12"/>
        <v>0</v>
      </c>
      <c r="F108" s="2" t="s">
        <v>277</v>
      </c>
      <c r="G108" s="2" t="s">
        <v>277</v>
      </c>
      <c r="H108" s="2" t="str">
        <f t="shared" si="13"/>
        <v/>
      </c>
      <c r="J108" s="2" t="s">
        <v>277</v>
      </c>
      <c r="K108" s="2" t="s">
        <v>277</v>
      </c>
      <c r="L108" s="2" t="s">
        <v>277</v>
      </c>
      <c r="M108" s="2" t="s">
        <v>277</v>
      </c>
      <c r="N108" s="2" t="s">
        <v>277</v>
      </c>
      <c r="S108" s="5" t="s">
        <v>851</v>
      </c>
      <c r="W108" s="2"/>
      <c r="AA108" s="2" t="s">
        <v>277</v>
      </c>
      <c r="AB108" s="69">
        <f t="shared" si="11"/>
        <v>0</v>
      </c>
      <c r="AL108">
        <v>0</v>
      </c>
      <c r="AN108" s="68" t="s">
        <v>2008</v>
      </c>
    </row>
    <row r="109" spans="1:40" ht="14.25" customHeight="1" x14ac:dyDescent="0.35">
      <c r="A109" s="2" t="s">
        <v>1971</v>
      </c>
      <c r="B109" s="43" t="s">
        <v>398</v>
      </c>
      <c r="C109" s="43" t="s">
        <v>435</v>
      </c>
      <c r="D109" s="2">
        <f t="shared" si="12"/>
        <v>0</v>
      </c>
      <c r="F109" s="2" t="s">
        <v>277</v>
      </c>
      <c r="G109" s="2" t="s">
        <v>277</v>
      </c>
      <c r="H109" s="2" t="str">
        <f t="shared" si="13"/>
        <v/>
      </c>
      <c r="J109" s="2" t="s">
        <v>277</v>
      </c>
      <c r="K109" s="2" t="s">
        <v>277</v>
      </c>
      <c r="L109" s="2" t="s">
        <v>277</v>
      </c>
      <c r="M109" s="2" t="s">
        <v>277</v>
      </c>
      <c r="N109" s="2" t="s">
        <v>277</v>
      </c>
      <c r="S109" s="2" t="s">
        <v>906</v>
      </c>
      <c r="W109" s="2"/>
      <c r="AA109" s="2" t="s">
        <v>277</v>
      </c>
      <c r="AB109" s="69">
        <f t="shared" si="11"/>
        <v>0</v>
      </c>
      <c r="AL109">
        <v>0</v>
      </c>
      <c r="AN109" s="68" t="s">
        <v>2008</v>
      </c>
    </row>
    <row r="110" spans="1:40" ht="14.25" customHeight="1" x14ac:dyDescent="0.35">
      <c r="A110" s="2" t="s">
        <v>563</v>
      </c>
      <c r="B110" s="43" t="str">
        <f>IF(ISNUMBER(SEARCH(",",E110)),LEFT(E110,SEARCH(",",E110)-1),E110)</f>
        <v>Cyber Security</v>
      </c>
      <c r="C110" s="43" t="s">
        <v>435</v>
      </c>
      <c r="D110" s="2">
        <f t="shared" si="12"/>
        <v>1</v>
      </c>
      <c r="E110" s="2" t="s">
        <v>564</v>
      </c>
      <c r="F110" s="2" t="s">
        <v>565</v>
      </c>
      <c r="G110" s="2" t="s">
        <v>277</v>
      </c>
      <c r="H110" s="2" t="str">
        <f t="shared" si="13"/>
        <v/>
      </c>
      <c r="J110" s="2" t="s">
        <v>277</v>
      </c>
      <c r="K110" s="2" t="s">
        <v>277</v>
      </c>
      <c r="L110" s="2" t="s">
        <v>277</v>
      </c>
      <c r="M110" s="2" t="s">
        <v>277</v>
      </c>
      <c r="N110" s="2" t="s">
        <v>277</v>
      </c>
      <c r="O110" s="2">
        <v>31.382000000000001</v>
      </c>
      <c r="P110" s="2" t="s">
        <v>278</v>
      </c>
      <c r="Q110" s="2">
        <v>2014</v>
      </c>
      <c r="R110" s="2" t="s">
        <v>279</v>
      </c>
      <c r="S110" s="2" t="s">
        <v>566</v>
      </c>
      <c r="T110" s="2" t="s">
        <v>69</v>
      </c>
      <c r="U110" s="2" t="s">
        <v>69</v>
      </c>
      <c r="V110" s="3" t="s">
        <v>282</v>
      </c>
      <c r="W110" s="2"/>
      <c r="X110" s="3"/>
      <c r="Y110" s="2">
        <v>7</v>
      </c>
      <c r="Z110" s="2" t="s">
        <v>291</v>
      </c>
      <c r="AA110" s="2" t="s">
        <v>2042</v>
      </c>
      <c r="AB110" s="69">
        <f t="shared" si="11"/>
        <v>22.515999999999998</v>
      </c>
      <c r="AC110" s="69">
        <v>22516000</v>
      </c>
      <c r="AD110" s="2" t="s">
        <v>567</v>
      </c>
      <c r="AE110" s="2">
        <v>9</v>
      </c>
      <c r="AF110" s="2" t="s">
        <v>69</v>
      </c>
      <c r="AG110" s="2" t="s">
        <v>69</v>
      </c>
      <c r="AH110" s="2" t="s">
        <v>2028</v>
      </c>
      <c r="AI110" s="2"/>
      <c r="AJ110" s="2"/>
      <c r="AK110" s="2" t="s">
        <v>69</v>
      </c>
      <c r="AL110" s="2">
        <v>0</v>
      </c>
      <c r="AM110" s="2">
        <v>8</v>
      </c>
      <c r="AN110" s="68" t="s">
        <v>2008</v>
      </c>
    </row>
    <row r="111" spans="1:40" ht="14.25" customHeight="1" x14ac:dyDescent="0.35">
      <c r="A111" s="2" t="s">
        <v>467</v>
      </c>
      <c r="B111" s="43" t="str">
        <f>IF(ISNUMBER(SEARCH(",",E111)),LEFT(E111,SEARCH(",",E111)-1),E111)</f>
        <v>Artificial Intelligence (AI)</v>
      </c>
      <c r="C111" s="43" t="s">
        <v>435</v>
      </c>
      <c r="D111" s="2">
        <f t="shared" si="12"/>
        <v>1</v>
      </c>
      <c r="E111" s="2" t="s">
        <v>274</v>
      </c>
      <c r="F111" s="2" t="s">
        <v>468</v>
      </c>
      <c r="G111" s="2" t="s">
        <v>306</v>
      </c>
      <c r="H111" s="2" t="str">
        <f t="shared" si="13"/>
        <v>Machine Learning</v>
      </c>
      <c r="I111" s="2" t="s">
        <v>314</v>
      </c>
      <c r="J111" s="2" t="s">
        <v>315</v>
      </c>
      <c r="K111" s="2" t="s">
        <v>469</v>
      </c>
      <c r="L111" s="2" t="s">
        <v>324</v>
      </c>
      <c r="M111" s="2" t="s">
        <v>277</v>
      </c>
      <c r="N111" s="2" t="s">
        <v>277</v>
      </c>
      <c r="O111" s="2">
        <v>404.142</v>
      </c>
      <c r="P111" s="2" t="s">
        <v>278</v>
      </c>
      <c r="Q111" s="2">
        <v>1973</v>
      </c>
      <c r="R111" s="2" t="s">
        <v>470</v>
      </c>
      <c r="S111" s="2" t="s">
        <v>471</v>
      </c>
      <c r="T111" s="2" t="s">
        <v>69</v>
      </c>
      <c r="U111" s="2" t="s">
        <v>69</v>
      </c>
      <c r="V111" s="2" t="s">
        <v>297</v>
      </c>
      <c r="W111" s="2"/>
      <c r="X111" s="2"/>
      <c r="Y111" s="2" t="s">
        <v>69</v>
      </c>
      <c r="Z111" s="2" t="s">
        <v>69</v>
      </c>
      <c r="AA111" s="2" t="s">
        <v>277</v>
      </c>
      <c r="AB111" s="69" t="str">
        <f t="shared" si="11"/>
        <v>n.a.</v>
      </c>
      <c r="AC111" s="2" t="s">
        <v>69</v>
      </c>
      <c r="AD111" s="2" t="s">
        <v>69</v>
      </c>
      <c r="AE111" s="2" t="s">
        <v>69</v>
      </c>
      <c r="AF111" s="2" t="s">
        <v>69</v>
      </c>
      <c r="AG111" s="2" t="s">
        <v>69</v>
      </c>
      <c r="AH111" s="2" t="s">
        <v>69</v>
      </c>
      <c r="AI111" s="2"/>
      <c r="AJ111" s="2"/>
      <c r="AK111" s="2" t="s">
        <v>69</v>
      </c>
      <c r="AL111" s="2">
        <v>0</v>
      </c>
      <c r="AM111" s="2" t="s">
        <v>69</v>
      </c>
      <c r="AN111" s="68" t="s">
        <v>2008</v>
      </c>
    </row>
    <row r="112" spans="1:40" ht="14.25" customHeight="1" x14ac:dyDescent="0.35">
      <c r="A112" s="2" t="s">
        <v>755</v>
      </c>
      <c r="B112" s="43" t="s">
        <v>490</v>
      </c>
      <c r="C112" s="43" t="s">
        <v>435</v>
      </c>
      <c r="D112" s="2">
        <f t="shared" si="12"/>
        <v>0</v>
      </c>
      <c r="E112" s="2" t="s">
        <v>550</v>
      </c>
      <c r="F112" s="2" t="s">
        <v>644</v>
      </c>
      <c r="G112" s="2" t="s">
        <v>600</v>
      </c>
      <c r="H112" s="2" t="str">
        <f t="shared" si="13"/>
        <v/>
      </c>
      <c r="J112" s="2" t="s">
        <v>277</v>
      </c>
      <c r="K112" s="2" t="s">
        <v>277</v>
      </c>
      <c r="L112" s="2" t="s">
        <v>277</v>
      </c>
      <c r="M112" s="2" t="s">
        <v>277</v>
      </c>
      <c r="N112" s="2" t="s">
        <v>277</v>
      </c>
      <c r="O112" s="2">
        <v>171.74700000000001</v>
      </c>
      <c r="P112" s="2" t="s">
        <v>278</v>
      </c>
      <c r="Q112" s="2" t="s">
        <v>756</v>
      </c>
      <c r="R112" s="2" t="s">
        <v>279</v>
      </c>
      <c r="S112" s="2" t="s">
        <v>757</v>
      </c>
      <c r="T112" s="2" t="s">
        <v>69</v>
      </c>
      <c r="U112" s="2" t="s">
        <v>69</v>
      </c>
      <c r="V112" s="2" t="s">
        <v>337</v>
      </c>
      <c r="W112" s="2"/>
      <c r="X112" s="2"/>
      <c r="Y112" s="2" t="s">
        <v>69</v>
      </c>
      <c r="Z112" s="2" t="s">
        <v>69</v>
      </c>
      <c r="AA112" s="2" t="s">
        <v>277</v>
      </c>
      <c r="AB112" s="69" t="str">
        <f t="shared" si="11"/>
        <v>n.a.</v>
      </c>
      <c r="AC112" s="2" t="s">
        <v>69</v>
      </c>
      <c r="AD112" s="2" t="s">
        <v>69</v>
      </c>
      <c r="AE112" s="2" t="s">
        <v>69</v>
      </c>
      <c r="AF112" s="2" t="s">
        <v>69</v>
      </c>
      <c r="AG112" s="2" t="s">
        <v>69</v>
      </c>
      <c r="AH112" s="2" t="s">
        <v>2035</v>
      </c>
      <c r="AI112" s="2"/>
      <c r="AJ112" s="2"/>
      <c r="AK112" s="2" t="s">
        <v>69</v>
      </c>
      <c r="AL112" s="2">
        <v>0</v>
      </c>
      <c r="AM112" s="2" t="s">
        <v>69</v>
      </c>
      <c r="AN112" s="68" t="s">
        <v>2008</v>
      </c>
    </row>
    <row r="113" spans="1:40" ht="14.25" customHeight="1" x14ac:dyDescent="0.35">
      <c r="A113" s="2" t="s">
        <v>740</v>
      </c>
      <c r="B113" s="43" t="s">
        <v>319</v>
      </c>
      <c r="C113" s="43" t="s">
        <v>435</v>
      </c>
      <c r="D113" s="2">
        <f t="shared" si="12"/>
        <v>0</v>
      </c>
      <c r="E113" s="2" t="s">
        <v>654</v>
      </c>
      <c r="F113" s="2" t="s">
        <v>741</v>
      </c>
      <c r="G113" s="2" t="s">
        <v>322</v>
      </c>
      <c r="H113" s="2" t="str">
        <f t="shared" si="13"/>
        <v>Ride Sharing</v>
      </c>
      <c r="I113" s="2" t="s">
        <v>323</v>
      </c>
      <c r="J113" s="2" t="s">
        <v>315</v>
      </c>
      <c r="K113" s="2" t="s">
        <v>324</v>
      </c>
      <c r="L113" s="2" t="s">
        <v>277</v>
      </c>
      <c r="M113" s="2" t="s">
        <v>277</v>
      </c>
      <c r="N113" s="2" t="s">
        <v>277</v>
      </c>
      <c r="O113" s="2">
        <v>8.4039999999999999</v>
      </c>
      <c r="P113" s="2" t="s">
        <v>278</v>
      </c>
      <c r="Q113" s="2" t="s">
        <v>742</v>
      </c>
      <c r="R113" s="2" t="s">
        <v>279</v>
      </c>
      <c r="S113" s="2" t="s">
        <v>743</v>
      </c>
      <c r="T113" s="2" t="s">
        <v>69</v>
      </c>
      <c r="U113" s="2" t="s">
        <v>69</v>
      </c>
      <c r="V113" s="2" t="s">
        <v>297</v>
      </c>
      <c r="W113" s="2"/>
      <c r="X113" s="2"/>
      <c r="Y113" s="2">
        <v>5</v>
      </c>
      <c r="Z113" s="2" t="s">
        <v>351</v>
      </c>
      <c r="AA113" s="2" t="s">
        <v>2042</v>
      </c>
      <c r="AB113" s="69">
        <f t="shared" si="11"/>
        <v>131.5</v>
      </c>
      <c r="AC113" s="69">
        <v>131500000</v>
      </c>
      <c r="AD113" s="2" t="s">
        <v>744</v>
      </c>
      <c r="AE113" s="2">
        <v>16</v>
      </c>
      <c r="AF113" s="2" t="s">
        <v>69</v>
      </c>
      <c r="AG113" s="2" t="s">
        <v>374</v>
      </c>
      <c r="AH113" s="2" t="s">
        <v>2028</v>
      </c>
      <c r="AI113" s="2"/>
      <c r="AJ113" s="2"/>
      <c r="AK113" s="2" t="s">
        <v>69</v>
      </c>
      <c r="AL113" s="2">
        <v>0</v>
      </c>
      <c r="AM113" s="2">
        <v>17</v>
      </c>
      <c r="AN113" s="68" t="s">
        <v>2008</v>
      </c>
    </row>
    <row r="114" spans="1:40" ht="14.25" customHeight="1" x14ac:dyDescent="0.35">
      <c r="A114" s="2" t="s">
        <v>720</v>
      </c>
      <c r="B114" s="43" t="s">
        <v>1991</v>
      </c>
      <c r="C114" s="43" t="s">
        <v>435</v>
      </c>
      <c r="D114" s="2">
        <f t="shared" si="12"/>
        <v>0</v>
      </c>
      <c r="E114" s="2" t="s">
        <v>721</v>
      </c>
      <c r="F114" s="2" t="s">
        <v>438</v>
      </c>
      <c r="G114" s="2" t="s">
        <v>277</v>
      </c>
      <c r="H114" s="2" t="str">
        <f t="shared" si="13"/>
        <v/>
      </c>
      <c r="J114" s="2" t="s">
        <v>277</v>
      </c>
      <c r="K114" s="2" t="s">
        <v>277</v>
      </c>
      <c r="L114" s="2" t="s">
        <v>277</v>
      </c>
      <c r="M114" s="2" t="s">
        <v>277</v>
      </c>
      <c r="N114" s="2" t="s">
        <v>277</v>
      </c>
      <c r="O114" s="2">
        <v>523.89800000000002</v>
      </c>
      <c r="P114" s="2" t="s">
        <v>278</v>
      </c>
      <c r="Q114" s="2">
        <v>1980</v>
      </c>
      <c r="R114" s="2" t="s">
        <v>470</v>
      </c>
      <c r="S114" s="2" t="s">
        <v>722</v>
      </c>
      <c r="T114" s="2" t="s">
        <v>69</v>
      </c>
      <c r="U114" s="2" t="s">
        <v>69</v>
      </c>
      <c r="V114" s="2" t="s">
        <v>337</v>
      </c>
      <c r="W114" s="2"/>
      <c r="X114" s="2"/>
      <c r="Y114" s="2" t="s">
        <v>69</v>
      </c>
      <c r="Z114" s="2" t="s">
        <v>69</v>
      </c>
      <c r="AA114" s="2" t="s">
        <v>277</v>
      </c>
      <c r="AB114" s="69" t="str">
        <f t="shared" si="11"/>
        <v>n.a.</v>
      </c>
      <c r="AC114" s="2" t="s">
        <v>69</v>
      </c>
      <c r="AD114" s="2" t="s">
        <v>69</v>
      </c>
      <c r="AE114" s="2" t="s">
        <v>69</v>
      </c>
      <c r="AF114" s="2" t="s">
        <v>69</v>
      </c>
      <c r="AG114" s="2" t="s">
        <v>69</v>
      </c>
      <c r="AH114" s="2" t="s">
        <v>2032</v>
      </c>
      <c r="AI114" s="2"/>
      <c r="AJ114" s="2"/>
      <c r="AK114" s="2" t="s">
        <v>69</v>
      </c>
      <c r="AL114" s="2">
        <v>0</v>
      </c>
      <c r="AM114" s="2">
        <v>0</v>
      </c>
      <c r="AN114" s="68" t="s">
        <v>2008</v>
      </c>
    </row>
    <row r="115" spans="1:40" ht="14.25" customHeight="1" x14ac:dyDescent="0.35">
      <c r="A115" s="2" t="s">
        <v>795</v>
      </c>
      <c r="B115" s="43" t="s">
        <v>784</v>
      </c>
      <c r="C115" s="43" t="s">
        <v>435</v>
      </c>
      <c r="D115" s="2">
        <f t="shared" si="12"/>
        <v>0</v>
      </c>
      <c r="E115" s="2" t="s">
        <v>287</v>
      </c>
      <c r="F115" s="2" t="s">
        <v>482</v>
      </c>
      <c r="G115" s="2" t="s">
        <v>324</v>
      </c>
      <c r="H115" s="2" t="str">
        <f t="shared" si="13"/>
        <v/>
      </c>
      <c r="J115" s="2" t="s">
        <v>277</v>
      </c>
      <c r="K115" s="2" t="s">
        <v>277</v>
      </c>
      <c r="L115" s="2" t="s">
        <v>277</v>
      </c>
      <c r="M115" s="2" t="s">
        <v>277</v>
      </c>
      <c r="N115" s="2" t="s">
        <v>277</v>
      </c>
      <c r="O115" s="2">
        <v>15.597</v>
      </c>
      <c r="P115" s="2" t="s">
        <v>278</v>
      </c>
      <c r="Q115" s="2">
        <v>1902</v>
      </c>
      <c r="R115" s="2" t="s">
        <v>279</v>
      </c>
      <c r="S115" s="2" t="s">
        <v>796</v>
      </c>
      <c r="T115" s="2" t="s">
        <v>69</v>
      </c>
      <c r="U115" s="2" t="s">
        <v>69</v>
      </c>
      <c r="V115" s="2" t="s">
        <v>479</v>
      </c>
      <c r="W115" s="2"/>
      <c r="X115" s="2"/>
      <c r="Y115" s="2">
        <v>1</v>
      </c>
      <c r="Z115" s="2" t="s">
        <v>351</v>
      </c>
      <c r="AA115" s="2" t="s">
        <v>2042</v>
      </c>
      <c r="AB115" s="69">
        <f t="shared" si="11"/>
        <v>256</v>
      </c>
      <c r="AC115" s="69">
        <v>256000000</v>
      </c>
      <c r="AD115" s="2" t="s">
        <v>797</v>
      </c>
      <c r="AE115" s="2">
        <v>1</v>
      </c>
      <c r="AF115" s="2">
        <v>3</v>
      </c>
      <c r="AG115" s="2" t="s">
        <v>353</v>
      </c>
      <c r="AH115" s="2" t="s">
        <v>2029</v>
      </c>
      <c r="AI115" s="2"/>
      <c r="AJ115" s="2"/>
      <c r="AK115" s="2">
        <v>2</v>
      </c>
      <c r="AL115" s="2">
        <v>1</v>
      </c>
      <c r="AM115" s="2">
        <v>85</v>
      </c>
      <c r="AN115" s="68" t="s">
        <v>2008</v>
      </c>
    </row>
    <row r="116" spans="1:40" ht="14.25" customHeight="1" x14ac:dyDescent="0.35">
      <c r="A116" s="2" t="s">
        <v>866</v>
      </c>
      <c r="B116" s="43" t="s">
        <v>368</v>
      </c>
      <c r="C116" s="43" t="s">
        <v>435</v>
      </c>
      <c r="D116" s="2">
        <f t="shared" si="12"/>
        <v>0</v>
      </c>
      <c r="E116" s="2" t="s">
        <v>799</v>
      </c>
      <c r="F116" s="2" t="s">
        <v>482</v>
      </c>
      <c r="G116" s="2" t="s">
        <v>277</v>
      </c>
      <c r="H116" s="2" t="str">
        <f t="shared" si="13"/>
        <v/>
      </c>
      <c r="J116" s="2" t="s">
        <v>277</v>
      </c>
      <c r="K116" s="2" t="s">
        <v>277</v>
      </c>
      <c r="L116" s="2" t="s">
        <v>277</v>
      </c>
      <c r="M116" s="2" t="s">
        <v>277</v>
      </c>
      <c r="N116" s="2" t="s">
        <v>277</v>
      </c>
      <c r="O116" s="2">
        <v>410.25700000000001</v>
      </c>
      <c r="P116" s="2" t="s">
        <v>278</v>
      </c>
      <c r="Q116" s="2">
        <v>1999</v>
      </c>
      <c r="R116" s="2" t="s">
        <v>279</v>
      </c>
      <c r="S116" s="2" t="s">
        <v>867</v>
      </c>
      <c r="T116" s="2" t="s">
        <v>69</v>
      </c>
      <c r="U116" s="2" t="s">
        <v>69</v>
      </c>
      <c r="V116" s="2" t="s">
        <v>290</v>
      </c>
      <c r="W116" s="2"/>
      <c r="X116" s="2"/>
      <c r="Y116" s="2" t="s">
        <v>69</v>
      </c>
      <c r="Z116" s="2" t="s">
        <v>69</v>
      </c>
      <c r="AA116" s="2" t="s">
        <v>277</v>
      </c>
      <c r="AB116" s="69" t="str">
        <f t="shared" si="11"/>
        <v>n.a.</v>
      </c>
      <c r="AC116" s="2" t="s">
        <v>69</v>
      </c>
      <c r="AD116" s="2" t="s">
        <v>69</v>
      </c>
      <c r="AE116" s="2" t="s">
        <v>69</v>
      </c>
      <c r="AF116" s="2" t="s">
        <v>69</v>
      </c>
      <c r="AG116" s="2" t="s">
        <v>69</v>
      </c>
      <c r="AH116" s="2" t="s">
        <v>2032</v>
      </c>
      <c r="AI116" s="2"/>
      <c r="AJ116" s="2"/>
      <c r="AK116" s="2" t="s">
        <v>69</v>
      </c>
      <c r="AL116" s="2">
        <v>0</v>
      </c>
      <c r="AM116" s="2">
        <v>2</v>
      </c>
      <c r="AN116" s="68" t="s">
        <v>2008</v>
      </c>
    </row>
    <row r="117" spans="1:40" ht="14.25" customHeight="1" x14ac:dyDescent="0.35">
      <c r="A117" s="2" t="s">
        <v>1968</v>
      </c>
      <c r="B117" s="43" t="s">
        <v>784</v>
      </c>
      <c r="C117" s="43" t="s">
        <v>435</v>
      </c>
      <c r="D117" s="2">
        <f t="shared" si="12"/>
        <v>0</v>
      </c>
      <c r="F117" s="2" t="s">
        <v>277</v>
      </c>
      <c r="G117" s="2" t="s">
        <v>277</v>
      </c>
      <c r="H117" s="2" t="str">
        <f t="shared" si="13"/>
        <v/>
      </c>
      <c r="J117" s="2" t="s">
        <v>277</v>
      </c>
      <c r="K117" s="2" t="s">
        <v>277</v>
      </c>
      <c r="L117" s="2" t="s">
        <v>277</v>
      </c>
      <c r="M117" s="2" t="s">
        <v>277</v>
      </c>
      <c r="N117" s="2" t="s">
        <v>277</v>
      </c>
      <c r="P117" s="2" t="s">
        <v>815</v>
      </c>
      <c r="S117" s="2" t="s">
        <v>816</v>
      </c>
      <c r="W117" s="2"/>
      <c r="AA117" s="2" t="s">
        <v>277</v>
      </c>
      <c r="AB117" s="69">
        <f t="shared" si="11"/>
        <v>0</v>
      </c>
      <c r="AL117">
        <v>0</v>
      </c>
      <c r="AN117" s="68" t="s">
        <v>2008</v>
      </c>
    </row>
    <row r="118" spans="1:40" ht="14.25" customHeight="1" x14ac:dyDescent="0.35">
      <c r="A118" s="2" t="s">
        <v>440</v>
      </c>
      <c r="B118" s="43" t="str">
        <f>IF(ISNUMBER(SEARCH(",",E118)),LEFT(E118,SEARCH(",",E118)-1),E118)</f>
        <v>Advertising</v>
      </c>
      <c r="C118" s="43" t="s">
        <v>435</v>
      </c>
      <c r="D118" s="2">
        <f t="shared" si="12"/>
        <v>1</v>
      </c>
      <c r="E118" s="2" t="s">
        <v>436</v>
      </c>
      <c r="F118" s="2" t="s">
        <v>441</v>
      </c>
      <c r="G118" s="2" t="s">
        <v>380</v>
      </c>
      <c r="H118" s="2" t="str">
        <f t="shared" si="13"/>
        <v>Marketing</v>
      </c>
      <c r="I118" s="2" t="s">
        <v>442</v>
      </c>
      <c r="J118" s="2" t="s">
        <v>443</v>
      </c>
      <c r="K118" s="2" t="s">
        <v>324</v>
      </c>
      <c r="L118" s="2" t="s">
        <v>277</v>
      </c>
      <c r="M118" s="2" t="s">
        <v>277</v>
      </c>
      <c r="N118" s="2" t="s">
        <v>277</v>
      </c>
      <c r="O118" s="2">
        <v>42.558999999999997</v>
      </c>
      <c r="P118" s="2" t="s">
        <v>278</v>
      </c>
      <c r="Q118" s="2" t="s">
        <v>444</v>
      </c>
      <c r="R118" s="2" t="s">
        <v>279</v>
      </c>
      <c r="S118" s="2" t="s">
        <v>445</v>
      </c>
      <c r="T118" s="2" t="s">
        <v>69</v>
      </c>
      <c r="U118" s="2" t="s">
        <v>69</v>
      </c>
      <c r="V118" s="3" t="s">
        <v>446</v>
      </c>
      <c r="W118" s="2"/>
      <c r="X118" s="3"/>
      <c r="Y118" s="2">
        <v>4</v>
      </c>
      <c r="Z118" s="2" t="s">
        <v>351</v>
      </c>
      <c r="AA118" s="2" t="s">
        <v>2042</v>
      </c>
      <c r="AB118" s="69">
        <f t="shared" si="11"/>
        <v>4.0000000000000002E-4</v>
      </c>
      <c r="AC118" s="2">
        <v>400</v>
      </c>
      <c r="AD118" s="2" t="s">
        <v>447</v>
      </c>
      <c r="AE118" s="2">
        <v>4</v>
      </c>
      <c r="AF118" s="2" t="s">
        <v>69</v>
      </c>
      <c r="AG118" s="2" t="s">
        <v>374</v>
      </c>
      <c r="AH118" s="2" t="s">
        <v>2028</v>
      </c>
      <c r="AI118" s="2"/>
      <c r="AJ118" s="2"/>
      <c r="AK118" s="2" t="s">
        <v>69</v>
      </c>
      <c r="AL118" s="2">
        <v>0</v>
      </c>
      <c r="AM118" s="2">
        <v>0</v>
      </c>
      <c r="AN118" s="68" t="s">
        <v>2008</v>
      </c>
    </row>
    <row r="119" spans="1:40" ht="14.25" customHeight="1" x14ac:dyDescent="0.35">
      <c r="A119" s="2" t="s">
        <v>758</v>
      </c>
      <c r="B119" s="43" t="s">
        <v>490</v>
      </c>
      <c r="C119" s="43" t="s">
        <v>435</v>
      </c>
      <c r="D119" s="2">
        <f t="shared" si="12"/>
        <v>0</v>
      </c>
      <c r="E119" s="2" t="s">
        <v>287</v>
      </c>
      <c r="F119" s="2" t="s">
        <v>288</v>
      </c>
      <c r="G119" s="2" t="s">
        <v>313</v>
      </c>
      <c r="H119" s="2" t="str">
        <f t="shared" si="13"/>
        <v>Electronics</v>
      </c>
      <c r="I119" s="2" t="s">
        <v>759</v>
      </c>
      <c r="J119" s="2" t="s">
        <v>324</v>
      </c>
      <c r="K119" s="2" t="s">
        <v>277</v>
      </c>
      <c r="L119" s="2" t="s">
        <v>277</v>
      </c>
      <c r="M119" s="2" t="s">
        <v>277</v>
      </c>
      <c r="N119" s="2" t="s">
        <v>277</v>
      </c>
      <c r="O119" s="2">
        <v>30</v>
      </c>
      <c r="P119" s="2" t="s">
        <v>278</v>
      </c>
      <c r="Q119" s="2">
        <v>41944</v>
      </c>
      <c r="R119" s="2" t="s">
        <v>279</v>
      </c>
      <c r="S119" s="2" t="s">
        <v>760</v>
      </c>
      <c r="T119" s="2" t="s">
        <v>69</v>
      </c>
      <c r="U119" s="2" t="s">
        <v>69</v>
      </c>
      <c r="V119" s="2" t="s">
        <v>327</v>
      </c>
      <c r="W119" s="2"/>
      <c r="X119" s="2"/>
      <c r="Y119" s="2">
        <v>14</v>
      </c>
      <c r="Z119" s="2" t="s">
        <v>328</v>
      </c>
      <c r="AA119" s="2" t="s">
        <v>2042</v>
      </c>
      <c r="AB119" s="69">
        <f t="shared" si="11"/>
        <v>9624.8775910000004</v>
      </c>
      <c r="AC119" s="69">
        <v>9624877591</v>
      </c>
      <c r="AD119" s="2" t="s">
        <v>761</v>
      </c>
      <c r="AE119" s="2">
        <v>30</v>
      </c>
      <c r="AF119" s="2" t="s">
        <v>69</v>
      </c>
      <c r="AG119" s="2" t="s">
        <v>69</v>
      </c>
      <c r="AH119" s="2" t="s">
        <v>2029</v>
      </c>
      <c r="AI119" s="2"/>
      <c r="AJ119" s="2"/>
      <c r="AK119" s="2">
        <v>3</v>
      </c>
      <c r="AL119" s="2">
        <v>1</v>
      </c>
      <c r="AM119" s="2">
        <v>185</v>
      </c>
      <c r="AN119" s="68" t="s">
        <v>2008</v>
      </c>
    </row>
    <row r="120" spans="1:40" ht="14.25" customHeight="1" x14ac:dyDescent="0.35">
      <c r="A120" s="2" t="s">
        <v>1953</v>
      </c>
      <c r="B120" s="43" t="s">
        <v>902</v>
      </c>
      <c r="C120" s="43" t="s">
        <v>435</v>
      </c>
      <c r="D120" s="2">
        <f t="shared" si="12"/>
        <v>0</v>
      </c>
      <c r="F120" s="2" t="s">
        <v>277</v>
      </c>
      <c r="G120" s="2" t="s">
        <v>277</v>
      </c>
      <c r="H120" s="2" t="str">
        <f t="shared" si="13"/>
        <v/>
      </c>
      <c r="J120" s="2" t="s">
        <v>277</v>
      </c>
      <c r="K120" s="2" t="s">
        <v>277</v>
      </c>
      <c r="L120" s="2" t="s">
        <v>277</v>
      </c>
      <c r="M120" s="2" t="s">
        <v>277</v>
      </c>
      <c r="N120" s="2" t="s">
        <v>277</v>
      </c>
      <c r="S120" s="2" t="s">
        <v>911</v>
      </c>
      <c r="W120" s="2"/>
      <c r="AA120" s="2" t="s">
        <v>277</v>
      </c>
      <c r="AB120" s="69">
        <f t="shared" si="11"/>
        <v>0</v>
      </c>
      <c r="AL120">
        <v>0</v>
      </c>
      <c r="AN120" s="68" t="s">
        <v>2008</v>
      </c>
    </row>
    <row r="121" spans="1:40" ht="14.25" customHeight="1" x14ac:dyDescent="0.35">
      <c r="A121" s="2" t="s">
        <v>615</v>
      </c>
      <c r="B121" s="43" t="s">
        <v>606</v>
      </c>
      <c r="C121" s="43" t="s">
        <v>435</v>
      </c>
      <c r="D121" s="2">
        <f t="shared" si="12"/>
        <v>0</v>
      </c>
      <c r="E121" s="2" t="s">
        <v>576</v>
      </c>
      <c r="F121" s="2" t="s">
        <v>616</v>
      </c>
      <c r="G121" s="2" t="s">
        <v>617</v>
      </c>
      <c r="H121" s="2" t="str">
        <f t="shared" si="13"/>
        <v>Wellness</v>
      </c>
      <c r="I121" s="2" t="s">
        <v>618</v>
      </c>
      <c r="J121" s="2" t="s">
        <v>277</v>
      </c>
      <c r="K121" s="2" t="s">
        <v>277</v>
      </c>
      <c r="L121" s="2" t="s">
        <v>277</v>
      </c>
      <c r="M121" s="2" t="s">
        <v>277</v>
      </c>
      <c r="N121" s="2" t="s">
        <v>277</v>
      </c>
      <c r="O121" s="2">
        <v>2.0779999999999998</v>
      </c>
      <c r="P121" s="2" t="s">
        <v>278</v>
      </c>
      <c r="Q121" s="2" t="s">
        <v>619</v>
      </c>
      <c r="R121" s="2" t="s">
        <v>279</v>
      </c>
      <c r="S121" s="2" t="s">
        <v>620</v>
      </c>
      <c r="T121" s="2" t="s">
        <v>69</v>
      </c>
      <c r="U121" s="2" t="s">
        <v>69</v>
      </c>
      <c r="V121" s="2" t="s">
        <v>303</v>
      </c>
      <c r="W121" s="2"/>
      <c r="X121" s="2"/>
      <c r="Y121" s="2">
        <v>5</v>
      </c>
      <c r="Z121" s="2" t="s">
        <v>328</v>
      </c>
      <c r="AA121" s="2" t="s">
        <v>2042</v>
      </c>
      <c r="AB121" s="69">
        <f t="shared" si="11"/>
        <v>666.35</v>
      </c>
      <c r="AC121" s="69">
        <v>666350000</v>
      </c>
      <c r="AD121" s="2" t="s">
        <v>621</v>
      </c>
      <c r="AE121" s="2">
        <v>15</v>
      </c>
      <c r="AF121" s="2" t="s">
        <v>69</v>
      </c>
      <c r="AG121" s="2" t="s">
        <v>69</v>
      </c>
      <c r="AH121" s="2" t="s">
        <v>2031</v>
      </c>
      <c r="AI121" s="2"/>
      <c r="AJ121" s="2"/>
      <c r="AK121" s="2" t="s">
        <v>69</v>
      </c>
      <c r="AL121" s="2">
        <v>1</v>
      </c>
      <c r="AM121" s="2">
        <v>12</v>
      </c>
      <c r="AN121" s="68" t="s">
        <v>2008</v>
      </c>
    </row>
    <row r="122" spans="1:40" ht="14.25" customHeight="1" x14ac:dyDescent="0.35">
      <c r="A122" s="2" t="s">
        <v>837</v>
      </c>
      <c r="B122" s="43" t="s">
        <v>516</v>
      </c>
      <c r="C122" s="43" t="s">
        <v>435</v>
      </c>
      <c r="D122" s="2">
        <f t="shared" si="12"/>
        <v>1</v>
      </c>
      <c r="E122" s="2" t="s">
        <v>575</v>
      </c>
      <c r="F122" s="2" t="s">
        <v>830</v>
      </c>
      <c r="G122" s="2" t="s">
        <v>516</v>
      </c>
      <c r="H122" s="2" t="str">
        <f t="shared" si="13"/>
        <v/>
      </c>
      <c r="J122" s="2" t="s">
        <v>277</v>
      </c>
      <c r="K122" s="2" t="s">
        <v>277</v>
      </c>
      <c r="L122" s="2" t="s">
        <v>277</v>
      </c>
      <c r="M122" s="2" t="s">
        <v>277</v>
      </c>
      <c r="N122" s="2" t="s">
        <v>277</v>
      </c>
      <c r="O122" s="2">
        <v>51.225000000000001</v>
      </c>
      <c r="P122" s="2" t="s">
        <v>278</v>
      </c>
      <c r="Q122" s="2">
        <v>2000</v>
      </c>
      <c r="R122" s="2" t="s">
        <v>279</v>
      </c>
      <c r="S122" s="2" t="s">
        <v>838</v>
      </c>
      <c r="T122" s="2" t="s">
        <v>69</v>
      </c>
      <c r="U122" s="2" t="s">
        <v>69</v>
      </c>
      <c r="V122" s="2" t="s">
        <v>327</v>
      </c>
      <c r="W122" s="2"/>
      <c r="X122" s="2"/>
      <c r="Y122" s="2">
        <v>6</v>
      </c>
      <c r="Z122" s="2" t="s">
        <v>328</v>
      </c>
      <c r="AA122" s="2" t="s">
        <v>2043</v>
      </c>
      <c r="AB122" s="69">
        <f t="shared" si="11"/>
        <v>2555.5320000000002</v>
      </c>
      <c r="AC122" s="69">
        <v>2028200000</v>
      </c>
      <c r="AD122" s="2" t="s">
        <v>839</v>
      </c>
      <c r="AE122" s="2">
        <v>4</v>
      </c>
      <c r="AF122" s="2">
        <v>2</v>
      </c>
      <c r="AG122" s="2" t="s">
        <v>299</v>
      </c>
      <c r="AH122" s="2" t="s">
        <v>2029</v>
      </c>
      <c r="AI122" s="2"/>
      <c r="AJ122" s="2"/>
      <c r="AK122" s="2">
        <v>5</v>
      </c>
      <c r="AL122" s="2">
        <v>1</v>
      </c>
      <c r="AM122" s="2">
        <v>0</v>
      </c>
      <c r="AN122" s="68" t="s">
        <v>2008</v>
      </c>
    </row>
    <row r="123" spans="1:40" ht="14.25" customHeight="1" x14ac:dyDescent="0.35">
      <c r="A123" s="2" t="s">
        <v>859</v>
      </c>
      <c r="B123" s="43" t="s">
        <v>852</v>
      </c>
      <c r="C123" s="43" t="s">
        <v>435</v>
      </c>
      <c r="D123" s="2">
        <f t="shared" si="12"/>
        <v>0</v>
      </c>
      <c r="E123" s="2" t="s">
        <v>287</v>
      </c>
      <c r="F123" s="2" t="s">
        <v>799</v>
      </c>
      <c r="G123" s="2" t="s">
        <v>555</v>
      </c>
      <c r="H123" s="2" t="str">
        <f t="shared" si="13"/>
        <v>Energy</v>
      </c>
      <c r="I123" s="2" t="s">
        <v>770</v>
      </c>
      <c r="J123" s="2" t="s">
        <v>860</v>
      </c>
      <c r="K123" s="2" t="s">
        <v>461</v>
      </c>
      <c r="L123" s="2" t="s">
        <v>584</v>
      </c>
      <c r="M123" s="2" t="s">
        <v>508</v>
      </c>
      <c r="N123" s="2" t="s">
        <v>368</v>
      </c>
      <c r="O123" s="2">
        <v>95.236999999999995</v>
      </c>
      <c r="P123" s="2" t="s">
        <v>278</v>
      </c>
      <c r="Q123" s="2">
        <v>1999</v>
      </c>
      <c r="R123" s="2" t="s">
        <v>279</v>
      </c>
      <c r="S123" s="2" t="s">
        <v>861</v>
      </c>
      <c r="T123" s="2" t="s">
        <v>69</v>
      </c>
      <c r="U123" s="2" t="s">
        <v>69</v>
      </c>
      <c r="V123" s="2" t="s">
        <v>327</v>
      </c>
      <c r="W123" s="2"/>
      <c r="X123" s="2"/>
      <c r="Y123" s="2">
        <v>1</v>
      </c>
      <c r="Z123" s="2" t="s">
        <v>328</v>
      </c>
      <c r="AA123" s="2" t="s">
        <v>277</v>
      </c>
      <c r="AB123" s="69" t="str">
        <f t="shared" si="11"/>
        <v>n.a.</v>
      </c>
      <c r="AC123" s="2" t="s">
        <v>69</v>
      </c>
      <c r="AD123" s="2" t="s">
        <v>862</v>
      </c>
      <c r="AE123" s="2">
        <v>1</v>
      </c>
      <c r="AF123" s="2">
        <v>15</v>
      </c>
      <c r="AG123" s="2" t="s">
        <v>299</v>
      </c>
      <c r="AH123" s="2" t="s">
        <v>2029</v>
      </c>
      <c r="AI123" s="2"/>
      <c r="AJ123" s="2"/>
      <c r="AK123" s="2">
        <v>4</v>
      </c>
      <c r="AL123" s="2">
        <v>1</v>
      </c>
      <c r="AM123" s="2">
        <v>4.9950000000000001</v>
      </c>
      <c r="AN123" s="68" t="s">
        <v>2008</v>
      </c>
    </row>
    <row r="124" spans="1:40" ht="14.25" customHeight="1" x14ac:dyDescent="0.35">
      <c r="A124" s="2" t="s">
        <v>798</v>
      </c>
      <c r="B124" s="43" t="s">
        <v>784</v>
      </c>
      <c r="C124" s="43" t="s">
        <v>435</v>
      </c>
      <c r="D124" s="2">
        <f t="shared" si="12"/>
        <v>0</v>
      </c>
      <c r="E124" s="2" t="s">
        <v>287</v>
      </c>
      <c r="F124" s="2" t="s">
        <v>799</v>
      </c>
      <c r="G124" s="2" t="s">
        <v>482</v>
      </c>
      <c r="H124" s="2" t="str">
        <f t="shared" si="13"/>
        <v/>
      </c>
      <c r="J124" s="2" t="s">
        <v>277</v>
      </c>
      <c r="K124" s="2" t="s">
        <v>277</v>
      </c>
      <c r="L124" s="2" t="s">
        <v>277</v>
      </c>
      <c r="M124" s="2" t="s">
        <v>277</v>
      </c>
      <c r="N124" s="2" t="s">
        <v>277</v>
      </c>
      <c r="O124" s="2">
        <v>208.977</v>
      </c>
      <c r="P124" s="2" t="s">
        <v>278</v>
      </c>
      <c r="Q124" s="2">
        <v>2003</v>
      </c>
      <c r="R124" s="2" t="s">
        <v>279</v>
      </c>
      <c r="S124" s="2" t="s">
        <v>800</v>
      </c>
      <c r="T124" s="2" t="s">
        <v>69</v>
      </c>
      <c r="U124" s="2" t="s">
        <v>69</v>
      </c>
      <c r="V124" s="2" t="s">
        <v>290</v>
      </c>
      <c r="W124" s="2"/>
      <c r="X124" s="2"/>
      <c r="Y124" s="2">
        <v>1</v>
      </c>
      <c r="Z124" s="2" t="s">
        <v>328</v>
      </c>
      <c r="AA124" s="2" t="s">
        <v>277</v>
      </c>
      <c r="AB124" s="69" t="str">
        <f t="shared" si="11"/>
        <v>n.a.</v>
      </c>
      <c r="AC124" s="2" t="s">
        <v>69</v>
      </c>
      <c r="AD124" s="2" t="s">
        <v>801</v>
      </c>
      <c r="AE124" s="2">
        <v>1</v>
      </c>
      <c r="AF124" s="2">
        <v>1</v>
      </c>
      <c r="AG124" s="2" t="s">
        <v>299</v>
      </c>
      <c r="AH124" s="2" t="s">
        <v>2033</v>
      </c>
      <c r="AI124" s="2"/>
      <c r="AJ124" s="2"/>
      <c r="AK124" s="2" t="s">
        <v>69</v>
      </c>
      <c r="AL124" s="2">
        <v>1</v>
      </c>
      <c r="AM124" s="2">
        <v>3</v>
      </c>
      <c r="AN124" s="68" t="s">
        <v>2008</v>
      </c>
    </row>
    <row r="125" spans="1:40" ht="14.25" customHeight="1" x14ac:dyDescent="0.35">
      <c r="A125" s="2" t="s">
        <v>622</v>
      </c>
      <c r="B125" s="43" t="s">
        <v>606</v>
      </c>
      <c r="C125" s="43" t="s">
        <v>435</v>
      </c>
      <c r="D125" s="2">
        <f t="shared" si="12"/>
        <v>0</v>
      </c>
      <c r="E125" s="2" t="s">
        <v>576</v>
      </c>
      <c r="F125" s="2" t="s">
        <v>623</v>
      </c>
      <c r="G125" s="2" t="s">
        <v>624</v>
      </c>
      <c r="H125" s="2" t="str">
        <f t="shared" si="13"/>
        <v/>
      </c>
      <c r="J125" s="2" t="s">
        <v>277</v>
      </c>
      <c r="K125" s="2" t="s">
        <v>277</v>
      </c>
      <c r="L125" s="2" t="s">
        <v>277</v>
      </c>
      <c r="M125" s="2" t="s">
        <v>277</v>
      </c>
      <c r="N125" s="2" t="s">
        <v>277</v>
      </c>
      <c r="O125" s="2">
        <v>33.881999999999998</v>
      </c>
      <c r="P125" s="2" t="s">
        <v>278</v>
      </c>
      <c r="Q125" s="2">
        <v>2017</v>
      </c>
      <c r="R125" s="2" t="s">
        <v>279</v>
      </c>
      <c r="S125" s="2" t="s">
        <v>625</v>
      </c>
      <c r="T125" s="2" t="s">
        <v>69</v>
      </c>
      <c r="U125" s="2" t="s">
        <v>69</v>
      </c>
      <c r="V125" s="3" t="s">
        <v>446</v>
      </c>
      <c r="W125" s="2"/>
      <c r="X125" s="3"/>
      <c r="Y125" s="2">
        <v>4</v>
      </c>
      <c r="Z125" s="2" t="s">
        <v>69</v>
      </c>
      <c r="AA125" s="2" t="s">
        <v>2042</v>
      </c>
      <c r="AB125" s="69">
        <f t="shared" si="11"/>
        <v>16.948634999999999</v>
      </c>
      <c r="AC125" s="69">
        <v>16948635</v>
      </c>
      <c r="AD125" s="2" t="s">
        <v>626</v>
      </c>
      <c r="AE125" s="2">
        <v>1</v>
      </c>
      <c r="AF125" s="2" t="s">
        <v>69</v>
      </c>
      <c r="AG125" s="2" t="s">
        <v>69</v>
      </c>
      <c r="AH125" s="2" t="s">
        <v>69</v>
      </c>
      <c r="AI125" s="2"/>
      <c r="AJ125" s="2"/>
      <c r="AK125" s="2" t="s">
        <v>69</v>
      </c>
      <c r="AL125" s="2">
        <v>0</v>
      </c>
      <c r="AM125" s="2">
        <v>1</v>
      </c>
      <c r="AN125" s="68" t="s">
        <v>2008</v>
      </c>
    </row>
    <row r="126" spans="1:40" ht="14.25" customHeight="1" x14ac:dyDescent="0.35">
      <c r="A126" s="2" t="s">
        <v>710</v>
      </c>
      <c r="B126" s="43" t="s">
        <v>306</v>
      </c>
      <c r="C126" s="43" t="s">
        <v>435</v>
      </c>
      <c r="D126" s="2">
        <f t="shared" si="12"/>
        <v>0</v>
      </c>
      <c r="E126" s="2" t="s">
        <v>455</v>
      </c>
      <c r="F126" s="2" t="s">
        <v>669</v>
      </c>
      <c r="G126" s="2" t="s">
        <v>711</v>
      </c>
      <c r="H126" s="2" t="str">
        <f t="shared" si="13"/>
        <v>E-Commerce</v>
      </c>
      <c r="I126" s="2" t="s">
        <v>712</v>
      </c>
      <c r="J126" s="2" t="s">
        <v>588</v>
      </c>
      <c r="K126" s="2" t="s">
        <v>565</v>
      </c>
      <c r="L126" s="2" t="s">
        <v>380</v>
      </c>
      <c r="M126" s="2" t="s">
        <v>462</v>
      </c>
      <c r="N126" s="2" t="s">
        <v>693</v>
      </c>
      <c r="O126" s="2">
        <v>98.585999999999999</v>
      </c>
      <c r="P126" s="2" t="s">
        <v>278</v>
      </c>
      <c r="Q126" s="2">
        <v>1920</v>
      </c>
      <c r="R126" s="2" t="s">
        <v>279</v>
      </c>
      <c r="S126" s="2" t="s">
        <v>713</v>
      </c>
      <c r="T126" s="2" t="s">
        <v>69</v>
      </c>
      <c r="U126" s="2" t="s">
        <v>69</v>
      </c>
      <c r="V126" s="2" t="s">
        <v>327</v>
      </c>
      <c r="W126" s="2"/>
      <c r="X126" s="2"/>
      <c r="Y126" s="2">
        <v>1</v>
      </c>
      <c r="Z126" s="2" t="s">
        <v>328</v>
      </c>
      <c r="AA126" s="2" t="s">
        <v>277</v>
      </c>
      <c r="AB126" s="69" t="str">
        <f t="shared" si="11"/>
        <v>n.a.</v>
      </c>
      <c r="AC126" s="2" t="s">
        <v>69</v>
      </c>
      <c r="AD126" s="2" t="s">
        <v>714</v>
      </c>
      <c r="AE126" s="2">
        <v>1</v>
      </c>
      <c r="AF126" s="2">
        <v>29</v>
      </c>
      <c r="AG126" s="2" t="s">
        <v>299</v>
      </c>
      <c r="AH126" s="2" t="s">
        <v>2034</v>
      </c>
      <c r="AI126" s="2"/>
      <c r="AJ126" s="2"/>
      <c r="AK126" s="2">
        <v>2</v>
      </c>
      <c r="AL126" s="2">
        <v>1</v>
      </c>
      <c r="AM126" s="2">
        <v>218</v>
      </c>
      <c r="AN126" s="68" t="s">
        <v>2008</v>
      </c>
    </row>
    <row r="127" spans="1:40" ht="14.25" customHeight="1" x14ac:dyDescent="0.35">
      <c r="A127" s="2" t="s">
        <v>627</v>
      </c>
      <c r="B127" s="43" t="s">
        <v>606</v>
      </c>
      <c r="C127" s="43" t="s">
        <v>435</v>
      </c>
      <c r="D127" s="2">
        <f t="shared" si="12"/>
        <v>0</v>
      </c>
      <c r="E127" s="2" t="s">
        <v>576</v>
      </c>
      <c r="F127" s="2" t="s">
        <v>295</v>
      </c>
      <c r="G127" s="2" t="s">
        <v>628</v>
      </c>
      <c r="H127" s="2" t="str">
        <f t="shared" si="13"/>
        <v/>
      </c>
      <c r="J127" s="2" t="s">
        <v>277</v>
      </c>
      <c r="K127" s="2" t="s">
        <v>277</v>
      </c>
      <c r="L127" s="2" t="s">
        <v>277</v>
      </c>
      <c r="M127" s="2" t="s">
        <v>277</v>
      </c>
      <c r="N127" s="2" t="s">
        <v>277</v>
      </c>
      <c r="O127" s="2">
        <v>84.453999999999994</v>
      </c>
      <c r="P127" s="2" t="s">
        <v>278</v>
      </c>
      <c r="Q127" s="2">
        <v>1958</v>
      </c>
      <c r="R127" s="2" t="s">
        <v>279</v>
      </c>
      <c r="S127" s="2" t="s">
        <v>629</v>
      </c>
      <c r="T127" s="2" t="s">
        <v>69</v>
      </c>
      <c r="U127" s="2" t="s">
        <v>69</v>
      </c>
      <c r="V127" s="2" t="s">
        <v>327</v>
      </c>
      <c r="W127" s="2"/>
      <c r="X127" s="2"/>
      <c r="Y127" s="2">
        <v>1</v>
      </c>
      <c r="Z127" s="2" t="s">
        <v>69</v>
      </c>
      <c r="AA127" s="2" t="s">
        <v>277</v>
      </c>
      <c r="AB127" s="69" t="str">
        <f t="shared" si="11"/>
        <v>n.a.</v>
      </c>
      <c r="AC127" s="2" t="s">
        <v>69</v>
      </c>
      <c r="AD127" s="2" t="s">
        <v>630</v>
      </c>
      <c r="AE127" s="2">
        <v>1</v>
      </c>
      <c r="AF127" s="2">
        <v>1</v>
      </c>
      <c r="AG127" s="2" t="s">
        <v>299</v>
      </c>
      <c r="AH127" s="2" t="s">
        <v>2031</v>
      </c>
      <c r="AI127" s="2"/>
      <c r="AJ127" s="2"/>
      <c r="AK127" s="2" t="s">
        <v>69</v>
      </c>
      <c r="AL127" s="2">
        <v>0</v>
      </c>
      <c r="AM127" s="2">
        <v>7</v>
      </c>
      <c r="AN127" s="68" t="s">
        <v>2008</v>
      </c>
    </row>
    <row r="128" spans="1:40" ht="14.25" customHeight="1" x14ac:dyDescent="0.35">
      <c r="A128" s="2" t="s">
        <v>1955</v>
      </c>
      <c r="B128" s="43" t="s">
        <v>817</v>
      </c>
      <c r="C128" s="43" t="s">
        <v>435</v>
      </c>
      <c r="D128" s="2">
        <f t="shared" si="12"/>
        <v>0</v>
      </c>
      <c r="F128" s="2" t="s">
        <v>277</v>
      </c>
      <c r="G128" s="2" t="s">
        <v>277</v>
      </c>
      <c r="H128" s="2" t="str">
        <f t="shared" si="13"/>
        <v/>
      </c>
      <c r="J128" s="2" t="s">
        <v>277</v>
      </c>
      <c r="K128" s="2" t="s">
        <v>277</v>
      </c>
      <c r="L128" s="2" t="s">
        <v>277</v>
      </c>
      <c r="M128" s="2" t="s">
        <v>277</v>
      </c>
      <c r="N128" s="2" t="s">
        <v>277</v>
      </c>
      <c r="S128" s="2" t="s">
        <v>818</v>
      </c>
      <c r="W128" s="2"/>
      <c r="AA128" s="2" t="s">
        <v>277</v>
      </c>
      <c r="AB128" s="69">
        <f t="shared" si="11"/>
        <v>0</v>
      </c>
      <c r="AL128">
        <v>0</v>
      </c>
      <c r="AN128" s="68" t="s">
        <v>2008</v>
      </c>
    </row>
    <row r="129" spans="1:40" ht="14.25" customHeight="1" x14ac:dyDescent="0.35">
      <c r="A129" s="2" t="s">
        <v>762</v>
      </c>
      <c r="B129" s="43" t="s">
        <v>490</v>
      </c>
      <c r="C129" s="43" t="s">
        <v>435</v>
      </c>
      <c r="D129" s="2">
        <f t="shared" si="12"/>
        <v>0</v>
      </c>
      <c r="E129" s="2" t="s">
        <v>287</v>
      </c>
      <c r="F129" s="2" t="s">
        <v>482</v>
      </c>
      <c r="G129" s="2" t="s">
        <v>763</v>
      </c>
      <c r="H129" s="2" t="str">
        <f t="shared" si="13"/>
        <v/>
      </c>
      <c r="J129" s="2" t="s">
        <v>277</v>
      </c>
      <c r="K129" s="2" t="s">
        <v>277</v>
      </c>
      <c r="L129" s="2" t="s">
        <v>277</v>
      </c>
      <c r="M129" s="2" t="s">
        <v>277</v>
      </c>
      <c r="N129" s="2" t="s">
        <v>277</v>
      </c>
      <c r="O129" s="2">
        <v>141.53299999999999</v>
      </c>
      <c r="P129" s="2" t="s">
        <v>278</v>
      </c>
      <c r="Q129" s="2" t="s">
        <v>764</v>
      </c>
      <c r="R129" s="2" t="s">
        <v>279</v>
      </c>
      <c r="S129" s="2" t="s">
        <v>765</v>
      </c>
      <c r="T129" s="2" t="s">
        <v>766</v>
      </c>
      <c r="U129" s="2" t="s">
        <v>767</v>
      </c>
      <c r="V129" s="2" t="s">
        <v>327</v>
      </c>
      <c r="W129" s="2"/>
      <c r="X129" s="2"/>
      <c r="Y129" s="2" t="s">
        <v>69</v>
      </c>
      <c r="Z129" s="2" t="s">
        <v>351</v>
      </c>
      <c r="AA129" s="2" t="s">
        <v>277</v>
      </c>
      <c r="AB129" s="69" t="str">
        <f t="shared" ref="AB129:AB160" si="14">IF(AC129&lt;&gt;"n.a.",IF(AA129="€",(AC129*1.07)/1000000,IF(AA129="£",(AC129*1.26)/1000000,IF(AA129="CA",(0.73*AC129)/1000000,AC129/1000000))),AC129)</f>
        <v>n.a.</v>
      </c>
      <c r="AC129" s="2" t="s">
        <v>69</v>
      </c>
      <c r="AD129" s="2" t="s">
        <v>69</v>
      </c>
      <c r="AE129" s="2" t="s">
        <v>69</v>
      </c>
      <c r="AF129" s="2">
        <v>4</v>
      </c>
      <c r="AG129" s="2" t="s">
        <v>353</v>
      </c>
      <c r="AH129" s="2" t="s">
        <v>2029</v>
      </c>
      <c r="AI129" s="2"/>
      <c r="AJ129" s="2"/>
      <c r="AK129" s="2">
        <v>16</v>
      </c>
      <c r="AL129" s="2">
        <v>1</v>
      </c>
      <c r="AM129" s="2">
        <v>1.7470000000000001</v>
      </c>
      <c r="AN129" s="68" t="s">
        <v>2008</v>
      </c>
    </row>
    <row r="130" spans="1:40" ht="14.25" customHeight="1" x14ac:dyDescent="0.35">
      <c r="A130" s="2" t="s">
        <v>549</v>
      </c>
      <c r="B130" s="43" t="str">
        <f>IF(ISNUMBER(SEARCH(",",E130)),LEFT(E130,SEARCH(",",E130)-1),E130)</f>
        <v>Construction</v>
      </c>
      <c r="C130" s="43" t="s">
        <v>435</v>
      </c>
      <c r="D130" s="2">
        <f t="shared" si="12"/>
        <v>1</v>
      </c>
      <c r="E130" s="2" t="s">
        <v>550</v>
      </c>
      <c r="F130" s="2" t="s">
        <v>313</v>
      </c>
      <c r="G130" s="2" t="s">
        <v>380</v>
      </c>
      <c r="H130" s="2" t="str">
        <f t="shared" si="13"/>
        <v>Manufacturing</v>
      </c>
      <c r="I130" s="2" t="s">
        <v>551</v>
      </c>
      <c r="J130" s="2" t="s">
        <v>502</v>
      </c>
      <c r="K130" s="2" t="s">
        <v>277</v>
      </c>
      <c r="L130" s="2" t="s">
        <v>277</v>
      </c>
      <c r="M130" s="2" t="s">
        <v>277</v>
      </c>
      <c r="N130" s="2" t="s">
        <v>277</v>
      </c>
      <c r="O130" s="2" t="s">
        <v>552</v>
      </c>
      <c r="P130" s="2" t="s">
        <v>278</v>
      </c>
      <c r="Q130" s="2">
        <v>1945</v>
      </c>
      <c r="R130" s="2" t="s">
        <v>279</v>
      </c>
      <c r="S130" s="2" t="s">
        <v>553</v>
      </c>
      <c r="T130" s="2" t="s">
        <v>69</v>
      </c>
      <c r="U130" s="2" t="s">
        <v>69</v>
      </c>
      <c r="V130" s="3" t="s">
        <v>282</v>
      </c>
      <c r="W130" s="2"/>
      <c r="X130" s="3"/>
      <c r="Y130" s="2" t="s">
        <v>69</v>
      </c>
      <c r="Z130" s="2" t="s">
        <v>69</v>
      </c>
      <c r="AA130" s="2" t="s">
        <v>277</v>
      </c>
      <c r="AB130" s="69" t="str">
        <f t="shared" si="14"/>
        <v>n.a.</v>
      </c>
      <c r="AC130" s="2" t="s">
        <v>69</v>
      </c>
      <c r="AD130" s="2" t="s">
        <v>69</v>
      </c>
      <c r="AE130" s="2" t="s">
        <v>69</v>
      </c>
      <c r="AF130" s="2" t="s">
        <v>69</v>
      </c>
      <c r="AG130" s="2" t="s">
        <v>69</v>
      </c>
      <c r="AH130" s="2" t="s">
        <v>69</v>
      </c>
      <c r="AI130" s="2"/>
      <c r="AJ130" s="2"/>
      <c r="AK130" s="2" t="s">
        <v>69</v>
      </c>
      <c r="AL130" s="2">
        <v>0</v>
      </c>
      <c r="AM130" s="2">
        <v>0</v>
      </c>
      <c r="AN130" s="68" t="s">
        <v>2008</v>
      </c>
    </row>
    <row r="131" spans="1:40" ht="14.25" customHeight="1" x14ac:dyDescent="0.35">
      <c r="A131" s="2" t="s">
        <v>631</v>
      </c>
      <c r="B131" s="43" t="s">
        <v>1991</v>
      </c>
      <c r="C131" s="43" t="s">
        <v>435</v>
      </c>
      <c r="D131" s="2">
        <f t="shared" si="12"/>
        <v>0</v>
      </c>
      <c r="E131" s="2" t="s">
        <v>632</v>
      </c>
      <c r="F131" s="2" t="s">
        <v>295</v>
      </c>
      <c r="G131" s="2" t="s">
        <v>306</v>
      </c>
      <c r="H131" s="2" t="str">
        <f t="shared" si="13"/>
        <v>Non Profit</v>
      </c>
      <c r="I131" s="2" t="s">
        <v>633</v>
      </c>
      <c r="J131" s="2" t="s">
        <v>634</v>
      </c>
      <c r="K131" s="2" t="s">
        <v>277</v>
      </c>
      <c r="L131" s="2" t="s">
        <v>277</v>
      </c>
      <c r="M131" s="2" t="s">
        <v>277</v>
      </c>
      <c r="N131" s="2" t="s">
        <v>277</v>
      </c>
      <c r="O131" s="2">
        <v>51.075000000000003</v>
      </c>
      <c r="P131" s="2" t="s">
        <v>278</v>
      </c>
      <c r="Q131" s="2" t="s">
        <v>635</v>
      </c>
      <c r="R131" s="2" t="s">
        <v>470</v>
      </c>
      <c r="S131" s="2" t="s">
        <v>636</v>
      </c>
      <c r="T131" s="2" t="s">
        <v>69</v>
      </c>
      <c r="U131" s="2" t="s">
        <v>69</v>
      </c>
      <c r="V131" s="3" t="s">
        <v>446</v>
      </c>
      <c r="W131" s="2"/>
      <c r="X131" s="3"/>
      <c r="Y131" s="2">
        <v>6</v>
      </c>
      <c r="Z131" s="2" t="s">
        <v>69</v>
      </c>
      <c r="AA131" s="2" t="s">
        <v>2042</v>
      </c>
      <c r="AB131" s="69">
        <f t="shared" si="14"/>
        <v>2.5</v>
      </c>
      <c r="AC131" s="69">
        <v>2500000</v>
      </c>
      <c r="AD131" s="2" t="s">
        <v>637</v>
      </c>
      <c r="AE131" s="2">
        <v>2</v>
      </c>
      <c r="AF131" s="2" t="s">
        <v>69</v>
      </c>
      <c r="AG131" s="2" t="s">
        <v>69</v>
      </c>
      <c r="AH131" s="2" t="s">
        <v>2033</v>
      </c>
      <c r="AI131" s="2"/>
      <c r="AJ131" s="2"/>
      <c r="AK131" s="2" t="s">
        <v>69</v>
      </c>
      <c r="AL131" s="2">
        <v>0</v>
      </c>
      <c r="AM131" s="2">
        <v>0</v>
      </c>
      <c r="AN131" s="68" t="s">
        <v>2008</v>
      </c>
    </row>
    <row r="132" spans="1:40" ht="14.25" customHeight="1" x14ac:dyDescent="0.35">
      <c r="A132" s="2" t="s">
        <v>700</v>
      </c>
      <c r="B132" s="43" t="s">
        <v>306</v>
      </c>
      <c r="C132" s="43" t="s">
        <v>435</v>
      </c>
      <c r="D132" s="2">
        <f t="shared" si="12"/>
        <v>1</v>
      </c>
      <c r="E132" s="2" t="s">
        <v>332</v>
      </c>
      <c r="F132" s="2" t="s">
        <v>306</v>
      </c>
      <c r="G132" s="2" t="s">
        <v>469</v>
      </c>
      <c r="H132" s="2" t="str">
        <f t="shared" si="13"/>
        <v>Transportation</v>
      </c>
      <c r="I132" s="2" t="s">
        <v>301</v>
      </c>
      <c r="J132" s="2" t="s">
        <v>277</v>
      </c>
      <c r="K132" s="2" t="s">
        <v>277</v>
      </c>
      <c r="L132" s="2" t="s">
        <v>277</v>
      </c>
      <c r="M132" s="2" t="s">
        <v>277</v>
      </c>
      <c r="N132" s="2" t="s">
        <v>277</v>
      </c>
      <c r="O132" s="2">
        <v>109.11199999999999</v>
      </c>
      <c r="P132" s="2" t="s">
        <v>278</v>
      </c>
      <c r="Q132" s="2">
        <v>1933</v>
      </c>
      <c r="R132" s="2" t="s">
        <v>279</v>
      </c>
      <c r="S132" s="2" t="s">
        <v>701</v>
      </c>
      <c r="T132" s="2" t="s">
        <v>69</v>
      </c>
      <c r="U132" s="2" t="s">
        <v>69</v>
      </c>
      <c r="V132" s="2" t="s">
        <v>327</v>
      </c>
      <c r="W132" s="2"/>
      <c r="X132" s="2"/>
      <c r="Y132" s="2" t="s">
        <v>69</v>
      </c>
      <c r="Z132" s="2" t="s">
        <v>328</v>
      </c>
      <c r="AA132" s="2" t="s">
        <v>277</v>
      </c>
      <c r="AB132" s="69" t="str">
        <f t="shared" si="14"/>
        <v>n.a.</v>
      </c>
      <c r="AC132" s="2" t="s">
        <v>69</v>
      </c>
      <c r="AD132" s="2" t="s">
        <v>69</v>
      </c>
      <c r="AE132" s="2" t="s">
        <v>69</v>
      </c>
      <c r="AF132" s="2">
        <v>24</v>
      </c>
      <c r="AG132" s="2" t="s">
        <v>299</v>
      </c>
      <c r="AH132" s="2" t="s">
        <v>2029</v>
      </c>
      <c r="AI132" s="2"/>
      <c r="AJ132" s="2"/>
      <c r="AK132" s="2" t="s">
        <v>69</v>
      </c>
      <c r="AL132" s="2">
        <v>1</v>
      </c>
      <c r="AM132" s="2">
        <v>0</v>
      </c>
      <c r="AN132" s="68" t="s">
        <v>2008</v>
      </c>
    </row>
    <row r="133" spans="1:40" ht="14.25" customHeight="1" x14ac:dyDescent="0.35">
      <c r="A133" s="2" t="s">
        <v>1984</v>
      </c>
      <c r="B133" s="43" t="s">
        <v>1991</v>
      </c>
      <c r="C133" s="43" t="s">
        <v>435</v>
      </c>
      <c r="D133" s="2">
        <f t="shared" si="12"/>
        <v>0</v>
      </c>
      <c r="E133" s="2" t="s">
        <v>287</v>
      </c>
      <c r="F133" s="2" t="s">
        <v>482</v>
      </c>
      <c r="G133" s="2" t="s">
        <v>438</v>
      </c>
      <c r="H133" s="2" t="str">
        <f t="shared" si="13"/>
        <v/>
      </c>
      <c r="J133" s="2" t="s">
        <v>277</v>
      </c>
      <c r="K133" s="2" t="s">
        <v>277</v>
      </c>
      <c r="L133" s="2" t="s">
        <v>277</v>
      </c>
      <c r="M133" s="2" t="s">
        <v>277</v>
      </c>
      <c r="N133" s="2" t="s">
        <v>277</v>
      </c>
      <c r="O133" s="2">
        <v>163.05500000000001</v>
      </c>
      <c r="P133" s="2" t="s">
        <v>278</v>
      </c>
      <c r="Q133" s="2">
        <v>2012</v>
      </c>
      <c r="R133" s="2" t="s">
        <v>279</v>
      </c>
      <c r="S133" s="2" t="s">
        <v>518</v>
      </c>
      <c r="T133" s="2" t="s">
        <v>69</v>
      </c>
      <c r="U133" s="2" t="s">
        <v>69</v>
      </c>
      <c r="V133" s="2" t="s">
        <v>363</v>
      </c>
      <c r="W133" s="2"/>
      <c r="X133" s="2"/>
      <c r="Y133" s="2" t="s">
        <v>69</v>
      </c>
      <c r="Z133" s="2" t="s">
        <v>69</v>
      </c>
      <c r="AA133" s="2" t="s">
        <v>277</v>
      </c>
      <c r="AB133" s="69" t="str">
        <f t="shared" si="14"/>
        <v>n.a.</v>
      </c>
      <c r="AC133" s="2" t="s">
        <v>69</v>
      </c>
      <c r="AD133" s="2" t="s">
        <v>69</v>
      </c>
      <c r="AE133" s="2" t="s">
        <v>69</v>
      </c>
      <c r="AF133" s="2" t="s">
        <v>69</v>
      </c>
      <c r="AG133" s="2" t="s">
        <v>69</v>
      </c>
      <c r="AH133" s="2" t="s">
        <v>2030</v>
      </c>
      <c r="AI133" s="2"/>
      <c r="AJ133" s="2"/>
      <c r="AK133" s="2" t="s">
        <v>69</v>
      </c>
      <c r="AL133" s="2">
        <v>0</v>
      </c>
      <c r="AM133" s="2">
        <v>8</v>
      </c>
      <c r="AN133" s="68" t="s">
        <v>2008</v>
      </c>
    </row>
    <row r="134" spans="1:40" ht="14.25" customHeight="1" x14ac:dyDescent="0.35">
      <c r="A134" s="2" t="s">
        <v>1975</v>
      </c>
      <c r="B134" s="43" t="s">
        <v>784</v>
      </c>
      <c r="C134" s="43" t="s">
        <v>435</v>
      </c>
      <c r="D134" s="2">
        <f t="shared" si="12"/>
        <v>0</v>
      </c>
      <c r="E134" s="2" t="s">
        <v>550</v>
      </c>
      <c r="F134" s="2" t="s">
        <v>802</v>
      </c>
      <c r="G134" s="2" t="s">
        <v>482</v>
      </c>
      <c r="H134" s="2" t="str">
        <f t="shared" si="13"/>
        <v>Mechanical Engineering</v>
      </c>
      <c r="I134" s="2" t="s">
        <v>803</v>
      </c>
      <c r="J134" s="2" t="s">
        <v>277</v>
      </c>
      <c r="K134" s="2" t="s">
        <v>277</v>
      </c>
      <c r="L134" s="2" t="s">
        <v>277</v>
      </c>
      <c r="M134" s="2" t="s">
        <v>277</v>
      </c>
      <c r="N134" s="2" t="s">
        <v>277</v>
      </c>
      <c r="O134" s="2">
        <v>313.495</v>
      </c>
      <c r="P134" s="2" t="s">
        <v>278</v>
      </c>
      <c r="Q134" s="2" t="s">
        <v>804</v>
      </c>
      <c r="R134" s="2" t="s">
        <v>279</v>
      </c>
      <c r="S134" s="2" t="s">
        <v>805</v>
      </c>
      <c r="T134" s="2" t="s">
        <v>69</v>
      </c>
      <c r="U134" s="2" t="s">
        <v>69</v>
      </c>
      <c r="V134" s="2" t="s">
        <v>327</v>
      </c>
      <c r="W134" s="2"/>
      <c r="X134" s="2"/>
      <c r="Y134" s="2" t="s">
        <v>69</v>
      </c>
      <c r="Z134" s="2" t="s">
        <v>328</v>
      </c>
      <c r="AA134" s="2" t="s">
        <v>277</v>
      </c>
      <c r="AB134" s="69" t="str">
        <f t="shared" si="14"/>
        <v>n.a.</v>
      </c>
      <c r="AC134" s="2" t="s">
        <v>69</v>
      </c>
      <c r="AD134" s="2" t="s">
        <v>69</v>
      </c>
      <c r="AE134" s="2" t="s">
        <v>69</v>
      </c>
      <c r="AF134" s="2" t="s">
        <v>69</v>
      </c>
      <c r="AG134" s="2" t="s">
        <v>69</v>
      </c>
      <c r="AH134" s="2" t="s">
        <v>69</v>
      </c>
      <c r="AI134" s="2"/>
      <c r="AJ134" s="2"/>
      <c r="AK134" s="2">
        <v>1</v>
      </c>
      <c r="AL134" s="2">
        <v>1</v>
      </c>
      <c r="AM134" s="2" t="s">
        <v>69</v>
      </c>
      <c r="AN134" s="68" t="s">
        <v>2008</v>
      </c>
    </row>
    <row r="135" spans="1:40" ht="14.25" customHeight="1" x14ac:dyDescent="0.35">
      <c r="A135" s="2" t="s">
        <v>1980</v>
      </c>
      <c r="B135" s="43" t="s">
        <v>473</v>
      </c>
      <c r="C135" s="43" t="s">
        <v>435</v>
      </c>
      <c r="D135" s="2">
        <f t="shared" si="12"/>
        <v>0</v>
      </c>
      <c r="F135" s="2" t="s">
        <v>277</v>
      </c>
      <c r="G135" s="2" t="s">
        <v>277</v>
      </c>
      <c r="H135" s="2" t="str">
        <f t="shared" si="13"/>
        <v/>
      </c>
      <c r="J135" s="2" t="s">
        <v>277</v>
      </c>
      <c r="K135" s="2" t="s">
        <v>277</v>
      </c>
      <c r="L135" s="2" t="s">
        <v>277</v>
      </c>
      <c r="M135" s="2" t="s">
        <v>277</v>
      </c>
      <c r="N135" s="2" t="s">
        <v>277</v>
      </c>
      <c r="S135" s="2" t="s">
        <v>651</v>
      </c>
      <c r="W135" s="2"/>
      <c r="AA135" s="2" t="s">
        <v>277</v>
      </c>
      <c r="AB135" s="69">
        <f t="shared" si="14"/>
        <v>0</v>
      </c>
      <c r="AL135">
        <v>0</v>
      </c>
      <c r="AN135" s="68" t="s">
        <v>2008</v>
      </c>
    </row>
    <row r="136" spans="1:40" ht="14.25" customHeight="1" x14ac:dyDescent="0.35">
      <c r="A136" s="2" t="s">
        <v>702</v>
      </c>
      <c r="B136" s="43" t="str">
        <f>IF(ISNUMBER(SEARCH(",",E136)),LEFT(E136,SEARCH(",",E136)-1),E136)</f>
        <v>Logistics</v>
      </c>
      <c r="C136" s="43" t="s">
        <v>435</v>
      </c>
      <c r="D136" s="2">
        <f t="shared" si="12"/>
        <v>1</v>
      </c>
      <c r="E136" s="2" t="s">
        <v>306</v>
      </c>
      <c r="F136" s="2" t="s">
        <v>277</v>
      </c>
      <c r="G136" s="2" t="s">
        <v>277</v>
      </c>
      <c r="H136" s="2" t="str">
        <f t="shared" si="13"/>
        <v/>
      </c>
      <c r="J136" s="2" t="s">
        <v>277</v>
      </c>
      <c r="K136" s="2" t="s">
        <v>277</v>
      </c>
      <c r="L136" s="2" t="s">
        <v>277</v>
      </c>
      <c r="M136" s="2" t="s">
        <v>277</v>
      </c>
      <c r="N136" s="2" t="s">
        <v>277</v>
      </c>
      <c r="O136" s="2" t="s">
        <v>703</v>
      </c>
      <c r="P136" s="2" t="s">
        <v>487</v>
      </c>
      <c r="Q136" s="2" t="s">
        <v>69</v>
      </c>
      <c r="R136" s="2" t="s">
        <v>279</v>
      </c>
      <c r="S136" s="2" t="s">
        <v>704</v>
      </c>
      <c r="T136" s="2" t="s">
        <v>69</v>
      </c>
      <c r="U136" s="2" t="s">
        <v>69</v>
      </c>
      <c r="V136" s="2" t="s">
        <v>303</v>
      </c>
      <c r="W136" s="2"/>
      <c r="X136" s="2"/>
      <c r="Y136" s="2" t="s">
        <v>69</v>
      </c>
      <c r="Z136" s="2" t="s">
        <v>328</v>
      </c>
      <c r="AA136" s="2" t="s">
        <v>277</v>
      </c>
      <c r="AB136" s="69" t="str">
        <f t="shared" si="14"/>
        <v>n.a.</v>
      </c>
      <c r="AC136" s="2" t="s">
        <v>69</v>
      </c>
      <c r="AD136" s="2" t="s">
        <v>69</v>
      </c>
      <c r="AE136" s="2" t="s">
        <v>69</v>
      </c>
      <c r="AF136" s="2" t="s">
        <v>69</v>
      </c>
      <c r="AG136" s="2" t="s">
        <v>69</v>
      </c>
      <c r="AH136" s="2" t="s">
        <v>2031</v>
      </c>
      <c r="AI136" s="2"/>
      <c r="AJ136" s="2"/>
      <c r="AK136" s="2">
        <v>1</v>
      </c>
      <c r="AL136" s="2">
        <v>1</v>
      </c>
      <c r="AM136" s="2" t="s">
        <v>69</v>
      </c>
      <c r="AN136" s="68" t="s">
        <v>2008</v>
      </c>
    </row>
    <row r="137" spans="1:40" ht="14.25" customHeight="1" x14ac:dyDescent="0.35">
      <c r="A137" s="2" t="s">
        <v>648</v>
      </c>
      <c r="B137" s="43" t="str">
        <f>IF(ISNUMBER(SEARCH(",",E137)),LEFT(E137,SEARCH(",",E137)-1),E137)</f>
        <v>Industrial</v>
      </c>
      <c r="C137" s="43" t="s">
        <v>435</v>
      </c>
      <c r="D137" s="2">
        <f t="shared" si="12"/>
        <v>1</v>
      </c>
      <c r="E137" s="2" t="s">
        <v>644</v>
      </c>
      <c r="F137" s="2" t="s">
        <v>501</v>
      </c>
      <c r="G137" s="2" t="s">
        <v>649</v>
      </c>
      <c r="H137" s="2" t="str">
        <f t="shared" si="13"/>
        <v>Machinery Manufacturing</v>
      </c>
      <c r="I137" s="2" t="s">
        <v>557</v>
      </c>
      <c r="J137" s="2" t="s">
        <v>482</v>
      </c>
      <c r="K137" s="2" t="s">
        <v>502</v>
      </c>
      <c r="L137" s="2" t="s">
        <v>315</v>
      </c>
      <c r="M137" s="2" t="s">
        <v>277</v>
      </c>
      <c r="N137" s="2" t="s">
        <v>277</v>
      </c>
      <c r="O137" s="2">
        <v>13.708</v>
      </c>
      <c r="P137" s="2" t="s">
        <v>278</v>
      </c>
      <c r="Q137" s="2">
        <v>1907</v>
      </c>
      <c r="R137" s="2" t="s">
        <v>279</v>
      </c>
      <c r="S137" s="2" t="s">
        <v>650</v>
      </c>
      <c r="T137" s="2" t="s">
        <v>69</v>
      </c>
      <c r="U137" s="2" t="s">
        <v>69</v>
      </c>
      <c r="V137" s="2" t="s">
        <v>327</v>
      </c>
      <c r="W137" s="2"/>
      <c r="X137" s="2"/>
      <c r="Y137" s="2">
        <v>1</v>
      </c>
      <c r="Z137" s="2" t="s">
        <v>328</v>
      </c>
      <c r="AA137" s="2" t="s">
        <v>2044</v>
      </c>
      <c r="AB137" s="69">
        <f t="shared" si="14"/>
        <v>856</v>
      </c>
      <c r="AC137" s="69">
        <v>800000000</v>
      </c>
      <c r="AD137" s="2" t="s">
        <v>458</v>
      </c>
      <c r="AE137" s="2" t="s">
        <v>69</v>
      </c>
      <c r="AF137" s="2">
        <v>8</v>
      </c>
      <c r="AG137" s="2" t="s">
        <v>299</v>
      </c>
      <c r="AH137" s="2" t="s">
        <v>2029</v>
      </c>
      <c r="AI137" s="2"/>
      <c r="AJ137" s="2"/>
      <c r="AK137" s="2">
        <v>1</v>
      </c>
      <c r="AL137" s="2">
        <v>1</v>
      </c>
      <c r="AM137" s="2" t="s">
        <v>69</v>
      </c>
      <c r="AN137" s="68" t="s">
        <v>2008</v>
      </c>
    </row>
    <row r="138" spans="1:40" ht="14.25" customHeight="1" x14ac:dyDescent="0.35">
      <c r="A138" s="2" t="s">
        <v>880</v>
      </c>
      <c r="B138" s="43" t="s">
        <v>1992</v>
      </c>
      <c r="C138" s="43" t="s">
        <v>435</v>
      </c>
      <c r="D138" s="2">
        <f t="shared" si="12"/>
        <v>0</v>
      </c>
      <c r="E138" s="2" t="s">
        <v>881</v>
      </c>
      <c r="F138" s="2" t="s">
        <v>854</v>
      </c>
      <c r="G138" s="2" t="s">
        <v>380</v>
      </c>
      <c r="H138" s="2" t="str">
        <f t="shared" si="13"/>
        <v/>
      </c>
      <c r="J138" s="2" t="s">
        <v>277</v>
      </c>
      <c r="K138" s="2" t="s">
        <v>277</v>
      </c>
      <c r="L138" s="2" t="s">
        <v>277</v>
      </c>
      <c r="M138" s="2" t="s">
        <v>277</v>
      </c>
      <c r="N138" s="2" t="s">
        <v>277</v>
      </c>
      <c r="O138" s="2">
        <v>275.22500000000002</v>
      </c>
      <c r="P138" s="2" t="s">
        <v>278</v>
      </c>
      <c r="Q138" s="2">
        <v>1980</v>
      </c>
      <c r="R138" s="2" t="s">
        <v>279</v>
      </c>
      <c r="S138" s="2" t="s">
        <v>882</v>
      </c>
      <c r="T138" s="2" t="s">
        <v>69</v>
      </c>
      <c r="U138" s="2" t="s">
        <v>69</v>
      </c>
      <c r="V138" s="2" t="s">
        <v>337</v>
      </c>
      <c r="W138" s="2"/>
      <c r="X138" s="2"/>
      <c r="Y138" s="2" t="s">
        <v>69</v>
      </c>
      <c r="Z138" s="2" t="s">
        <v>69</v>
      </c>
      <c r="AA138" s="2" t="s">
        <v>277</v>
      </c>
      <c r="AB138" s="69" t="str">
        <f t="shared" si="14"/>
        <v>n.a.</v>
      </c>
      <c r="AC138" s="2" t="s">
        <v>69</v>
      </c>
      <c r="AD138" s="2" t="s">
        <v>69</v>
      </c>
      <c r="AE138" s="2" t="s">
        <v>69</v>
      </c>
      <c r="AF138" s="2" t="s">
        <v>69</v>
      </c>
      <c r="AG138" s="2" t="s">
        <v>69</v>
      </c>
      <c r="AH138" s="2" t="s">
        <v>2031</v>
      </c>
      <c r="AI138" s="2"/>
      <c r="AJ138" s="2"/>
      <c r="AK138" s="2" t="s">
        <v>69</v>
      </c>
      <c r="AL138" s="2">
        <v>0</v>
      </c>
      <c r="AM138" s="2" t="s">
        <v>69</v>
      </c>
      <c r="AN138" s="68" t="s">
        <v>2008</v>
      </c>
    </row>
    <row r="139" spans="1:40" ht="14.25" customHeight="1" x14ac:dyDescent="0.35">
      <c r="A139" s="43" t="s">
        <v>922</v>
      </c>
      <c r="B139" s="43" t="s">
        <v>398</v>
      </c>
      <c r="C139" s="43" t="s">
        <v>435</v>
      </c>
      <c r="D139" s="2">
        <f t="shared" ref="D139:D170" si="15">COUNTIF(E139:N139,B139)</f>
        <v>0</v>
      </c>
      <c r="E139" s="2" t="s">
        <v>324</v>
      </c>
      <c r="F139" s="2" t="s">
        <v>277</v>
      </c>
      <c r="G139" s="2" t="s">
        <v>277</v>
      </c>
      <c r="H139" s="2" t="str">
        <f t="shared" ref="H139:H170" si="16">IF(NOT(ISBLANK(I139)),RIGHT(I139,LEN(I139)-1),"")</f>
        <v/>
      </c>
      <c r="J139" s="2" t="s">
        <v>277</v>
      </c>
      <c r="K139" s="2" t="s">
        <v>277</v>
      </c>
      <c r="L139" s="2" t="s">
        <v>277</v>
      </c>
      <c r="M139" s="2" t="s">
        <v>277</v>
      </c>
      <c r="N139" s="2" t="s">
        <v>277</v>
      </c>
      <c r="O139" s="2">
        <v>210.898</v>
      </c>
      <c r="P139" s="2" t="s">
        <v>278</v>
      </c>
      <c r="Q139" s="2">
        <v>1987</v>
      </c>
      <c r="R139" s="2" t="s">
        <v>279</v>
      </c>
      <c r="S139" s="2" t="s">
        <v>923</v>
      </c>
      <c r="T139" s="2" t="s">
        <v>69</v>
      </c>
      <c r="U139" s="2" t="s">
        <v>69</v>
      </c>
      <c r="V139" s="2" t="s">
        <v>479</v>
      </c>
      <c r="W139" s="2"/>
      <c r="X139" s="2"/>
      <c r="Y139" s="2" t="s">
        <v>69</v>
      </c>
      <c r="Z139" s="2" t="s">
        <v>351</v>
      </c>
      <c r="AA139" s="2" t="s">
        <v>277</v>
      </c>
      <c r="AB139" s="69" t="str">
        <f t="shared" si="14"/>
        <v>n.a.</v>
      </c>
      <c r="AC139" s="2" t="s">
        <v>69</v>
      </c>
      <c r="AD139" s="2" t="s">
        <v>69</v>
      </c>
      <c r="AE139" s="2" t="s">
        <v>69</v>
      </c>
      <c r="AF139" s="2" t="s">
        <v>69</v>
      </c>
      <c r="AG139" s="2" t="s">
        <v>374</v>
      </c>
      <c r="AH139" s="2" t="s">
        <v>2029</v>
      </c>
      <c r="AI139" s="2"/>
      <c r="AJ139" s="2"/>
      <c r="AK139" s="2">
        <v>1</v>
      </c>
      <c r="AL139" s="2">
        <v>0</v>
      </c>
      <c r="AM139" s="2">
        <v>1</v>
      </c>
      <c r="AN139" s="68" t="s">
        <v>2008</v>
      </c>
    </row>
    <row r="140" spans="1:40" ht="14.25" customHeight="1" x14ac:dyDescent="0.35">
      <c r="A140" s="2" t="s">
        <v>768</v>
      </c>
      <c r="B140" s="43" t="s">
        <v>490</v>
      </c>
      <c r="C140" s="43" t="s">
        <v>435</v>
      </c>
      <c r="D140" s="2">
        <f t="shared" si="15"/>
        <v>0</v>
      </c>
      <c r="E140" s="2" t="s">
        <v>287</v>
      </c>
      <c r="F140" s="2" t="s">
        <v>769</v>
      </c>
      <c r="G140" s="2" t="s">
        <v>313</v>
      </c>
      <c r="H140" s="2" t="str">
        <f t="shared" si="16"/>
        <v>Energy</v>
      </c>
      <c r="I140" s="2" t="s">
        <v>770</v>
      </c>
      <c r="J140" s="2" t="s">
        <v>771</v>
      </c>
      <c r="K140" s="2" t="s">
        <v>324</v>
      </c>
      <c r="L140" s="2" t="s">
        <v>277</v>
      </c>
      <c r="M140" s="2" t="s">
        <v>277</v>
      </c>
      <c r="N140" s="2" t="s">
        <v>277</v>
      </c>
      <c r="O140" s="2">
        <v>9.3190000000000008</v>
      </c>
      <c r="P140" s="2" t="s">
        <v>278</v>
      </c>
      <c r="Q140" s="2">
        <v>2016</v>
      </c>
      <c r="R140" s="2" t="s">
        <v>279</v>
      </c>
      <c r="S140" s="2" t="s">
        <v>772</v>
      </c>
      <c r="T140" s="2" t="s">
        <v>69</v>
      </c>
      <c r="U140" s="2" t="s">
        <v>69</v>
      </c>
      <c r="V140" s="2" t="s">
        <v>337</v>
      </c>
      <c r="W140" s="2"/>
      <c r="X140" s="2"/>
      <c r="Y140" s="2">
        <v>7</v>
      </c>
      <c r="Z140" s="2" t="s">
        <v>328</v>
      </c>
      <c r="AA140" s="2" t="s">
        <v>2042</v>
      </c>
      <c r="AB140" s="69">
        <f t="shared" si="14"/>
        <v>127.167096</v>
      </c>
      <c r="AC140" s="69">
        <v>127167096</v>
      </c>
      <c r="AD140" s="2" t="s">
        <v>773</v>
      </c>
      <c r="AE140" s="2">
        <v>9</v>
      </c>
      <c r="AF140" s="2" t="s">
        <v>69</v>
      </c>
      <c r="AG140" s="2" t="s">
        <v>69</v>
      </c>
      <c r="AH140" s="2" t="s">
        <v>2028</v>
      </c>
      <c r="AI140" s="2"/>
      <c r="AJ140" s="2"/>
      <c r="AK140" s="2" t="s">
        <v>69</v>
      </c>
      <c r="AL140" s="2">
        <v>1</v>
      </c>
      <c r="AM140" s="2">
        <v>17</v>
      </c>
      <c r="AN140" s="68" t="s">
        <v>2008</v>
      </c>
    </row>
    <row r="141" spans="1:40" ht="14.25" customHeight="1" x14ac:dyDescent="0.35">
      <c r="A141" s="2" t="s">
        <v>715</v>
      </c>
      <c r="B141" s="43" t="s">
        <v>716</v>
      </c>
      <c r="C141" s="43" t="s">
        <v>435</v>
      </c>
      <c r="D141" s="2">
        <f t="shared" si="15"/>
        <v>0</v>
      </c>
      <c r="E141" s="2" t="s">
        <v>321</v>
      </c>
      <c r="F141" s="2" t="s">
        <v>324</v>
      </c>
      <c r="G141" s="2" t="s">
        <v>277</v>
      </c>
      <c r="H141" s="2" t="str">
        <f t="shared" si="16"/>
        <v/>
      </c>
      <c r="J141" s="2" t="s">
        <v>277</v>
      </c>
      <c r="K141" s="2" t="s">
        <v>277</v>
      </c>
      <c r="L141" s="2" t="s">
        <v>277</v>
      </c>
      <c r="M141" s="2" t="s">
        <v>277</v>
      </c>
      <c r="N141" s="2" t="s">
        <v>277</v>
      </c>
      <c r="O141" s="2">
        <v>3.2469999999999999</v>
      </c>
      <c r="P141" s="2" t="s">
        <v>278</v>
      </c>
      <c r="Q141" s="2" t="s">
        <v>717</v>
      </c>
      <c r="R141" s="2" t="s">
        <v>279</v>
      </c>
      <c r="S141" s="2" t="s">
        <v>718</v>
      </c>
      <c r="T141" s="2" t="s">
        <v>69</v>
      </c>
      <c r="U141" s="2" t="s">
        <v>69</v>
      </c>
      <c r="V141" s="2" t="s">
        <v>297</v>
      </c>
      <c r="W141" s="2"/>
      <c r="X141" s="2"/>
      <c r="Y141" s="2">
        <v>5</v>
      </c>
      <c r="Z141" s="2" t="s">
        <v>291</v>
      </c>
      <c r="AA141" s="2" t="s">
        <v>2042</v>
      </c>
      <c r="AB141" s="69">
        <f t="shared" si="14"/>
        <v>28.595296000000001</v>
      </c>
      <c r="AC141" s="69">
        <v>28595296</v>
      </c>
      <c r="AD141" s="2" t="s">
        <v>719</v>
      </c>
      <c r="AE141" s="2">
        <v>11</v>
      </c>
      <c r="AF141" s="2" t="s">
        <v>69</v>
      </c>
      <c r="AG141" s="2" t="s">
        <v>69</v>
      </c>
      <c r="AH141" s="2" t="s">
        <v>69</v>
      </c>
      <c r="AI141" s="2"/>
      <c r="AJ141" s="2"/>
      <c r="AK141" s="2" t="s">
        <v>69</v>
      </c>
      <c r="AL141" s="2">
        <v>0</v>
      </c>
      <c r="AM141" s="2" t="s">
        <v>69</v>
      </c>
      <c r="AN141" s="68" t="s">
        <v>2008</v>
      </c>
    </row>
    <row r="142" spans="1:40" ht="14.25" customHeight="1" x14ac:dyDescent="0.35">
      <c r="A142" s="2" t="s">
        <v>539</v>
      </c>
      <c r="B142" s="43" t="s">
        <v>540</v>
      </c>
      <c r="C142" s="43" t="s">
        <v>435</v>
      </c>
      <c r="D142" s="2">
        <f t="shared" si="15"/>
        <v>0</v>
      </c>
      <c r="E142" s="2" t="s">
        <v>541</v>
      </c>
      <c r="F142" s="2" t="s">
        <v>542</v>
      </c>
      <c r="G142" s="2" t="s">
        <v>543</v>
      </c>
      <c r="H142" s="2" t="str">
        <f t="shared" si="16"/>
        <v>Professional Services</v>
      </c>
      <c r="I142" s="2" t="s">
        <v>544</v>
      </c>
      <c r="J142" s="2" t="s">
        <v>277</v>
      </c>
      <c r="K142" s="2" t="s">
        <v>277</v>
      </c>
      <c r="L142" s="2" t="s">
        <v>277</v>
      </c>
      <c r="M142" s="2" t="s">
        <v>277</v>
      </c>
      <c r="N142" s="2" t="s">
        <v>277</v>
      </c>
      <c r="O142" s="2">
        <v>412</v>
      </c>
      <c r="P142" s="2" t="s">
        <v>278</v>
      </c>
      <c r="Q142" s="2">
        <v>1954</v>
      </c>
      <c r="R142" s="2" t="s">
        <v>279</v>
      </c>
      <c r="S142" s="2" t="s">
        <v>545</v>
      </c>
      <c r="T142" s="2" t="s">
        <v>69</v>
      </c>
      <c r="U142" s="2" t="s">
        <v>69</v>
      </c>
      <c r="V142" s="2" t="s">
        <v>327</v>
      </c>
      <c r="W142" s="2"/>
      <c r="X142" s="2"/>
      <c r="Y142" s="2">
        <v>2</v>
      </c>
      <c r="Z142" s="2" t="s">
        <v>328</v>
      </c>
      <c r="AA142" s="2" t="s">
        <v>2042</v>
      </c>
      <c r="AB142" s="69">
        <f t="shared" si="14"/>
        <v>500</v>
      </c>
      <c r="AC142" s="69">
        <v>500000000</v>
      </c>
      <c r="AD142" s="2" t="s">
        <v>546</v>
      </c>
      <c r="AE142" s="2" t="s">
        <v>69</v>
      </c>
      <c r="AF142" s="2">
        <v>98</v>
      </c>
      <c r="AG142" s="2" t="s">
        <v>299</v>
      </c>
      <c r="AH142" s="2" t="s">
        <v>2034</v>
      </c>
      <c r="AI142" s="2"/>
      <c r="AJ142" s="2"/>
      <c r="AK142" s="2" t="s">
        <v>69</v>
      </c>
      <c r="AL142" s="2">
        <v>1</v>
      </c>
      <c r="AM142" s="2">
        <v>13</v>
      </c>
      <c r="AN142" s="68" t="s">
        <v>2008</v>
      </c>
    </row>
    <row r="143" spans="1:40" ht="14.25" customHeight="1" x14ac:dyDescent="0.35">
      <c r="A143" s="2" t="s">
        <v>599</v>
      </c>
      <c r="B143" s="43" t="str">
        <f>IF(ISNUMBER(SEARCH(",",E143)),LEFT(E143,SEARCH(",",E143)-1),E143)</f>
        <v>Financial Services</v>
      </c>
      <c r="C143" s="43" t="s">
        <v>435</v>
      </c>
      <c r="D143" s="2">
        <f t="shared" si="15"/>
        <v>1</v>
      </c>
      <c r="E143" s="2" t="s">
        <v>588</v>
      </c>
      <c r="F143" s="2" t="s">
        <v>600</v>
      </c>
      <c r="G143" s="2" t="s">
        <v>277</v>
      </c>
      <c r="H143" s="2" t="str">
        <f t="shared" si="16"/>
        <v/>
      </c>
      <c r="J143" s="2" t="s">
        <v>277</v>
      </c>
      <c r="K143" s="2" t="s">
        <v>277</v>
      </c>
      <c r="L143" s="2" t="s">
        <v>277</v>
      </c>
      <c r="M143" s="2" t="s">
        <v>277</v>
      </c>
      <c r="N143" s="2" t="s">
        <v>277</v>
      </c>
      <c r="O143" s="2">
        <v>275.488</v>
      </c>
      <c r="P143" s="2" t="s">
        <v>278</v>
      </c>
      <c r="Q143" s="2">
        <v>2014</v>
      </c>
      <c r="R143" s="2" t="s">
        <v>279</v>
      </c>
      <c r="S143" s="2" t="s">
        <v>601</v>
      </c>
      <c r="T143" s="2" t="s">
        <v>69</v>
      </c>
      <c r="U143" s="2" t="s">
        <v>69</v>
      </c>
      <c r="V143" s="3" t="s">
        <v>282</v>
      </c>
      <c r="W143" s="2"/>
      <c r="X143" s="3"/>
      <c r="Y143" s="2">
        <v>1</v>
      </c>
      <c r="Z143" s="2" t="s">
        <v>69</v>
      </c>
      <c r="AA143" s="2" t="s">
        <v>277</v>
      </c>
      <c r="AB143" s="69" t="str">
        <f t="shared" si="14"/>
        <v>n.a.</v>
      </c>
      <c r="AC143" s="2" t="s">
        <v>69</v>
      </c>
      <c r="AD143" s="2" t="s">
        <v>524</v>
      </c>
      <c r="AE143" s="2">
        <v>1</v>
      </c>
      <c r="AF143" s="2" t="s">
        <v>69</v>
      </c>
      <c r="AG143" s="2" t="s">
        <v>69</v>
      </c>
      <c r="AH143" s="2" t="s">
        <v>2028</v>
      </c>
      <c r="AI143" s="2"/>
      <c r="AJ143" s="2"/>
      <c r="AK143" s="2" t="s">
        <v>69</v>
      </c>
      <c r="AL143" s="2">
        <v>0</v>
      </c>
      <c r="AM143" s="2">
        <v>0</v>
      </c>
      <c r="AN143" s="68" t="s">
        <v>2008</v>
      </c>
    </row>
    <row r="144" spans="1:40" ht="14.25" customHeight="1" x14ac:dyDescent="0.35">
      <c r="A144" s="2" t="s">
        <v>846</v>
      </c>
      <c r="B144" s="43" t="s">
        <v>306</v>
      </c>
      <c r="C144" s="43" t="s">
        <v>435</v>
      </c>
      <c r="D144" s="2">
        <f t="shared" si="15"/>
        <v>0</v>
      </c>
      <c r="E144" s="2" t="s">
        <v>281</v>
      </c>
      <c r="F144" s="2" t="s">
        <v>277</v>
      </c>
      <c r="G144" s="2" t="s">
        <v>277</v>
      </c>
      <c r="H144" s="2" t="str">
        <f t="shared" si="16"/>
        <v/>
      </c>
      <c r="J144" s="2" t="s">
        <v>277</v>
      </c>
      <c r="K144" s="2" t="s">
        <v>277</v>
      </c>
      <c r="L144" s="2" t="s">
        <v>277</v>
      </c>
      <c r="M144" s="2" t="s">
        <v>277</v>
      </c>
      <c r="N144" s="2" t="s">
        <v>277</v>
      </c>
      <c r="O144" s="2" t="s">
        <v>847</v>
      </c>
      <c r="P144" s="2" t="s">
        <v>278</v>
      </c>
      <c r="Q144" s="2">
        <v>1997</v>
      </c>
      <c r="R144" s="2" t="s">
        <v>279</v>
      </c>
      <c r="S144" s="2" t="s">
        <v>848</v>
      </c>
      <c r="T144" s="2" t="s">
        <v>69</v>
      </c>
      <c r="U144" s="2" t="s">
        <v>69</v>
      </c>
      <c r="V144" s="2" t="s">
        <v>297</v>
      </c>
      <c r="W144" s="2"/>
      <c r="X144" s="2"/>
      <c r="Y144" s="2" t="s">
        <v>69</v>
      </c>
      <c r="Z144" s="2" t="s">
        <v>69</v>
      </c>
      <c r="AA144" s="2" t="s">
        <v>277</v>
      </c>
      <c r="AB144" s="69" t="str">
        <f t="shared" si="14"/>
        <v>n.a.</v>
      </c>
      <c r="AC144" s="2" t="s">
        <v>69</v>
      </c>
      <c r="AD144" s="2" t="s">
        <v>69</v>
      </c>
      <c r="AE144" s="2" t="s">
        <v>69</v>
      </c>
      <c r="AF144" s="2" t="s">
        <v>69</v>
      </c>
      <c r="AG144" s="2" t="s">
        <v>69</v>
      </c>
      <c r="AH144" s="2" t="s">
        <v>2028</v>
      </c>
      <c r="AI144" s="2"/>
      <c r="AJ144" s="2"/>
      <c r="AK144" s="2" t="s">
        <v>69</v>
      </c>
      <c r="AL144" s="2">
        <v>0</v>
      </c>
      <c r="AM144" s="2">
        <v>0</v>
      </c>
      <c r="AN144" s="68" t="s">
        <v>2008</v>
      </c>
    </row>
    <row r="145" spans="1:40" ht="14.25" customHeight="1" x14ac:dyDescent="0.35">
      <c r="A145" s="2" t="s">
        <v>668</v>
      </c>
      <c r="B145" s="43" t="s">
        <v>660</v>
      </c>
      <c r="C145" s="43" t="s">
        <v>435</v>
      </c>
      <c r="D145" s="2">
        <f t="shared" si="15"/>
        <v>1</v>
      </c>
      <c r="E145" s="2" t="s">
        <v>669</v>
      </c>
      <c r="F145" s="2" t="s">
        <v>380</v>
      </c>
      <c r="G145" s="2" t="s">
        <v>660</v>
      </c>
      <c r="H145" s="2" t="str">
        <f t="shared" si="16"/>
        <v>Risk Management</v>
      </c>
      <c r="I145" s="2" t="s">
        <v>670</v>
      </c>
      <c r="J145" s="2" t="s">
        <v>671</v>
      </c>
      <c r="K145" s="2" t="s">
        <v>277</v>
      </c>
      <c r="L145" s="2" t="s">
        <v>277</v>
      </c>
      <c r="M145" s="2" t="s">
        <v>277</v>
      </c>
      <c r="N145" s="2" t="s">
        <v>277</v>
      </c>
      <c r="O145" s="2">
        <v>43.642000000000003</v>
      </c>
      <c r="P145" s="2" t="s">
        <v>278</v>
      </c>
      <c r="Q145" s="2">
        <v>1863</v>
      </c>
      <c r="R145" s="2" t="s">
        <v>279</v>
      </c>
      <c r="S145" s="2" t="s">
        <v>672</v>
      </c>
      <c r="T145" s="2" t="s">
        <v>69</v>
      </c>
      <c r="U145" s="2" t="s">
        <v>69</v>
      </c>
      <c r="V145" s="2" t="s">
        <v>327</v>
      </c>
      <c r="W145" s="2"/>
      <c r="X145" s="2"/>
      <c r="Y145" s="2">
        <v>2</v>
      </c>
      <c r="Z145" s="2" t="s">
        <v>328</v>
      </c>
      <c r="AA145" s="2" t="s">
        <v>2042</v>
      </c>
      <c r="AB145" s="69">
        <f t="shared" si="14"/>
        <v>700</v>
      </c>
      <c r="AC145" s="69">
        <v>700000000</v>
      </c>
      <c r="AD145" s="2" t="s">
        <v>673</v>
      </c>
      <c r="AE145" s="2">
        <v>2</v>
      </c>
      <c r="AF145" s="2">
        <v>6</v>
      </c>
      <c r="AG145" s="2" t="s">
        <v>299</v>
      </c>
      <c r="AH145" s="2" t="s">
        <v>2035</v>
      </c>
      <c r="AI145" s="2"/>
      <c r="AJ145" s="2"/>
      <c r="AK145" s="2">
        <v>17</v>
      </c>
      <c r="AL145" s="2">
        <v>1</v>
      </c>
      <c r="AM145" s="2">
        <v>215</v>
      </c>
      <c r="AN145" s="68" t="s">
        <v>2008</v>
      </c>
    </row>
    <row r="146" spans="1:40" ht="14.25" customHeight="1" x14ac:dyDescent="0.35">
      <c r="A146" s="2" t="s">
        <v>883</v>
      </c>
      <c r="B146" s="43" t="s">
        <v>653</v>
      </c>
      <c r="C146" s="43" t="s">
        <v>435</v>
      </c>
      <c r="D146" s="2">
        <f t="shared" si="15"/>
        <v>1</v>
      </c>
      <c r="E146" s="2" t="s">
        <v>399</v>
      </c>
      <c r="F146" s="2" t="s">
        <v>884</v>
      </c>
      <c r="G146" s="2" t="s">
        <v>653</v>
      </c>
      <c r="H146" s="2" t="str">
        <f t="shared" si="16"/>
        <v>Wireless</v>
      </c>
      <c r="I146" s="2" t="s">
        <v>885</v>
      </c>
      <c r="J146" s="2" t="s">
        <v>277</v>
      </c>
      <c r="K146" s="2" t="s">
        <v>277</v>
      </c>
      <c r="L146" s="2" t="s">
        <v>277</v>
      </c>
      <c r="M146" s="2" t="s">
        <v>277</v>
      </c>
      <c r="N146" s="2" t="s">
        <v>277</v>
      </c>
      <c r="O146" s="2">
        <v>8.4109999999999996</v>
      </c>
      <c r="P146" s="2" t="s">
        <v>278</v>
      </c>
      <c r="Q146" s="2">
        <v>1853</v>
      </c>
      <c r="R146" s="2" t="s">
        <v>279</v>
      </c>
      <c r="S146" s="2" t="s">
        <v>886</v>
      </c>
      <c r="T146" s="2" t="s">
        <v>69</v>
      </c>
      <c r="U146" s="2" t="s">
        <v>69</v>
      </c>
      <c r="V146" s="2" t="s">
        <v>327</v>
      </c>
      <c r="W146" s="2"/>
      <c r="X146" s="2"/>
      <c r="Y146" s="2">
        <v>1</v>
      </c>
      <c r="Z146" s="2" t="s">
        <v>351</v>
      </c>
      <c r="AA146" s="2" t="s">
        <v>2044</v>
      </c>
      <c r="AB146" s="69">
        <f t="shared" si="14"/>
        <v>535.00000000000011</v>
      </c>
      <c r="AC146" s="69">
        <v>500000000</v>
      </c>
      <c r="AD146" s="2" t="s">
        <v>887</v>
      </c>
      <c r="AE146" s="2" t="s">
        <v>69</v>
      </c>
      <c r="AF146" s="2">
        <v>10</v>
      </c>
      <c r="AG146" s="2" t="s">
        <v>353</v>
      </c>
      <c r="AH146" s="2" t="s">
        <v>2029</v>
      </c>
      <c r="AI146" s="2"/>
      <c r="AJ146" s="2"/>
      <c r="AK146" s="2">
        <v>12</v>
      </c>
      <c r="AL146" s="2">
        <v>1</v>
      </c>
      <c r="AM146" s="2">
        <v>79</v>
      </c>
      <c r="AN146" s="68" t="s">
        <v>2008</v>
      </c>
    </row>
    <row r="147" spans="1:40" ht="14.25" customHeight="1" x14ac:dyDescent="0.35">
      <c r="A147" s="43" t="s">
        <v>1966</v>
      </c>
      <c r="B147" s="43" t="s">
        <v>398</v>
      </c>
      <c r="C147" s="43" t="s">
        <v>435</v>
      </c>
      <c r="D147" s="2">
        <f t="shared" si="15"/>
        <v>0</v>
      </c>
      <c r="E147" s="2" t="s">
        <v>287</v>
      </c>
      <c r="F147" s="2" t="s">
        <v>891</v>
      </c>
      <c r="G147" s="2" t="s">
        <v>438</v>
      </c>
      <c r="H147" s="2" t="str">
        <f t="shared" si="16"/>
        <v>Railroad</v>
      </c>
      <c r="I147" s="2" t="s">
        <v>892</v>
      </c>
      <c r="J147" s="2" t="s">
        <v>324</v>
      </c>
      <c r="K147" s="2" t="s">
        <v>277</v>
      </c>
      <c r="L147" s="2" t="s">
        <v>277</v>
      </c>
      <c r="M147" s="2" t="s">
        <v>277</v>
      </c>
      <c r="N147" s="2" t="s">
        <v>277</v>
      </c>
      <c r="O147" s="2">
        <v>319.26499999999999</v>
      </c>
      <c r="P147" s="2" t="s">
        <v>278</v>
      </c>
      <c r="Q147" s="2" t="s">
        <v>893</v>
      </c>
      <c r="R147" s="2" t="s">
        <v>279</v>
      </c>
      <c r="S147" s="2" t="s">
        <v>894</v>
      </c>
      <c r="T147" s="2" t="s">
        <v>69</v>
      </c>
      <c r="U147" s="2" t="s">
        <v>69</v>
      </c>
      <c r="V147" s="2" t="s">
        <v>303</v>
      </c>
      <c r="W147" s="2"/>
      <c r="X147" s="2"/>
      <c r="Y147" s="2" t="s">
        <v>69</v>
      </c>
      <c r="Z147" s="2" t="s">
        <v>69</v>
      </c>
      <c r="AA147" s="2" t="s">
        <v>277</v>
      </c>
      <c r="AB147" s="69" t="str">
        <f t="shared" si="14"/>
        <v>n.a.</v>
      </c>
      <c r="AC147" s="2" t="s">
        <v>69</v>
      </c>
      <c r="AD147" s="2" t="s">
        <v>69</v>
      </c>
      <c r="AE147" s="2" t="s">
        <v>69</v>
      </c>
      <c r="AF147" s="2" t="s">
        <v>69</v>
      </c>
      <c r="AG147" s="2" t="s">
        <v>69</v>
      </c>
      <c r="AH147" s="2" t="s">
        <v>2033</v>
      </c>
      <c r="AI147" s="2"/>
      <c r="AJ147" s="2"/>
      <c r="AK147" s="2" t="s">
        <v>69</v>
      </c>
      <c r="AL147" s="2">
        <v>0</v>
      </c>
      <c r="AM147" s="2">
        <v>1</v>
      </c>
      <c r="AN147" s="68" t="s">
        <v>2008</v>
      </c>
    </row>
    <row r="148" spans="1:40" ht="14.25" customHeight="1" x14ac:dyDescent="0.35">
      <c r="A148" t="s">
        <v>1982</v>
      </c>
      <c r="B148" s="43" t="str">
        <f>IF(ISNUMBER(SEARCH(",",E148)),LEFT(E148,SEARCH(",",E148)-1),E148)</f>
        <v>Advertising</v>
      </c>
      <c r="C148" s="43" t="s">
        <v>435</v>
      </c>
      <c r="D148" s="2">
        <f t="shared" si="15"/>
        <v>1</v>
      </c>
      <c r="E148" s="2" t="s">
        <v>436</v>
      </c>
      <c r="F148" s="2" t="s">
        <v>437</v>
      </c>
      <c r="G148" s="2" t="s">
        <v>438</v>
      </c>
      <c r="H148" s="2" t="str">
        <f t="shared" si="16"/>
        <v/>
      </c>
      <c r="J148" s="2" t="s">
        <v>277</v>
      </c>
      <c r="K148" s="2" t="s">
        <v>277</v>
      </c>
      <c r="L148" s="2" t="s">
        <v>277</v>
      </c>
      <c r="M148" s="2" t="s">
        <v>277</v>
      </c>
      <c r="N148" s="2" t="s">
        <v>277</v>
      </c>
      <c r="O148" s="2">
        <v>231.672</v>
      </c>
      <c r="P148" s="2" t="s">
        <v>278</v>
      </c>
      <c r="Q148" s="2">
        <v>1941</v>
      </c>
      <c r="R148" s="2" t="s">
        <v>279</v>
      </c>
      <c r="S148" s="2" t="s">
        <v>439</v>
      </c>
      <c r="T148" s="2" t="s">
        <v>69</v>
      </c>
      <c r="U148" s="2" t="s">
        <v>69</v>
      </c>
      <c r="V148" s="2" t="s">
        <v>290</v>
      </c>
      <c r="W148" s="2"/>
      <c r="X148" s="2"/>
      <c r="Y148" s="2" t="s">
        <v>69</v>
      </c>
      <c r="Z148" s="2" t="s">
        <v>69</v>
      </c>
      <c r="AA148" s="2" t="s">
        <v>277</v>
      </c>
      <c r="AB148" s="69" t="str">
        <f t="shared" si="14"/>
        <v>n.a.</v>
      </c>
      <c r="AC148" s="2" t="s">
        <v>69</v>
      </c>
      <c r="AD148" s="2" t="s">
        <v>69</v>
      </c>
      <c r="AE148" s="2" t="s">
        <v>69</v>
      </c>
      <c r="AF148" s="2" t="s">
        <v>69</v>
      </c>
      <c r="AG148" s="2" t="s">
        <v>69</v>
      </c>
      <c r="AH148" s="2" t="s">
        <v>2030</v>
      </c>
      <c r="AI148" s="2"/>
      <c r="AJ148" s="2"/>
      <c r="AK148" s="2" t="s">
        <v>69</v>
      </c>
      <c r="AL148" s="2">
        <v>0</v>
      </c>
      <c r="AM148" s="2" t="s">
        <v>69</v>
      </c>
      <c r="AN148" s="68" t="s">
        <v>2008</v>
      </c>
    </row>
    <row r="149" spans="1:40" ht="14.25" customHeight="1" x14ac:dyDescent="0.35">
      <c r="A149" s="2" t="s">
        <v>774</v>
      </c>
      <c r="B149" s="43" t="s">
        <v>490</v>
      </c>
      <c r="C149" s="43" t="s">
        <v>435</v>
      </c>
      <c r="D149" s="2">
        <f t="shared" si="15"/>
        <v>0</v>
      </c>
      <c r="E149" s="2" t="s">
        <v>287</v>
      </c>
      <c r="F149" s="2" t="s">
        <v>664</v>
      </c>
      <c r="G149" s="2" t="s">
        <v>482</v>
      </c>
      <c r="H149" s="2" t="str">
        <f t="shared" si="16"/>
        <v>Marketing</v>
      </c>
      <c r="I149" s="2" t="s">
        <v>442</v>
      </c>
      <c r="J149" s="2" t="s">
        <v>277</v>
      </c>
      <c r="K149" s="2" t="s">
        <v>277</v>
      </c>
      <c r="L149" s="2" t="s">
        <v>277</v>
      </c>
      <c r="M149" s="2" t="s">
        <v>277</v>
      </c>
      <c r="N149" s="2" t="s">
        <v>277</v>
      </c>
      <c r="O149" s="2">
        <v>19.29</v>
      </c>
      <c r="P149" s="2" t="s">
        <v>278</v>
      </c>
      <c r="Q149" s="2" t="s">
        <v>775</v>
      </c>
      <c r="R149" s="2" t="s">
        <v>279</v>
      </c>
      <c r="S149" s="2" t="s">
        <v>776</v>
      </c>
      <c r="T149" s="2" t="s">
        <v>69</v>
      </c>
      <c r="U149" s="2" t="s">
        <v>69</v>
      </c>
      <c r="V149" s="2" t="s">
        <v>327</v>
      </c>
      <c r="W149" s="2"/>
      <c r="X149" s="2"/>
      <c r="Y149" s="2" t="s">
        <v>69</v>
      </c>
      <c r="Z149" s="2" t="s">
        <v>69</v>
      </c>
      <c r="AA149" s="2" t="s">
        <v>277</v>
      </c>
      <c r="AB149" s="69" t="str">
        <f t="shared" si="14"/>
        <v>n.a.</v>
      </c>
      <c r="AC149" s="2" t="s">
        <v>69</v>
      </c>
      <c r="AD149" s="2" t="s">
        <v>69</v>
      </c>
      <c r="AE149" s="2" t="s">
        <v>69</v>
      </c>
      <c r="AF149" s="2" t="s">
        <v>69</v>
      </c>
      <c r="AG149" s="2" t="s">
        <v>69</v>
      </c>
      <c r="AH149" s="2" t="s">
        <v>2035</v>
      </c>
      <c r="AI149" s="2"/>
      <c r="AJ149" s="2"/>
      <c r="AK149" s="2">
        <v>5</v>
      </c>
      <c r="AL149" s="2">
        <v>0</v>
      </c>
      <c r="AM149" s="2" t="s">
        <v>69</v>
      </c>
      <c r="AN149" s="68" t="s">
        <v>2008</v>
      </c>
    </row>
    <row r="150" spans="1:40" ht="14.25" customHeight="1" x14ac:dyDescent="0.35">
      <c r="A150" s="2" t="s">
        <v>1972</v>
      </c>
      <c r="B150" s="43" t="s">
        <v>398</v>
      </c>
      <c r="C150" s="43" t="s">
        <v>435</v>
      </c>
      <c r="D150" s="2">
        <f t="shared" si="15"/>
        <v>0</v>
      </c>
      <c r="E150" s="2" t="s">
        <v>895</v>
      </c>
      <c r="F150" s="2" t="s">
        <v>322</v>
      </c>
      <c r="G150" s="2" t="s">
        <v>896</v>
      </c>
      <c r="H150" s="2" t="str">
        <f t="shared" si="16"/>
        <v>Sustainability</v>
      </c>
      <c r="I150" s="2" t="s">
        <v>334</v>
      </c>
      <c r="J150" s="2" t="s">
        <v>324</v>
      </c>
      <c r="K150" s="2" t="s">
        <v>277</v>
      </c>
      <c r="L150" s="2" t="s">
        <v>277</v>
      </c>
      <c r="M150" s="2" t="s">
        <v>277</v>
      </c>
      <c r="N150" s="2" t="s">
        <v>277</v>
      </c>
      <c r="O150" s="2">
        <v>198.28</v>
      </c>
      <c r="P150" s="2" t="s">
        <v>278</v>
      </c>
      <c r="Q150" s="2">
        <v>1996</v>
      </c>
      <c r="R150" s="2" t="s">
        <v>279</v>
      </c>
      <c r="S150" s="2" t="s">
        <v>897</v>
      </c>
      <c r="T150" s="2" t="s">
        <v>69</v>
      </c>
      <c r="U150" s="2" t="s">
        <v>69</v>
      </c>
      <c r="V150" s="2" t="s">
        <v>363</v>
      </c>
      <c r="W150" s="2"/>
      <c r="X150" s="2"/>
      <c r="Y150" s="2" t="s">
        <v>69</v>
      </c>
      <c r="Z150" s="2" t="s">
        <v>69</v>
      </c>
      <c r="AA150" s="2" t="s">
        <v>277</v>
      </c>
      <c r="AB150" s="69" t="str">
        <f t="shared" si="14"/>
        <v>n.a.</v>
      </c>
      <c r="AC150" s="2" t="s">
        <v>69</v>
      </c>
      <c r="AD150" s="2" t="s">
        <v>69</v>
      </c>
      <c r="AE150" s="2" t="s">
        <v>69</v>
      </c>
      <c r="AF150" s="2">
        <v>1</v>
      </c>
      <c r="AG150" s="2" t="s">
        <v>299</v>
      </c>
      <c r="AH150" s="2" t="s">
        <v>2029</v>
      </c>
      <c r="AI150" s="2"/>
      <c r="AJ150" s="2"/>
      <c r="AK150" s="2">
        <v>1</v>
      </c>
      <c r="AL150" s="2">
        <v>0</v>
      </c>
      <c r="AM150" s="2">
        <v>2</v>
      </c>
      <c r="AN150" s="68" t="s">
        <v>2008</v>
      </c>
    </row>
    <row r="151" spans="1:40" ht="14.25" customHeight="1" x14ac:dyDescent="0.35">
      <c r="A151" s="2" t="s">
        <v>806</v>
      </c>
      <c r="B151" s="43" t="s">
        <v>784</v>
      </c>
      <c r="C151" s="43" t="s">
        <v>435</v>
      </c>
      <c r="D151" s="2">
        <f t="shared" si="15"/>
        <v>0</v>
      </c>
      <c r="E151" s="2" t="s">
        <v>287</v>
      </c>
      <c r="F151" s="2" t="s">
        <v>482</v>
      </c>
      <c r="G151" s="2" t="s">
        <v>324</v>
      </c>
      <c r="H151" s="2" t="str">
        <f t="shared" si="16"/>
        <v/>
      </c>
      <c r="J151" s="2" t="s">
        <v>277</v>
      </c>
      <c r="K151" s="2" t="s">
        <v>277</v>
      </c>
      <c r="L151" s="2" t="s">
        <v>277</v>
      </c>
      <c r="M151" s="2" t="s">
        <v>277</v>
      </c>
      <c r="N151" s="2" t="s">
        <v>277</v>
      </c>
      <c r="O151" s="2">
        <v>482.01900000000001</v>
      </c>
      <c r="P151" s="2" t="s">
        <v>278</v>
      </c>
      <c r="Q151" s="2" t="s">
        <v>311</v>
      </c>
      <c r="R151" s="2" t="s">
        <v>279</v>
      </c>
      <c r="S151" s="2" t="s">
        <v>807</v>
      </c>
      <c r="T151" s="2" t="s">
        <v>69</v>
      </c>
      <c r="U151" s="2" t="s">
        <v>69</v>
      </c>
      <c r="V151" s="2" t="s">
        <v>327</v>
      </c>
      <c r="W151" s="2"/>
      <c r="X151" s="2"/>
      <c r="Y151" s="2" t="s">
        <v>69</v>
      </c>
      <c r="Z151" s="2" t="s">
        <v>328</v>
      </c>
      <c r="AA151" s="2" t="s">
        <v>277</v>
      </c>
      <c r="AB151" s="69" t="str">
        <f t="shared" si="14"/>
        <v>n.a.</v>
      </c>
      <c r="AC151" s="2" t="s">
        <v>69</v>
      </c>
      <c r="AD151" s="2" t="s">
        <v>69</v>
      </c>
      <c r="AE151" s="2" t="s">
        <v>69</v>
      </c>
      <c r="AF151" s="2">
        <v>1</v>
      </c>
      <c r="AG151" s="2" t="s">
        <v>299</v>
      </c>
      <c r="AH151" s="2" t="s">
        <v>2035</v>
      </c>
      <c r="AI151" s="2"/>
      <c r="AJ151" s="2"/>
      <c r="AK151" s="2">
        <v>1</v>
      </c>
      <c r="AL151" s="2">
        <v>1</v>
      </c>
      <c r="AM151" s="2">
        <v>0</v>
      </c>
      <c r="AN151" s="68" t="s">
        <v>2008</v>
      </c>
    </row>
    <row r="152" spans="1:40" ht="14.25" customHeight="1" x14ac:dyDescent="0.35">
      <c r="A152" s="2" t="s">
        <v>808</v>
      </c>
      <c r="B152" s="43" t="s">
        <v>784</v>
      </c>
      <c r="C152" s="43" t="s">
        <v>435</v>
      </c>
      <c r="D152" s="2">
        <f t="shared" si="15"/>
        <v>0</v>
      </c>
      <c r="E152" s="2" t="s">
        <v>287</v>
      </c>
      <c r="F152" s="2" t="s">
        <v>313</v>
      </c>
      <c r="G152" s="2" t="s">
        <v>482</v>
      </c>
      <c r="H152" s="2" t="str">
        <f t="shared" si="16"/>
        <v/>
      </c>
      <c r="J152" s="2" t="s">
        <v>277</v>
      </c>
      <c r="K152" s="2" t="s">
        <v>277</v>
      </c>
      <c r="L152" s="2" t="s">
        <v>277</v>
      </c>
      <c r="M152" s="2" t="s">
        <v>277</v>
      </c>
      <c r="N152" s="2" t="s">
        <v>277</v>
      </c>
      <c r="O152" s="2">
        <v>84.861000000000004</v>
      </c>
      <c r="P152" s="2" t="s">
        <v>278</v>
      </c>
      <c r="Q152" s="2">
        <v>2008</v>
      </c>
      <c r="R152" s="2" t="s">
        <v>279</v>
      </c>
      <c r="S152" s="2" t="s">
        <v>809</v>
      </c>
      <c r="T152" s="2" t="s">
        <v>69</v>
      </c>
      <c r="U152" s="2" t="s">
        <v>69</v>
      </c>
      <c r="V152" s="3" t="s">
        <v>282</v>
      </c>
      <c r="W152" s="2"/>
      <c r="X152" s="3"/>
      <c r="Y152" s="2">
        <v>2</v>
      </c>
      <c r="Z152" s="2" t="s">
        <v>291</v>
      </c>
      <c r="AA152" s="2" t="s">
        <v>2042</v>
      </c>
      <c r="AB152" s="69">
        <f t="shared" si="14"/>
        <v>11.2</v>
      </c>
      <c r="AC152" s="69">
        <v>11200000</v>
      </c>
      <c r="AD152" s="2" t="s">
        <v>810</v>
      </c>
      <c r="AE152" s="2">
        <v>1</v>
      </c>
      <c r="AF152" s="2" t="s">
        <v>69</v>
      </c>
      <c r="AG152" s="2" t="s">
        <v>69</v>
      </c>
      <c r="AH152" s="2" t="s">
        <v>2028</v>
      </c>
      <c r="AI152" s="2"/>
      <c r="AJ152" s="2"/>
      <c r="AK152" s="2" t="s">
        <v>69</v>
      </c>
      <c r="AL152" s="2">
        <v>0</v>
      </c>
      <c r="AM152" s="2">
        <v>0</v>
      </c>
      <c r="AN152" s="68" t="s">
        <v>2008</v>
      </c>
    </row>
    <row r="153" spans="1:40" ht="14.25" customHeight="1" x14ac:dyDescent="0.35">
      <c r="A153" s="2" t="s">
        <v>568</v>
      </c>
      <c r="B153" s="43" t="s">
        <v>564</v>
      </c>
      <c r="C153" s="43" t="s">
        <v>435</v>
      </c>
      <c r="D153" s="2">
        <f t="shared" si="15"/>
        <v>1</v>
      </c>
      <c r="E153" s="2" t="s">
        <v>569</v>
      </c>
      <c r="F153" s="2" t="s">
        <v>564</v>
      </c>
      <c r="G153" s="2" t="s">
        <v>570</v>
      </c>
      <c r="H153" s="2" t="str">
        <f t="shared" si="16"/>
        <v>Software</v>
      </c>
      <c r="I153" s="2" t="s">
        <v>387</v>
      </c>
      <c r="J153" s="2" t="s">
        <v>277</v>
      </c>
      <c r="K153" s="2" t="s">
        <v>277</v>
      </c>
      <c r="L153" s="2" t="s">
        <v>277</v>
      </c>
      <c r="M153" s="2" t="s">
        <v>277</v>
      </c>
      <c r="N153" s="2" t="s">
        <v>277</v>
      </c>
      <c r="O153" s="2">
        <v>32.798000000000002</v>
      </c>
      <c r="P153" s="2" t="s">
        <v>278</v>
      </c>
      <c r="Q153" s="2" t="s">
        <v>571</v>
      </c>
      <c r="R153" s="2" t="s">
        <v>279</v>
      </c>
      <c r="S153" s="2" t="s">
        <v>572</v>
      </c>
      <c r="T153" s="2" t="s">
        <v>69</v>
      </c>
      <c r="U153" s="2" t="s">
        <v>69</v>
      </c>
      <c r="V153" s="3" t="s">
        <v>282</v>
      </c>
      <c r="W153" s="2"/>
      <c r="X153" s="3"/>
      <c r="Y153" s="2">
        <v>4</v>
      </c>
      <c r="Z153" s="2" t="s">
        <v>291</v>
      </c>
      <c r="AA153" s="2" t="s">
        <v>2042</v>
      </c>
      <c r="AB153" s="69">
        <f t="shared" si="14"/>
        <v>12.42103</v>
      </c>
      <c r="AC153" s="69">
        <v>12421030</v>
      </c>
      <c r="AD153" s="2" t="s">
        <v>573</v>
      </c>
      <c r="AE153" s="2">
        <v>3</v>
      </c>
      <c r="AF153" s="2" t="s">
        <v>69</v>
      </c>
      <c r="AG153" s="2" t="s">
        <v>69</v>
      </c>
      <c r="AH153" s="2" t="s">
        <v>2028</v>
      </c>
      <c r="AI153" s="2"/>
      <c r="AJ153" s="2"/>
      <c r="AK153" s="2" t="s">
        <v>69</v>
      </c>
      <c r="AL153" s="2">
        <v>0</v>
      </c>
      <c r="AM153" s="2" t="s">
        <v>69</v>
      </c>
      <c r="AN153" s="68" t="s">
        <v>2008</v>
      </c>
    </row>
    <row r="154" spans="1:40" ht="14.25" customHeight="1" x14ac:dyDescent="0.35">
      <c r="A154" s="2" t="s">
        <v>705</v>
      </c>
      <c r="B154" s="43" t="s">
        <v>306</v>
      </c>
      <c r="C154" s="43" t="s">
        <v>435</v>
      </c>
      <c r="D154" s="2">
        <f t="shared" si="15"/>
        <v>1</v>
      </c>
      <c r="E154" s="2" t="s">
        <v>332</v>
      </c>
      <c r="F154" s="2" t="s">
        <v>306</v>
      </c>
      <c r="G154" s="2" t="s">
        <v>324</v>
      </c>
      <c r="H154" s="2" t="str">
        <f t="shared" si="16"/>
        <v/>
      </c>
      <c r="J154" s="2" t="s">
        <v>277</v>
      </c>
      <c r="K154" s="2" t="s">
        <v>277</v>
      </c>
      <c r="L154" s="2" t="s">
        <v>277</v>
      </c>
      <c r="M154" s="2" t="s">
        <v>277</v>
      </c>
      <c r="N154" s="2" t="s">
        <v>277</v>
      </c>
      <c r="O154" s="2">
        <v>187.072</v>
      </c>
      <c r="P154" s="2" t="s">
        <v>278</v>
      </c>
      <c r="Q154" s="2">
        <v>1985</v>
      </c>
      <c r="R154" s="2" t="s">
        <v>279</v>
      </c>
      <c r="S154" s="2" t="s">
        <v>706</v>
      </c>
      <c r="T154" s="2" t="s">
        <v>69</v>
      </c>
      <c r="U154" s="2" t="s">
        <v>69</v>
      </c>
      <c r="V154" s="2" t="s">
        <v>479</v>
      </c>
      <c r="W154" s="2"/>
      <c r="X154" s="2"/>
      <c r="Y154" s="2" t="s">
        <v>69</v>
      </c>
      <c r="Z154" s="2" t="s">
        <v>351</v>
      </c>
      <c r="AA154" s="2" t="s">
        <v>277</v>
      </c>
      <c r="AB154" s="69" t="str">
        <f t="shared" si="14"/>
        <v>n.a.</v>
      </c>
      <c r="AC154" s="2" t="s">
        <v>69</v>
      </c>
      <c r="AD154" s="2" t="s">
        <v>69</v>
      </c>
      <c r="AE154" s="2" t="s">
        <v>69</v>
      </c>
      <c r="AF154" s="2" t="s">
        <v>69</v>
      </c>
      <c r="AG154" s="2" t="s">
        <v>374</v>
      </c>
      <c r="AH154" s="2" t="s">
        <v>69</v>
      </c>
      <c r="AI154" s="2"/>
      <c r="AJ154" s="2"/>
      <c r="AK154" s="2">
        <v>1</v>
      </c>
      <c r="AL154" s="2">
        <v>1</v>
      </c>
      <c r="AM154" s="2" t="s">
        <v>69</v>
      </c>
      <c r="AN154" s="68" t="s">
        <v>2008</v>
      </c>
    </row>
    <row r="155" spans="1:40" ht="14.25" customHeight="1" x14ac:dyDescent="0.35">
      <c r="A155" s="2" t="s">
        <v>1957</v>
      </c>
      <c r="B155" s="43" t="s">
        <v>902</v>
      </c>
      <c r="C155" s="43" t="s">
        <v>435</v>
      </c>
      <c r="D155" s="2">
        <f t="shared" si="15"/>
        <v>0</v>
      </c>
      <c r="F155" s="2" t="s">
        <v>277</v>
      </c>
      <c r="G155" s="2" t="s">
        <v>277</v>
      </c>
      <c r="H155" s="2" t="str">
        <f t="shared" si="16"/>
        <v/>
      </c>
      <c r="J155" s="2" t="s">
        <v>277</v>
      </c>
      <c r="K155" s="2" t="s">
        <v>277</v>
      </c>
      <c r="L155" s="2" t="s">
        <v>277</v>
      </c>
      <c r="M155" s="2" t="s">
        <v>277</v>
      </c>
      <c r="N155" s="2" t="s">
        <v>277</v>
      </c>
      <c r="S155" s="2" t="s">
        <v>912</v>
      </c>
      <c r="W155" s="2"/>
      <c r="AA155" s="2" t="s">
        <v>277</v>
      </c>
      <c r="AB155" s="69">
        <f t="shared" si="14"/>
        <v>0</v>
      </c>
      <c r="AL155">
        <v>0</v>
      </c>
      <c r="AN155" s="68" t="s">
        <v>2008</v>
      </c>
    </row>
    <row r="156" spans="1:40" ht="14.25" customHeight="1" x14ac:dyDescent="0.35">
      <c r="A156" s="2" t="s">
        <v>643</v>
      </c>
      <c r="B156" s="43" t="str">
        <f>IF(ISNUMBER(SEARCH(",",E156)),LEFT(E156,SEARCH(",",E156)-1),E156)</f>
        <v>Industrial</v>
      </c>
      <c r="C156" s="43" t="s">
        <v>435</v>
      </c>
      <c r="D156" s="2">
        <f t="shared" si="15"/>
        <v>1</v>
      </c>
      <c r="E156" s="2" t="s">
        <v>644</v>
      </c>
      <c r="F156" s="2" t="s">
        <v>437</v>
      </c>
      <c r="G156" s="2" t="s">
        <v>645</v>
      </c>
      <c r="H156" s="2" t="str">
        <f t="shared" si="16"/>
        <v>Sales</v>
      </c>
      <c r="I156" s="2" t="s">
        <v>646</v>
      </c>
      <c r="J156" s="2" t="s">
        <v>277</v>
      </c>
      <c r="K156" s="2" t="s">
        <v>277</v>
      </c>
      <c r="L156" s="2" t="s">
        <v>277</v>
      </c>
      <c r="M156" s="2" t="s">
        <v>277</v>
      </c>
      <c r="N156" s="2" t="s">
        <v>277</v>
      </c>
      <c r="O156" s="2">
        <v>942.36300000000006</v>
      </c>
      <c r="P156" s="2" t="s">
        <v>278</v>
      </c>
      <c r="Q156" s="2">
        <v>1960</v>
      </c>
      <c r="R156" s="2" t="s">
        <v>279</v>
      </c>
      <c r="S156" s="2" t="s">
        <v>647</v>
      </c>
      <c r="T156" s="2" t="s">
        <v>69</v>
      </c>
      <c r="U156" s="2" t="s">
        <v>69</v>
      </c>
      <c r="V156" s="2" t="s">
        <v>303</v>
      </c>
      <c r="W156" s="2"/>
      <c r="X156" s="2"/>
      <c r="Y156" s="2" t="s">
        <v>69</v>
      </c>
      <c r="Z156" s="2" t="s">
        <v>69</v>
      </c>
      <c r="AA156" s="2" t="s">
        <v>277</v>
      </c>
      <c r="AB156" s="69" t="str">
        <f t="shared" si="14"/>
        <v>n.a.</v>
      </c>
      <c r="AC156" s="2" t="s">
        <v>69</v>
      </c>
      <c r="AD156" s="2" t="s">
        <v>69</v>
      </c>
      <c r="AE156" s="2" t="s">
        <v>69</v>
      </c>
      <c r="AF156" s="2" t="s">
        <v>69</v>
      </c>
      <c r="AG156" s="2" t="s">
        <v>69</v>
      </c>
      <c r="AH156" s="2" t="s">
        <v>2034</v>
      </c>
      <c r="AI156" s="2"/>
      <c r="AJ156" s="2"/>
      <c r="AK156" s="2" t="s">
        <v>69</v>
      </c>
      <c r="AL156" s="2">
        <v>0</v>
      </c>
      <c r="AM156" s="2" t="s">
        <v>69</v>
      </c>
      <c r="AN156" s="68" t="s">
        <v>2008</v>
      </c>
    </row>
    <row r="157" spans="1:40" ht="14.25" customHeight="1" x14ac:dyDescent="0.35">
      <c r="A157" s="2" t="s">
        <v>1969</v>
      </c>
      <c r="B157" s="43" t="s">
        <v>925</v>
      </c>
      <c r="C157" s="43" t="s">
        <v>435</v>
      </c>
      <c r="D157" s="2">
        <f t="shared" si="15"/>
        <v>0</v>
      </c>
      <c r="E157" s="2" t="s">
        <v>933</v>
      </c>
      <c r="F157" s="2" t="s">
        <v>927</v>
      </c>
      <c r="G157" s="2" t="s">
        <v>928</v>
      </c>
      <c r="H157" s="2" t="str">
        <f t="shared" si="16"/>
        <v>STEM Education</v>
      </c>
      <c r="I157" s="2" t="s">
        <v>934</v>
      </c>
      <c r="J157" s="2" t="s">
        <v>935</v>
      </c>
      <c r="K157" s="2" t="s">
        <v>277</v>
      </c>
      <c r="L157" s="2" t="s">
        <v>277</v>
      </c>
      <c r="M157" s="2" t="s">
        <v>277</v>
      </c>
      <c r="N157" s="2" t="s">
        <v>277</v>
      </c>
      <c r="O157" s="2">
        <v>29.567</v>
      </c>
      <c r="P157" s="2" t="s">
        <v>278</v>
      </c>
      <c r="Q157" s="2" t="s">
        <v>936</v>
      </c>
      <c r="R157" s="2" t="s">
        <v>279</v>
      </c>
      <c r="S157" s="2" t="s">
        <v>937</v>
      </c>
      <c r="T157" s="2" t="s">
        <v>69</v>
      </c>
      <c r="U157" s="2" t="s">
        <v>69</v>
      </c>
      <c r="V157" s="2" t="s">
        <v>303</v>
      </c>
      <c r="W157" s="2"/>
      <c r="X157" s="2"/>
      <c r="Y157" s="2">
        <v>10</v>
      </c>
      <c r="Z157" s="2" t="s">
        <v>69</v>
      </c>
      <c r="AA157" s="2" t="s">
        <v>2042</v>
      </c>
      <c r="AB157" s="69">
        <f t="shared" si="14"/>
        <v>24.639724000000001</v>
      </c>
      <c r="AC157" s="69">
        <v>24639724</v>
      </c>
      <c r="AD157" s="2" t="s">
        <v>938</v>
      </c>
      <c r="AE157" s="2">
        <v>7</v>
      </c>
      <c r="AF157" s="2" t="s">
        <v>69</v>
      </c>
      <c r="AG157" s="2" t="s">
        <v>69</v>
      </c>
      <c r="AH157" s="2" t="s">
        <v>69</v>
      </c>
      <c r="AI157" s="2"/>
      <c r="AJ157" s="2"/>
      <c r="AK157" s="2">
        <v>1</v>
      </c>
      <c r="AL157" s="2">
        <v>0</v>
      </c>
      <c r="AM157" s="2">
        <v>22</v>
      </c>
      <c r="AN157" s="68" t="s">
        <v>2008</v>
      </c>
    </row>
    <row r="158" spans="1:40" ht="14.25" customHeight="1" x14ac:dyDescent="0.35">
      <c r="A158" s="2" t="s">
        <v>602</v>
      </c>
      <c r="B158" s="43" t="str">
        <f>IF(ISNUMBER(SEARCH(",",E158)),LEFT(E158,SEARCH(",",E158)-1),E158)</f>
        <v>Financial Services</v>
      </c>
      <c r="C158" s="43" t="s">
        <v>435</v>
      </c>
      <c r="D158" s="2">
        <f t="shared" si="15"/>
        <v>1</v>
      </c>
      <c r="E158" s="2" t="s">
        <v>588</v>
      </c>
      <c r="F158" s="2" t="s">
        <v>603</v>
      </c>
      <c r="G158" s="2" t="s">
        <v>277</v>
      </c>
      <c r="H158" s="2" t="str">
        <f t="shared" si="16"/>
        <v/>
      </c>
      <c r="J158" s="2" t="s">
        <v>277</v>
      </c>
      <c r="K158" s="2" t="s">
        <v>277</v>
      </c>
      <c r="L158" s="2" t="s">
        <v>277</v>
      </c>
      <c r="M158" s="2" t="s">
        <v>277</v>
      </c>
      <c r="N158" s="2" t="s">
        <v>277</v>
      </c>
      <c r="O158" s="2">
        <v>601.23500000000001</v>
      </c>
      <c r="P158" s="2" t="s">
        <v>278</v>
      </c>
      <c r="Q158" s="2">
        <v>1986</v>
      </c>
      <c r="R158" s="2" t="s">
        <v>279</v>
      </c>
      <c r="S158" s="2" t="s">
        <v>604</v>
      </c>
      <c r="T158" s="2" t="s">
        <v>69</v>
      </c>
      <c r="U158" s="2" t="s">
        <v>69</v>
      </c>
      <c r="V158" s="3" t="s">
        <v>282</v>
      </c>
      <c r="W158" s="2"/>
      <c r="X158" s="3"/>
      <c r="Y158" s="2" t="s">
        <v>69</v>
      </c>
      <c r="Z158" s="2" t="s">
        <v>69</v>
      </c>
      <c r="AA158" s="2" t="s">
        <v>277</v>
      </c>
      <c r="AB158" s="69" t="str">
        <f t="shared" si="14"/>
        <v>n.a.</v>
      </c>
      <c r="AC158" s="2" t="s">
        <v>69</v>
      </c>
      <c r="AD158" s="2" t="s">
        <v>69</v>
      </c>
      <c r="AE158" s="2" t="s">
        <v>69</v>
      </c>
      <c r="AF158" s="2" t="s">
        <v>69</v>
      </c>
      <c r="AG158" s="2" t="s">
        <v>69</v>
      </c>
      <c r="AH158" s="2" t="s">
        <v>69</v>
      </c>
      <c r="AI158" s="2"/>
      <c r="AJ158" s="2"/>
      <c r="AK158" s="2" t="s">
        <v>69</v>
      </c>
      <c r="AL158" s="2">
        <v>0</v>
      </c>
      <c r="AM158" s="2">
        <v>0</v>
      </c>
      <c r="AN158" s="68" t="s">
        <v>2008</v>
      </c>
    </row>
    <row r="159" spans="1:40" ht="14.25" customHeight="1" x14ac:dyDescent="0.35">
      <c r="A159" s="2" t="s">
        <v>868</v>
      </c>
      <c r="B159" s="43" t="s">
        <v>368</v>
      </c>
      <c r="C159" s="43" t="s">
        <v>435</v>
      </c>
      <c r="D159" s="2">
        <f t="shared" si="15"/>
        <v>0</v>
      </c>
      <c r="E159" s="2" t="s">
        <v>287</v>
      </c>
      <c r="F159" s="2" t="s">
        <v>649</v>
      </c>
      <c r="G159" s="2" t="s">
        <v>482</v>
      </c>
      <c r="H159" s="2" t="str">
        <f t="shared" si="16"/>
        <v/>
      </c>
      <c r="J159" s="2" t="s">
        <v>277</v>
      </c>
      <c r="K159" s="2" t="s">
        <v>277</v>
      </c>
      <c r="L159" s="2" t="s">
        <v>277</v>
      </c>
      <c r="M159" s="2" t="s">
        <v>277</v>
      </c>
      <c r="N159" s="2" t="s">
        <v>277</v>
      </c>
      <c r="O159" s="2">
        <v>677</v>
      </c>
      <c r="P159" s="2" t="s">
        <v>278</v>
      </c>
      <c r="Q159" s="2">
        <v>1923</v>
      </c>
      <c r="R159" s="2" t="s">
        <v>279</v>
      </c>
      <c r="S159" s="2" t="s">
        <v>869</v>
      </c>
      <c r="T159" s="2" t="s">
        <v>69</v>
      </c>
      <c r="U159" s="2" t="s">
        <v>69</v>
      </c>
      <c r="V159" s="2" t="s">
        <v>327</v>
      </c>
      <c r="W159" s="2"/>
      <c r="X159" s="2"/>
      <c r="Y159" s="2">
        <v>2</v>
      </c>
      <c r="Z159" s="2" t="s">
        <v>328</v>
      </c>
      <c r="AA159" s="2" t="s">
        <v>2044</v>
      </c>
      <c r="AB159" s="69">
        <f t="shared" si="14"/>
        <v>1284</v>
      </c>
      <c r="AC159" s="69">
        <v>1200000000</v>
      </c>
      <c r="AD159" s="2" t="s">
        <v>870</v>
      </c>
      <c r="AE159" s="2">
        <v>1</v>
      </c>
      <c r="AF159" s="2">
        <v>13</v>
      </c>
      <c r="AG159" s="2" t="s">
        <v>299</v>
      </c>
      <c r="AH159" s="2" t="s">
        <v>2029</v>
      </c>
      <c r="AI159" s="2"/>
      <c r="AJ159" s="2"/>
      <c r="AK159" s="2">
        <v>5</v>
      </c>
      <c r="AL159" s="2">
        <v>1</v>
      </c>
      <c r="AM159" s="2">
        <v>5.109</v>
      </c>
      <c r="AN159" s="68" t="s">
        <v>2008</v>
      </c>
    </row>
    <row r="160" spans="1:40" ht="14.25" customHeight="1" x14ac:dyDescent="0.35">
      <c r="A160" s="2" t="s">
        <v>898</v>
      </c>
      <c r="B160" s="43" t="s">
        <v>398</v>
      </c>
      <c r="C160" s="43" t="s">
        <v>435</v>
      </c>
      <c r="D160" s="2">
        <f t="shared" si="15"/>
        <v>0</v>
      </c>
      <c r="E160" s="2" t="s">
        <v>322</v>
      </c>
      <c r="F160" s="2" t="s">
        <v>896</v>
      </c>
      <c r="G160" s="2" t="s">
        <v>324</v>
      </c>
      <c r="H160" s="2" t="str">
        <f t="shared" si="16"/>
        <v/>
      </c>
      <c r="J160" s="2" t="s">
        <v>277</v>
      </c>
      <c r="K160" s="2" t="s">
        <v>277</v>
      </c>
      <c r="L160" s="2" t="s">
        <v>277</v>
      </c>
      <c r="M160" s="2" t="s">
        <v>277</v>
      </c>
      <c r="N160" s="2" t="s">
        <v>277</v>
      </c>
      <c r="O160" s="2">
        <v>396.19400000000002</v>
      </c>
      <c r="P160" s="2" t="s">
        <v>278</v>
      </c>
      <c r="Q160" s="2" t="s">
        <v>899</v>
      </c>
      <c r="R160" s="2" t="s">
        <v>279</v>
      </c>
      <c r="S160" s="2" t="s">
        <v>900</v>
      </c>
      <c r="T160" s="2" t="s">
        <v>69</v>
      </c>
      <c r="U160" s="2" t="s">
        <v>69</v>
      </c>
      <c r="V160" s="2" t="s">
        <v>337</v>
      </c>
      <c r="W160" s="2"/>
      <c r="X160" s="2"/>
      <c r="Y160" s="2" t="s">
        <v>69</v>
      </c>
      <c r="Z160" s="2" t="s">
        <v>69</v>
      </c>
      <c r="AA160" s="2" t="s">
        <v>277</v>
      </c>
      <c r="AB160" s="69" t="str">
        <f t="shared" si="14"/>
        <v>n.a.</v>
      </c>
      <c r="AC160" s="2" t="s">
        <v>69</v>
      </c>
      <c r="AD160" s="2" t="s">
        <v>69</v>
      </c>
      <c r="AE160" s="2" t="s">
        <v>69</v>
      </c>
      <c r="AF160" s="2" t="s">
        <v>69</v>
      </c>
      <c r="AG160" s="2" t="s">
        <v>69</v>
      </c>
      <c r="AH160" s="2" t="s">
        <v>2030</v>
      </c>
      <c r="AI160" s="2"/>
      <c r="AJ160" s="2"/>
      <c r="AK160" s="2" t="s">
        <v>69</v>
      </c>
      <c r="AL160" s="2">
        <v>0</v>
      </c>
      <c r="AM160" s="2" t="s">
        <v>69</v>
      </c>
      <c r="AN160" s="68" t="s">
        <v>2008</v>
      </c>
    </row>
    <row r="161" spans="1:40" ht="14.25" customHeight="1" x14ac:dyDescent="0.35">
      <c r="A161" s="2" t="s">
        <v>638</v>
      </c>
      <c r="B161" s="43" t="s">
        <v>639</v>
      </c>
      <c r="C161" s="43" t="s">
        <v>435</v>
      </c>
      <c r="D161" s="2">
        <f t="shared" si="15"/>
        <v>0</v>
      </c>
      <c r="E161" s="2" t="s">
        <v>455</v>
      </c>
      <c r="F161" s="2" t="s">
        <v>640</v>
      </c>
      <c r="G161" s="2" t="s">
        <v>616</v>
      </c>
      <c r="H161" s="2" t="str">
        <f t="shared" si="16"/>
        <v>Information Technology</v>
      </c>
      <c r="I161" s="2" t="s">
        <v>360</v>
      </c>
      <c r="J161" s="2" t="s">
        <v>277</v>
      </c>
      <c r="K161" s="2" t="s">
        <v>277</v>
      </c>
      <c r="L161" s="2" t="s">
        <v>277</v>
      </c>
      <c r="M161" s="2" t="s">
        <v>277</v>
      </c>
      <c r="N161" s="2" t="s">
        <v>277</v>
      </c>
      <c r="O161" s="2">
        <v>22.843</v>
      </c>
      <c r="P161" s="2" t="s">
        <v>278</v>
      </c>
      <c r="Q161" s="2">
        <v>2015</v>
      </c>
      <c r="R161" s="2" t="s">
        <v>279</v>
      </c>
      <c r="S161" s="2" t="s">
        <v>641</v>
      </c>
      <c r="T161" s="2" t="s">
        <v>69</v>
      </c>
      <c r="U161" s="2" t="s">
        <v>69</v>
      </c>
      <c r="V161" s="2" t="s">
        <v>303</v>
      </c>
      <c r="W161" s="2"/>
      <c r="X161" s="2"/>
      <c r="Y161" s="2">
        <v>5</v>
      </c>
      <c r="Z161" s="2" t="s">
        <v>69</v>
      </c>
      <c r="AA161" s="2" t="s">
        <v>2042</v>
      </c>
      <c r="AB161" s="69">
        <f t="shared" ref="AB161:AB171" si="17">IF(AC161&lt;&gt;"n.a.",IF(AA161="€",(AC161*1.07)/1000000,IF(AA161="£",(AC161*1.26)/1000000,IF(AA161="CA",(0.73*AC161)/1000000,AC161/1000000))),AC161)</f>
        <v>3500</v>
      </c>
      <c r="AC161" s="69">
        <v>3500000000</v>
      </c>
      <c r="AD161" s="2" t="s">
        <v>642</v>
      </c>
      <c r="AE161" s="2">
        <v>6</v>
      </c>
      <c r="AF161" s="2">
        <v>2</v>
      </c>
      <c r="AG161" s="2" t="s">
        <v>299</v>
      </c>
      <c r="AH161" s="2" t="s">
        <v>2031</v>
      </c>
      <c r="AI161" s="2"/>
      <c r="AJ161" s="2"/>
      <c r="AK161" s="2">
        <v>13</v>
      </c>
      <c r="AL161" s="2">
        <v>0</v>
      </c>
      <c r="AM161" s="2" t="s">
        <v>69</v>
      </c>
      <c r="AN161" s="68" t="s">
        <v>2008</v>
      </c>
    </row>
    <row r="162" spans="1:40" ht="14.25" customHeight="1" x14ac:dyDescent="0.35">
      <c r="A162" s="2" t="s">
        <v>811</v>
      </c>
      <c r="B162" s="43" t="s">
        <v>784</v>
      </c>
      <c r="C162" s="43" t="s">
        <v>435</v>
      </c>
      <c r="D162" s="2">
        <f t="shared" si="15"/>
        <v>0</v>
      </c>
      <c r="E162" s="2" t="s">
        <v>313</v>
      </c>
      <c r="F162" s="2" t="s">
        <v>802</v>
      </c>
      <c r="G162" s="2" t="s">
        <v>482</v>
      </c>
      <c r="H162" s="2" t="str">
        <f t="shared" si="16"/>
        <v/>
      </c>
      <c r="J162" s="2" t="s">
        <v>277</v>
      </c>
      <c r="K162" s="2" t="s">
        <v>277</v>
      </c>
      <c r="L162" s="2" t="s">
        <v>277</v>
      </c>
      <c r="M162" s="2" t="s">
        <v>277</v>
      </c>
      <c r="N162" s="2" t="s">
        <v>277</v>
      </c>
      <c r="O162" s="2">
        <v>310.99</v>
      </c>
      <c r="P162" s="2" t="s">
        <v>278</v>
      </c>
      <c r="Q162" s="2">
        <v>2008</v>
      </c>
      <c r="R162" s="2" t="s">
        <v>279</v>
      </c>
      <c r="S162" s="2" t="s">
        <v>812</v>
      </c>
      <c r="T162" s="2" t="s">
        <v>69</v>
      </c>
      <c r="U162" s="2" t="s">
        <v>69</v>
      </c>
      <c r="V162" s="2" t="s">
        <v>297</v>
      </c>
      <c r="W162" s="2"/>
      <c r="X162" s="2"/>
      <c r="Y162" s="2" t="s">
        <v>69</v>
      </c>
      <c r="Z162" s="2" t="s">
        <v>69</v>
      </c>
      <c r="AA162" s="2" t="s">
        <v>277</v>
      </c>
      <c r="AB162" s="69" t="str">
        <f t="shared" si="17"/>
        <v>n.a.</v>
      </c>
      <c r="AC162" s="2" t="s">
        <v>69</v>
      </c>
      <c r="AD162" s="2" t="s">
        <v>69</v>
      </c>
      <c r="AE162" s="2" t="s">
        <v>69</v>
      </c>
      <c r="AF162" s="2" t="s">
        <v>69</v>
      </c>
      <c r="AG162" s="2" t="s">
        <v>69</v>
      </c>
      <c r="AH162" s="2" t="s">
        <v>69</v>
      </c>
      <c r="AI162" s="2"/>
      <c r="AJ162" s="2"/>
      <c r="AK162" s="2" t="s">
        <v>69</v>
      </c>
      <c r="AL162" s="2">
        <v>0</v>
      </c>
      <c r="AM162" s="2" t="s">
        <v>69</v>
      </c>
      <c r="AN162" s="68" t="s">
        <v>2008</v>
      </c>
    </row>
    <row r="163" spans="1:40" ht="14.25" customHeight="1" x14ac:dyDescent="0.35">
      <c r="A163" s="2" t="s">
        <v>1981</v>
      </c>
      <c r="B163" s="43" t="s">
        <v>784</v>
      </c>
      <c r="C163" s="43" t="s">
        <v>435</v>
      </c>
      <c r="D163" s="2">
        <f t="shared" si="15"/>
        <v>0</v>
      </c>
      <c r="E163" s="2" t="s">
        <v>287</v>
      </c>
      <c r="F163" s="2" t="s">
        <v>799</v>
      </c>
      <c r="G163" s="2" t="s">
        <v>482</v>
      </c>
      <c r="H163" s="2" t="str">
        <f t="shared" si="16"/>
        <v/>
      </c>
      <c r="J163" s="2" t="s">
        <v>277</v>
      </c>
      <c r="K163" s="2" t="s">
        <v>277</v>
      </c>
      <c r="L163" s="2" t="s">
        <v>277</v>
      </c>
      <c r="M163" s="2" t="s">
        <v>277</v>
      </c>
      <c r="N163" s="2" t="s">
        <v>277</v>
      </c>
      <c r="O163" s="2" t="s">
        <v>813</v>
      </c>
      <c r="P163" s="2" t="s">
        <v>278</v>
      </c>
      <c r="Q163" s="2">
        <v>1956</v>
      </c>
      <c r="R163" s="2" t="s">
        <v>279</v>
      </c>
      <c r="S163" s="2" t="s">
        <v>814</v>
      </c>
      <c r="T163" s="2" t="s">
        <v>69</v>
      </c>
      <c r="U163" s="2" t="s">
        <v>69</v>
      </c>
      <c r="V163" s="2" t="s">
        <v>327</v>
      </c>
      <c r="W163" s="2"/>
      <c r="X163" s="2"/>
      <c r="Y163" s="2" t="s">
        <v>69</v>
      </c>
      <c r="Z163" s="2" t="s">
        <v>69</v>
      </c>
      <c r="AA163" s="2" t="s">
        <v>277</v>
      </c>
      <c r="AB163" s="69" t="str">
        <f t="shared" si="17"/>
        <v>n.a.</v>
      </c>
      <c r="AC163" s="2" t="s">
        <v>69</v>
      </c>
      <c r="AD163" s="2" t="s">
        <v>69</v>
      </c>
      <c r="AE163" s="2" t="s">
        <v>69</v>
      </c>
      <c r="AF163" s="2" t="s">
        <v>69</v>
      </c>
      <c r="AG163" s="2" t="s">
        <v>69</v>
      </c>
      <c r="AH163" s="2" t="s">
        <v>2028</v>
      </c>
      <c r="AI163" s="2"/>
      <c r="AJ163" s="2"/>
      <c r="AK163" s="2" t="s">
        <v>69</v>
      </c>
      <c r="AL163" s="2">
        <v>0</v>
      </c>
      <c r="AM163" s="2" t="s">
        <v>69</v>
      </c>
      <c r="AN163" s="68" t="s">
        <v>2008</v>
      </c>
    </row>
    <row r="164" spans="1:40" ht="14.25" customHeight="1" x14ac:dyDescent="0.35">
      <c r="A164" s="2" t="s">
        <v>1977</v>
      </c>
      <c r="B164" s="43" t="s">
        <v>288</v>
      </c>
      <c r="C164" s="43" t="s">
        <v>435</v>
      </c>
      <c r="D164" s="2">
        <f t="shared" si="15"/>
        <v>0</v>
      </c>
      <c r="F164" s="2" t="s">
        <v>277</v>
      </c>
      <c r="G164" s="2" t="s">
        <v>277</v>
      </c>
      <c r="H164" s="2" t="str">
        <f t="shared" si="16"/>
        <v/>
      </c>
      <c r="J164" s="2" t="s">
        <v>277</v>
      </c>
      <c r="K164" s="2" t="s">
        <v>277</v>
      </c>
      <c r="L164" s="2" t="s">
        <v>277</v>
      </c>
      <c r="M164" s="2" t="s">
        <v>277</v>
      </c>
      <c r="N164" s="2" t="s">
        <v>277</v>
      </c>
      <c r="S164" s="2" t="s">
        <v>530</v>
      </c>
      <c r="V164" s="2" t="s">
        <v>337</v>
      </c>
      <c r="W164" s="2"/>
      <c r="X164" s="2"/>
      <c r="AA164" s="2" t="s">
        <v>277</v>
      </c>
      <c r="AB164" s="69">
        <f t="shared" si="17"/>
        <v>0</v>
      </c>
      <c r="AL164">
        <v>0</v>
      </c>
      <c r="AN164" s="68" t="s">
        <v>2008</v>
      </c>
    </row>
    <row r="165" spans="1:40" ht="14.25" customHeight="1" x14ac:dyDescent="0.35">
      <c r="A165" s="2" t="s">
        <v>1978</v>
      </c>
      <c r="B165" s="43" t="s">
        <v>490</v>
      </c>
      <c r="C165" s="43" t="s">
        <v>435</v>
      </c>
      <c r="D165" s="2">
        <f t="shared" si="15"/>
        <v>0</v>
      </c>
      <c r="E165" s="2" t="s">
        <v>287</v>
      </c>
      <c r="F165" s="2" t="s">
        <v>482</v>
      </c>
      <c r="G165" s="2" t="s">
        <v>399</v>
      </c>
      <c r="H165" s="2" t="str">
        <f t="shared" si="16"/>
        <v>Transportation</v>
      </c>
      <c r="I165" s="2" t="s">
        <v>301</v>
      </c>
      <c r="J165" s="2" t="s">
        <v>277</v>
      </c>
      <c r="K165" s="2" t="s">
        <v>277</v>
      </c>
      <c r="L165" s="2" t="s">
        <v>277</v>
      </c>
      <c r="M165" s="2" t="s">
        <v>277</v>
      </c>
      <c r="N165" s="2" t="s">
        <v>277</v>
      </c>
      <c r="O165" s="2">
        <v>292</v>
      </c>
      <c r="P165" s="2" t="s">
        <v>278</v>
      </c>
      <c r="Q165" s="2" t="s">
        <v>777</v>
      </c>
      <c r="R165" s="2" t="s">
        <v>279</v>
      </c>
      <c r="S165" s="2" t="s">
        <v>778</v>
      </c>
      <c r="T165" s="2" t="s">
        <v>69</v>
      </c>
      <c r="U165" s="2" t="s">
        <v>69</v>
      </c>
      <c r="V165" s="2" t="s">
        <v>327</v>
      </c>
      <c r="W165" s="2"/>
      <c r="X165" s="2"/>
      <c r="Y165" s="2">
        <v>4</v>
      </c>
      <c r="Z165" s="2" t="s">
        <v>351</v>
      </c>
      <c r="AA165" s="2" t="s">
        <v>2042</v>
      </c>
      <c r="AB165" s="69">
        <f t="shared" si="17"/>
        <v>1675.079438</v>
      </c>
      <c r="AC165" s="69">
        <v>1675079438</v>
      </c>
      <c r="AD165" s="2" t="s">
        <v>779</v>
      </c>
      <c r="AE165" s="2">
        <v>4</v>
      </c>
      <c r="AF165" s="2">
        <v>3</v>
      </c>
      <c r="AG165" s="2" t="s">
        <v>353</v>
      </c>
      <c r="AH165" s="2" t="s">
        <v>2035</v>
      </c>
      <c r="AI165" s="2"/>
      <c r="AJ165" s="2"/>
      <c r="AK165" s="2">
        <v>2</v>
      </c>
      <c r="AL165" s="2">
        <v>1</v>
      </c>
      <c r="AM165" s="2">
        <v>995</v>
      </c>
      <c r="AN165" s="68" t="s">
        <v>2008</v>
      </c>
    </row>
    <row r="166" spans="1:40" ht="14.25" customHeight="1" x14ac:dyDescent="0.35">
      <c r="A166" s="2" t="s">
        <v>840</v>
      </c>
      <c r="B166" s="43" t="s">
        <v>516</v>
      </c>
      <c r="C166" s="43" t="s">
        <v>435</v>
      </c>
      <c r="D166" s="2">
        <f t="shared" si="15"/>
        <v>1</v>
      </c>
      <c r="E166" s="2" t="s">
        <v>575</v>
      </c>
      <c r="F166" s="2" t="s">
        <v>830</v>
      </c>
      <c r="G166" s="2" t="s">
        <v>516</v>
      </c>
      <c r="H166" s="2" t="str">
        <f t="shared" si="16"/>
        <v>Retail Technology</v>
      </c>
      <c r="I166" s="2" t="s">
        <v>841</v>
      </c>
      <c r="J166" s="2" t="s">
        <v>842</v>
      </c>
      <c r="K166" s="2" t="s">
        <v>277</v>
      </c>
      <c r="L166" s="2" t="s">
        <v>277</v>
      </c>
      <c r="M166" s="2" t="s">
        <v>277</v>
      </c>
      <c r="N166" s="2" t="s">
        <v>277</v>
      </c>
      <c r="O166" s="2">
        <v>595</v>
      </c>
      <c r="P166" s="2" t="s">
        <v>278</v>
      </c>
      <c r="Q166" s="2" t="s">
        <v>843</v>
      </c>
      <c r="R166" s="2" t="s">
        <v>279</v>
      </c>
      <c r="S166" s="2" t="s">
        <v>844</v>
      </c>
      <c r="T166" s="2" t="s">
        <v>69</v>
      </c>
      <c r="U166" s="2" t="s">
        <v>69</v>
      </c>
      <c r="V166" s="2" t="s">
        <v>327</v>
      </c>
      <c r="W166" s="2"/>
      <c r="X166" s="2"/>
      <c r="Y166" s="2">
        <v>1</v>
      </c>
      <c r="Z166" s="2" t="s">
        <v>328</v>
      </c>
      <c r="AA166" s="2" t="s">
        <v>2042</v>
      </c>
      <c r="AB166" s="69">
        <f t="shared" si="17"/>
        <v>5000</v>
      </c>
      <c r="AC166" s="69">
        <v>5000000000</v>
      </c>
      <c r="AD166" s="2" t="s">
        <v>845</v>
      </c>
      <c r="AE166" s="2" t="s">
        <v>69</v>
      </c>
      <c r="AF166" s="2">
        <v>31</v>
      </c>
      <c r="AG166" s="2" t="s">
        <v>299</v>
      </c>
      <c r="AH166" s="2" t="s">
        <v>2035</v>
      </c>
      <c r="AI166" s="2"/>
      <c r="AJ166" s="2"/>
      <c r="AK166" s="2">
        <v>24</v>
      </c>
      <c r="AL166" s="2">
        <v>1</v>
      </c>
      <c r="AM166" s="2">
        <v>189</v>
      </c>
      <c r="AN166" s="68" t="s">
        <v>2008</v>
      </c>
    </row>
    <row r="167" spans="1:40" ht="14.25" customHeight="1" x14ac:dyDescent="0.35">
      <c r="A167" s="2" t="s">
        <v>707</v>
      </c>
      <c r="B167" s="43" t="str">
        <f>IF(ISNUMBER(SEARCH(",",E167)),LEFT(E167,SEARCH(",",E167)-1),E167)</f>
        <v>Logistics</v>
      </c>
      <c r="C167" s="43" t="s">
        <v>435</v>
      </c>
      <c r="D167" s="2">
        <f t="shared" si="15"/>
        <v>1</v>
      </c>
      <c r="E167" s="2" t="s">
        <v>306</v>
      </c>
      <c r="F167" s="2" t="s">
        <v>324</v>
      </c>
      <c r="G167" s="2" t="s">
        <v>708</v>
      </c>
      <c r="H167" s="2" t="str">
        <f t="shared" si="16"/>
        <v/>
      </c>
      <c r="J167" s="2" t="s">
        <v>277</v>
      </c>
      <c r="K167" s="2" t="s">
        <v>277</v>
      </c>
      <c r="L167" s="2" t="s">
        <v>277</v>
      </c>
      <c r="M167" s="2" t="s">
        <v>277</v>
      </c>
      <c r="N167" s="2" t="s">
        <v>277</v>
      </c>
      <c r="O167" s="2">
        <v>159.398</v>
      </c>
      <c r="P167" s="2" t="s">
        <v>278</v>
      </c>
      <c r="Q167" s="2">
        <v>1956</v>
      </c>
      <c r="R167" s="2" t="s">
        <v>279</v>
      </c>
      <c r="S167" s="2" t="s">
        <v>709</v>
      </c>
      <c r="T167" s="2" t="s">
        <v>69</v>
      </c>
      <c r="U167" s="2" t="s">
        <v>69</v>
      </c>
      <c r="V167" s="2" t="s">
        <v>327</v>
      </c>
      <c r="W167" s="2"/>
      <c r="X167" s="2"/>
      <c r="Y167" s="2" t="s">
        <v>69</v>
      </c>
      <c r="Z167" s="2" t="s">
        <v>328</v>
      </c>
      <c r="AA167" s="2" t="s">
        <v>277</v>
      </c>
      <c r="AB167" s="69" t="str">
        <f t="shared" si="17"/>
        <v>n.a.</v>
      </c>
      <c r="AC167" s="2" t="s">
        <v>69</v>
      </c>
      <c r="AD167" s="2" t="s">
        <v>69</v>
      </c>
      <c r="AE167" s="2" t="s">
        <v>69</v>
      </c>
      <c r="AF167" s="2">
        <v>5</v>
      </c>
      <c r="AG167" s="2" t="s">
        <v>299</v>
      </c>
      <c r="AH167" s="2" t="s">
        <v>69</v>
      </c>
      <c r="AI167" s="2"/>
      <c r="AJ167" s="2"/>
      <c r="AK167" s="2" t="s">
        <v>69</v>
      </c>
      <c r="AL167" s="2">
        <v>1</v>
      </c>
      <c r="AM167" s="2" t="s">
        <v>69</v>
      </c>
      <c r="AN167" s="68" t="s">
        <v>2008</v>
      </c>
    </row>
    <row r="168" spans="1:40" ht="14.25" customHeight="1" x14ac:dyDescent="0.35">
      <c r="A168" s="2" t="s">
        <v>901</v>
      </c>
      <c r="B168" s="43" t="s">
        <v>902</v>
      </c>
      <c r="C168" s="43" t="s">
        <v>435</v>
      </c>
      <c r="D168" s="2">
        <f t="shared" si="15"/>
        <v>0</v>
      </c>
      <c r="E168" s="2" t="s">
        <v>322</v>
      </c>
      <c r="F168" s="2" t="s">
        <v>324</v>
      </c>
      <c r="G168" s="2" t="s">
        <v>277</v>
      </c>
      <c r="H168" s="2" t="str">
        <f t="shared" si="16"/>
        <v/>
      </c>
      <c r="J168" s="2" t="s">
        <v>277</v>
      </c>
      <c r="K168" s="2" t="s">
        <v>277</v>
      </c>
      <c r="L168" s="2" t="s">
        <v>277</v>
      </c>
      <c r="M168" s="2" t="s">
        <v>277</v>
      </c>
      <c r="N168" s="2" t="s">
        <v>277</v>
      </c>
      <c r="O168" s="2">
        <v>102</v>
      </c>
      <c r="P168" s="2" t="s">
        <v>278</v>
      </c>
      <c r="Q168" s="2">
        <v>1971</v>
      </c>
      <c r="R168" s="2" t="s">
        <v>279</v>
      </c>
      <c r="S168" s="2" t="s">
        <v>903</v>
      </c>
      <c r="T168" s="2" t="s">
        <v>69</v>
      </c>
      <c r="U168" s="2" t="s">
        <v>69</v>
      </c>
      <c r="V168" s="3" t="s">
        <v>446</v>
      </c>
      <c r="W168" s="2"/>
      <c r="X168" s="3"/>
      <c r="Y168" s="2">
        <v>2</v>
      </c>
      <c r="Z168" s="2" t="s">
        <v>69</v>
      </c>
      <c r="AA168" s="2" t="s">
        <v>2042</v>
      </c>
      <c r="AB168" s="69">
        <f t="shared" si="17"/>
        <v>9</v>
      </c>
      <c r="AC168" s="69">
        <v>9000000</v>
      </c>
      <c r="AD168" s="2" t="s">
        <v>904</v>
      </c>
      <c r="AE168" s="2">
        <v>2</v>
      </c>
      <c r="AF168" s="2" t="s">
        <v>69</v>
      </c>
      <c r="AG168" s="2" t="s">
        <v>69</v>
      </c>
      <c r="AH168" s="2" t="s">
        <v>69</v>
      </c>
      <c r="AI168" s="2"/>
      <c r="AJ168" s="2"/>
      <c r="AK168" s="2" t="s">
        <v>69</v>
      </c>
      <c r="AL168" s="2">
        <v>0</v>
      </c>
      <c r="AM168" s="2" t="s">
        <v>69</v>
      </c>
      <c r="AN168" s="68" t="s">
        <v>2008</v>
      </c>
    </row>
    <row r="169" spans="1:40" ht="14.25" customHeight="1" x14ac:dyDescent="0.35">
      <c r="A169" s="2" t="s">
        <v>1963</v>
      </c>
      <c r="B169" s="43" t="s">
        <v>330</v>
      </c>
      <c r="C169" s="43" t="s">
        <v>435</v>
      </c>
      <c r="D169" s="2">
        <f t="shared" si="15"/>
        <v>0</v>
      </c>
      <c r="E169" s="2" t="s">
        <v>624</v>
      </c>
      <c r="F169" s="2" t="s">
        <v>603</v>
      </c>
      <c r="G169" s="2" t="s">
        <v>324</v>
      </c>
      <c r="H169" s="2" t="str">
        <f t="shared" si="16"/>
        <v>Travel Agency</v>
      </c>
      <c r="I169" s="2" t="s">
        <v>729</v>
      </c>
      <c r="J169" s="2" t="s">
        <v>277</v>
      </c>
      <c r="K169" s="2" t="s">
        <v>277</v>
      </c>
      <c r="L169" s="2" t="s">
        <v>277</v>
      </c>
      <c r="M169" s="2" t="s">
        <v>277</v>
      </c>
      <c r="N169" s="2" t="s">
        <v>277</v>
      </c>
      <c r="O169" s="2" t="s">
        <v>730</v>
      </c>
      <c r="P169" s="2" t="s">
        <v>278</v>
      </c>
      <c r="Q169" s="2">
        <v>38718</v>
      </c>
      <c r="R169" s="2" t="s">
        <v>279</v>
      </c>
      <c r="S169" s="2" t="s">
        <v>731</v>
      </c>
      <c r="T169" s="2" t="s">
        <v>69</v>
      </c>
      <c r="U169" s="2" t="s">
        <v>69</v>
      </c>
      <c r="V169" s="2" t="s">
        <v>363</v>
      </c>
      <c r="W169" s="2"/>
      <c r="X169" s="2"/>
      <c r="Y169" s="2" t="s">
        <v>69</v>
      </c>
      <c r="Z169" s="2" t="s">
        <v>69</v>
      </c>
      <c r="AA169" s="2" t="s">
        <v>277</v>
      </c>
      <c r="AB169" s="69" t="str">
        <f t="shared" si="17"/>
        <v>n.a.</v>
      </c>
      <c r="AC169" s="2" t="s">
        <v>69</v>
      </c>
      <c r="AD169" s="2" t="s">
        <v>69</v>
      </c>
      <c r="AE169" s="2" t="s">
        <v>69</v>
      </c>
      <c r="AF169" s="2" t="s">
        <v>69</v>
      </c>
      <c r="AG169" s="2" t="s">
        <v>69</v>
      </c>
      <c r="AH169" s="2" t="s">
        <v>69</v>
      </c>
      <c r="AI169" s="2"/>
      <c r="AJ169" s="2"/>
      <c r="AK169" s="2" t="s">
        <v>69</v>
      </c>
      <c r="AL169" s="2">
        <v>0</v>
      </c>
      <c r="AM169" s="2" t="s">
        <v>69</v>
      </c>
      <c r="AN169" s="68" t="s">
        <v>2008</v>
      </c>
    </row>
    <row r="170" spans="1:40" ht="14.25" customHeight="1" x14ac:dyDescent="0.35">
      <c r="A170" s="2" t="s">
        <v>1964</v>
      </c>
      <c r="B170" s="43" t="s">
        <v>368</v>
      </c>
      <c r="C170" s="43" t="s">
        <v>435</v>
      </c>
      <c r="D170" s="2">
        <f t="shared" si="15"/>
        <v>0</v>
      </c>
      <c r="E170" s="2" t="s">
        <v>482</v>
      </c>
      <c r="F170" s="2" t="s">
        <v>277</v>
      </c>
      <c r="G170" s="2" t="s">
        <v>277</v>
      </c>
      <c r="H170" s="2" t="str">
        <f t="shared" si="16"/>
        <v/>
      </c>
      <c r="J170" s="2" t="s">
        <v>277</v>
      </c>
      <c r="K170" s="2" t="s">
        <v>277</v>
      </c>
      <c r="L170" s="2" t="s">
        <v>277</v>
      </c>
      <c r="M170" s="2" t="s">
        <v>277</v>
      </c>
      <c r="N170" s="2" t="s">
        <v>277</v>
      </c>
      <c r="O170" s="2">
        <v>196.63399999999999</v>
      </c>
      <c r="P170" s="2" t="s">
        <v>278</v>
      </c>
      <c r="Q170" s="2">
        <v>1996</v>
      </c>
      <c r="R170" s="2" t="s">
        <v>279</v>
      </c>
      <c r="S170" s="2" t="s">
        <v>871</v>
      </c>
      <c r="T170" s="2" t="s">
        <v>69</v>
      </c>
      <c r="U170" s="2" t="s">
        <v>69</v>
      </c>
      <c r="V170" s="2" t="s">
        <v>479</v>
      </c>
      <c r="W170" s="2"/>
      <c r="X170" s="2"/>
      <c r="Y170" s="2" t="s">
        <v>69</v>
      </c>
      <c r="Z170" s="2" t="s">
        <v>328</v>
      </c>
      <c r="AA170" s="2" t="s">
        <v>277</v>
      </c>
      <c r="AB170" s="69" t="str">
        <f t="shared" si="17"/>
        <v>n.a.</v>
      </c>
      <c r="AC170" s="2" t="s">
        <v>69</v>
      </c>
      <c r="AD170" s="2" t="s">
        <v>69</v>
      </c>
      <c r="AE170" s="2" t="s">
        <v>69</v>
      </c>
      <c r="AF170" s="2" t="s">
        <v>69</v>
      </c>
      <c r="AG170" s="2" t="s">
        <v>69</v>
      </c>
      <c r="AH170" s="2" t="s">
        <v>2034</v>
      </c>
      <c r="AI170" s="2"/>
      <c r="AJ170" s="2"/>
      <c r="AK170" s="2" t="s">
        <v>69</v>
      </c>
      <c r="AL170" s="2">
        <v>1</v>
      </c>
      <c r="AM170" s="2">
        <v>610</v>
      </c>
      <c r="AN170" s="68" t="s">
        <v>2008</v>
      </c>
    </row>
    <row r="171" spans="1:40" ht="14.25" customHeight="1" x14ac:dyDescent="0.35">
      <c r="A171" s="2" t="s">
        <v>780</v>
      </c>
      <c r="B171" s="43" t="s">
        <v>490</v>
      </c>
      <c r="C171" s="43" t="s">
        <v>435</v>
      </c>
      <c r="D171" s="2">
        <f>COUNTIF(E171:N171,B171)</f>
        <v>0</v>
      </c>
      <c r="E171" s="2" t="s">
        <v>287</v>
      </c>
      <c r="F171" s="2" t="s">
        <v>313</v>
      </c>
      <c r="G171" s="2" t="s">
        <v>499</v>
      </c>
      <c r="H171" s="2" t="str">
        <f>IF(NOT(ISBLANK(I171)),RIGHT(I171,LEN(I171)-1),"")</f>
        <v>Manufacturing</v>
      </c>
      <c r="I171" s="2" t="s">
        <v>551</v>
      </c>
      <c r="J171" s="2" t="s">
        <v>277</v>
      </c>
      <c r="K171" s="2" t="s">
        <v>277</v>
      </c>
      <c r="L171" s="2" t="s">
        <v>277</v>
      </c>
      <c r="M171" s="2" t="s">
        <v>277</v>
      </c>
      <c r="N171" s="2" t="s">
        <v>277</v>
      </c>
      <c r="O171" s="2">
        <v>931</v>
      </c>
      <c r="P171" s="2" t="s">
        <v>278</v>
      </c>
      <c r="Q171" s="2" t="s">
        <v>781</v>
      </c>
      <c r="R171" s="2" t="s">
        <v>279</v>
      </c>
      <c r="S171" s="2" t="s">
        <v>782</v>
      </c>
      <c r="T171" s="2" t="s">
        <v>69</v>
      </c>
      <c r="U171" s="2" t="s">
        <v>69</v>
      </c>
      <c r="V171" s="2" t="s">
        <v>327</v>
      </c>
      <c r="W171" s="2"/>
      <c r="X171" s="2"/>
      <c r="Y171" s="2">
        <v>3</v>
      </c>
      <c r="Z171" s="2" t="s">
        <v>291</v>
      </c>
      <c r="AA171" s="2" t="s">
        <v>2042</v>
      </c>
      <c r="AB171" s="69">
        <f t="shared" si="17"/>
        <v>1559.319806</v>
      </c>
      <c r="AC171" s="69">
        <v>1559319806</v>
      </c>
      <c r="AD171" s="2" t="s">
        <v>728</v>
      </c>
      <c r="AE171" s="2">
        <v>11</v>
      </c>
      <c r="AF171" s="2" t="s">
        <v>69</v>
      </c>
      <c r="AG171" s="2" t="s">
        <v>69</v>
      </c>
      <c r="AH171" s="2" t="s">
        <v>69</v>
      </c>
      <c r="AI171" s="2"/>
      <c r="AJ171" s="2"/>
      <c r="AK171" s="2" t="s">
        <v>69</v>
      </c>
      <c r="AL171" s="2">
        <v>0</v>
      </c>
      <c r="AM171" s="2" t="s">
        <v>69</v>
      </c>
      <c r="AN171" s="68" t="s">
        <v>2008</v>
      </c>
    </row>
  </sheetData>
  <autoFilter ref="A1:AO171" xr:uid="{00000000-0001-0000-0300-000000000000}"/>
  <conditionalFormatting sqref="A2:A3 A5:A43">
    <cfRule type="duplicateValues" dxfId="2" priority="155"/>
  </conditionalFormatting>
  <hyperlinks>
    <hyperlink ref="S108" r:id="rId1" xr:uid="{00000000-0004-0000-0300-000000000000}"/>
    <hyperlink ref="S75" r:id="rId2" xr:uid="{B9E44571-09A1-4EAE-A3A6-33731F18D8A0}"/>
    <hyperlink ref="S56" r:id="rId3" xr:uid="{03FE9FF1-8A29-41B3-A0AF-6F85A67A2E1E}"/>
    <hyperlink ref="S40" r:id="rId4" xr:uid="{65F22B09-8C26-42EA-9C15-B937AD8E088B}"/>
    <hyperlink ref="AO25" r:id="rId5" xr:uid="{A97B80EF-1AAC-4D2C-8C60-F4D2F5823EB3}"/>
    <hyperlink ref="AO3" r:id="rId6" display="https://www.reuters.com/business/autos-transportation/autonomous-driving-firm-aurora-lays-off-3-staff-2024-01-25/" xr:uid="{15717486-C817-41AA-9C93-F3CB686774B7}"/>
    <hyperlink ref="AO37" r:id="rId7" xr:uid="{2BB2085B-5E4E-4519-93EB-904962C3AC26}"/>
    <hyperlink ref="AO36" r:id="rId8" xr:uid="{40F9F25C-EABB-4E7F-BE57-DAB41AB07FC0}"/>
  </hyperlinks>
  <pageMargins left="0.7" right="0.7" top="0.75" bottom="0.75" header="0" footer="0"/>
  <pageSetup orientation="landscape" r:id="rId9"/>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195F-50B5-4AF7-A570-41F0A45C231F}">
  <dimension ref="A1:R192"/>
  <sheetViews>
    <sheetView zoomScaleNormal="100" workbookViewId="0"/>
  </sheetViews>
  <sheetFormatPr defaultColWidth="14.453125" defaultRowHeight="15" customHeight="1" x14ac:dyDescent="0.35"/>
  <cols>
    <col min="1" max="1" width="5.81640625" style="6" customWidth="1"/>
    <col min="2" max="2" width="12.81640625" style="6" customWidth="1"/>
    <col min="3" max="3" width="37.54296875" style="6" customWidth="1"/>
    <col min="4" max="4" width="24.08984375" style="6" customWidth="1"/>
    <col min="5" max="5" width="12.81640625" style="6" customWidth="1"/>
    <col min="6" max="6" width="34.1796875" style="45" customWidth="1"/>
    <col min="7" max="7" width="49" style="6" customWidth="1"/>
    <col min="8" max="8" width="36.81640625" style="6" customWidth="1"/>
    <col min="9" max="9" width="36.36328125" style="6" customWidth="1"/>
    <col min="10" max="10" width="70.26953125" style="15" customWidth="1"/>
    <col min="11" max="11" width="19.6328125" style="40" customWidth="1"/>
    <col min="12" max="12" width="6.453125" style="40" customWidth="1"/>
    <col min="13" max="13" width="2.1796875" style="6" customWidth="1"/>
    <col min="14" max="16384" width="14.453125" style="6"/>
  </cols>
  <sheetData>
    <row r="1" spans="1:18" s="418" customFormat="1" ht="14.25" customHeight="1" x14ac:dyDescent="0.35">
      <c r="A1" s="415" t="s">
        <v>1422</v>
      </c>
      <c r="B1" s="415" t="s">
        <v>2298</v>
      </c>
      <c r="C1" s="415" t="s">
        <v>0</v>
      </c>
      <c r="D1" s="416" t="s">
        <v>1943</v>
      </c>
      <c r="E1" s="417" t="s">
        <v>1946</v>
      </c>
      <c r="F1" s="418" t="s">
        <v>1948</v>
      </c>
      <c r="G1" s="418" t="s">
        <v>2001</v>
      </c>
      <c r="H1" s="418" t="s">
        <v>1</v>
      </c>
      <c r="I1" s="418" t="s">
        <v>2</v>
      </c>
      <c r="J1" s="418" t="s">
        <v>1194</v>
      </c>
      <c r="K1" s="418" t="s">
        <v>4</v>
      </c>
      <c r="L1" s="418" t="s">
        <v>5</v>
      </c>
      <c r="M1" s="418" t="s">
        <v>2120</v>
      </c>
      <c r="N1" s="418" t="s">
        <v>1939</v>
      </c>
      <c r="O1" s="418" t="s">
        <v>1942</v>
      </c>
      <c r="P1" s="418" t="s">
        <v>1940</v>
      </c>
      <c r="Q1" s="418" t="s">
        <v>1941</v>
      </c>
      <c r="R1" s="418" t="s">
        <v>2170</v>
      </c>
    </row>
    <row r="2" spans="1:18" ht="14.25" customHeight="1" x14ac:dyDescent="0.35">
      <c r="A2" s="25" t="s">
        <v>1426</v>
      </c>
      <c r="B2" s="25" t="s">
        <v>1030</v>
      </c>
      <c r="C2" s="25" t="s">
        <v>14</v>
      </c>
      <c r="D2" s="32" t="s">
        <v>1937</v>
      </c>
      <c r="E2" s="27" t="s">
        <v>309</v>
      </c>
      <c r="F2" s="6" t="s">
        <v>372</v>
      </c>
      <c r="G2" s="6" t="s">
        <v>880</v>
      </c>
      <c r="H2" s="6" t="s">
        <v>1730</v>
      </c>
      <c r="I2" s="6" t="s">
        <v>1319</v>
      </c>
      <c r="J2" s="6" t="s">
        <v>2234</v>
      </c>
      <c r="K2" s="6" t="s">
        <v>1320</v>
      </c>
      <c r="L2" s="6" t="s">
        <v>15</v>
      </c>
      <c r="M2" s="6" t="s">
        <v>1320</v>
      </c>
      <c r="R2" s="6" t="s">
        <v>2172</v>
      </c>
    </row>
    <row r="3" spans="1:18" s="19" customFormat="1" ht="14.25" customHeight="1" x14ac:dyDescent="0.35">
      <c r="A3" s="25" t="s">
        <v>1424</v>
      </c>
      <c r="B3" s="25" t="s">
        <v>1028</v>
      </c>
      <c r="C3" s="25" t="s">
        <v>9</v>
      </c>
      <c r="D3" s="32" t="s">
        <v>1937</v>
      </c>
      <c r="E3" s="27" t="s">
        <v>309</v>
      </c>
      <c r="F3" s="19" t="s">
        <v>372</v>
      </c>
      <c r="G3" s="19" t="s">
        <v>1952</v>
      </c>
      <c r="H3" s="19" t="s">
        <v>1731</v>
      </c>
      <c r="I3" s="19" t="s">
        <v>1321</v>
      </c>
      <c r="J3" s="19" t="s">
        <v>2234</v>
      </c>
      <c r="K3" s="19" t="s">
        <v>11</v>
      </c>
      <c r="L3" s="19" t="s">
        <v>12</v>
      </c>
      <c r="M3" s="19" t="s">
        <v>11</v>
      </c>
      <c r="R3" s="19" t="s">
        <v>2172</v>
      </c>
    </row>
    <row r="4" spans="1:18" ht="14.25" customHeight="1" x14ac:dyDescent="0.35">
      <c r="A4" s="25" t="s">
        <v>1425</v>
      </c>
      <c r="B4" s="25" t="s">
        <v>1029</v>
      </c>
      <c r="C4" s="25" t="s">
        <v>13</v>
      </c>
      <c r="D4" s="32" t="s">
        <v>1937</v>
      </c>
      <c r="E4" s="27" t="s">
        <v>309</v>
      </c>
      <c r="F4" s="6" t="s">
        <v>372</v>
      </c>
      <c r="G4" s="6" t="s">
        <v>922</v>
      </c>
      <c r="H4" s="6" t="s">
        <v>1361</v>
      </c>
      <c r="I4" s="6" t="s">
        <v>1328</v>
      </c>
      <c r="J4" s="6" t="s">
        <v>2236</v>
      </c>
      <c r="K4" s="6" t="s">
        <v>1329</v>
      </c>
      <c r="L4" s="6" t="s">
        <v>8</v>
      </c>
      <c r="M4" s="6" t="s">
        <v>1329</v>
      </c>
      <c r="R4" s="6" t="s">
        <v>2172</v>
      </c>
    </row>
    <row r="5" spans="1:18" ht="14.25" customHeight="1" x14ac:dyDescent="0.35">
      <c r="A5" s="25" t="s">
        <v>1427</v>
      </c>
      <c r="B5" s="25" t="s">
        <v>1031</v>
      </c>
      <c r="C5" s="25" t="s">
        <v>16</v>
      </c>
      <c r="D5" s="32" t="s">
        <v>1937</v>
      </c>
      <c r="E5" s="27" t="s">
        <v>309</v>
      </c>
      <c r="F5" s="6" t="s">
        <v>372</v>
      </c>
      <c r="G5" s="6" t="s">
        <v>643</v>
      </c>
      <c r="H5" s="6" t="s">
        <v>1363</v>
      </c>
      <c r="I5" s="6" t="s">
        <v>979</v>
      </c>
      <c r="J5" s="6" t="s">
        <v>1204</v>
      </c>
      <c r="K5" s="6" t="s">
        <v>1342</v>
      </c>
      <c r="L5" s="6" t="s">
        <v>1200</v>
      </c>
      <c r="M5" s="6" t="s">
        <v>1342</v>
      </c>
      <c r="R5" s="6" t="s">
        <v>2172</v>
      </c>
    </row>
    <row r="6" spans="1:18" s="13" customFormat="1" ht="14.25" customHeight="1" x14ac:dyDescent="0.35">
      <c r="A6" s="27" t="s">
        <v>1423</v>
      </c>
      <c r="B6" s="27" t="s">
        <v>1027</v>
      </c>
      <c r="C6" s="27" t="s">
        <v>6</v>
      </c>
      <c r="D6" s="47" t="s">
        <v>1937</v>
      </c>
      <c r="E6" s="27" t="s">
        <v>309</v>
      </c>
      <c r="F6" s="13" t="s">
        <v>372</v>
      </c>
      <c r="G6" s="13" t="s">
        <v>922</v>
      </c>
      <c r="H6" s="13" t="s">
        <v>1910</v>
      </c>
      <c r="I6" s="13" t="s">
        <v>1911</v>
      </c>
      <c r="J6" s="13" t="s">
        <v>1205</v>
      </c>
      <c r="K6" s="13" t="s">
        <v>1912</v>
      </c>
      <c r="L6" s="13" t="s">
        <v>8</v>
      </c>
      <c r="M6" s="13" t="s">
        <v>1912</v>
      </c>
      <c r="R6" s="13" t="s">
        <v>2172</v>
      </c>
    </row>
    <row r="7" spans="1:18" s="13" customFormat="1" ht="14.25" customHeight="1" x14ac:dyDescent="0.35">
      <c r="A7" s="25" t="s">
        <v>1428</v>
      </c>
      <c r="B7" s="25" t="s">
        <v>1032</v>
      </c>
      <c r="C7" s="25" t="s">
        <v>18</v>
      </c>
      <c r="D7" s="32" t="s">
        <v>375</v>
      </c>
      <c r="E7" s="27" t="s">
        <v>286</v>
      </c>
      <c r="F7" s="13" t="s">
        <v>372</v>
      </c>
      <c r="G7" s="13" t="s">
        <v>811</v>
      </c>
      <c r="H7" s="13" t="s">
        <v>1662</v>
      </c>
      <c r="I7" s="13" t="s">
        <v>1366</v>
      </c>
      <c r="J7" s="13" t="s">
        <v>2233</v>
      </c>
      <c r="K7" s="13" t="s">
        <v>19</v>
      </c>
      <c r="L7" s="13" t="s">
        <v>15</v>
      </c>
      <c r="M7" s="13" t="s">
        <v>19</v>
      </c>
      <c r="R7" s="13" t="s">
        <v>2173</v>
      </c>
    </row>
    <row r="8" spans="1:18" ht="14.25" customHeight="1" x14ac:dyDescent="0.35">
      <c r="A8" s="25" t="s">
        <v>1429</v>
      </c>
      <c r="B8" s="25" t="s">
        <v>1033</v>
      </c>
      <c r="C8" s="25" t="s">
        <v>20</v>
      </c>
      <c r="D8" s="32" t="s">
        <v>375</v>
      </c>
      <c r="E8" s="27" t="s">
        <v>286</v>
      </c>
      <c r="F8" s="6" t="s">
        <v>372</v>
      </c>
      <c r="G8" s="6" t="s">
        <v>811</v>
      </c>
      <c r="H8" s="6" t="s">
        <v>1697</v>
      </c>
      <c r="I8" s="6" t="s">
        <v>2143</v>
      </c>
      <c r="J8" s="6" t="s">
        <v>2233</v>
      </c>
      <c r="K8" s="6" t="s">
        <v>21</v>
      </c>
      <c r="L8" s="6" t="s">
        <v>15</v>
      </c>
      <c r="M8" s="6" t="s">
        <v>21</v>
      </c>
      <c r="R8" s="6" t="s">
        <v>2173</v>
      </c>
    </row>
    <row r="9" spans="1:18" ht="14.25" customHeight="1" x14ac:dyDescent="0.35">
      <c r="A9" s="25" t="s">
        <v>1431</v>
      </c>
      <c r="B9" s="25" t="s">
        <v>1035</v>
      </c>
      <c r="C9" s="25" t="s">
        <v>25</v>
      </c>
      <c r="D9" s="32" t="s">
        <v>431</v>
      </c>
      <c r="E9" s="27" t="s">
        <v>286</v>
      </c>
      <c r="F9" s="6" t="s">
        <v>405</v>
      </c>
      <c r="G9" s="6" t="s">
        <v>515</v>
      </c>
      <c r="H9" s="6" t="s">
        <v>1644</v>
      </c>
      <c r="I9" s="6" t="s">
        <v>1318</v>
      </c>
      <c r="J9" s="6" t="s">
        <v>2235</v>
      </c>
      <c r="K9" s="6" t="s">
        <v>26</v>
      </c>
      <c r="L9" s="6" t="s">
        <v>15</v>
      </c>
      <c r="M9" s="6" t="s">
        <v>1607</v>
      </c>
      <c r="N9" s="6" t="s">
        <v>12</v>
      </c>
      <c r="O9" s="6" t="s">
        <v>1606</v>
      </c>
      <c r="R9" s="6" t="s">
        <v>2174</v>
      </c>
    </row>
    <row r="10" spans="1:18" ht="14.25" customHeight="1" x14ac:dyDescent="0.35">
      <c r="A10" s="25" t="s">
        <v>1430</v>
      </c>
      <c r="B10" s="25" t="s">
        <v>1034</v>
      </c>
      <c r="C10" s="25" t="s">
        <v>22</v>
      </c>
      <c r="D10" s="32" t="s">
        <v>431</v>
      </c>
      <c r="E10" s="27" t="s">
        <v>286</v>
      </c>
      <c r="F10" s="6" t="s">
        <v>405</v>
      </c>
      <c r="G10" s="6" t="s">
        <v>695</v>
      </c>
      <c r="H10" s="6" t="s">
        <v>1657</v>
      </c>
      <c r="I10" s="6" t="s">
        <v>2115</v>
      </c>
      <c r="J10" s="6" t="s">
        <v>2233</v>
      </c>
      <c r="K10" s="6" t="s">
        <v>2116</v>
      </c>
      <c r="L10" s="6" t="s">
        <v>24</v>
      </c>
      <c r="M10" s="6" t="s">
        <v>23</v>
      </c>
      <c r="R10" s="6" t="s">
        <v>2174</v>
      </c>
    </row>
    <row r="11" spans="1:18" ht="14.25" customHeight="1" x14ac:dyDescent="0.35">
      <c r="A11" s="25" t="s">
        <v>1432</v>
      </c>
      <c r="B11" s="25" t="s">
        <v>1036</v>
      </c>
      <c r="C11" s="25" t="s">
        <v>27</v>
      </c>
      <c r="D11" s="32" t="s">
        <v>431</v>
      </c>
      <c r="E11" s="27" t="s">
        <v>286</v>
      </c>
      <c r="F11" s="6" t="s">
        <v>405</v>
      </c>
      <c r="G11" s="6" t="s">
        <v>684</v>
      </c>
      <c r="H11" s="6" t="s">
        <v>2119</v>
      </c>
      <c r="I11" s="6" t="s">
        <v>1378</v>
      </c>
      <c r="J11" s="6" t="s">
        <v>2233</v>
      </c>
      <c r="K11" s="6" t="s">
        <v>1239</v>
      </c>
      <c r="L11" s="6" t="s">
        <v>24</v>
      </c>
      <c r="M11" s="6" t="s">
        <v>1239</v>
      </c>
      <c r="R11" s="6" t="s">
        <v>2174</v>
      </c>
    </row>
    <row r="12" spans="1:18" ht="14.25" customHeight="1" x14ac:dyDescent="0.35">
      <c r="A12" s="25" t="s">
        <v>1433</v>
      </c>
      <c r="B12" s="25" t="s">
        <v>1037</v>
      </c>
      <c r="C12" s="25" t="s">
        <v>28</v>
      </c>
      <c r="D12" s="32" t="s">
        <v>431</v>
      </c>
      <c r="E12" s="27" t="s">
        <v>286</v>
      </c>
      <c r="F12" s="6" t="s">
        <v>405</v>
      </c>
      <c r="G12" s="6" t="s">
        <v>705</v>
      </c>
      <c r="H12" s="6" t="s">
        <v>1907</v>
      </c>
      <c r="I12" s="6" t="s">
        <v>1925</v>
      </c>
      <c r="J12" s="6" t="s">
        <v>2233</v>
      </c>
      <c r="K12" s="6" t="s">
        <v>2121</v>
      </c>
      <c r="L12" s="6" t="s">
        <v>24</v>
      </c>
      <c r="M12" s="6" t="s">
        <v>1245</v>
      </c>
      <c r="R12" s="6" t="s">
        <v>2174</v>
      </c>
    </row>
    <row r="13" spans="1:18" ht="14.25" customHeight="1" x14ac:dyDescent="0.35">
      <c r="A13" s="25" t="s">
        <v>1436</v>
      </c>
      <c r="B13" s="25" t="s">
        <v>1040</v>
      </c>
      <c r="C13" s="25" t="s">
        <v>32</v>
      </c>
      <c r="D13" s="32" t="s">
        <v>379</v>
      </c>
      <c r="E13" s="27" t="s">
        <v>331</v>
      </c>
      <c r="F13" s="6" t="s">
        <v>372</v>
      </c>
      <c r="G13" s="6" t="s">
        <v>1953</v>
      </c>
      <c r="H13" s="6" t="s">
        <v>2117</v>
      </c>
      <c r="I13" s="6" t="s">
        <v>1258</v>
      </c>
      <c r="J13" s="6" t="s">
        <v>2233</v>
      </c>
      <c r="K13" s="6" t="s">
        <v>1259</v>
      </c>
      <c r="L13" s="6" t="s">
        <v>8</v>
      </c>
      <c r="M13" s="6" t="s">
        <v>1259</v>
      </c>
      <c r="R13" s="6" t="s">
        <v>2175</v>
      </c>
    </row>
    <row r="14" spans="1:18" ht="14.25" customHeight="1" x14ac:dyDescent="0.35">
      <c r="A14" s="25" t="s">
        <v>1435</v>
      </c>
      <c r="B14" s="25" t="s">
        <v>1039</v>
      </c>
      <c r="C14" s="25" t="s">
        <v>30</v>
      </c>
      <c r="D14" s="32" t="s">
        <v>379</v>
      </c>
      <c r="E14" s="27" t="s">
        <v>331</v>
      </c>
      <c r="F14" s="6" t="s">
        <v>372</v>
      </c>
      <c r="G14" s="6" t="s">
        <v>913</v>
      </c>
      <c r="H14" s="6" t="s">
        <v>1663</v>
      </c>
      <c r="I14" s="6" t="s">
        <v>31</v>
      </c>
      <c r="J14" s="6" t="s">
        <v>2233</v>
      </c>
      <c r="K14" s="6" t="s">
        <v>1260</v>
      </c>
      <c r="L14" s="6" t="s">
        <v>8</v>
      </c>
      <c r="M14" s="6" t="s">
        <v>1260</v>
      </c>
      <c r="R14" s="6" t="s">
        <v>2175</v>
      </c>
    </row>
    <row r="15" spans="1:18" ht="14.25" customHeight="1" x14ac:dyDescent="0.35">
      <c r="A15" s="25" t="s">
        <v>1437</v>
      </c>
      <c r="B15" s="25" t="s">
        <v>1041</v>
      </c>
      <c r="C15" s="25" t="s">
        <v>33</v>
      </c>
      <c r="D15" s="32" t="s">
        <v>379</v>
      </c>
      <c r="E15" s="27" t="s">
        <v>331</v>
      </c>
      <c r="F15" s="6" t="s">
        <v>372</v>
      </c>
      <c r="G15" s="6" t="s">
        <v>1932</v>
      </c>
      <c r="H15" s="6" t="s">
        <v>1389</v>
      </c>
      <c r="I15" s="6" t="s">
        <v>1294</v>
      </c>
      <c r="J15" s="6" t="s">
        <v>2235</v>
      </c>
      <c r="K15" s="6" t="s">
        <v>2122</v>
      </c>
      <c r="L15" s="6" t="s">
        <v>8</v>
      </c>
      <c r="M15" s="6" t="s">
        <v>1357</v>
      </c>
      <c r="R15" s="6" t="s">
        <v>2175</v>
      </c>
    </row>
    <row r="16" spans="1:18" ht="14.25" customHeight="1" x14ac:dyDescent="0.35">
      <c r="A16" s="25" t="s">
        <v>1434</v>
      </c>
      <c r="B16" s="25" t="s">
        <v>1038</v>
      </c>
      <c r="C16" s="25" t="s">
        <v>29</v>
      </c>
      <c r="D16" s="32" t="s">
        <v>379</v>
      </c>
      <c r="E16" s="27" t="s">
        <v>331</v>
      </c>
      <c r="F16" s="6" t="s">
        <v>372</v>
      </c>
      <c r="G16" s="6" t="s">
        <v>364</v>
      </c>
      <c r="H16" s="6" t="s">
        <v>1689</v>
      </c>
      <c r="I16" s="6" t="s">
        <v>1369</v>
      </c>
      <c r="J16" s="6" t="s">
        <v>2235</v>
      </c>
      <c r="K16" s="6" t="s">
        <v>1315</v>
      </c>
      <c r="L16" s="6" t="s">
        <v>8</v>
      </c>
      <c r="M16" s="6" t="s">
        <v>1315</v>
      </c>
      <c r="R16" s="6" t="s">
        <v>2175</v>
      </c>
    </row>
    <row r="17" spans="1:18" ht="14.25" customHeight="1" x14ac:dyDescent="0.35">
      <c r="A17" s="25" t="s">
        <v>1438</v>
      </c>
      <c r="B17" s="25" t="s">
        <v>1042</v>
      </c>
      <c r="C17" s="25" t="s">
        <v>34</v>
      </c>
      <c r="D17" s="32" t="s">
        <v>340</v>
      </c>
      <c r="E17" s="27" t="s">
        <v>320</v>
      </c>
      <c r="F17" s="6" t="s">
        <v>273</v>
      </c>
      <c r="G17" s="6" t="s">
        <v>674</v>
      </c>
      <c r="H17" s="6" t="s">
        <v>1741</v>
      </c>
      <c r="I17" s="6" t="s">
        <v>1742</v>
      </c>
      <c r="J17" s="6" t="s">
        <v>2233</v>
      </c>
      <c r="K17" s="6" t="s">
        <v>1255</v>
      </c>
      <c r="L17" s="6" t="s">
        <v>8</v>
      </c>
      <c r="M17" s="6" t="s">
        <v>1255</v>
      </c>
      <c r="R17" s="6" t="s">
        <v>2176</v>
      </c>
    </row>
    <row r="18" spans="1:18" ht="14.25" customHeight="1" x14ac:dyDescent="0.35">
      <c r="A18" s="25" t="s">
        <v>1440</v>
      </c>
      <c r="B18" s="25" t="s">
        <v>1044</v>
      </c>
      <c r="C18" s="25" t="s">
        <v>37</v>
      </c>
      <c r="D18" s="32" t="s">
        <v>272</v>
      </c>
      <c r="E18" s="27" t="s">
        <v>309</v>
      </c>
      <c r="F18" s="6" t="s">
        <v>273</v>
      </c>
      <c r="G18" s="6" t="s">
        <v>755</v>
      </c>
      <c r="H18" s="6" t="s">
        <v>1381</v>
      </c>
      <c r="I18" s="6" t="s">
        <v>1250</v>
      </c>
      <c r="J18" s="6" t="s">
        <v>2233</v>
      </c>
      <c r="K18" s="6" t="s">
        <v>1251</v>
      </c>
      <c r="L18" s="6" t="s">
        <v>38</v>
      </c>
      <c r="M18" s="6" t="s">
        <v>1251</v>
      </c>
      <c r="R18" s="6" t="s">
        <v>2177</v>
      </c>
    </row>
    <row r="19" spans="1:18" ht="14.25" customHeight="1" x14ac:dyDescent="0.35">
      <c r="A19" s="25" t="s">
        <v>1439</v>
      </c>
      <c r="B19" s="25" t="s">
        <v>1043</v>
      </c>
      <c r="C19" s="25" t="s">
        <v>35</v>
      </c>
      <c r="D19" s="32" t="s">
        <v>272</v>
      </c>
      <c r="E19" s="27" t="s">
        <v>309</v>
      </c>
      <c r="F19" s="6" t="s">
        <v>273</v>
      </c>
      <c r="G19" s="6" t="s">
        <v>574</v>
      </c>
      <c r="H19" s="6" t="s">
        <v>1691</v>
      </c>
      <c r="I19" s="6" t="s">
        <v>987</v>
      </c>
      <c r="J19" s="6" t="s">
        <v>2234</v>
      </c>
      <c r="K19" s="6" t="s">
        <v>36</v>
      </c>
      <c r="L19" s="6" t="s">
        <v>8</v>
      </c>
      <c r="M19" s="6" t="s">
        <v>36</v>
      </c>
      <c r="R19" s="6" t="s">
        <v>2177</v>
      </c>
    </row>
    <row r="20" spans="1:18" ht="14.25" customHeight="1" x14ac:dyDescent="0.35">
      <c r="A20" s="25" t="s">
        <v>1441</v>
      </c>
      <c r="B20" s="25" t="s">
        <v>1045</v>
      </c>
      <c r="C20" s="25" t="s">
        <v>39</v>
      </c>
      <c r="D20" s="32" t="s">
        <v>349</v>
      </c>
      <c r="E20" s="27" t="s">
        <v>286</v>
      </c>
      <c r="F20" s="6" t="s">
        <v>1200</v>
      </c>
      <c r="G20" s="6" t="s">
        <v>720</v>
      </c>
      <c r="H20" s="6" t="s">
        <v>1370</v>
      </c>
      <c r="I20" s="6" t="s">
        <v>1222</v>
      </c>
      <c r="J20" s="6" t="s">
        <v>1203</v>
      </c>
      <c r="K20" s="6" t="s">
        <v>1371</v>
      </c>
      <c r="L20" s="6" t="s">
        <v>1200</v>
      </c>
      <c r="M20" s="6" t="s">
        <v>1371</v>
      </c>
      <c r="R20" s="6" t="s">
        <v>2159</v>
      </c>
    </row>
    <row r="21" spans="1:18" ht="14.25" customHeight="1" x14ac:dyDescent="0.35">
      <c r="A21" s="25" t="s">
        <v>1444</v>
      </c>
      <c r="B21" s="25" t="s">
        <v>1048</v>
      </c>
      <c r="C21" s="25" t="s">
        <v>44</v>
      </c>
      <c r="D21" s="32" t="s">
        <v>349</v>
      </c>
      <c r="E21" s="27" t="s">
        <v>286</v>
      </c>
      <c r="F21" s="6" t="s">
        <v>273</v>
      </c>
      <c r="G21" s="6" t="s">
        <v>840</v>
      </c>
      <c r="H21" s="6" t="s">
        <v>1232</v>
      </c>
      <c r="I21" s="6" t="s">
        <v>45</v>
      </c>
      <c r="J21" s="6" t="s">
        <v>2233</v>
      </c>
      <c r="K21" s="6" t="s">
        <v>46</v>
      </c>
      <c r="L21" s="6" t="s">
        <v>8</v>
      </c>
      <c r="M21" s="6" t="s">
        <v>46</v>
      </c>
      <c r="R21" s="6" t="s">
        <v>2178</v>
      </c>
    </row>
    <row r="22" spans="1:18" ht="14.25" customHeight="1" x14ac:dyDescent="0.35">
      <c r="A22" s="25" t="s">
        <v>1443</v>
      </c>
      <c r="B22" s="25" t="s">
        <v>1047</v>
      </c>
      <c r="C22" s="25" t="s">
        <v>43</v>
      </c>
      <c r="D22" s="32" t="s">
        <v>349</v>
      </c>
      <c r="E22" s="27" t="s">
        <v>286</v>
      </c>
      <c r="F22" s="6" t="s">
        <v>273</v>
      </c>
      <c r="G22" s="6" t="s">
        <v>631</v>
      </c>
      <c r="H22" s="6" t="s">
        <v>2124</v>
      </c>
      <c r="I22" s="6" t="s">
        <v>1254</v>
      </c>
      <c r="J22" s="6" t="s">
        <v>2233</v>
      </c>
      <c r="K22" s="6" t="s">
        <v>2123</v>
      </c>
      <c r="L22" s="6" t="s">
        <v>8</v>
      </c>
      <c r="M22" s="6" t="s">
        <v>1740</v>
      </c>
      <c r="R22" s="6" t="s">
        <v>2178</v>
      </c>
    </row>
    <row r="23" spans="1:18" ht="14.25" customHeight="1" x14ac:dyDescent="0.35">
      <c r="A23" s="25" t="s">
        <v>1442</v>
      </c>
      <c r="B23" s="25" t="s">
        <v>1046</v>
      </c>
      <c r="C23" s="25" t="s">
        <v>42</v>
      </c>
      <c r="D23" s="32" t="s">
        <v>349</v>
      </c>
      <c r="E23" s="27" t="s">
        <v>286</v>
      </c>
      <c r="F23" s="6" t="s">
        <v>341</v>
      </c>
      <c r="G23" s="6" t="s">
        <v>2063</v>
      </c>
      <c r="H23" s="6" t="s">
        <v>1694</v>
      </c>
      <c r="I23" s="6" t="s">
        <v>1338</v>
      </c>
      <c r="J23" s="6" t="s">
        <v>1204</v>
      </c>
      <c r="K23" s="6" t="s">
        <v>1339</v>
      </c>
      <c r="L23" s="6" t="s">
        <v>15</v>
      </c>
      <c r="M23" s="6" t="s">
        <v>1339</v>
      </c>
      <c r="R23" s="6" t="s">
        <v>2179</v>
      </c>
    </row>
    <row r="24" spans="1:18" ht="14.25" customHeight="1" x14ac:dyDescent="0.35">
      <c r="A24" s="25" t="s">
        <v>1449</v>
      </c>
      <c r="B24" s="25" t="s">
        <v>1587</v>
      </c>
      <c r="C24" s="25" t="s">
        <v>55</v>
      </c>
      <c r="D24" s="32" t="s">
        <v>56</v>
      </c>
      <c r="E24" s="27" t="s">
        <v>309</v>
      </c>
      <c r="F24" s="6" t="s">
        <v>1200</v>
      </c>
      <c r="G24" s="6" t="s">
        <v>277</v>
      </c>
      <c r="H24" s="6" t="s">
        <v>1365</v>
      </c>
      <c r="I24" s="6" t="s">
        <v>57</v>
      </c>
      <c r="J24" s="6" t="s">
        <v>1203</v>
      </c>
      <c r="K24" s="6" t="s">
        <v>58</v>
      </c>
      <c r="L24" s="6" t="s">
        <v>38</v>
      </c>
      <c r="M24" s="6" t="s">
        <v>58</v>
      </c>
      <c r="R24" s="6" t="s">
        <v>2160</v>
      </c>
    </row>
    <row r="25" spans="1:18" ht="14.25" customHeight="1" x14ac:dyDescent="0.35">
      <c r="A25" s="27" t="s">
        <v>1445</v>
      </c>
      <c r="B25" s="27" t="s">
        <v>1049</v>
      </c>
      <c r="C25" s="27" t="s">
        <v>47</v>
      </c>
      <c r="D25" s="47" t="s">
        <v>56</v>
      </c>
      <c r="E25" s="27" t="s">
        <v>309</v>
      </c>
      <c r="F25" s="6" t="s">
        <v>372</v>
      </c>
      <c r="G25" s="6" t="s">
        <v>568</v>
      </c>
      <c r="H25" s="6" t="s">
        <v>1652</v>
      </c>
      <c r="I25" s="6" t="s">
        <v>48</v>
      </c>
      <c r="J25" s="6" t="s">
        <v>1203</v>
      </c>
      <c r="K25" s="6" t="s">
        <v>1372</v>
      </c>
      <c r="L25" s="6" t="s">
        <v>49</v>
      </c>
      <c r="M25" s="6" t="s">
        <v>1372</v>
      </c>
      <c r="R25" s="6" t="s">
        <v>2180</v>
      </c>
    </row>
    <row r="26" spans="1:18" ht="14.25" customHeight="1" x14ac:dyDescent="0.35">
      <c r="A26" s="27" t="s">
        <v>1450</v>
      </c>
      <c r="B26" s="27" t="s">
        <v>1053</v>
      </c>
      <c r="C26" s="27" t="s">
        <v>59</v>
      </c>
      <c r="D26" s="47" t="s">
        <v>56</v>
      </c>
      <c r="E26" s="27" t="s">
        <v>309</v>
      </c>
      <c r="F26" s="6" t="s">
        <v>372</v>
      </c>
      <c r="G26" s="6" t="s">
        <v>515</v>
      </c>
      <c r="H26" s="6" t="s">
        <v>1708</v>
      </c>
      <c r="I26" s="6" t="s">
        <v>1230</v>
      </c>
      <c r="J26" s="6" t="s">
        <v>1203</v>
      </c>
      <c r="K26" s="6" t="s">
        <v>1230</v>
      </c>
      <c r="L26" s="6" t="s">
        <v>41</v>
      </c>
      <c r="M26" s="6" t="s">
        <v>1230</v>
      </c>
      <c r="R26" s="6" t="s">
        <v>2180</v>
      </c>
    </row>
    <row r="27" spans="1:18" ht="14.25" customHeight="1" x14ac:dyDescent="0.35">
      <c r="A27" s="25" t="s">
        <v>1448</v>
      </c>
      <c r="B27" s="25" t="s">
        <v>1052</v>
      </c>
      <c r="C27" s="25" t="s">
        <v>54</v>
      </c>
      <c r="D27" s="32" t="s">
        <v>56</v>
      </c>
      <c r="E27" s="27" t="s">
        <v>309</v>
      </c>
      <c r="F27" s="6" t="s">
        <v>372</v>
      </c>
      <c r="G27" s="6" t="s">
        <v>768</v>
      </c>
      <c r="H27" s="6" t="s">
        <v>1655</v>
      </c>
      <c r="I27" s="6" t="s">
        <v>1235</v>
      </c>
      <c r="J27" s="6" t="s">
        <v>2233</v>
      </c>
      <c r="K27" s="6" t="s">
        <v>1235</v>
      </c>
      <c r="L27" s="6" t="s">
        <v>38</v>
      </c>
      <c r="M27" s="6" t="s">
        <v>1235</v>
      </c>
      <c r="R27" s="6" t="s">
        <v>2180</v>
      </c>
    </row>
    <row r="28" spans="1:18" ht="14.25" customHeight="1" x14ac:dyDescent="0.35">
      <c r="A28" s="25" t="s">
        <v>1451</v>
      </c>
      <c r="B28" s="25" t="s">
        <v>1054</v>
      </c>
      <c r="C28" s="25" t="s">
        <v>60</v>
      </c>
      <c r="D28" s="32" t="s">
        <v>56</v>
      </c>
      <c r="E28" s="27" t="s">
        <v>309</v>
      </c>
      <c r="F28" s="6" t="s">
        <v>372</v>
      </c>
      <c r="G28" s="6" t="s">
        <v>798</v>
      </c>
      <c r="H28" s="6" t="s">
        <v>1928</v>
      </c>
      <c r="I28" s="6" t="s">
        <v>1929</v>
      </c>
      <c r="J28" s="6" t="s">
        <v>2233</v>
      </c>
      <c r="K28" s="6" t="s">
        <v>1930</v>
      </c>
      <c r="L28" s="6" t="s">
        <v>15</v>
      </c>
      <c r="M28" s="6" t="s">
        <v>1929</v>
      </c>
      <c r="R28" s="6" t="s">
        <v>2180</v>
      </c>
    </row>
    <row r="29" spans="1:18" ht="14.25" customHeight="1" x14ac:dyDescent="0.35">
      <c r="A29" s="25" t="s">
        <v>1446</v>
      </c>
      <c r="B29" s="25" t="s">
        <v>1050</v>
      </c>
      <c r="C29" s="25" t="s">
        <v>50</v>
      </c>
      <c r="D29" s="32" t="s">
        <v>56</v>
      </c>
      <c r="E29" s="27" t="s">
        <v>309</v>
      </c>
      <c r="F29" s="6" t="s">
        <v>372</v>
      </c>
      <c r="G29" s="6" t="s">
        <v>2065</v>
      </c>
      <c r="H29" s="6" t="s">
        <v>1729</v>
      </c>
      <c r="I29" s="6" t="s">
        <v>1350</v>
      </c>
      <c r="J29" s="6" t="s">
        <v>2234</v>
      </c>
      <c r="K29" s="6" t="s">
        <v>1359</v>
      </c>
      <c r="L29" s="6" t="s">
        <v>15</v>
      </c>
      <c r="M29" s="6" t="s">
        <v>1359</v>
      </c>
      <c r="R29" s="6" t="s">
        <v>2180</v>
      </c>
    </row>
    <row r="30" spans="1:18" ht="14.25" customHeight="1" x14ac:dyDescent="0.35">
      <c r="A30" s="25" t="s">
        <v>1447</v>
      </c>
      <c r="B30" s="25" t="s">
        <v>1051</v>
      </c>
      <c r="C30" s="25" t="s">
        <v>51</v>
      </c>
      <c r="D30" s="32" t="s">
        <v>56</v>
      </c>
      <c r="E30" s="27" t="s">
        <v>309</v>
      </c>
      <c r="F30" s="6" t="s">
        <v>372</v>
      </c>
      <c r="G30" s="6" t="s">
        <v>853</v>
      </c>
      <c r="H30" s="6" t="s">
        <v>2125</v>
      </c>
      <c r="I30" s="6" t="s">
        <v>52</v>
      </c>
      <c r="J30" s="6" t="s">
        <v>2234</v>
      </c>
      <c r="K30" s="6" t="s">
        <v>1411</v>
      </c>
      <c r="L30" s="6" t="s">
        <v>1201</v>
      </c>
      <c r="M30" s="6" t="s">
        <v>1410</v>
      </c>
      <c r="R30" s="6" t="s">
        <v>2180</v>
      </c>
    </row>
    <row r="31" spans="1:18" ht="14.25" customHeight="1" x14ac:dyDescent="0.35">
      <c r="A31" s="25" t="s">
        <v>1460</v>
      </c>
      <c r="B31" s="25" t="s">
        <v>1063</v>
      </c>
      <c r="C31" s="25" t="s">
        <v>67</v>
      </c>
      <c r="D31" s="32" t="s">
        <v>404</v>
      </c>
      <c r="E31" s="27" t="s">
        <v>309</v>
      </c>
      <c r="F31" s="6" t="s">
        <v>405</v>
      </c>
      <c r="G31" s="6" t="s">
        <v>512</v>
      </c>
      <c r="H31" s="6" t="s">
        <v>1643</v>
      </c>
      <c r="I31" s="6" t="s">
        <v>1316</v>
      </c>
      <c r="J31" s="6" t="s">
        <v>2235</v>
      </c>
      <c r="K31" s="6" t="s">
        <v>1317</v>
      </c>
      <c r="L31" s="6" t="s">
        <v>15</v>
      </c>
      <c r="M31" s="6" t="s">
        <v>1605</v>
      </c>
      <c r="N31" s="6" t="s">
        <v>1201</v>
      </c>
      <c r="O31" s="6" t="s">
        <v>1604</v>
      </c>
      <c r="R31" s="6" t="s">
        <v>2181</v>
      </c>
    </row>
    <row r="32" spans="1:18" s="13" customFormat="1" ht="14.25" customHeight="1" x14ac:dyDescent="0.35">
      <c r="A32" s="25" t="s">
        <v>1459</v>
      </c>
      <c r="B32" s="25" t="s">
        <v>1062</v>
      </c>
      <c r="C32" s="25" t="s">
        <v>1415</v>
      </c>
      <c r="D32" s="32" t="s">
        <v>404</v>
      </c>
      <c r="E32" s="27" t="s">
        <v>309</v>
      </c>
      <c r="F32" s="13" t="s">
        <v>405</v>
      </c>
      <c r="G32" s="13" t="s">
        <v>2066</v>
      </c>
      <c r="H32" s="13" t="s">
        <v>1710</v>
      </c>
      <c r="I32" s="13" t="s">
        <v>1223</v>
      </c>
      <c r="J32" s="13" t="s">
        <v>1203</v>
      </c>
      <c r="K32" s="13" t="s">
        <v>1223</v>
      </c>
      <c r="L32" s="13" t="s">
        <v>41</v>
      </c>
      <c r="M32" s="13" t="s">
        <v>1223</v>
      </c>
      <c r="R32" s="13" t="s">
        <v>2181</v>
      </c>
    </row>
    <row r="33" spans="1:18" s="13" customFormat="1" ht="14.25" customHeight="1" x14ac:dyDescent="0.35">
      <c r="A33" s="25" t="s">
        <v>1465</v>
      </c>
      <c r="B33" s="25" t="s">
        <v>1068</v>
      </c>
      <c r="C33" s="25" t="s">
        <v>74</v>
      </c>
      <c r="D33" s="32" t="s">
        <v>404</v>
      </c>
      <c r="E33" s="27" t="s">
        <v>309</v>
      </c>
      <c r="F33" s="13" t="s">
        <v>405</v>
      </c>
      <c r="G33" s="13" t="s">
        <v>648</v>
      </c>
      <c r="H33" s="13" t="s">
        <v>1711</v>
      </c>
      <c r="I33" s="13" t="s">
        <v>1240</v>
      </c>
      <c r="J33" s="13" t="s">
        <v>2233</v>
      </c>
      <c r="K33" s="13" t="s">
        <v>1595</v>
      </c>
      <c r="L33" s="13" t="s">
        <v>24</v>
      </c>
      <c r="M33" s="13" t="s">
        <v>1595</v>
      </c>
      <c r="R33" s="13" t="s">
        <v>2181</v>
      </c>
    </row>
    <row r="34" spans="1:18" ht="14.25" customHeight="1" x14ac:dyDescent="0.35">
      <c r="A34" s="25" t="s">
        <v>1455</v>
      </c>
      <c r="B34" s="25" t="s">
        <v>1058</v>
      </c>
      <c r="C34" s="25" t="s">
        <v>64</v>
      </c>
      <c r="D34" s="32" t="s">
        <v>404</v>
      </c>
      <c r="E34" s="27" t="s">
        <v>309</v>
      </c>
      <c r="F34" s="6" t="s">
        <v>405</v>
      </c>
      <c r="G34" s="6" t="s">
        <v>846</v>
      </c>
      <c r="H34" s="6" t="s">
        <v>1698</v>
      </c>
      <c r="I34" s="6" t="s">
        <v>1712</v>
      </c>
      <c r="J34" s="6" t="s">
        <v>2233</v>
      </c>
      <c r="K34" s="6" t="s">
        <v>1713</v>
      </c>
      <c r="L34" s="6" t="s">
        <v>24</v>
      </c>
      <c r="M34" s="6" t="s">
        <v>1713</v>
      </c>
      <c r="R34" s="6" t="s">
        <v>2181</v>
      </c>
    </row>
    <row r="35" spans="1:18" ht="14.25" customHeight="1" x14ac:dyDescent="0.35">
      <c r="A35" s="25" t="s">
        <v>1464</v>
      </c>
      <c r="B35" s="25" t="s">
        <v>1067</v>
      </c>
      <c r="C35" s="25" t="s">
        <v>72</v>
      </c>
      <c r="D35" s="32" t="s">
        <v>404</v>
      </c>
      <c r="E35" s="27" t="s">
        <v>309</v>
      </c>
      <c r="F35" s="6" t="s">
        <v>405</v>
      </c>
      <c r="G35" s="6" t="s">
        <v>1955</v>
      </c>
      <c r="H35" s="6" t="s">
        <v>1699</v>
      </c>
      <c r="I35" s="6" t="s">
        <v>73</v>
      </c>
      <c r="J35" s="6" t="s">
        <v>2233</v>
      </c>
      <c r="K35" s="6" t="s">
        <v>1256</v>
      </c>
      <c r="L35" s="6" t="s">
        <v>1200</v>
      </c>
      <c r="M35" s="6" t="s">
        <v>1256</v>
      </c>
      <c r="R35" s="6" t="s">
        <v>2181</v>
      </c>
    </row>
    <row r="36" spans="1:18" ht="14.25" customHeight="1" x14ac:dyDescent="0.35">
      <c r="A36" s="25" t="s">
        <v>1463</v>
      </c>
      <c r="B36" s="25" t="s">
        <v>1066</v>
      </c>
      <c r="C36" s="25" t="s">
        <v>71</v>
      </c>
      <c r="D36" s="32" t="s">
        <v>404</v>
      </c>
      <c r="E36" s="27" t="s">
        <v>309</v>
      </c>
      <c r="F36" s="6" t="s">
        <v>405</v>
      </c>
      <c r="G36" s="6" t="s">
        <v>2067</v>
      </c>
      <c r="H36" s="6" t="s">
        <v>1700</v>
      </c>
      <c r="I36" s="6" t="s">
        <v>992</v>
      </c>
      <c r="J36" s="6" t="s">
        <v>2233</v>
      </c>
      <c r="K36" s="6" t="s">
        <v>1701</v>
      </c>
      <c r="L36" s="6" t="s">
        <v>15</v>
      </c>
      <c r="M36" s="6" t="s">
        <v>1219</v>
      </c>
      <c r="R36" s="6" t="s">
        <v>2181</v>
      </c>
    </row>
    <row r="37" spans="1:18" ht="14.25" customHeight="1" x14ac:dyDescent="0.35">
      <c r="A37" s="25" t="s">
        <v>1461</v>
      </c>
      <c r="B37" s="25" t="s">
        <v>1064</v>
      </c>
      <c r="C37" s="25" t="s">
        <v>68</v>
      </c>
      <c r="D37" s="32" t="s">
        <v>404</v>
      </c>
      <c r="E37" s="27" t="s">
        <v>309</v>
      </c>
      <c r="F37" s="6" t="s">
        <v>405</v>
      </c>
      <c r="G37" s="6" t="s">
        <v>615</v>
      </c>
      <c r="H37" s="6" t="s">
        <v>1678</v>
      </c>
      <c r="I37" s="6" t="s">
        <v>1285</v>
      </c>
      <c r="J37" s="6" t="s">
        <v>2233</v>
      </c>
      <c r="K37" s="6" t="s">
        <v>1285</v>
      </c>
      <c r="L37" s="6" t="s">
        <v>24</v>
      </c>
      <c r="M37" s="6" t="s">
        <v>1285</v>
      </c>
      <c r="R37" s="6" t="s">
        <v>2181</v>
      </c>
    </row>
    <row r="38" spans="1:18" ht="14.25" customHeight="1" x14ac:dyDescent="0.35">
      <c r="A38" s="25" t="s">
        <v>1454</v>
      </c>
      <c r="B38" s="25" t="s">
        <v>1057</v>
      </c>
      <c r="C38" s="25" t="s">
        <v>62</v>
      </c>
      <c r="D38" s="32" t="s">
        <v>404</v>
      </c>
      <c r="E38" s="27" t="s">
        <v>309</v>
      </c>
      <c r="F38" s="6" t="s">
        <v>405</v>
      </c>
      <c r="G38" s="6" t="s">
        <v>554</v>
      </c>
      <c r="H38" s="6" t="s">
        <v>1680</v>
      </c>
      <c r="I38" s="6" t="s">
        <v>63</v>
      </c>
      <c r="J38" s="6" t="s">
        <v>2235</v>
      </c>
      <c r="K38" s="6" t="s">
        <v>1297</v>
      </c>
      <c r="L38" s="6" t="s">
        <v>24</v>
      </c>
      <c r="M38" s="6" t="s">
        <v>1297</v>
      </c>
      <c r="R38" s="6" t="s">
        <v>2181</v>
      </c>
    </row>
    <row r="39" spans="1:18" ht="14.25" customHeight="1" x14ac:dyDescent="0.35">
      <c r="A39" s="25" t="s">
        <v>1453</v>
      </c>
      <c r="B39" s="25" t="s">
        <v>1056</v>
      </c>
      <c r="C39" s="25" t="s">
        <v>1416</v>
      </c>
      <c r="D39" s="32" t="s">
        <v>404</v>
      </c>
      <c r="E39" s="27" t="s">
        <v>309</v>
      </c>
      <c r="F39" s="6" t="s">
        <v>405</v>
      </c>
      <c r="G39" s="6" t="s">
        <v>605</v>
      </c>
      <c r="H39" s="6" t="s">
        <v>1681</v>
      </c>
      <c r="I39" s="6" t="s">
        <v>1298</v>
      </c>
      <c r="J39" s="6" t="s">
        <v>2235</v>
      </c>
      <c r="K39" s="6" t="s">
        <v>1299</v>
      </c>
      <c r="L39" s="6" t="s">
        <v>24</v>
      </c>
      <c r="M39" s="6" t="s">
        <v>1299</v>
      </c>
      <c r="R39" s="6" t="s">
        <v>2181</v>
      </c>
    </row>
    <row r="40" spans="1:18" ht="14.25" customHeight="1" x14ac:dyDescent="0.35">
      <c r="A40" s="25" t="s">
        <v>1452</v>
      </c>
      <c r="B40" s="25" t="s">
        <v>1055</v>
      </c>
      <c r="C40" s="25" t="s">
        <v>61</v>
      </c>
      <c r="D40" s="32" t="s">
        <v>404</v>
      </c>
      <c r="E40" s="27" t="s">
        <v>309</v>
      </c>
      <c r="F40" s="6" t="s">
        <v>405</v>
      </c>
      <c r="G40" s="6" t="s">
        <v>1956</v>
      </c>
      <c r="H40" s="6" t="s">
        <v>1358</v>
      </c>
      <c r="I40" s="6" t="s">
        <v>1300</v>
      </c>
      <c r="J40" s="6" t="s">
        <v>2235</v>
      </c>
      <c r="K40" s="6" t="s">
        <v>1301</v>
      </c>
      <c r="L40" s="6" t="s">
        <v>24</v>
      </c>
      <c r="M40" s="6" t="s">
        <v>1301</v>
      </c>
      <c r="R40" s="6" t="s">
        <v>2181</v>
      </c>
    </row>
    <row r="41" spans="1:18" ht="14.25" customHeight="1" x14ac:dyDescent="0.35">
      <c r="A41" s="25" t="s">
        <v>1457</v>
      </c>
      <c r="B41" s="25" t="s">
        <v>1060</v>
      </c>
      <c r="C41" s="25" t="s">
        <v>65</v>
      </c>
      <c r="D41" s="32" t="s">
        <v>404</v>
      </c>
      <c r="E41" s="27" t="s">
        <v>309</v>
      </c>
      <c r="F41" s="6" t="s">
        <v>405</v>
      </c>
      <c r="G41" s="6" t="s">
        <v>1957</v>
      </c>
      <c r="H41" s="6" t="s">
        <v>1683</v>
      </c>
      <c r="I41" s="6" t="s">
        <v>1307</v>
      </c>
      <c r="J41" s="6" t="s">
        <v>2235</v>
      </c>
      <c r="K41" s="6" t="s">
        <v>1308</v>
      </c>
      <c r="L41" s="6" t="s">
        <v>24</v>
      </c>
      <c r="M41" s="6" t="s">
        <v>1308</v>
      </c>
      <c r="R41" s="6" t="s">
        <v>2181</v>
      </c>
    </row>
    <row r="42" spans="1:18" ht="14.25" customHeight="1" x14ac:dyDescent="0.35">
      <c r="A42" s="25" t="s">
        <v>1456</v>
      </c>
      <c r="B42" s="25" t="s">
        <v>1059</v>
      </c>
      <c r="C42" s="25" t="s">
        <v>1417</v>
      </c>
      <c r="D42" s="32" t="s">
        <v>404</v>
      </c>
      <c r="E42" s="27" t="s">
        <v>309</v>
      </c>
      <c r="F42" s="6" t="s">
        <v>405</v>
      </c>
      <c r="G42" s="6" t="s">
        <v>615</v>
      </c>
      <c r="H42" s="6" t="s">
        <v>1687</v>
      </c>
      <c r="I42" s="6" t="s">
        <v>1311</v>
      </c>
      <c r="J42" s="6" t="s">
        <v>2235</v>
      </c>
      <c r="K42" s="6" t="s">
        <v>1312</v>
      </c>
      <c r="L42" s="6" t="s">
        <v>24</v>
      </c>
      <c r="M42" s="6" t="s">
        <v>1312</v>
      </c>
      <c r="R42" s="6" t="s">
        <v>2181</v>
      </c>
    </row>
    <row r="43" spans="1:18" ht="14.25" customHeight="1" x14ac:dyDescent="0.35">
      <c r="A43" s="25" t="s">
        <v>1458</v>
      </c>
      <c r="B43" s="25" t="s">
        <v>1061</v>
      </c>
      <c r="C43" s="25" t="s">
        <v>66</v>
      </c>
      <c r="D43" s="32" t="s">
        <v>404</v>
      </c>
      <c r="E43" s="27" t="s">
        <v>309</v>
      </c>
      <c r="F43" s="6" t="s">
        <v>405</v>
      </c>
      <c r="G43" s="6" t="s">
        <v>560</v>
      </c>
      <c r="H43" s="6" t="s">
        <v>1688</v>
      </c>
      <c r="I43" s="6" t="s">
        <v>1313</v>
      </c>
      <c r="J43" s="6" t="s">
        <v>2235</v>
      </c>
      <c r="K43" s="6" t="s">
        <v>1314</v>
      </c>
      <c r="L43" s="6" t="s">
        <v>24</v>
      </c>
      <c r="M43" s="6" t="s">
        <v>1314</v>
      </c>
      <c r="R43" s="6" t="s">
        <v>2181</v>
      </c>
    </row>
    <row r="44" spans="1:18" ht="14.25" customHeight="1" x14ac:dyDescent="0.35">
      <c r="A44" s="25" t="s">
        <v>1462</v>
      </c>
      <c r="B44" s="25" t="s">
        <v>1065</v>
      </c>
      <c r="C44" s="25" t="s">
        <v>70</v>
      </c>
      <c r="D44" s="32" t="s">
        <v>404</v>
      </c>
      <c r="E44" s="27" t="s">
        <v>309</v>
      </c>
      <c r="F44" s="6" t="s">
        <v>405</v>
      </c>
      <c r="G44" s="6" t="s">
        <v>833</v>
      </c>
      <c r="H44" s="6" t="s">
        <v>1692</v>
      </c>
      <c r="I44" s="6" t="s">
        <v>1326</v>
      </c>
      <c r="J44" s="6" t="s">
        <v>2234</v>
      </c>
      <c r="K44" s="6" t="s">
        <v>1360</v>
      </c>
      <c r="L44" s="6" t="s">
        <v>24</v>
      </c>
      <c r="M44" s="6" t="s">
        <v>1360</v>
      </c>
      <c r="R44" s="6" t="s">
        <v>2181</v>
      </c>
    </row>
    <row r="45" spans="1:18" ht="14.25" customHeight="1" x14ac:dyDescent="0.35">
      <c r="A45" s="25" t="s">
        <v>1470</v>
      </c>
      <c r="B45" s="25" t="s">
        <v>1073</v>
      </c>
      <c r="C45" s="25" t="s">
        <v>81</v>
      </c>
      <c r="D45" s="32" t="s">
        <v>285</v>
      </c>
      <c r="E45" s="27" t="s">
        <v>286</v>
      </c>
      <c r="F45" s="6" t="s">
        <v>405</v>
      </c>
      <c r="G45" s="6" t="s">
        <v>507</v>
      </c>
      <c r="H45" s="6" t="s">
        <v>1914</v>
      </c>
      <c r="I45" s="6" t="s">
        <v>1915</v>
      </c>
      <c r="J45" s="6" t="s">
        <v>1204</v>
      </c>
      <c r="K45" s="6" t="s">
        <v>1340</v>
      </c>
      <c r="L45" s="6" t="s">
        <v>1200</v>
      </c>
      <c r="M45" s="6" t="s">
        <v>1617</v>
      </c>
      <c r="N45" s="6" t="s">
        <v>1201</v>
      </c>
      <c r="O45" s="6" t="s">
        <v>1618</v>
      </c>
      <c r="P45" s="6" t="s">
        <v>15</v>
      </c>
      <c r="Q45" s="6" t="s">
        <v>1616</v>
      </c>
      <c r="R45" s="6" t="s">
        <v>2182</v>
      </c>
    </row>
    <row r="46" spans="1:18" ht="14.25" customHeight="1" x14ac:dyDescent="0.35">
      <c r="A46" s="25" t="s">
        <v>1472</v>
      </c>
      <c r="B46" s="25" t="s">
        <v>1075</v>
      </c>
      <c r="C46" s="25" t="s">
        <v>83</v>
      </c>
      <c r="D46" s="32" t="s">
        <v>285</v>
      </c>
      <c r="E46" s="27" t="s">
        <v>286</v>
      </c>
      <c r="F46" s="6" t="s">
        <v>405</v>
      </c>
      <c r="G46" s="6" t="s">
        <v>700</v>
      </c>
      <c r="H46" s="6" t="s">
        <v>1735</v>
      </c>
      <c r="I46" s="6" t="s">
        <v>1760</v>
      </c>
      <c r="J46" s="6" t="s">
        <v>1204</v>
      </c>
      <c r="K46" s="6" t="s">
        <v>1737</v>
      </c>
      <c r="L46" s="6" t="s">
        <v>1201</v>
      </c>
      <c r="M46" s="6" t="s">
        <v>1736</v>
      </c>
      <c r="N46" s="6" t="s">
        <v>8</v>
      </c>
      <c r="O46" s="6" t="s">
        <v>1619</v>
      </c>
      <c r="R46" s="6" t="s">
        <v>2182</v>
      </c>
    </row>
    <row r="47" spans="1:18" ht="14.25" customHeight="1" x14ac:dyDescent="0.35">
      <c r="A47" s="25" t="s">
        <v>1468</v>
      </c>
      <c r="B47" s="25" t="s">
        <v>1071</v>
      </c>
      <c r="C47" s="25" t="s">
        <v>80</v>
      </c>
      <c r="D47" s="32" t="s">
        <v>285</v>
      </c>
      <c r="E47" s="27" t="s">
        <v>286</v>
      </c>
      <c r="F47" s="6" t="s">
        <v>405</v>
      </c>
      <c r="G47" s="6" t="s">
        <v>840</v>
      </c>
      <c r="H47" s="6" t="s">
        <v>1373</v>
      </c>
      <c r="I47" s="6" t="s">
        <v>1224</v>
      </c>
      <c r="J47" s="6" t="s">
        <v>1203</v>
      </c>
      <c r="K47" s="6" t="s">
        <v>1225</v>
      </c>
      <c r="L47" s="6" t="s">
        <v>1200</v>
      </c>
      <c r="M47" s="6" t="s">
        <v>1225</v>
      </c>
      <c r="R47" s="6" t="s">
        <v>2182</v>
      </c>
    </row>
    <row r="48" spans="1:18" ht="14.25" customHeight="1" x14ac:dyDescent="0.35">
      <c r="A48" s="25" t="s">
        <v>1466</v>
      </c>
      <c r="B48" s="25" t="s">
        <v>1069</v>
      </c>
      <c r="C48" s="25" t="s">
        <v>75</v>
      </c>
      <c r="D48" s="32" t="s">
        <v>285</v>
      </c>
      <c r="E48" s="27" t="s">
        <v>286</v>
      </c>
      <c r="F48" s="6" t="s">
        <v>405</v>
      </c>
      <c r="G48" s="6" t="s">
        <v>1958</v>
      </c>
      <c r="H48" s="6" t="s">
        <v>1385</v>
      </c>
      <c r="I48" s="6" t="s">
        <v>1262</v>
      </c>
      <c r="J48" s="6" t="s">
        <v>2233</v>
      </c>
      <c r="K48" s="6" t="s">
        <v>1263</v>
      </c>
      <c r="L48" s="6" t="s">
        <v>15</v>
      </c>
      <c r="M48" s="6" t="s">
        <v>1263</v>
      </c>
      <c r="R48" s="6" t="s">
        <v>2182</v>
      </c>
    </row>
    <row r="49" spans="1:18" ht="14.25" customHeight="1" x14ac:dyDescent="0.35">
      <c r="A49" s="25" t="s">
        <v>1471</v>
      </c>
      <c r="B49" s="25" t="s">
        <v>1074</v>
      </c>
      <c r="C49" s="25" t="s">
        <v>82</v>
      </c>
      <c r="D49" s="32" t="s">
        <v>285</v>
      </c>
      <c r="E49" s="27" t="s">
        <v>286</v>
      </c>
      <c r="F49" s="6" t="s">
        <v>405</v>
      </c>
      <c r="G49" s="6" t="s">
        <v>1959</v>
      </c>
      <c r="H49" s="6" t="s">
        <v>1759</v>
      </c>
      <c r="I49" s="6" t="s">
        <v>943</v>
      </c>
      <c r="J49" s="6" t="s">
        <v>2233</v>
      </c>
      <c r="K49" s="6" t="s">
        <v>1266</v>
      </c>
      <c r="L49" s="6" t="s">
        <v>15</v>
      </c>
      <c r="M49" s="6" t="s">
        <v>1266</v>
      </c>
      <c r="R49" s="6" t="s">
        <v>2182</v>
      </c>
    </row>
    <row r="50" spans="1:18" ht="14.25" customHeight="1" x14ac:dyDescent="0.35">
      <c r="A50" s="25" t="s">
        <v>1467</v>
      </c>
      <c r="B50" s="25" t="s">
        <v>1070</v>
      </c>
      <c r="C50" s="25" t="s">
        <v>77</v>
      </c>
      <c r="D50" s="32" t="s">
        <v>285</v>
      </c>
      <c r="E50" s="27" t="s">
        <v>286</v>
      </c>
      <c r="F50" s="6" t="s">
        <v>405</v>
      </c>
      <c r="G50" s="6" t="s">
        <v>710</v>
      </c>
      <c r="H50" s="6" t="s">
        <v>2128</v>
      </c>
      <c r="I50" s="6" t="s">
        <v>78</v>
      </c>
      <c r="J50" s="6" t="s">
        <v>2235</v>
      </c>
      <c r="K50" s="6" t="s">
        <v>79</v>
      </c>
      <c r="L50" s="6" t="s">
        <v>24</v>
      </c>
      <c r="M50" s="6" t="s">
        <v>79</v>
      </c>
      <c r="R50" s="6" t="s">
        <v>2182</v>
      </c>
    </row>
    <row r="51" spans="1:18" ht="14.25" customHeight="1" x14ac:dyDescent="0.35">
      <c r="A51" s="25" t="s">
        <v>1469</v>
      </c>
      <c r="B51" s="25" t="s">
        <v>1072</v>
      </c>
      <c r="C51" s="25" t="s">
        <v>1291</v>
      </c>
      <c r="D51" s="32" t="s">
        <v>285</v>
      </c>
      <c r="E51" s="27" t="s">
        <v>286</v>
      </c>
      <c r="F51" s="6" t="s">
        <v>405</v>
      </c>
      <c r="G51" s="6" t="s">
        <v>829</v>
      </c>
      <c r="H51" s="6" t="s">
        <v>2129</v>
      </c>
      <c r="I51" s="6" t="s">
        <v>1292</v>
      </c>
      <c r="J51" s="6" t="s">
        <v>2235</v>
      </c>
      <c r="K51" s="6" t="s">
        <v>1293</v>
      </c>
      <c r="L51" s="6" t="s">
        <v>8</v>
      </c>
      <c r="M51" s="6" t="s">
        <v>1293</v>
      </c>
      <c r="R51" s="6" t="s">
        <v>2182</v>
      </c>
    </row>
    <row r="52" spans="1:18" ht="14.25" customHeight="1" x14ac:dyDescent="0.35">
      <c r="A52" s="25" t="s">
        <v>1474</v>
      </c>
      <c r="B52" s="25" t="s">
        <v>1077</v>
      </c>
      <c r="C52" s="25" t="s">
        <v>1234</v>
      </c>
      <c r="D52" s="32" t="s">
        <v>338</v>
      </c>
      <c r="E52" s="27" t="s">
        <v>320</v>
      </c>
      <c r="F52" s="6" t="s">
        <v>372</v>
      </c>
      <c r="G52" s="6" t="s">
        <v>2064</v>
      </c>
      <c r="H52" s="6" t="s">
        <v>1721</v>
      </c>
      <c r="I52" s="6" t="s">
        <v>995</v>
      </c>
      <c r="J52" s="6" t="s">
        <v>2233</v>
      </c>
      <c r="K52" s="6" t="s">
        <v>86</v>
      </c>
      <c r="L52" s="6" t="s">
        <v>15</v>
      </c>
      <c r="M52" s="6" t="s">
        <v>1217</v>
      </c>
      <c r="R52" s="6" t="s">
        <v>2183</v>
      </c>
    </row>
    <row r="53" spans="1:18" ht="14.25" customHeight="1" x14ac:dyDescent="0.35">
      <c r="A53" s="25" t="s">
        <v>1473</v>
      </c>
      <c r="B53" s="25" t="s">
        <v>1076</v>
      </c>
      <c r="C53" s="25" t="s">
        <v>84</v>
      </c>
      <c r="D53" s="32" t="s">
        <v>338</v>
      </c>
      <c r="E53" s="27" t="s">
        <v>320</v>
      </c>
      <c r="F53" s="6" t="s">
        <v>372</v>
      </c>
      <c r="G53" s="6" t="s">
        <v>1960</v>
      </c>
      <c r="H53" s="6" t="s">
        <v>1659</v>
      </c>
      <c r="I53" s="6" t="s">
        <v>944</v>
      </c>
      <c r="J53" s="6" t="s">
        <v>2233</v>
      </c>
      <c r="K53" s="6" t="s">
        <v>85</v>
      </c>
      <c r="L53" s="6" t="s">
        <v>8</v>
      </c>
      <c r="M53" s="6" t="s">
        <v>85</v>
      </c>
      <c r="R53" s="6" t="s">
        <v>2183</v>
      </c>
    </row>
    <row r="54" spans="1:18" ht="14.25" customHeight="1" x14ac:dyDescent="0.35">
      <c r="A54" s="25" t="s">
        <v>1476</v>
      </c>
      <c r="B54" s="25" t="s">
        <v>1079</v>
      </c>
      <c r="C54" s="25" t="s">
        <v>88</v>
      </c>
      <c r="D54" s="32" t="s">
        <v>293</v>
      </c>
      <c r="E54" s="27" t="s">
        <v>309</v>
      </c>
      <c r="F54" s="6" t="s">
        <v>273</v>
      </c>
      <c r="G54" s="6" t="s">
        <v>680</v>
      </c>
      <c r="H54" s="6" t="s">
        <v>1702</v>
      </c>
      <c r="I54" s="6" t="s">
        <v>1703</v>
      </c>
      <c r="J54" s="6" t="s">
        <v>2233</v>
      </c>
      <c r="K54" s="6" t="s">
        <v>1703</v>
      </c>
      <c r="L54" s="6" t="s">
        <v>8</v>
      </c>
      <c r="M54" s="6" t="s">
        <v>15</v>
      </c>
      <c r="O54" s="6" t="s">
        <v>2155</v>
      </c>
      <c r="R54" s="6" t="s">
        <v>2184</v>
      </c>
    </row>
    <row r="55" spans="1:18" ht="14.25" customHeight="1" x14ac:dyDescent="0.35">
      <c r="A55" s="25" t="s">
        <v>1475</v>
      </c>
      <c r="B55" s="25" t="s">
        <v>1078</v>
      </c>
      <c r="C55" s="25" t="s">
        <v>87</v>
      </c>
      <c r="D55" s="32" t="s">
        <v>293</v>
      </c>
      <c r="E55" s="27" t="s">
        <v>309</v>
      </c>
      <c r="F55" s="6" t="s">
        <v>273</v>
      </c>
      <c r="G55" s="6" t="s">
        <v>574</v>
      </c>
      <c r="H55" s="6" t="s">
        <v>1904</v>
      </c>
      <c r="I55" s="6" t="s">
        <v>1288</v>
      </c>
      <c r="J55" s="6" t="s">
        <v>2233</v>
      </c>
      <c r="K55" s="6" t="s">
        <v>1594</v>
      </c>
      <c r="L55" s="6" t="s">
        <v>8</v>
      </c>
      <c r="M55" s="6" t="s">
        <v>1594</v>
      </c>
      <c r="R55" s="6" t="s">
        <v>2184</v>
      </c>
    </row>
    <row r="56" spans="1:18" ht="14.25" customHeight="1" x14ac:dyDescent="0.35">
      <c r="A56" s="25" t="s">
        <v>1477</v>
      </c>
      <c r="B56" s="25" t="s">
        <v>1080</v>
      </c>
      <c r="C56" s="25" t="s">
        <v>89</v>
      </c>
      <c r="D56" s="32" t="s">
        <v>293</v>
      </c>
      <c r="E56" s="27" t="s">
        <v>309</v>
      </c>
      <c r="F56" s="6" t="s">
        <v>273</v>
      </c>
      <c r="G56" s="6" t="s">
        <v>593</v>
      </c>
      <c r="H56" s="6" t="s">
        <v>1757</v>
      </c>
      <c r="I56" s="6" t="s">
        <v>1341</v>
      </c>
      <c r="J56" s="6" t="s">
        <v>1204</v>
      </c>
      <c r="K56" s="6" t="s">
        <v>1341</v>
      </c>
      <c r="L56" s="6" t="s">
        <v>1200</v>
      </c>
      <c r="M56" s="6" t="s">
        <v>1341</v>
      </c>
      <c r="R56" s="6" t="s">
        <v>2184</v>
      </c>
    </row>
    <row r="57" spans="1:18" ht="14.25" customHeight="1" x14ac:dyDescent="0.35">
      <c r="A57" s="25" t="s">
        <v>1479</v>
      </c>
      <c r="B57" s="25" t="s">
        <v>1082</v>
      </c>
      <c r="C57" s="25" t="s">
        <v>91</v>
      </c>
      <c r="D57" s="32" t="s">
        <v>408</v>
      </c>
      <c r="E57" s="27" t="s">
        <v>286</v>
      </c>
      <c r="F57" s="6" t="s">
        <v>405</v>
      </c>
      <c r="G57" s="6" t="s">
        <v>2077</v>
      </c>
      <c r="H57" s="6" t="s">
        <v>1738</v>
      </c>
      <c r="I57" s="6" t="s">
        <v>1353</v>
      </c>
      <c r="J57" s="6" t="s">
        <v>2233</v>
      </c>
      <c r="K57" s="6" t="s">
        <v>92</v>
      </c>
      <c r="L57" s="6" t="s">
        <v>24</v>
      </c>
      <c r="M57" s="6" t="s">
        <v>92</v>
      </c>
      <c r="R57" s="6" t="s">
        <v>2185</v>
      </c>
    </row>
    <row r="58" spans="1:18" ht="14.25" customHeight="1" x14ac:dyDescent="0.35">
      <c r="A58" s="25" t="s">
        <v>1478</v>
      </c>
      <c r="B58" s="25" t="s">
        <v>1081</v>
      </c>
      <c r="C58" s="25" t="s">
        <v>90</v>
      </c>
      <c r="D58" s="32" t="s">
        <v>408</v>
      </c>
      <c r="E58" s="27" t="s">
        <v>286</v>
      </c>
      <c r="F58" s="6" t="s">
        <v>405</v>
      </c>
      <c r="G58" s="6" t="s">
        <v>707</v>
      </c>
      <c r="H58" s="6" t="s">
        <v>1696</v>
      </c>
      <c r="I58" s="6" t="s">
        <v>1244</v>
      </c>
      <c r="J58" s="6" t="s">
        <v>2233</v>
      </c>
      <c r="K58" s="6" t="s">
        <v>1630</v>
      </c>
      <c r="L58" s="6" t="s">
        <v>15</v>
      </c>
      <c r="M58" s="6" t="s">
        <v>1630</v>
      </c>
      <c r="R58" s="6" t="s">
        <v>2185</v>
      </c>
    </row>
    <row r="59" spans="1:18" ht="14.25" customHeight="1" x14ac:dyDescent="0.35">
      <c r="A59" s="25" t="s">
        <v>1481</v>
      </c>
      <c r="B59" s="25" t="s">
        <v>1084</v>
      </c>
      <c r="C59" s="25" t="s">
        <v>94</v>
      </c>
      <c r="D59" s="32" t="s">
        <v>386</v>
      </c>
      <c r="E59" s="27" t="s">
        <v>286</v>
      </c>
      <c r="F59" s="6" t="s">
        <v>341</v>
      </c>
      <c r="G59" s="6" t="s">
        <v>512</v>
      </c>
      <c r="H59" s="6" t="s">
        <v>1393</v>
      </c>
      <c r="I59" s="6" t="s">
        <v>1336</v>
      </c>
      <c r="J59" s="6" t="s">
        <v>1204</v>
      </c>
      <c r="K59" s="6" t="s">
        <v>1337</v>
      </c>
      <c r="L59" s="6" t="s">
        <v>15</v>
      </c>
      <c r="M59" s="6" t="s">
        <v>1614</v>
      </c>
      <c r="N59" s="6" t="s">
        <v>38</v>
      </c>
      <c r="O59" s="6" t="s">
        <v>1615</v>
      </c>
      <c r="R59" s="6" t="s">
        <v>2186</v>
      </c>
    </row>
    <row r="60" spans="1:18" ht="14.25" customHeight="1" x14ac:dyDescent="0.35">
      <c r="A60" s="25" t="s">
        <v>1483</v>
      </c>
      <c r="B60" s="25" t="s">
        <v>1086</v>
      </c>
      <c r="C60" s="25" t="s">
        <v>96</v>
      </c>
      <c r="D60" s="32" t="s">
        <v>386</v>
      </c>
      <c r="E60" s="27" t="s">
        <v>286</v>
      </c>
      <c r="F60" s="6" t="s">
        <v>341</v>
      </c>
      <c r="G60" s="6" t="s">
        <v>539</v>
      </c>
      <c r="H60" s="6" t="s">
        <v>1399</v>
      </c>
      <c r="I60" s="6" t="s">
        <v>1346</v>
      </c>
      <c r="J60" s="6" t="s">
        <v>2233</v>
      </c>
      <c r="K60" s="6" t="s">
        <v>97</v>
      </c>
      <c r="L60" s="6" t="s">
        <v>15</v>
      </c>
      <c r="M60" s="6" t="s">
        <v>97</v>
      </c>
      <c r="R60" s="6" t="s">
        <v>2186</v>
      </c>
    </row>
    <row r="61" spans="1:18" ht="14.25" customHeight="1" x14ac:dyDescent="0.35">
      <c r="A61" s="25" t="s">
        <v>1485</v>
      </c>
      <c r="B61" s="25" t="s">
        <v>1088</v>
      </c>
      <c r="C61" s="25" t="s">
        <v>99</v>
      </c>
      <c r="D61" s="32" t="s">
        <v>386</v>
      </c>
      <c r="E61" s="27" t="s">
        <v>286</v>
      </c>
      <c r="F61" s="6" t="s">
        <v>341</v>
      </c>
      <c r="G61" s="6" t="s">
        <v>715</v>
      </c>
      <c r="H61" s="6" t="s">
        <v>1670</v>
      </c>
      <c r="I61" s="6" t="s">
        <v>945</v>
      </c>
      <c r="J61" s="6" t="s">
        <v>2233</v>
      </c>
      <c r="K61" s="6" t="s">
        <v>1403</v>
      </c>
      <c r="L61" s="6" t="s">
        <v>8</v>
      </c>
      <c r="M61" s="6" t="s">
        <v>1403</v>
      </c>
      <c r="R61" s="6" t="s">
        <v>2186</v>
      </c>
    </row>
    <row r="62" spans="1:18" ht="14.25" customHeight="1" x14ac:dyDescent="0.35">
      <c r="A62" s="25" t="s">
        <v>1482</v>
      </c>
      <c r="B62" s="25" t="s">
        <v>1085</v>
      </c>
      <c r="C62" s="25" t="s">
        <v>95</v>
      </c>
      <c r="D62" s="32" t="s">
        <v>386</v>
      </c>
      <c r="E62" s="27" t="s">
        <v>286</v>
      </c>
      <c r="F62" s="6" t="s">
        <v>341</v>
      </c>
      <c r="G62" s="6" t="s">
        <v>740</v>
      </c>
      <c r="H62" s="6" t="s">
        <v>1672</v>
      </c>
      <c r="I62" s="6" t="s">
        <v>996</v>
      </c>
      <c r="J62" s="6" t="s">
        <v>2233</v>
      </c>
      <c r="K62" s="6" t="s">
        <v>1274</v>
      </c>
      <c r="L62" s="6" t="s">
        <v>8</v>
      </c>
      <c r="M62" s="6" t="s">
        <v>1274</v>
      </c>
      <c r="R62" s="6" t="s">
        <v>2186</v>
      </c>
    </row>
    <row r="63" spans="1:18" ht="14.25" customHeight="1" x14ac:dyDescent="0.35">
      <c r="A63" s="27" t="s">
        <v>1480</v>
      </c>
      <c r="B63" s="27" t="s">
        <v>1083</v>
      </c>
      <c r="C63" s="27" t="s">
        <v>93</v>
      </c>
      <c r="D63" s="47" t="s">
        <v>386</v>
      </c>
      <c r="E63" s="27" t="s">
        <v>286</v>
      </c>
      <c r="F63" s="6" t="s">
        <v>341</v>
      </c>
      <c r="G63" s="6" t="s">
        <v>732</v>
      </c>
      <c r="H63" s="6" t="s">
        <v>1673</v>
      </c>
      <c r="I63" s="6" t="s">
        <v>1275</v>
      </c>
      <c r="J63" s="6" t="s">
        <v>2233</v>
      </c>
      <c r="K63" s="6" t="s">
        <v>1277</v>
      </c>
      <c r="L63" s="6" t="s">
        <v>8</v>
      </c>
      <c r="M63" s="6" t="s">
        <v>1276</v>
      </c>
      <c r="R63" s="6" t="s">
        <v>2186</v>
      </c>
    </row>
    <row r="64" spans="1:18" ht="14.25" customHeight="1" x14ac:dyDescent="0.35">
      <c r="A64" s="25" t="s">
        <v>1484</v>
      </c>
      <c r="B64" s="25" t="s">
        <v>1087</v>
      </c>
      <c r="C64" s="25" t="s">
        <v>98</v>
      </c>
      <c r="D64" s="32" t="s">
        <v>386</v>
      </c>
      <c r="E64" s="27" t="s">
        <v>286</v>
      </c>
      <c r="F64" s="6" t="s">
        <v>372</v>
      </c>
      <c r="G64" s="6" t="s">
        <v>724</v>
      </c>
      <c r="H64" s="6" t="s">
        <v>1682</v>
      </c>
      <c r="I64" s="6" t="s">
        <v>1302</v>
      </c>
      <c r="J64" s="6" t="s">
        <v>2235</v>
      </c>
      <c r="K64" s="6" t="s">
        <v>1304</v>
      </c>
      <c r="L64" s="6" t="s">
        <v>8</v>
      </c>
      <c r="M64" s="6" t="s">
        <v>1303</v>
      </c>
      <c r="R64" s="6" t="s">
        <v>2308</v>
      </c>
    </row>
    <row r="65" spans="1:18" ht="14.25" customHeight="1" x14ac:dyDescent="0.35">
      <c r="A65" s="25" t="s">
        <v>1518</v>
      </c>
      <c r="B65" s="25" t="s">
        <v>1108</v>
      </c>
      <c r="C65" s="25" t="s">
        <v>147</v>
      </c>
      <c r="D65" s="32" t="s">
        <v>141</v>
      </c>
      <c r="E65" s="27" t="s">
        <v>286</v>
      </c>
      <c r="F65" s="6" t="s">
        <v>372</v>
      </c>
      <c r="G65" s="6" t="s">
        <v>563</v>
      </c>
      <c r="H65" s="6" t="s">
        <v>1661</v>
      </c>
      <c r="I65" s="6" t="s">
        <v>1010</v>
      </c>
      <c r="J65" s="6" t="s">
        <v>2233</v>
      </c>
      <c r="K65" s="6" t="s">
        <v>148</v>
      </c>
      <c r="L65" s="6" t="s">
        <v>38</v>
      </c>
      <c r="M65" s="6" t="s">
        <v>148</v>
      </c>
      <c r="R65" s="6" t="s">
        <v>2187</v>
      </c>
    </row>
    <row r="66" spans="1:18" ht="14.25" customHeight="1" x14ac:dyDescent="0.35">
      <c r="A66" s="25" t="s">
        <v>1490</v>
      </c>
      <c r="B66" s="25" t="s">
        <v>1208</v>
      </c>
      <c r="C66" s="25" t="s">
        <v>106</v>
      </c>
      <c r="D66" s="32" t="s">
        <v>354</v>
      </c>
      <c r="E66" s="27" t="s">
        <v>286</v>
      </c>
      <c r="F66" s="6" t="s">
        <v>273</v>
      </c>
      <c r="G66" s="6" t="s">
        <v>519</v>
      </c>
      <c r="H66" s="6" t="s">
        <v>1666</v>
      </c>
      <c r="I66" s="6" t="s">
        <v>947</v>
      </c>
      <c r="J66" s="6" t="s">
        <v>2233</v>
      </c>
      <c r="K66" s="6" t="s">
        <v>1592</v>
      </c>
      <c r="L66" s="6" t="s">
        <v>24</v>
      </c>
      <c r="M66" s="6" t="s">
        <v>1591</v>
      </c>
      <c r="R66" s="6" t="s">
        <v>2188</v>
      </c>
    </row>
    <row r="67" spans="1:18" ht="14.25" customHeight="1" x14ac:dyDescent="0.35">
      <c r="A67" s="25" t="s">
        <v>1492</v>
      </c>
      <c r="B67" s="25" t="s">
        <v>1209</v>
      </c>
      <c r="C67" s="25" t="s">
        <v>109</v>
      </c>
      <c r="D67" s="32" t="s">
        <v>354</v>
      </c>
      <c r="E67" s="27" t="s">
        <v>286</v>
      </c>
      <c r="F67" s="6" t="s">
        <v>372</v>
      </c>
      <c r="G67" s="6" t="s">
        <v>793</v>
      </c>
      <c r="H67" s="6" t="s">
        <v>1401</v>
      </c>
      <c r="I67" s="6" t="s">
        <v>1267</v>
      </c>
      <c r="J67" s="6" t="s">
        <v>2233</v>
      </c>
      <c r="K67" s="6" t="s">
        <v>110</v>
      </c>
      <c r="L67" s="6" t="s">
        <v>15</v>
      </c>
      <c r="M67" s="6" t="s">
        <v>110</v>
      </c>
      <c r="R67" s="6" t="s">
        <v>2189</v>
      </c>
    </row>
    <row r="68" spans="1:18" ht="14.25" customHeight="1" x14ac:dyDescent="0.35">
      <c r="A68" s="25" t="s">
        <v>1496</v>
      </c>
      <c r="B68" s="25" t="s">
        <v>1210</v>
      </c>
      <c r="C68" s="25" t="s">
        <v>115</v>
      </c>
      <c r="D68" s="32" t="s">
        <v>354</v>
      </c>
      <c r="E68" s="27" t="s">
        <v>286</v>
      </c>
      <c r="F68" s="6" t="s">
        <v>1200</v>
      </c>
      <c r="G68" s="6" t="s">
        <v>762</v>
      </c>
      <c r="H68" s="6" t="s">
        <v>1745</v>
      </c>
      <c r="I68" s="6" t="s">
        <v>1268</v>
      </c>
      <c r="J68" s="6" t="s">
        <v>2233</v>
      </c>
      <c r="K68" s="6" t="s">
        <v>1402</v>
      </c>
      <c r="L68" s="6" t="s">
        <v>15</v>
      </c>
      <c r="M68" s="6" t="s">
        <v>1402</v>
      </c>
      <c r="R68" s="6" t="s">
        <v>2161</v>
      </c>
    </row>
    <row r="69" spans="1:18" ht="14.25" customHeight="1" x14ac:dyDescent="0.35">
      <c r="A69" s="25" t="s">
        <v>1487</v>
      </c>
      <c r="B69" s="25" t="s">
        <v>1211</v>
      </c>
      <c r="C69" s="25" t="s">
        <v>102</v>
      </c>
      <c r="D69" s="32" t="s">
        <v>354</v>
      </c>
      <c r="E69" s="27" t="s">
        <v>286</v>
      </c>
      <c r="F69" s="6" t="s">
        <v>1200</v>
      </c>
      <c r="G69" s="6" t="s">
        <v>1961</v>
      </c>
      <c r="H69" s="6" t="s">
        <v>1676</v>
      </c>
      <c r="I69" s="6" t="s">
        <v>1405</v>
      </c>
      <c r="J69" s="6" t="s">
        <v>2233</v>
      </c>
      <c r="K69" s="6" t="s">
        <v>1406</v>
      </c>
      <c r="L69" s="6" t="s">
        <v>1201</v>
      </c>
      <c r="M69" s="6" t="s">
        <v>1406</v>
      </c>
      <c r="R69" s="6" t="s">
        <v>2161</v>
      </c>
    </row>
    <row r="70" spans="1:18" ht="14.25" customHeight="1" x14ac:dyDescent="0.35">
      <c r="A70" s="25" t="s">
        <v>1488</v>
      </c>
      <c r="B70" s="25" t="s">
        <v>1212</v>
      </c>
      <c r="C70" s="25" t="s">
        <v>103</v>
      </c>
      <c r="D70" s="32" t="s">
        <v>354</v>
      </c>
      <c r="E70" s="27" t="s">
        <v>286</v>
      </c>
      <c r="F70" s="6" t="s">
        <v>1200</v>
      </c>
      <c r="G70" s="6" t="s">
        <v>1962</v>
      </c>
      <c r="H70" s="6" t="s">
        <v>1926</v>
      </c>
      <c r="I70" s="6" t="s">
        <v>999</v>
      </c>
      <c r="J70" s="6" t="s">
        <v>2235</v>
      </c>
      <c r="K70" s="6" t="s">
        <v>1408</v>
      </c>
      <c r="L70" s="6" t="s">
        <v>15</v>
      </c>
      <c r="M70" s="6" t="s">
        <v>1408</v>
      </c>
      <c r="R70" s="6" t="s">
        <v>2161</v>
      </c>
    </row>
    <row r="71" spans="1:18" ht="14.25" customHeight="1" x14ac:dyDescent="0.35">
      <c r="A71" s="25" t="s">
        <v>1494</v>
      </c>
      <c r="B71" s="25" t="s">
        <v>1213</v>
      </c>
      <c r="C71" s="25" t="s">
        <v>113</v>
      </c>
      <c r="D71" s="32" t="s">
        <v>354</v>
      </c>
      <c r="E71" s="27" t="s">
        <v>286</v>
      </c>
      <c r="F71" s="6" t="s">
        <v>341</v>
      </c>
      <c r="G71" s="6" t="s">
        <v>1963</v>
      </c>
      <c r="H71" s="6" t="s">
        <v>1684</v>
      </c>
      <c r="I71" s="6" t="s">
        <v>948</v>
      </c>
      <c r="J71" s="6" t="s">
        <v>2235</v>
      </c>
      <c r="K71" s="6" t="s">
        <v>1309</v>
      </c>
      <c r="L71" s="6" t="s">
        <v>24</v>
      </c>
      <c r="M71" s="6" t="s">
        <v>1309</v>
      </c>
      <c r="R71" s="6" t="s">
        <v>2190</v>
      </c>
    </row>
    <row r="72" spans="1:18" ht="14.25" customHeight="1" x14ac:dyDescent="0.35">
      <c r="A72" s="25" t="s">
        <v>1491</v>
      </c>
      <c r="B72" s="25" t="s">
        <v>1041</v>
      </c>
      <c r="C72" s="25" t="s">
        <v>107</v>
      </c>
      <c r="D72" s="32" t="s">
        <v>354</v>
      </c>
      <c r="E72" s="27" t="s">
        <v>286</v>
      </c>
      <c r="F72" s="6" t="s">
        <v>1200</v>
      </c>
      <c r="G72" s="6" t="s">
        <v>1964</v>
      </c>
      <c r="H72" s="6" t="s">
        <v>1685</v>
      </c>
      <c r="I72" s="6" t="s">
        <v>1000</v>
      </c>
      <c r="J72" s="6" t="s">
        <v>2235</v>
      </c>
      <c r="K72" s="6" t="s">
        <v>108</v>
      </c>
      <c r="L72" s="6" t="s">
        <v>1201</v>
      </c>
      <c r="M72" s="6" t="s">
        <v>108</v>
      </c>
      <c r="R72" s="6" t="s">
        <v>2161</v>
      </c>
    </row>
    <row r="73" spans="1:18" ht="14.25" customHeight="1" x14ac:dyDescent="0.35">
      <c r="A73" s="25" t="s">
        <v>1489</v>
      </c>
      <c r="B73" s="25" t="s">
        <v>1214</v>
      </c>
      <c r="C73" s="25" t="s">
        <v>104</v>
      </c>
      <c r="D73" s="32" t="s">
        <v>354</v>
      </c>
      <c r="E73" s="27" t="s">
        <v>286</v>
      </c>
      <c r="F73" s="6" t="s">
        <v>1200</v>
      </c>
      <c r="G73" s="6" t="s">
        <v>748</v>
      </c>
      <c r="H73" s="6" t="s">
        <v>1728</v>
      </c>
      <c r="I73" s="6" t="s">
        <v>1348</v>
      </c>
      <c r="J73" s="6" t="s">
        <v>2235</v>
      </c>
      <c r="K73" s="6" t="s">
        <v>105</v>
      </c>
      <c r="L73" s="6" t="s">
        <v>1201</v>
      </c>
      <c r="M73" s="6" t="s">
        <v>105</v>
      </c>
      <c r="R73" s="6" t="s">
        <v>2161</v>
      </c>
    </row>
    <row r="74" spans="1:18" ht="14.25" customHeight="1" x14ac:dyDescent="0.35">
      <c r="A74" s="25" t="s">
        <v>1486</v>
      </c>
      <c r="B74" s="25" t="s">
        <v>1125</v>
      </c>
      <c r="C74" s="25" t="s">
        <v>100</v>
      </c>
      <c r="D74" s="32" t="s">
        <v>354</v>
      </c>
      <c r="E74" s="27" t="s">
        <v>286</v>
      </c>
      <c r="F74" s="6" t="s">
        <v>1200</v>
      </c>
      <c r="G74" s="6" t="s">
        <v>780</v>
      </c>
      <c r="H74" s="6" t="s">
        <v>1690</v>
      </c>
      <c r="I74" s="6" t="s">
        <v>1409</v>
      </c>
      <c r="J74" s="6" t="s">
        <v>2235</v>
      </c>
      <c r="K74" s="6" t="s">
        <v>101</v>
      </c>
      <c r="L74" s="6" t="s">
        <v>15</v>
      </c>
      <c r="M74" s="6" t="s">
        <v>101</v>
      </c>
      <c r="R74" s="6" t="s">
        <v>2161</v>
      </c>
    </row>
    <row r="75" spans="1:18" ht="14.25" customHeight="1" x14ac:dyDescent="0.35">
      <c r="A75" s="25" t="s">
        <v>1493</v>
      </c>
      <c r="B75" s="25" t="s">
        <v>1215</v>
      </c>
      <c r="C75" s="25" t="s">
        <v>111</v>
      </c>
      <c r="D75" s="32" t="s">
        <v>354</v>
      </c>
      <c r="E75" s="27" t="s">
        <v>286</v>
      </c>
      <c r="F75" s="6" t="s">
        <v>1200</v>
      </c>
      <c r="G75" s="6" t="s">
        <v>868</v>
      </c>
      <c r="H75" s="6" t="s">
        <v>1392</v>
      </c>
      <c r="I75" s="6" t="s">
        <v>1001</v>
      </c>
      <c r="J75" s="6" t="s">
        <v>2234</v>
      </c>
      <c r="K75" s="6" t="s">
        <v>112</v>
      </c>
      <c r="L75" s="6" t="s">
        <v>1201</v>
      </c>
      <c r="M75" s="6" t="s">
        <v>112</v>
      </c>
      <c r="R75" s="6" t="s">
        <v>2161</v>
      </c>
    </row>
    <row r="76" spans="1:18" ht="14.25" customHeight="1" x14ac:dyDescent="0.35">
      <c r="A76" s="25" t="s">
        <v>1495</v>
      </c>
      <c r="B76" s="25" t="s">
        <v>1216</v>
      </c>
      <c r="C76" s="25" t="s">
        <v>114</v>
      </c>
      <c r="D76" s="32" t="s">
        <v>354</v>
      </c>
      <c r="E76" s="27" t="s">
        <v>286</v>
      </c>
      <c r="F76" s="6" t="s">
        <v>1200</v>
      </c>
      <c r="G76" s="6" t="s">
        <v>780</v>
      </c>
      <c r="H76" s="6" t="s">
        <v>1412</v>
      </c>
      <c r="I76" s="6" t="s">
        <v>1003</v>
      </c>
      <c r="J76" s="6" t="s">
        <v>1204</v>
      </c>
      <c r="K76" s="6" t="s">
        <v>1413</v>
      </c>
      <c r="L76" s="6" t="s">
        <v>15</v>
      </c>
      <c r="M76" s="6" t="s">
        <v>1413</v>
      </c>
      <c r="R76" s="6" t="s">
        <v>2161</v>
      </c>
    </row>
    <row r="77" spans="1:18" ht="14.25" customHeight="1" x14ac:dyDescent="0.35">
      <c r="A77" s="25" t="s">
        <v>1498</v>
      </c>
      <c r="B77" s="25" t="s">
        <v>1090</v>
      </c>
      <c r="C77" s="25" t="s">
        <v>119</v>
      </c>
      <c r="D77" s="32" t="s">
        <v>117</v>
      </c>
      <c r="E77" s="27" t="s">
        <v>331</v>
      </c>
      <c r="F77" s="6" t="s">
        <v>372</v>
      </c>
      <c r="G77" s="6" t="s">
        <v>2068</v>
      </c>
      <c r="H77" s="6" t="s">
        <v>1641</v>
      </c>
      <c r="I77" s="6" t="s">
        <v>1005</v>
      </c>
      <c r="J77" s="6" t="s">
        <v>2235</v>
      </c>
      <c r="K77" s="6" t="s">
        <v>120</v>
      </c>
      <c r="L77" s="6" t="s">
        <v>8</v>
      </c>
      <c r="M77" s="6" t="s">
        <v>1601</v>
      </c>
      <c r="N77" s="6" t="s">
        <v>38</v>
      </c>
      <c r="O77" s="6" t="s">
        <v>1636</v>
      </c>
      <c r="R77" s="6" t="s">
        <v>2191</v>
      </c>
    </row>
    <row r="78" spans="1:18" ht="14.25" customHeight="1" x14ac:dyDescent="0.35">
      <c r="A78" s="25" t="s">
        <v>1497</v>
      </c>
      <c r="B78" s="25" t="s">
        <v>1089</v>
      </c>
      <c r="C78" s="25" t="s">
        <v>116</v>
      </c>
      <c r="D78" s="32" t="s">
        <v>117</v>
      </c>
      <c r="E78" s="27" t="s">
        <v>331</v>
      </c>
      <c r="F78" s="6" t="s">
        <v>372</v>
      </c>
      <c r="G78" s="6" t="s">
        <v>277</v>
      </c>
      <c r="H78" s="6" t="s">
        <v>1679</v>
      </c>
      <c r="I78" s="6" t="s">
        <v>949</v>
      </c>
      <c r="J78" s="6" t="s">
        <v>2233</v>
      </c>
      <c r="K78" s="6" t="s">
        <v>118</v>
      </c>
      <c r="L78" s="6" t="s">
        <v>49</v>
      </c>
      <c r="M78" s="6" t="s">
        <v>118</v>
      </c>
      <c r="R78" s="6" t="s">
        <v>2191</v>
      </c>
    </row>
    <row r="79" spans="1:18" ht="14.25" customHeight="1" x14ac:dyDescent="0.35">
      <c r="A79" s="25" t="s">
        <v>1500</v>
      </c>
      <c r="B79" s="25" t="s">
        <v>1092</v>
      </c>
      <c r="C79" s="25" t="s">
        <v>122</v>
      </c>
      <c r="D79" s="32" t="s">
        <v>359</v>
      </c>
      <c r="E79" s="27" t="s">
        <v>286</v>
      </c>
      <c r="F79" s="6" t="s">
        <v>341</v>
      </c>
      <c r="G79" s="6" t="s">
        <v>459</v>
      </c>
      <c r="H79" s="6" t="s">
        <v>1379</v>
      </c>
      <c r="I79" s="6" t="s">
        <v>1248</v>
      </c>
      <c r="J79" s="6" t="s">
        <v>2233</v>
      </c>
      <c r="K79" s="6" t="s">
        <v>1249</v>
      </c>
      <c r="L79" s="6" t="s">
        <v>15</v>
      </c>
      <c r="M79" s="6" t="s">
        <v>1631</v>
      </c>
      <c r="N79" s="6" t="s">
        <v>38</v>
      </c>
      <c r="O79" s="6" t="s">
        <v>1248</v>
      </c>
      <c r="R79" s="6" t="s">
        <v>2193</v>
      </c>
    </row>
    <row r="80" spans="1:18" ht="14.25" customHeight="1" x14ac:dyDescent="0.35">
      <c r="A80" s="25" t="s">
        <v>1501</v>
      </c>
      <c r="B80" s="25" t="s">
        <v>1093</v>
      </c>
      <c r="C80" s="25" t="s">
        <v>123</v>
      </c>
      <c r="D80" s="32" t="s">
        <v>359</v>
      </c>
      <c r="E80" s="27" t="s">
        <v>286</v>
      </c>
      <c r="F80" s="6" t="s">
        <v>341</v>
      </c>
      <c r="G80" s="6" t="s">
        <v>924</v>
      </c>
      <c r="H80" s="6" t="s">
        <v>1720</v>
      </c>
      <c r="I80" s="6" t="s">
        <v>1374</v>
      </c>
      <c r="J80" s="6" t="s">
        <v>2233</v>
      </c>
      <c r="K80" s="6" t="s">
        <v>2131</v>
      </c>
      <c r="L80" s="6" t="s">
        <v>38</v>
      </c>
      <c r="M80" s="6" t="s">
        <v>1226</v>
      </c>
      <c r="N80" s="6" t="s">
        <v>15</v>
      </c>
      <c r="O80" s="6" t="s">
        <v>2132</v>
      </c>
      <c r="R80" s="6" t="s">
        <v>2193</v>
      </c>
    </row>
    <row r="81" spans="1:18" ht="14.25" customHeight="1" x14ac:dyDescent="0.35">
      <c r="A81" s="25" t="s">
        <v>1502</v>
      </c>
      <c r="B81" s="25" t="s">
        <v>1075</v>
      </c>
      <c r="C81" s="25" t="s">
        <v>1420</v>
      </c>
      <c r="D81" s="32" t="s">
        <v>359</v>
      </c>
      <c r="E81" s="27" t="s">
        <v>286</v>
      </c>
      <c r="F81" s="6" t="s">
        <v>341</v>
      </c>
      <c r="G81" s="6" t="s">
        <v>1966</v>
      </c>
      <c r="H81" s="6" t="s">
        <v>1377</v>
      </c>
      <c r="I81" s="6" t="s">
        <v>1352</v>
      </c>
      <c r="J81" s="6" t="s">
        <v>2233</v>
      </c>
      <c r="K81" s="6" t="s">
        <v>1367</v>
      </c>
      <c r="L81" s="6" t="s">
        <v>38</v>
      </c>
      <c r="M81" s="6" t="s">
        <v>1367</v>
      </c>
      <c r="R81" s="6" t="s">
        <v>2193</v>
      </c>
    </row>
    <row r="82" spans="1:18" ht="14.25" customHeight="1" x14ac:dyDescent="0.35">
      <c r="A82" s="25" t="s">
        <v>1499</v>
      </c>
      <c r="B82" s="25" t="s">
        <v>1091</v>
      </c>
      <c r="C82" s="25" t="s">
        <v>121</v>
      </c>
      <c r="D82" s="32" t="s">
        <v>359</v>
      </c>
      <c r="E82" s="27" t="s">
        <v>286</v>
      </c>
      <c r="F82" s="6" t="s">
        <v>273</v>
      </c>
      <c r="G82" s="6" t="s">
        <v>318</v>
      </c>
      <c r="H82" s="6" t="s">
        <v>1746</v>
      </c>
      <c r="I82" s="6" t="s">
        <v>2133</v>
      </c>
      <c r="J82" s="6" t="s">
        <v>2233</v>
      </c>
      <c r="K82" s="6" t="s">
        <v>1269</v>
      </c>
      <c r="L82" s="6" t="s">
        <v>8</v>
      </c>
      <c r="M82" s="6" t="s">
        <v>1269</v>
      </c>
      <c r="R82" s="6" t="s">
        <v>2192</v>
      </c>
    </row>
    <row r="83" spans="1:18" ht="14.25" customHeight="1" x14ac:dyDescent="0.35">
      <c r="A83" s="25" t="s">
        <v>1507</v>
      </c>
      <c r="B83" s="25" t="s">
        <v>1098</v>
      </c>
      <c r="C83" s="25" t="s">
        <v>129</v>
      </c>
      <c r="D83" s="32" t="s">
        <v>1933</v>
      </c>
      <c r="E83" s="27" t="s">
        <v>309</v>
      </c>
      <c r="F83" s="6" t="s">
        <v>372</v>
      </c>
      <c r="G83" s="6" t="s">
        <v>868</v>
      </c>
      <c r="H83" s="6" t="s">
        <v>1642</v>
      </c>
      <c r="I83" s="6" t="s">
        <v>1397</v>
      </c>
      <c r="J83" s="6" t="s">
        <v>2235</v>
      </c>
      <c r="K83" s="6" t="s">
        <v>130</v>
      </c>
      <c r="L83" s="6" t="s">
        <v>12</v>
      </c>
      <c r="M83" s="6" t="s">
        <v>1637</v>
      </c>
      <c r="N83" s="6" t="s">
        <v>38</v>
      </c>
      <c r="O83" s="6" t="s">
        <v>1602</v>
      </c>
      <c r="P83" s="6" t="s">
        <v>1201</v>
      </c>
      <c r="Q83" s="6" t="s">
        <v>1603</v>
      </c>
      <c r="R83" s="6" t="s">
        <v>2194</v>
      </c>
    </row>
    <row r="84" spans="1:18" ht="14.25" customHeight="1" x14ac:dyDescent="0.35">
      <c r="A84" s="25" t="s">
        <v>1503</v>
      </c>
      <c r="B84" s="25" t="s">
        <v>1094</v>
      </c>
      <c r="C84" s="25" t="s">
        <v>124</v>
      </c>
      <c r="D84" s="32" t="s">
        <v>1933</v>
      </c>
      <c r="E84" s="27" t="s">
        <v>309</v>
      </c>
      <c r="F84" s="6" t="s">
        <v>372</v>
      </c>
      <c r="G84" s="6" t="s">
        <v>1967</v>
      </c>
      <c r="H84" s="6" t="s">
        <v>1645</v>
      </c>
      <c r="I84" s="6" t="s">
        <v>1007</v>
      </c>
      <c r="J84" s="6" t="s">
        <v>2234</v>
      </c>
      <c r="K84" s="6" t="s">
        <v>1322</v>
      </c>
      <c r="L84" s="6" t="s">
        <v>8</v>
      </c>
      <c r="M84" s="6" t="s">
        <v>1608</v>
      </c>
      <c r="N84" s="6" t="s">
        <v>41</v>
      </c>
      <c r="O84" s="6" t="s">
        <v>1609</v>
      </c>
      <c r="R84" s="6" t="s">
        <v>2194</v>
      </c>
    </row>
    <row r="85" spans="1:18" ht="14.25" customHeight="1" x14ac:dyDescent="0.35">
      <c r="A85" s="27" t="s">
        <v>1506</v>
      </c>
      <c r="B85" s="27" t="s">
        <v>1097</v>
      </c>
      <c r="C85" s="27" t="s">
        <v>128</v>
      </c>
      <c r="D85" s="47" t="s">
        <v>1933</v>
      </c>
      <c r="E85" s="27" t="s">
        <v>309</v>
      </c>
      <c r="F85" s="6" t="s">
        <v>372</v>
      </c>
      <c r="G85" s="6" t="s">
        <v>868</v>
      </c>
      <c r="H85" s="6" t="s">
        <v>1704</v>
      </c>
      <c r="I85" s="6" t="s">
        <v>1705</v>
      </c>
      <c r="J85" s="6" t="s">
        <v>2234</v>
      </c>
      <c r="K85" s="6" t="s">
        <v>2112</v>
      </c>
      <c r="L85" s="6" t="s">
        <v>15</v>
      </c>
      <c r="M85" s="6" t="s">
        <v>1611</v>
      </c>
      <c r="N85" s="6" t="s">
        <v>38</v>
      </c>
      <c r="O85" s="6" t="s">
        <v>1221</v>
      </c>
      <c r="R85" s="6" t="s">
        <v>2194</v>
      </c>
    </row>
    <row r="86" spans="1:18" ht="14.25" customHeight="1" x14ac:dyDescent="0.35">
      <c r="A86" s="25" t="s">
        <v>1505</v>
      </c>
      <c r="B86" s="25" t="s">
        <v>1096</v>
      </c>
      <c r="C86" s="25" t="s">
        <v>125</v>
      </c>
      <c r="D86" s="32" t="s">
        <v>1933</v>
      </c>
      <c r="E86" s="27" t="s">
        <v>309</v>
      </c>
      <c r="F86" s="6" t="s">
        <v>372</v>
      </c>
      <c r="G86" s="6" t="s">
        <v>1951</v>
      </c>
      <c r="H86" s="6" t="s">
        <v>1717</v>
      </c>
      <c r="I86" s="6" t="s">
        <v>126</v>
      </c>
      <c r="J86" s="6" t="s">
        <v>2233</v>
      </c>
      <c r="K86" s="6" t="s">
        <v>127</v>
      </c>
      <c r="L86" s="6" t="s">
        <v>12</v>
      </c>
      <c r="M86" s="6" t="s">
        <v>127</v>
      </c>
      <c r="R86" s="6" t="s">
        <v>2194</v>
      </c>
    </row>
    <row r="87" spans="1:18" ht="14.25" customHeight="1" x14ac:dyDescent="0.35">
      <c r="A87" s="25" t="s">
        <v>1504</v>
      </c>
      <c r="B87" s="25" t="s">
        <v>1095</v>
      </c>
      <c r="C87" s="25" t="s">
        <v>1418</v>
      </c>
      <c r="D87" s="32" t="s">
        <v>1933</v>
      </c>
      <c r="E87" s="27" t="s">
        <v>309</v>
      </c>
      <c r="F87" s="6" t="s">
        <v>372</v>
      </c>
      <c r="G87" s="6" t="s">
        <v>2069</v>
      </c>
      <c r="H87" s="6" t="s">
        <v>1716</v>
      </c>
      <c r="I87" s="6" t="s">
        <v>2304</v>
      </c>
      <c r="J87" s="6" t="s">
        <v>2234</v>
      </c>
      <c r="K87" s="6" t="s">
        <v>1349</v>
      </c>
      <c r="L87" s="6" t="s">
        <v>38</v>
      </c>
      <c r="M87" s="6" t="s">
        <v>1349</v>
      </c>
      <c r="R87" s="6" t="s">
        <v>2194</v>
      </c>
    </row>
    <row r="88" spans="1:18" ht="14" customHeight="1" x14ac:dyDescent="0.35">
      <c r="A88" s="25" t="s">
        <v>1508</v>
      </c>
      <c r="B88" s="25" t="s">
        <v>1099</v>
      </c>
      <c r="C88" s="25" t="s">
        <v>131</v>
      </c>
      <c r="D88" s="32" t="s">
        <v>300</v>
      </c>
      <c r="E88" s="27" t="s">
        <v>309</v>
      </c>
      <c r="F88" s="6" t="s">
        <v>273</v>
      </c>
      <c r="G88" s="6" t="s">
        <v>580</v>
      </c>
      <c r="H88" s="6" t="s">
        <v>1751</v>
      </c>
      <c r="I88" s="6" t="s">
        <v>2134</v>
      </c>
      <c r="J88" s="6" t="s">
        <v>2235</v>
      </c>
      <c r="K88" s="6" t="s">
        <v>132</v>
      </c>
      <c r="L88" s="6" t="s">
        <v>8</v>
      </c>
      <c r="M88" s="6" t="s">
        <v>132</v>
      </c>
      <c r="R88" s="6" t="s">
        <v>2195</v>
      </c>
    </row>
    <row r="89" spans="1:18" ht="14.25" customHeight="1" x14ac:dyDescent="0.35">
      <c r="A89" s="25" t="s">
        <v>1511</v>
      </c>
      <c r="B89" s="25" t="s">
        <v>1102</v>
      </c>
      <c r="C89" s="25" t="s">
        <v>135</v>
      </c>
      <c r="D89" s="32" t="s">
        <v>364</v>
      </c>
      <c r="E89" s="27" t="s">
        <v>286</v>
      </c>
      <c r="F89" s="6" t="s">
        <v>372</v>
      </c>
      <c r="G89" s="6" t="s">
        <v>523</v>
      </c>
      <c r="H89" s="6" t="s">
        <v>1718</v>
      </c>
      <c r="I89" s="6" t="s">
        <v>1295</v>
      </c>
      <c r="J89" s="6" t="s">
        <v>2235</v>
      </c>
      <c r="K89" s="6" t="s">
        <v>1719</v>
      </c>
      <c r="L89" s="6" t="s">
        <v>15</v>
      </c>
      <c r="M89" s="6" t="s">
        <v>1600</v>
      </c>
      <c r="N89" s="6" t="s">
        <v>12</v>
      </c>
      <c r="O89" s="6" t="s">
        <v>1296</v>
      </c>
      <c r="R89" s="6" t="s">
        <v>2196</v>
      </c>
    </row>
    <row r="90" spans="1:18" ht="14.25" customHeight="1" x14ac:dyDescent="0.35">
      <c r="A90" s="27" t="s">
        <v>1509</v>
      </c>
      <c r="B90" s="27" t="s">
        <v>1100</v>
      </c>
      <c r="C90" s="27" t="s">
        <v>133</v>
      </c>
      <c r="D90" s="47" t="s">
        <v>364</v>
      </c>
      <c r="E90" s="27" t="s">
        <v>286</v>
      </c>
      <c r="F90" s="6" t="s">
        <v>273</v>
      </c>
      <c r="G90" s="6" t="s">
        <v>519</v>
      </c>
      <c r="H90" s="6" t="s">
        <v>1715</v>
      </c>
      <c r="I90" s="6" t="s">
        <v>1257</v>
      </c>
      <c r="J90" s="6" t="s">
        <v>2233</v>
      </c>
      <c r="K90" s="6" t="s">
        <v>1257</v>
      </c>
      <c r="L90" s="6" t="s">
        <v>8</v>
      </c>
      <c r="M90" s="6" t="s">
        <v>1590</v>
      </c>
      <c r="R90" s="6" t="s">
        <v>2197</v>
      </c>
    </row>
    <row r="91" spans="1:18" ht="14.25" customHeight="1" x14ac:dyDescent="0.35">
      <c r="A91" s="25" t="s">
        <v>1512</v>
      </c>
      <c r="B91" s="25" t="s">
        <v>1103</v>
      </c>
      <c r="C91" s="25" t="s">
        <v>136</v>
      </c>
      <c r="D91" s="32" t="s">
        <v>364</v>
      </c>
      <c r="E91" s="27" t="s">
        <v>286</v>
      </c>
      <c r="F91" s="6" t="s">
        <v>1200</v>
      </c>
      <c r="G91" s="6" t="s">
        <v>866</v>
      </c>
      <c r="H91" s="6" t="s">
        <v>1723</v>
      </c>
      <c r="I91" s="6" t="s">
        <v>1283</v>
      </c>
      <c r="J91" s="6" t="s">
        <v>2233</v>
      </c>
      <c r="K91" s="6" t="s">
        <v>1284</v>
      </c>
      <c r="L91" s="6" t="s">
        <v>15</v>
      </c>
      <c r="M91" s="6" t="s">
        <v>1284</v>
      </c>
      <c r="R91" s="6" t="s">
        <v>2162</v>
      </c>
    </row>
    <row r="92" spans="1:18" ht="14.25" customHeight="1" x14ac:dyDescent="0.35">
      <c r="A92" s="25" t="s">
        <v>1513</v>
      </c>
      <c r="B92" s="25" t="s">
        <v>1036</v>
      </c>
      <c r="C92" s="25" t="s">
        <v>137</v>
      </c>
      <c r="D92" s="32" t="s">
        <v>364</v>
      </c>
      <c r="E92" s="27" t="s">
        <v>286</v>
      </c>
      <c r="F92" s="6" t="s">
        <v>372</v>
      </c>
      <c r="G92" s="6" t="s">
        <v>1968</v>
      </c>
      <c r="H92" s="6" t="s">
        <v>1725</v>
      </c>
      <c r="I92" s="6" t="s">
        <v>1726</v>
      </c>
      <c r="J92" s="6" t="s">
        <v>2235</v>
      </c>
      <c r="K92" s="6" t="s">
        <v>1727</v>
      </c>
      <c r="L92" s="6" t="s">
        <v>15</v>
      </c>
      <c r="M92" s="6" t="s">
        <v>1727</v>
      </c>
      <c r="R92" s="6" t="s">
        <v>2196</v>
      </c>
    </row>
    <row r="93" spans="1:18" ht="14.25" customHeight="1" x14ac:dyDescent="0.35">
      <c r="A93" s="25" t="s">
        <v>1510</v>
      </c>
      <c r="B93" s="25" t="s">
        <v>1101</v>
      </c>
      <c r="C93" s="25" t="s">
        <v>134</v>
      </c>
      <c r="D93" s="32" t="s">
        <v>364</v>
      </c>
      <c r="E93" s="27" t="s">
        <v>286</v>
      </c>
      <c r="F93" s="6" t="s">
        <v>273</v>
      </c>
      <c r="G93" s="6" t="s">
        <v>837</v>
      </c>
      <c r="H93" s="6" t="s">
        <v>1732</v>
      </c>
      <c r="I93" s="6" t="s">
        <v>2225</v>
      </c>
      <c r="J93" s="6" t="s">
        <v>1204</v>
      </c>
      <c r="K93" s="6" t="s">
        <v>1364</v>
      </c>
      <c r="L93" s="6" t="s">
        <v>15</v>
      </c>
      <c r="M93" s="6" t="s">
        <v>1364</v>
      </c>
      <c r="R93" s="6" t="s">
        <v>2197</v>
      </c>
    </row>
    <row r="94" spans="1:18" ht="14.25" customHeight="1" x14ac:dyDescent="0.35">
      <c r="A94" s="27" t="s">
        <v>1519</v>
      </c>
      <c r="B94" s="27" t="s">
        <v>1109</v>
      </c>
      <c r="C94" s="27" t="s">
        <v>149</v>
      </c>
      <c r="D94" s="47" t="s">
        <v>141</v>
      </c>
      <c r="E94" s="27" t="s">
        <v>286</v>
      </c>
      <c r="F94" s="6" t="s">
        <v>372</v>
      </c>
      <c r="G94" s="6" t="s">
        <v>587</v>
      </c>
      <c r="H94" s="6" t="s">
        <v>1650</v>
      </c>
      <c r="I94" s="6" t="s">
        <v>150</v>
      </c>
      <c r="J94" s="6" t="s">
        <v>2233</v>
      </c>
      <c r="K94" s="6" t="s">
        <v>150</v>
      </c>
      <c r="L94" s="6" t="s">
        <v>1200</v>
      </c>
      <c r="M94" s="6" t="s">
        <v>1634</v>
      </c>
      <c r="R94" s="6" t="s">
        <v>2187</v>
      </c>
    </row>
    <row r="95" spans="1:18" ht="14.25" customHeight="1" x14ac:dyDescent="0.35">
      <c r="A95" s="133" t="s">
        <v>1529</v>
      </c>
      <c r="B95" s="25" t="s">
        <v>1118</v>
      </c>
      <c r="C95" s="25" t="s">
        <v>1588</v>
      </c>
      <c r="D95" s="32" t="s">
        <v>141</v>
      </c>
      <c r="E95" s="27" t="s">
        <v>286</v>
      </c>
      <c r="F95" s="6" t="s">
        <v>372</v>
      </c>
      <c r="G95" s="6" t="s">
        <v>2070</v>
      </c>
      <c r="H95" s="6" t="s">
        <v>1722</v>
      </c>
      <c r="I95" s="6" t="s">
        <v>1013</v>
      </c>
      <c r="J95" s="6" t="s">
        <v>2233</v>
      </c>
      <c r="K95" s="6" t="s">
        <v>163</v>
      </c>
      <c r="L95" s="6" t="s">
        <v>8</v>
      </c>
      <c r="M95" s="6" t="s">
        <v>163</v>
      </c>
      <c r="R95" s="6" t="s">
        <v>2187</v>
      </c>
    </row>
    <row r="96" spans="1:18" ht="14.25" customHeight="1" x14ac:dyDescent="0.35">
      <c r="A96" s="25" t="s">
        <v>1527</v>
      </c>
      <c r="B96" s="25" t="s">
        <v>1116</v>
      </c>
      <c r="C96" s="25" t="s">
        <v>160</v>
      </c>
      <c r="D96" s="32" t="s">
        <v>141</v>
      </c>
      <c r="E96" s="27" t="s">
        <v>286</v>
      </c>
      <c r="F96" s="6" t="s">
        <v>372</v>
      </c>
      <c r="G96" s="6" t="s">
        <v>1984</v>
      </c>
      <c r="H96" s="6" t="s">
        <v>1252</v>
      </c>
      <c r="I96" s="6" t="s">
        <v>955</v>
      </c>
      <c r="J96" s="6" t="s">
        <v>2233</v>
      </c>
      <c r="K96" s="6" t="s">
        <v>1253</v>
      </c>
      <c r="L96" s="6" t="s">
        <v>38</v>
      </c>
      <c r="M96" s="6" t="s">
        <v>1253</v>
      </c>
      <c r="R96" s="6" t="s">
        <v>2187</v>
      </c>
    </row>
    <row r="97" spans="1:18" ht="14.25" customHeight="1" x14ac:dyDescent="0.35">
      <c r="A97" s="25" t="s">
        <v>1520</v>
      </c>
      <c r="B97" s="25" t="s">
        <v>1110</v>
      </c>
      <c r="C97" s="25" t="s">
        <v>151</v>
      </c>
      <c r="D97" s="32" t="s">
        <v>141</v>
      </c>
      <c r="E97" s="27" t="s">
        <v>286</v>
      </c>
      <c r="F97" s="6" t="s">
        <v>372</v>
      </c>
      <c r="G97" s="6" t="s">
        <v>808</v>
      </c>
      <c r="H97" s="6" t="s">
        <v>1384</v>
      </c>
      <c r="I97" s="6" t="s">
        <v>152</v>
      </c>
      <c r="J97" s="6" t="s">
        <v>2233</v>
      </c>
      <c r="K97" s="6" t="s">
        <v>1758</v>
      </c>
      <c r="L97" s="6" t="s">
        <v>15</v>
      </c>
      <c r="M97" s="6" t="s">
        <v>1758</v>
      </c>
      <c r="R97" s="6" t="s">
        <v>2187</v>
      </c>
    </row>
    <row r="98" spans="1:18" ht="14.25" customHeight="1" x14ac:dyDescent="0.35">
      <c r="A98" s="133" t="s">
        <v>1525</v>
      </c>
      <c r="B98" s="25" t="s">
        <v>1110</v>
      </c>
      <c r="C98" s="25" t="s">
        <v>158</v>
      </c>
      <c r="D98" s="32" t="s">
        <v>141</v>
      </c>
      <c r="E98" s="27" t="s">
        <v>286</v>
      </c>
      <c r="F98" s="6" t="s">
        <v>372</v>
      </c>
      <c r="G98" s="6" t="s">
        <v>808</v>
      </c>
      <c r="H98" s="6" t="s">
        <v>1664</v>
      </c>
      <c r="I98" s="6" t="s">
        <v>953</v>
      </c>
      <c r="J98" s="6" t="s">
        <v>2233</v>
      </c>
      <c r="K98" s="6" t="s">
        <v>1400</v>
      </c>
      <c r="L98" s="6" t="s">
        <v>15</v>
      </c>
      <c r="M98" s="6" t="s">
        <v>1400</v>
      </c>
      <c r="R98" s="6" t="s">
        <v>2187</v>
      </c>
    </row>
    <row r="99" spans="1:18" ht="14.25" customHeight="1" x14ac:dyDescent="0.35">
      <c r="A99" s="25" t="s">
        <v>1515</v>
      </c>
      <c r="B99" s="25" t="s">
        <v>1105</v>
      </c>
      <c r="C99" s="25" t="s">
        <v>140</v>
      </c>
      <c r="D99" s="32" t="s">
        <v>141</v>
      </c>
      <c r="E99" s="27" t="s">
        <v>286</v>
      </c>
      <c r="F99" s="6" t="s">
        <v>372</v>
      </c>
      <c r="G99" s="6" t="s">
        <v>1989</v>
      </c>
      <c r="H99" s="6" t="s">
        <v>142</v>
      </c>
      <c r="I99" s="6" t="s">
        <v>143</v>
      </c>
      <c r="J99" s="6" t="s">
        <v>2233</v>
      </c>
      <c r="K99" s="6" t="s">
        <v>143</v>
      </c>
      <c r="L99" s="6" t="s">
        <v>15</v>
      </c>
      <c r="M99" s="6" t="s">
        <v>143</v>
      </c>
      <c r="R99" s="6" t="s">
        <v>2187</v>
      </c>
    </row>
    <row r="100" spans="1:18" ht="14.25" customHeight="1" x14ac:dyDescent="0.35">
      <c r="A100" s="25" t="s">
        <v>1526</v>
      </c>
      <c r="B100" s="25" t="s">
        <v>1115</v>
      </c>
      <c r="C100" s="25" t="s">
        <v>159</v>
      </c>
      <c r="D100" s="32" t="s">
        <v>141</v>
      </c>
      <c r="E100" s="27" t="s">
        <v>286</v>
      </c>
      <c r="F100" s="6" t="s">
        <v>372</v>
      </c>
      <c r="G100" s="6" t="s">
        <v>454</v>
      </c>
      <c r="H100" s="6" t="s">
        <v>1665</v>
      </c>
      <c r="I100" s="6" t="s">
        <v>954</v>
      </c>
      <c r="J100" s="6" t="s">
        <v>2233</v>
      </c>
      <c r="K100" s="6" t="s">
        <v>1355</v>
      </c>
      <c r="L100" s="6" t="s">
        <v>15</v>
      </c>
      <c r="M100" s="6" t="s">
        <v>1355</v>
      </c>
      <c r="R100" s="6" t="s">
        <v>2187</v>
      </c>
    </row>
    <row r="101" spans="1:18" ht="14.25" customHeight="1" x14ac:dyDescent="0.35">
      <c r="A101" s="25" t="s">
        <v>1517</v>
      </c>
      <c r="B101" s="25" t="s">
        <v>1107</v>
      </c>
      <c r="C101" s="25" t="s">
        <v>146</v>
      </c>
      <c r="D101" s="32" t="s">
        <v>141</v>
      </c>
      <c r="E101" s="27" t="s">
        <v>286</v>
      </c>
      <c r="F101" s="6" t="s">
        <v>372</v>
      </c>
      <c r="G101" s="6" t="s">
        <v>582</v>
      </c>
      <c r="H101" s="6" t="s">
        <v>1906</v>
      </c>
      <c r="I101" s="6" t="s">
        <v>951</v>
      </c>
      <c r="J101" s="6" t="s">
        <v>2233</v>
      </c>
      <c r="K101" s="6" t="s">
        <v>1394</v>
      </c>
      <c r="L101" s="6" t="s">
        <v>15</v>
      </c>
      <c r="M101" s="6" t="s">
        <v>1394</v>
      </c>
      <c r="R101" s="6" t="s">
        <v>2187</v>
      </c>
    </row>
    <row r="102" spans="1:18" ht="14.25" customHeight="1" x14ac:dyDescent="0.35">
      <c r="A102" s="25" t="s">
        <v>1522</v>
      </c>
      <c r="B102" s="25" t="s">
        <v>1112</v>
      </c>
      <c r="C102" s="25" t="s">
        <v>154</v>
      </c>
      <c r="D102" s="32" t="s">
        <v>141</v>
      </c>
      <c r="E102" s="27" t="s">
        <v>286</v>
      </c>
      <c r="F102" s="6" t="s">
        <v>372</v>
      </c>
      <c r="G102" s="6" t="s">
        <v>1969</v>
      </c>
      <c r="H102" s="6" t="s">
        <v>1271</v>
      </c>
      <c r="I102" s="6" t="s">
        <v>1272</v>
      </c>
      <c r="J102" s="6" t="s">
        <v>2233</v>
      </c>
      <c r="K102" s="6" t="s">
        <v>1272</v>
      </c>
      <c r="L102" s="6" t="s">
        <v>38</v>
      </c>
      <c r="M102" s="6" t="s">
        <v>1272</v>
      </c>
      <c r="R102" s="6" t="s">
        <v>2187</v>
      </c>
    </row>
    <row r="103" spans="1:18" ht="14.25" customHeight="1" x14ac:dyDescent="0.35">
      <c r="A103" s="25" t="s">
        <v>1524</v>
      </c>
      <c r="B103" s="25" t="s">
        <v>1114</v>
      </c>
      <c r="C103" s="25" t="s">
        <v>156</v>
      </c>
      <c r="D103" s="32" t="s">
        <v>141</v>
      </c>
      <c r="E103" s="27" t="s">
        <v>286</v>
      </c>
      <c r="F103" s="6" t="s">
        <v>372</v>
      </c>
      <c r="G103" s="6" t="s">
        <v>599</v>
      </c>
      <c r="H103" s="6" t="s">
        <v>1667</v>
      </c>
      <c r="I103" s="6" t="s">
        <v>1011</v>
      </c>
      <c r="J103" s="6" t="s">
        <v>2233</v>
      </c>
      <c r="K103" s="6" t="s">
        <v>157</v>
      </c>
      <c r="L103" s="6" t="s">
        <v>1200</v>
      </c>
      <c r="M103" s="6" t="s">
        <v>157</v>
      </c>
      <c r="R103" s="6" t="s">
        <v>2187</v>
      </c>
    </row>
    <row r="104" spans="1:18" ht="14.25" customHeight="1" x14ac:dyDescent="0.35">
      <c r="A104" s="25" t="s">
        <v>1514</v>
      </c>
      <c r="B104" s="25" t="s">
        <v>1104</v>
      </c>
      <c r="C104" s="25" t="s">
        <v>138</v>
      </c>
      <c r="D104" s="32" t="s">
        <v>141</v>
      </c>
      <c r="E104" s="27" t="s">
        <v>286</v>
      </c>
      <c r="F104" s="6" t="s">
        <v>372</v>
      </c>
      <c r="G104" s="6" t="s">
        <v>549</v>
      </c>
      <c r="H104" s="6" t="s">
        <v>1671</v>
      </c>
      <c r="I104" s="6" t="s">
        <v>950</v>
      </c>
      <c r="J104" s="6" t="s">
        <v>2233</v>
      </c>
      <c r="K104" s="6" t="s">
        <v>139</v>
      </c>
      <c r="L104" s="6" t="s">
        <v>15</v>
      </c>
      <c r="M104" s="6" t="s">
        <v>139</v>
      </c>
      <c r="R104" s="6" t="s">
        <v>2187</v>
      </c>
    </row>
    <row r="105" spans="1:18" ht="14.25" customHeight="1" x14ac:dyDescent="0.35">
      <c r="A105" s="27" t="s">
        <v>1521</v>
      </c>
      <c r="B105" s="27" t="s">
        <v>1111</v>
      </c>
      <c r="C105" s="27" t="s">
        <v>153</v>
      </c>
      <c r="D105" s="47" t="s">
        <v>141</v>
      </c>
      <c r="E105" s="27" t="s">
        <v>286</v>
      </c>
      <c r="F105" s="6" t="s">
        <v>372</v>
      </c>
      <c r="G105" s="6" t="s">
        <v>808</v>
      </c>
      <c r="H105" s="6" t="s">
        <v>2113</v>
      </c>
      <c r="I105" s="6" t="s">
        <v>952</v>
      </c>
      <c r="J105" s="6" t="s">
        <v>2233</v>
      </c>
      <c r="K105" s="6" t="s">
        <v>1404</v>
      </c>
      <c r="L105" s="6" t="s">
        <v>15</v>
      </c>
      <c r="M105" s="6" t="s">
        <v>1220</v>
      </c>
      <c r="N105" s="6" t="s">
        <v>49</v>
      </c>
      <c r="O105" s="6" t="s">
        <v>2114</v>
      </c>
      <c r="R105" s="6" t="s">
        <v>2187</v>
      </c>
    </row>
    <row r="106" spans="1:18" ht="14.25" customHeight="1" x14ac:dyDescent="0.35">
      <c r="A106" s="27" t="s">
        <v>1516</v>
      </c>
      <c r="B106" s="27" t="s">
        <v>1106</v>
      </c>
      <c r="C106" s="27" t="s">
        <v>144</v>
      </c>
      <c r="D106" s="47" t="s">
        <v>141</v>
      </c>
      <c r="E106" s="27" t="s">
        <v>286</v>
      </c>
      <c r="F106" s="6" t="s">
        <v>372</v>
      </c>
      <c r="G106" s="6" t="s">
        <v>2071</v>
      </c>
      <c r="H106" s="6" t="s">
        <v>1724</v>
      </c>
      <c r="I106" s="6" t="s">
        <v>1009</v>
      </c>
      <c r="J106" s="6" t="s">
        <v>2233</v>
      </c>
      <c r="K106" s="6" t="s">
        <v>145</v>
      </c>
      <c r="L106" s="6" t="s">
        <v>15</v>
      </c>
      <c r="M106" s="6" t="s">
        <v>145</v>
      </c>
      <c r="R106" s="6" t="s">
        <v>2187</v>
      </c>
    </row>
    <row r="107" spans="1:18" ht="14.25" customHeight="1" x14ac:dyDescent="0.35">
      <c r="A107" s="25" t="s">
        <v>1523</v>
      </c>
      <c r="B107" s="25" t="s">
        <v>1113</v>
      </c>
      <c r="C107" s="25" t="s">
        <v>155</v>
      </c>
      <c r="D107" s="32" t="s">
        <v>141</v>
      </c>
      <c r="E107" s="27" t="s">
        <v>286</v>
      </c>
      <c r="F107" s="6" t="s">
        <v>372</v>
      </c>
      <c r="G107" s="6" t="s">
        <v>602</v>
      </c>
      <c r="H107" s="6" t="s">
        <v>1709</v>
      </c>
      <c r="I107" s="6" t="s">
        <v>1387</v>
      </c>
      <c r="J107" s="6" t="s">
        <v>2235</v>
      </c>
      <c r="K107" s="6" t="s">
        <v>1388</v>
      </c>
      <c r="L107" s="6" t="s">
        <v>1200</v>
      </c>
      <c r="M107" s="6" t="s">
        <v>1388</v>
      </c>
      <c r="R107" s="6" t="s">
        <v>2187</v>
      </c>
    </row>
    <row r="108" spans="1:18" ht="14.25" customHeight="1" x14ac:dyDescent="0.35">
      <c r="A108" s="25" t="s">
        <v>1528</v>
      </c>
      <c r="B108" s="25" t="s">
        <v>1117</v>
      </c>
      <c r="C108" s="25" t="s">
        <v>161</v>
      </c>
      <c r="D108" s="32" t="s">
        <v>141</v>
      </c>
      <c r="E108" s="27" t="s">
        <v>286</v>
      </c>
      <c r="F108" s="6" t="s">
        <v>372</v>
      </c>
      <c r="G108" s="6" t="s">
        <v>1970</v>
      </c>
      <c r="H108" s="6" t="s">
        <v>1324</v>
      </c>
      <c r="I108" s="6" t="s">
        <v>1325</v>
      </c>
      <c r="J108" s="6" t="s">
        <v>2234</v>
      </c>
      <c r="K108" s="6" t="s">
        <v>162</v>
      </c>
      <c r="L108" s="6" t="s">
        <v>15</v>
      </c>
      <c r="M108" s="6" t="s">
        <v>162</v>
      </c>
      <c r="R108" s="6" t="s">
        <v>2187</v>
      </c>
    </row>
    <row r="109" spans="1:18" ht="14.25" customHeight="1" x14ac:dyDescent="0.35">
      <c r="A109" s="25" t="s">
        <v>1530</v>
      </c>
      <c r="B109" s="25" t="s">
        <v>1119</v>
      </c>
      <c r="C109" s="25" t="s">
        <v>164</v>
      </c>
      <c r="D109" s="32" t="s">
        <v>411</v>
      </c>
      <c r="E109" s="27" t="s">
        <v>286</v>
      </c>
      <c r="F109" s="6" t="s">
        <v>405</v>
      </c>
      <c r="G109" s="6" t="s">
        <v>497</v>
      </c>
      <c r="H109" s="6" t="s">
        <v>1675</v>
      </c>
      <c r="I109" s="6" t="s">
        <v>1356</v>
      </c>
      <c r="J109" s="6" t="s">
        <v>2233</v>
      </c>
      <c r="K109" s="6" t="s">
        <v>1280</v>
      </c>
      <c r="L109" s="6" t="s">
        <v>15</v>
      </c>
      <c r="M109" s="6" t="s">
        <v>1280</v>
      </c>
      <c r="R109" s="6" t="s">
        <v>2198</v>
      </c>
    </row>
    <row r="110" spans="1:18" ht="14.25" customHeight="1" x14ac:dyDescent="0.35">
      <c r="A110" s="25" t="s">
        <v>1535</v>
      </c>
      <c r="B110" s="25" t="s">
        <v>1123</v>
      </c>
      <c r="C110" s="25" t="s">
        <v>168</v>
      </c>
      <c r="D110" s="32" t="s">
        <v>411</v>
      </c>
      <c r="E110" s="27" t="s">
        <v>286</v>
      </c>
      <c r="F110" s="6" t="s">
        <v>405</v>
      </c>
      <c r="G110" s="6" t="s">
        <v>1971</v>
      </c>
      <c r="H110" s="6" t="s">
        <v>1909</v>
      </c>
      <c r="I110" s="6" t="s">
        <v>1237</v>
      </c>
      <c r="J110" s="6" t="s">
        <v>2233</v>
      </c>
      <c r="K110" s="6" t="s">
        <v>1368</v>
      </c>
      <c r="L110" s="6" t="s">
        <v>38</v>
      </c>
      <c r="M110" s="6" t="s">
        <v>1368</v>
      </c>
      <c r="R110" s="6" t="s">
        <v>2198</v>
      </c>
    </row>
    <row r="111" spans="1:18" ht="14.25" customHeight="1" x14ac:dyDescent="0.35">
      <c r="A111" s="25" t="s">
        <v>1536</v>
      </c>
      <c r="B111" s="25" t="s">
        <v>1124</v>
      </c>
      <c r="C111" s="25" t="s">
        <v>169</v>
      </c>
      <c r="D111" s="32" t="s">
        <v>411</v>
      </c>
      <c r="E111" s="27" t="s">
        <v>286</v>
      </c>
      <c r="F111" s="6" t="s">
        <v>405</v>
      </c>
      <c r="G111" s="6" t="s">
        <v>1972</v>
      </c>
      <c r="H111" s="6" t="s">
        <v>1903</v>
      </c>
      <c r="I111" s="6" t="s">
        <v>1238</v>
      </c>
      <c r="J111" s="6" t="s">
        <v>2233</v>
      </c>
      <c r="K111" s="6" t="s">
        <v>170</v>
      </c>
      <c r="L111" s="6" t="s">
        <v>38</v>
      </c>
      <c r="M111" s="6" t="s">
        <v>170</v>
      </c>
      <c r="R111" s="6" t="s">
        <v>2198</v>
      </c>
    </row>
    <row r="112" spans="1:18" ht="14.25" customHeight="1" x14ac:dyDescent="0.35">
      <c r="A112" s="25" t="s">
        <v>1531</v>
      </c>
      <c r="B112" s="25" t="s">
        <v>1120</v>
      </c>
      <c r="C112" s="25" t="s">
        <v>165</v>
      </c>
      <c r="D112" s="32" t="s">
        <v>411</v>
      </c>
      <c r="E112" s="27" t="s">
        <v>286</v>
      </c>
      <c r="F112" s="6" t="s">
        <v>405</v>
      </c>
      <c r="G112" s="6" t="s">
        <v>507</v>
      </c>
      <c r="H112" s="6" t="s">
        <v>1658</v>
      </c>
      <c r="I112" s="6" t="s">
        <v>1241</v>
      </c>
      <c r="J112" s="6" t="s">
        <v>2233</v>
      </c>
      <c r="K112" s="6" t="s">
        <v>1243</v>
      </c>
      <c r="L112" s="6" t="s">
        <v>38</v>
      </c>
      <c r="M112" s="6" t="s">
        <v>1242</v>
      </c>
      <c r="N112" s="6" t="s">
        <v>1201</v>
      </c>
      <c r="O112" s="6" t="s">
        <v>2135</v>
      </c>
      <c r="R112" s="6" t="s">
        <v>2198</v>
      </c>
    </row>
    <row r="113" spans="1:18" ht="14.25" customHeight="1" x14ac:dyDescent="0.35">
      <c r="A113" s="25" t="s">
        <v>1534</v>
      </c>
      <c r="B113" s="25" t="s">
        <v>1122</v>
      </c>
      <c r="C113" s="25" t="s">
        <v>167</v>
      </c>
      <c r="D113" s="32" t="s">
        <v>411</v>
      </c>
      <c r="E113" s="27" t="s">
        <v>286</v>
      </c>
      <c r="F113" s="6" t="s">
        <v>405</v>
      </c>
      <c r="G113" s="6" t="s">
        <v>1973</v>
      </c>
      <c r="H113" s="6" t="s">
        <v>1668</v>
      </c>
      <c r="I113" s="6" t="s">
        <v>958</v>
      </c>
      <c r="J113" s="6" t="s">
        <v>2233</v>
      </c>
      <c r="K113" s="6" t="s">
        <v>1273</v>
      </c>
      <c r="L113" s="6" t="s">
        <v>15</v>
      </c>
      <c r="M113" s="6" t="s">
        <v>1273</v>
      </c>
      <c r="R113" s="6" t="s">
        <v>2198</v>
      </c>
    </row>
    <row r="114" spans="1:18" ht="14.25" customHeight="1" x14ac:dyDescent="0.35">
      <c r="A114" s="25" t="s">
        <v>1533</v>
      </c>
      <c r="B114" s="25" t="s">
        <v>1121</v>
      </c>
      <c r="C114" s="25" t="s">
        <v>1419</v>
      </c>
      <c r="D114" s="32" t="s">
        <v>411</v>
      </c>
      <c r="E114" s="27" t="s">
        <v>286</v>
      </c>
      <c r="F114" s="6" t="s">
        <v>405</v>
      </c>
      <c r="G114" s="6" t="s">
        <v>480</v>
      </c>
      <c r="H114" s="6" t="s">
        <v>1674</v>
      </c>
      <c r="I114" s="6" t="s">
        <v>957</v>
      </c>
      <c r="J114" s="6" t="s">
        <v>2233</v>
      </c>
      <c r="K114" s="6" t="s">
        <v>1279</v>
      </c>
      <c r="L114" s="6" t="s">
        <v>15</v>
      </c>
      <c r="M114" s="6" t="s">
        <v>1278</v>
      </c>
      <c r="R114" s="6" t="s">
        <v>2198</v>
      </c>
    </row>
    <row r="115" spans="1:18" ht="14.25" customHeight="1" x14ac:dyDescent="0.35">
      <c r="A115" s="25" t="s">
        <v>1532</v>
      </c>
      <c r="B115" s="25" t="s">
        <v>1047</v>
      </c>
      <c r="C115" s="25" t="s">
        <v>166</v>
      </c>
      <c r="D115" s="32" t="s">
        <v>411</v>
      </c>
      <c r="E115" s="27" t="s">
        <v>286</v>
      </c>
      <c r="F115" s="6" t="s">
        <v>405</v>
      </c>
      <c r="G115" s="6" t="s">
        <v>863</v>
      </c>
      <c r="H115" s="6" t="s">
        <v>1927</v>
      </c>
      <c r="I115" s="6" t="s">
        <v>1332</v>
      </c>
      <c r="J115" s="6" t="s">
        <v>2236</v>
      </c>
      <c r="K115" s="6" t="s">
        <v>1333</v>
      </c>
      <c r="L115" s="6" t="s">
        <v>1201</v>
      </c>
      <c r="M115" s="6" t="s">
        <v>1333</v>
      </c>
      <c r="R115" s="6" t="s">
        <v>2198</v>
      </c>
    </row>
    <row r="116" spans="1:18" ht="14.25" customHeight="1" x14ac:dyDescent="0.35">
      <c r="A116" s="25" t="s">
        <v>1541</v>
      </c>
      <c r="B116" s="25" t="s">
        <v>1129</v>
      </c>
      <c r="C116" s="25" t="s">
        <v>175</v>
      </c>
      <c r="D116" s="32" t="s">
        <v>414</v>
      </c>
      <c r="E116" s="27" t="s">
        <v>286</v>
      </c>
      <c r="F116" s="6" t="s">
        <v>341</v>
      </c>
      <c r="G116" s="6" t="s">
        <v>774</v>
      </c>
      <c r="H116" s="6" t="s">
        <v>1648</v>
      </c>
      <c r="I116" s="6" t="s">
        <v>1016</v>
      </c>
      <c r="J116" s="6" t="s">
        <v>1205</v>
      </c>
      <c r="K116" s="6" t="s">
        <v>1625</v>
      </c>
      <c r="L116" s="6" t="s">
        <v>15</v>
      </c>
      <c r="M116" s="6" t="s">
        <v>1625</v>
      </c>
      <c r="N116" s="6" t="s">
        <v>1201</v>
      </c>
      <c r="O116" s="6" t="s">
        <v>1624</v>
      </c>
      <c r="R116" s="6" t="s">
        <v>2199</v>
      </c>
    </row>
    <row r="117" spans="1:18" ht="14.25" customHeight="1" x14ac:dyDescent="0.35">
      <c r="A117" s="25" t="s">
        <v>1538</v>
      </c>
      <c r="B117" s="25" t="s">
        <v>1126</v>
      </c>
      <c r="C117" s="25" t="s">
        <v>172</v>
      </c>
      <c r="D117" s="32" t="s">
        <v>414</v>
      </c>
      <c r="E117" s="27" t="s">
        <v>286</v>
      </c>
      <c r="F117" s="6" t="s">
        <v>341</v>
      </c>
      <c r="G117" s="6" t="s">
        <v>859</v>
      </c>
      <c r="H117" s="6" t="s">
        <v>1649</v>
      </c>
      <c r="I117" s="6" t="s">
        <v>1918</v>
      </c>
      <c r="J117" s="6" t="s">
        <v>2233</v>
      </c>
      <c r="K117" s="6" t="s">
        <v>1270</v>
      </c>
      <c r="L117" s="6" t="s">
        <v>1201</v>
      </c>
      <c r="M117" s="6" t="s">
        <v>1632</v>
      </c>
      <c r="N117" s="6" t="s">
        <v>15</v>
      </c>
      <c r="O117" s="6" t="s">
        <v>1633</v>
      </c>
      <c r="R117" s="6" t="s">
        <v>2199</v>
      </c>
    </row>
    <row r="118" spans="1:18" ht="14.25" customHeight="1" x14ac:dyDescent="0.35">
      <c r="A118" s="25" t="s">
        <v>1539</v>
      </c>
      <c r="B118" s="25" t="s">
        <v>1127</v>
      </c>
      <c r="C118" s="25" t="s">
        <v>173</v>
      </c>
      <c r="D118" s="32" t="s">
        <v>414</v>
      </c>
      <c r="E118" s="27" t="s">
        <v>286</v>
      </c>
      <c r="F118" s="6" t="s">
        <v>341</v>
      </c>
      <c r="G118" s="6" t="s">
        <v>527</v>
      </c>
      <c r="H118" s="6" t="s">
        <v>1651</v>
      </c>
      <c r="I118" s="6" t="s">
        <v>1395</v>
      </c>
      <c r="J118" s="6" t="s">
        <v>2233</v>
      </c>
      <c r="K118" s="6" t="s">
        <v>1396</v>
      </c>
      <c r="L118" s="6" t="s">
        <v>15</v>
      </c>
      <c r="M118" s="6" t="s">
        <v>1395</v>
      </c>
      <c r="N118" s="6" t="s">
        <v>1201</v>
      </c>
      <c r="O118" s="6" t="s">
        <v>1635</v>
      </c>
      <c r="R118" s="6" t="s">
        <v>2199</v>
      </c>
    </row>
    <row r="119" spans="1:18" ht="14.25" customHeight="1" x14ac:dyDescent="0.35">
      <c r="A119" s="25" t="s">
        <v>1542</v>
      </c>
      <c r="B119" s="25" t="s">
        <v>1130</v>
      </c>
      <c r="C119" s="25" t="s">
        <v>176</v>
      </c>
      <c r="D119" s="32" t="s">
        <v>414</v>
      </c>
      <c r="E119" s="27" t="s">
        <v>286</v>
      </c>
      <c r="F119" s="6" t="s">
        <v>341</v>
      </c>
      <c r="G119" s="6" t="s">
        <v>774</v>
      </c>
      <c r="H119" s="6" t="s">
        <v>1908</v>
      </c>
      <c r="I119" s="6" t="s">
        <v>177</v>
      </c>
      <c r="J119" s="6" t="s">
        <v>2233</v>
      </c>
      <c r="K119" s="6" t="s">
        <v>177</v>
      </c>
      <c r="L119" s="6" t="s">
        <v>38</v>
      </c>
      <c r="M119" s="6" t="s">
        <v>1905</v>
      </c>
      <c r="R119" s="6" t="s">
        <v>2199</v>
      </c>
    </row>
    <row r="120" spans="1:18" ht="14.25" customHeight="1" x14ac:dyDescent="0.35">
      <c r="A120" s="27" t="s">
        <v>1543</v>
      </c>
      <c r="B120" s="27" t="s">
        <v>1131</v>
      </c>
      <c r="C120" s="27" t="s">
        <v>178</v>
      </c>
      <c r="D120" s="47" t="s">
        <v>414</v>
      </c>
      <c r="E120" s="27" t="s">
        <v>286</v>
      </c>
      <c r="F120" s="6" t="s">
        <v>341</v>
      </c>
      <c r="G120" s="6" t="s">
        <v>863</v>
      </c>
      <c r="H120" s="6" t="s">
        <v>179</v>
      </c>
      <c r="I120" s="6" t="s">
        <v>1017</v>
      </c>
      <c r="J120" s="6" t="s">
        <v>2235</v>
      </c>
      <c r="K120" s="6" t="s">
        <v>180</v>
      </c>
      <c r="L120" s="6" t="s">
        <v>1201</v>
      </c>
      <c r="M120" s="6" t="s">
        <v>180</v>
      </c>
      <c r="R120" s="6" t="s">
        <v>2199</v>
      </c>
    </row>
    <row r="121" spans="1:18" ht="14.25" customHeight="1" x14ac:dyDescent="0.35">
      <c r="A121" s="25" t="s">
        <v>1537</v>
      </c>
      <c r="B121" s="25" t="s">
        <v>1125</v>
      </c>
      <c r="C121" s="25" t="s">
        <v>1421</v>
      </c>
      <c r="D121" s="32" t="s">
        <v>414</v>
      </c>
      <c r="E121" s="27" t="s">
        <v>286</v>
      </c>
      <c r="F121" s="6" t="s">
        <v>341</v>
      </c>
      <c r="G121" s="6" t="s">
        <v>702</v>
      </c>
      <c r="H121" s="6" t="s">
        <v>1733</v>
      </c>
      <c r="I121" s="6" t="s">
        <v>1015</v>
      </c>
      <c r="J121" s="6" t="s">
        <v>1205</v>
      </c>
      <c r="K121" s="6" t="s">
        <v>171</v>
      </c>
      <c r="L121" s="6" t="s">
        <v>15</v>
      </c>
      <c r="M121" s="6" t="s">
        <v>171</v>
      </c>
      <c r="R121" s="6" t="s">
        <v>2199</v>
      </c>
    </row>
    <row r="122" spans="1:18" ht="14.25" customHeight="1" x14ac:dyDescent="0.35">
      <c r="A122" s="25" t="s">
        <v>1540</v>
      </c>
      <c r="B122" s="25" t="s">
        <v>1128</v>
      </c>
      <c r="C122" s="25" t="s">
        <v>174</v>
      </c>
      <c r="D122" s="32" t="s">
        <v>414</v>
      </c>
      <c r="E122" s="27" t="s">
        <v>286</v>
      </c>
      <c r="F122" s="6" t="s">
        <v>405</v>
      </c>
      <c r="G122" s="6" t="s">
        <v>1975</v>
      </c>
      <c r="H122" s="6" t="s">
        <v>1913</v>
      </c>
      <c r="I122" s="6" t="s">
        <v>1343</v>
      </c>
      <c r="J122" s="6" t="s">
        <v>1205</v>
      </c>
      <c r="K122" s="6" t="s">
        <v>1734</v>
      </c>
      <c r="L122" s="6" t="s">
        <v>15</v>
      </c>
      <c r="M122" s="6" t="s">
        <v>1344</v>
      </c>
      <c r="R122" s="6" t="s">
        <v>2200</v>
      </c>
    </row>
    <row r="123" spans="1:18" ht="14.25" customHeight="1" x14ac:dyDescent="0.35">
      <c r="A123" s="25" t="s">
        <v>1544</v>
      </c>
      <c r="B123" s="25" t="s">
        <v>1132</v>
      </c>
      <c r="C123" s="25" t="s">
        <v>181</v>
      </c>
      <c r="D123" s="32" t="s">
        <v>1935</v>
      </c>
      <c r="E123" s="27" t="s">
        <v>309</v>
      </c>
      <c r="F123" s="6" t="s">
        <v>273</v>
      </c>
      <c r="G123" s="6" t="s">
        <v>2072</v>
      </c>
      <c r="H123" s="6" t="s">
        <v>1653</v>
      </c>
      <c r="I123" s="6" t="s">
        <v>1229</v>
      </c>
      <c r="J123" s="6" t="s">
        <v>1203</v>
      </c>
      <c r="K123" s="6" t="s">
        <v>1229</v>
      </c>
      <c r="L123" s="6" t="s">
        <v>41</v>
      </c>
      <c r="M123" s="6" t="s">
        <v>1229</v>
      </c>
      <c r="R123" s="6" t="s">
        <v>2201</v>
      </c>
    </row>
    <row r="124" spans="1:18" ht="14.25" customHeight="1" x14ac:dyDescent="0.35">
      <c r="A124" s="25" t="s">
        <v>1546</v>
      </c>
      <c r="B124" s="25" t="s">
        <v>1134</v>
      </c>
      <c r="C124" s="25" t="s">
        <v>184</v>
      </c>
      <c r="D124" s="32" t="s">
        <v>1935</v>
      </c>
      <c r="E124" s="27" t="s">
        <v>309</v>
      </c>
      <c r="F124" s="6" t="s">
        <v>273</v>
      </c>
      <c r="G124" s="6" t="s">
        <v>627</v>
      </c>
      <c r="H124" s="6" t="s">
        <v>1902</v>
      </c>
      <c r="I124" s="6" t="s">
        <v>960</v>
      </c>
      <c r="J124" s="6" t="s">
        <v>2233</v>
      </c>
      <c r="K124" s="6" t="s">
        <v>185</v>
      </c>
      <c r="L124" s="6" t="s">
        <v>8</v>
      </c>
      <c r="M124" s="6" t="s">
        <v>185</v>
      </c>
      <c r="R124" s="6" t="s">
        <v>2201</v>
      </c>
    </row>
    <row r="125" spans="1:18" ht="14.25" customHeight="1" x14ac:dyDescent="0.35">
      <c r="A125" s="25" t="s">
        <v>1547</v>
      </c>
      <c r="B125" s="25" t="s">
        <v>1135</v>
      </c>
      <c r="C125" s="25" t="s">
        <v>186</v>
      </c>
      <c r="D125" s="32" t="s">
        <v>1935</v>
      </c>
      <c r="E125" s="27" t="s">
        <v>309</v>
      </c>
      <c r="F125" s="6" t="s">
        <v>273</v>
      </c>
      <c r="G125" s="6" t="s">
        <v>580</v>
      </c>
      <c r="H125" s="6" t="s">
        <v>1669</v>
      </c>
      <c r="I125" s="6" t="s">
        <v>1747</v>
      </c>
      <c r="J125" s="6" t="s">
        <v>2233</v>
      </c>
      <c r="K125" s="6" t="s">
        <v>2136</v>
      </c>
      <c r="L125" s="6" t="s">
        <v>8</v>
      </c>
      <c r="M125" s="6" t="s">
        <v>2136</v>
      </c>
      <c r="R125" s="6" t="s">
        <v>2201</v>
      </c>
    </row>
    <row r="126" spans="1:18" ht="14.25" customHeight="1" x14ac:dyDescent="0.35">
      <c r="A126" s="133" t="s">
        <v>1545</v>
      </c>
      <c r="B126" s="25" t="s">
        <v>1133</v>
      </c>
      <c r="C126" s="25" t="s">
        <v>182</v>
      </c>
      <c r="D126" s="32" t="s">
        <v>1935</v>
      </c>
      <c r="E126" s="27" t="s">
        <v>309</v>
      </c>
      <c r="F126" s="6" t="s">
        <v>273</v>
      </c>
      <c r="G126" s="6" t="s">
        <v>622</v>
      </c>
      <c r="H126" s="6" t="s">
        <v>1677</v>
      </c>
      <c r="I126" s="6" t="s">
        <v>959</v>
      </c>
      <c r="J126" s="6" t="s">
        <v>2233</v>
      </c>
      <c r="K126" s="6" t="s">
        <v>1593</v>
      </c>
      <c r="L126" s="6" t="s">
        <v>8</v>
      </c>
      <c r="M126" s="6" t="s">
        <v>183</v>
      </c>
      <c r="R126" s="6" t="s">
        <v>2201</v>
      </c>
    </row>
    <row r="127" spans="1:18" ht="14.25" customHeight="1" x14ac:dyDescent="0.35">
      <c r="A127" s="25" t="s">
        <v>1550</v>
      </c>
      <c r="B127" s="25" t="s">
        <v>1137</v>
      </c>
      <c r="C127" s="25" t="s">
        <v>191</v>
      </c>
      <c r="D127" s="32" t="s">
        <v>418</v>
      </c>
      <c r="E127" s="27" t="s">
        <v>286</v>
      </c>
      <c r="F127" s="6" t="s">
        <v>405</v>
      </c>
      <c r="G127" s="6" t="s">
        <v>783</v>
      </c>
      <c r="H127" s="6" t="s">
        <v>192</v>
      </c>
      <c r="I127" s="6" t="s">
        <v>192</v>
      </c>
      <c r="J127" s="6" t="s">
        <v>2233</v>
      </c>
      <c r="K127" s="6" t="s">
        <v>193</v>
      </c>
      <c r="L127" s="6" t="s">
        <v>15</v>
      </c>
      <c r="M127" s="6" t="s">
        <v>193</v>
      </c>
      <c r="R127" s="6" t="s">
        <v>2202</v>
      </c>
    </row>
    <row r="128" spans="1:18" ht="14.25" customHeight="1" x14ac:dyDescent="0.35">
      <c r="A128" s="27" t="s">
        <v>1549</v>
      </c>
      <c r="B128" s="27" t="s">
        <v>1106</v>
      </c>
      <c r="C128" s="27" t="s">
        <v>189</v>
      </c>
      <c r="D128" s="47" t="s">
        <v>418</v>
      </c>
      <c r="E128" s="27" t="s">
        <v>286</v>
      </c>
      <c r="F128" s="6" t="s">
        <v>405</v>
      </c>
      <c r="G128" s="6" t="s">
        <v>939</v>
      </c>
      <c r="H128" s="6" t="s">
        <v>1686</v>
      </c>
      <c r="I128" s="6" t="s">
        <v>1019</v>
      </c>
      <c r="J128" s="6" t="s">
        <v>2235</v>
      </c>
      <c r="K128" s="6" t="s">
        <v>190</v>
      </c>
      <c r="L128" s="6" t="s">
        <v>15</v>
      </c>
      <c r="M128" s="6" t="s">
        <v>190</v>
      </c>
      <c r="R128" s="6" t="s">
        <v>2202</v>
      </c>
    </row>
    <row r="129" spans="1:18" ht="14.25" customHeight="1" x14ac:dyDescent="0.35">
      <c r="A129" s="25" t="s">
        <v>1548</v>
      </c>
      <c r="B129" s="25" t="s">
        <v>1136</v>
      </c>
      <c r="C129" s="25" t="s">
        <v>187</v>
      </c>
      <c r="D129" s="32" t="s">
        <v>418</v>
      </c>
      <c r="E129" s="27" t="s">
        <v>286</v>
      </c>
      <c r="F129" s="6" t="s">
        <v>405</v>
      </c>
      <c r="G129" s="6" t="s">
        <v>2073</v>
      </c>
      <c r="H129" s="6" t="s">
        <v>1695</v>
      </c>
      <c r="I129" s="6" t="s">
        <v>1186</v>
      </c>
      <c r="J129" s="6" t="s">
        <v>1204</v>
      </c>
      <c r="K129" s="6" t="s">
        <v>188</v>
      </c>
      <c r="L129" s="6" t="s">
        <v>15</v>
      </c>
      <c r="M129" s="6" t="s">
        <v>188</v>
      </c>
      <c r="R129" s="6" t="s">
        <v>2202</v>
      </c>
    </row>
    <row r="130" spans="1:18" ht="14.25" customHeight="1" x14ac:dyDescent="0.35">
      <c r="A130" s="25" t="s">
        <v>1551</v>
      </c>
      <c r="B130" s="25" t="s">
        <v>1138</v>
      </c>
      <c r="C130" s="25" t="s">
        <v>194</v>
      </c>
      <c r="D130" s="32" t="s">
        <v>397</v>
      </c>
      <c r="E130" s="27" t="s">
        <v>331</v>
      </c>
      <c r="F130" s="6" t="s">
        <v>372</v>
      </c>
      <c r="G130" s="6" t="s">
        <v>418</v>
      </c>
      <c r="H130" s="6" t="s">
        <v>1327</v>
      </c>
      <c r="I130" s="6" t="s">
        <v>1020</v>
      </c>
      <c r="J130" s="6" t="s">
        <v>2234</v>
      </c>
      <c r="K130" s="6" t="s">
        <v>195</v>
      </c>
      <c r="L130" s="6" t="s">
        <v>8</v>
      </c>
      <c r="M130" s="6" t="s">
        <v>1610</v>
      </c>
      <c r="N130" s="6" t="s">
        <v>38</v>
      </c>
      <c r="O130" s="6" t="s">
        <v>196</v>
      </c>
      <c r="R130" s="6" t="s">
        <v>2203</v>
      </c>
    </row>
    <row r="131" spans="1:18" ht="14.25" customHeight="1" x14ac:dyDescent="0.35">
      <c r="A131" s="25" t="s">
        <v>1553</v>
      </c>
      <c r="B131" s="25" t="s">
        <v>1140</v>
      </c>
      <c r="C131" s="25" t="s">
        <v>198</v>
      </c>
      <c r="D131" s="32" t="s">
        <v>397</v>
      </c>
      <c r="E131" s="27" t="s">
        <v>331</v>
      </c>
      <c r="F131" s="6" t="s">
        <v>372</v>
      </c>
      <c r="G131" s="6" t="s">
        <v>1976</v>
      </c>
      <c r="H131" s="6" t="s">
        <v>1380</v>
      </c>
      <c r="I131" s="6" t="s">
        <v>1354</v>
      </c>
      <c r="J131" s="6" t="s">
        <v>2233</v>
      </c>
      <c r="K131" s="6" t="s">
        <v>199</v>
      </c>
      <c r="L131" s="6" t="s">
        <v>38</v>
      </c>
      <c r="M131" s="6" t="s">
        <v>1589</v>
      </c>
      <c r="R131" s="6" t="s">
        <v>2203</v>
      </c>
    </row>
    <row r="132" spans="1:18" ht="14.25" customHeight="1" x14ac:dyDescent="0.35">
      <c r="A132" s="25" t="s">
        <v>1552</v>
      </c>
      <c r="B132" s="25" t="s">
        <v>1139</v>
      </c>
      <c r="C132" s="25" t="s">
        <v>197</v>
      </c>
      <c r="D132" s="32" t="s">
        <v>397</v>
      </c>
      <c r="E132" s="27" t="s">
        <v>331</v>
      </c>
      <c r="F132" s="6" t="s">
        <v>372</v>
      </c>
      <c r="G132" s="6" t="s">
        <v>486</v>
      </c>
      <c r="H132" s="6" t="s">
        <v>1383</v>
      </c>
      <c r="I132" s="6" t="s">
        <v>1743</v>
      </c>
      <c r="J132" s="6" t="s">
        <v>2233</v>
      </c>
      <c r="K132" s="6" t="s">
        <v>1347</v>
      </c>
      <c r="L132" s="6" t="s">
        <v>8</v>
      </c>
      <c r="M132" s="6" t="s">
        <v>1347</v>
      </c>
      <c r="R132" s="6" t="s">
        <v>2203</v>
      </c>
    </row>
    <row r="133" spans="1:18" ht="14.25" customHeight="1" x14ac:dyDescent="0.35">
      <c r="A133" s="25" t="s">
        <v>1554</v>
      </c>
      <c r="B133" s="25" t="s">
        <v>1141</v>
      </c>
      <c r="C133" s="25" t="s">
        <v>200</v>
      </c>
      <c r="D133" s="32" t="s">
        <v>397</v>
      </c>
      <c r="E133" s="27" t="s">
        <v>331</v>
      </c>
      <c r="F133" s="6" t="s">
        <v>372</v>
      </c>
      <c r="G133" s="6" t="s">
        <v>2074</v>
      </c>
      <c r="H133" s="6" t="s">
        <v>1305</v>
      </c>
      <c r="I133" s="6" t="s">
        <v>961</v>
      </c>
      <c r="J133" s="6" t="s">
        <v>2235</v>
      </c>
      <c r="K133" s="6" t="s">
        <v>1306</v>
      </c>
      <c r="L133" s="6" t="s">
        <v>15</v>
      </c>
      <c r="M133" s="6" t="s">
        <v>1306</v>
      </c>
      <c r="R133" s="6" t="s">
        <v>2203</v>
      </c>
    </row>
    <row r="134" spans="1:18" ht="14.25" customHeight="1" x14ac:dyDescent="0.35">
      <c r="A134" s="25" t="s">
        <v>1561</v>
      </c>
      <c r="B134" s="25" t="s">
        <v>1147</v>
      </c>
      <c r="C134" s="25" t="s">
        <v>211</v>
      </c>
      <c r="D134" s="32" t="s">
        <v>420</v>
      </c>
      <c r="E134" s="27" t="s">
        <v>286</v>
      </c>
      <c r="F134" s="6" t="s">
        <v>405</v>
      </c>
      <c r="G134" s="6" t="s">
        <v>1932</v>
      </c>
      <c r="H134" s="6" t="s">
        <v>1639</v>
      </c>
      <c r="I134" s="6" t="s">
        <v>966</v>
      </c>
      <c r="J134" s="6" t="s">
        <v>2233</v>
      </c>
      <c r="K134" s="6" t="s">
        <v>1596</v>
      </c>
      <c r="L134" s="6" t="s">
        <v>15</v>
      </c>
      <c r="M134" s="6" t="s">
        <v>1596</v>
      </c>
      <c r="N134" s="6" t="s">
        <v>1201</v>
      </c>
      <c r="O134" s="6" t="s">
        <v>1597</v>
      </c>
      <c r="R134" s="6" t="s">
        <v>2204</v>
      </c>
    </row>
    <row r="135" spans="1:18" ht="14.25" customHeight="1" x14ac:dyDescent="0.35">
      <c r="A135" s="25" t="s">
        <v>1557</v>
      </c>
      <c r="B135" s="25" t="s">
        <v>1143</v>
      </c>
      <c r="C135" s="25" t="s">
        <v>205</v>
      </c>
      <c r="D135" s="32" t="s">
        <v>420</v>
      </c>
      <c r="E135" s="27" t="s">
        <v>286</v>
      </c>
      <c r="F135" s="6" t="s">
        <v>405</v>
      </c>
      <c r="G135" s="6" t="s">
        <v>795</v>
      </c>
      <c r="H135" s="6" t="s">
        <v>1647</v>
      </c>
      <c r="I135" s="6" t="s">
        <v>1398</v>
      </c>
      <c r="J135" s="6" t="s">
        <v>1204</v>
      </c>
      <c r="K135" s="6" t="s">
        <v>206</v>
      </c>
      <c r="L135" s="6" t="s">
        <v>15</v>
      </c>
      <c r="M135" s="6" t="s">
        <v>1620</v>
      </c>
      <c r="N135" s="6" t="s">
        <v>12</v>
      </c>
      <c r="O135" s="6" t="s">
        <v>1621</v>
      </c>
      <c r="R135" s="6" t="s">
        <v>2204</v>
      </c>
    </row>
    <row r="136" spans="1:18" ht="14.25" customHeight="1" x14ac:dyDescent="0.35">
      <c r="A136" s="25" t="s">
        <v>1558</v>
      </c>
      <c r="B136" s="25" t="s">
        <v>1144</v>
      </c>
      <c r="C136" s="25" t="s">
        <v>207</v>
      </c>
      <c r="D136" s="32" t="s">
        <v>420</v>
      </c>
      <c r="E136" s="27" t="s">
        <v>286</v>
      </c>
      <c r="F136" s="6" t="s">
        <v>405</v>
      </c>
      <c r="G136" s="6" t="s">
        <v>806</v>
      </c>
      <c r="H136" s="6" t="s">
        <v>1706</v>
      </c>
      <c r="I136" s="6" t="s">
        <v>1707</v>
      </c>
      <c r="J136" s="6" t="s">
        <v>1204</v>
      </c>
      <c r="K136" s="6" t="s">
        <v>208</v>
      </c>
      <c r="L136" s="6" t="s">
        <v>15</v>
      </c>
      <c r="M136" s="6" t="s">
        <v>1622</v>
      </c>
      <c r="N136" s="6" t="s">
        <v>38</v>
      </c>
      <c r="O136" s="6" t="s">
        <v>1623</v>
      </c>
      <c r="R136" s="6" t="s">
        <v>2204</v>
      </c>
    </row>
    <row r="137" spans="1:18" ht="14.25" customHeight="1" x14ac:dyDescent="0.35">
      <c r="A137" s="25" t="s">
        <v>1556</v>
      </c>
      <c r="B137" s="25" t="s">
        <v>1142</v>
      </c>
      <c r="C137" s="25" t="s">
        <v>203</v>
      </c>
      <c r="D137" s="32" t="s">
        <v>420</v>
      </c>
      <c r="E137" s="27" t="s">
        <v>286</v>
      </c>
      <c r="F137" s="6" t="s">
        <v>405</v>
      </c>
      <c r="G137" s="6" t="s">
        <v>507</v>
      </c>
      <c r="H137" s="6" t="s">
        <v>1916</v>
      </c>
      <c r="I137" s="6" t="s">
        <v>1917</v>
      </c>
      <c r="J137" s="6" t="s">
        <v>2233</v>
      </c>
      <c r="K137" s="6" t="s">
        <v>204</v>
      </c>
      <c r="L137" s="6" t="s">
        <v>38</v>
      </c>
      <c r="M137" s="6" t="s">
        <v>1628</v>
      </c>
      <c r="N137" s="6" t="s">
        <v>1201</v>
      </c>
      <c r="O137" s="6" t="s">
        <v>1629</v>
      </c>
      <c r="R137" s="6" t="s">
        <v>2204</v>
      </c>
    </row>
    <row r="138" spans="1:18" s="13" customFormat="1" ht="14.25" customHeight="1" x14ac:dyDescent="0.35">
      <c r="A138" s="25" t="s">
        <v>1559</v>
      </c>
      <c r="B138" s="25" t="s">
        <v>1145</v>
      </c>
      <c r="C138" s="25" t="s">
        <v>209</v>
      </c>
      <c r="D138" s="32" t="s">
        <v>420</v>
      </c>
      <c r="E138" s="27" t="s">
        <v>286</v>
      </c>
      <c r="F138" s="13" t="s">
        <v>405</v>
      </c>
      <c r="G138" s="13" t="s">
        <v>663</v>
      </c>
      <c r="H138" s="13" t="s">
        <v>1656</v>
      </c>
      <c r="I138" s="13" t="s">
        <v>963</v>
      </c>
      <c r="J138" s="13" t="s">
        <v>1203</v>
      </c>
      <c r="K138" s="13" t="s">
        <v>1919</v>
      </c>
      <c r="L138" s="13" t="s">
        <v>38</v>
      </c>
      <c r="M138" s="13" t="s">
        <v>1919</v>
      </c>
      <c r="R138" s="13" t="s">
        <v>2204</v>
      </c>
    </row>
    <row r="139" spans="1:18" s="13" customFormat="1" ht="14.25" customHeight="1" x14ac:dyDescent="0.35">
      <c r="A139" s="25" t="s">
        <v>1560</v>
      </c>
      <c r="B139" s="25" t="s">
        <v>1146</v>
      </c>
      <c r="C139" s="25" t="s">
        <v>210</v>
      </c>
      <c r="D139" s="32" t="s">
        <v>420</v>
      </c>
      <c r="E139" s="27" t="s">
        <v>286</v>
      </c>
      <c r="F139" s="13" t="s">
        <v>405</v>
      </c>
      <c r="G139" s="13" t="s">
        <v>700</v>
      </c>
      <c r="H139" s="13" t="s">
        <v>1920</v>
      </c>
      <c r="I139" s="13" t="s">
        <v>965</v>
      </c>
      <c r="J139" s="13" t="s">
        <v>2233</v>
      </c>
      <c r="K139" s="13" t="s">
        <v>964</v>
      </c>
      <c r="L139" s="13" t="s">
        <v>8</v>
      </c>
      <c r="M139" s="13" t="s">
        <v>1218</v>
      </c>
      <c r="R139" s="13" t="s">
        <v>2204</v>
      </c>
    </row>
    <row r="140" spans="1:18" s="13" customFormat="1" ht="14.25" customHeight="1" x14ac:dyDescent="0.35">
      <c r="A140" s="25" t="s">
        <v>1563</v>
      </c>
      <c r="B140" s="25" t="s">
        <v>1149</v>
      </c>
      <c r="C140" s="25" t="s">
        <v>214</v>
      </c>
      <c r="D140" s="32" t="s">
        <v>420</v>
      </c>
      <c r="E140" s="27" t="s">
        <v>286</v>
      </c>
      <c r="F140" s="13" t="s">
        <v>405</v>
      </c>
      <c r="G140" s="13" t="s">
        <v>697</v>
      </c>
      <c r="H140" s="13" t="s">
        <v>1921</v>
      </c>
      <c r="I140" s="13" t="s">
        <v>215</v>
      </c>
      <c r="J140" s="13" t="s">
        <v>2233</v>
      </c>
      <c r="K140" s="13" t="s">
        <v>215</v>
      </c>
      <c r="L140" s="13" t="s">
        <v>24</v>
      </c>
      <c r="M140" s="13" t="s">
        <v>215</v>
      </c>
      <c r="R140" s="13" t="s">
        <v>2204</v>
      </c>
    </row>
    <row r="141" spans="1:18" s="13" customFormat="1" ht="14.25" customHeight="1" x14ac:dyDescent="0.35">
      <c r="A141" s="25" t="s">
        <v>1562</v>
      </c>
      <c r="B141" s="25" t="s">
        <v>1148</v>
      </c>
      <c r="C141" s="25" t="s">
        <v>212</v>
      </c>
      <c r="D141" s="32" t="s">
        <v>420</v>
      </c>
      <c r="E141" s="27" t="s">
        <v>286</v>
      </c>
      <c r="F141" s="13" t="s">
        <v>405</v>
      </c>
      <c r="G141" s="13" t="s">
        <v>692</v>
      </c>
      <c r="H141" s="13" t="s">
        <v>1922</v>
      </c>
      <c r="I141" s="13" t="s">
        <v>1923</v>
      </c>
      <c r="J141" s="13" t="s">
        <v>2233</v>
      </c>
      <c r="K141" s="13" t="s">
        <v>213</v>
      </c>
      <c r="L141" s="13" t="s">
        <v>24</v>
      </c>
      <c r="M141" s="13" t="s">
        <v>213</v>
      </c>
      <c r="R141" s="13" t="s">
        <v>2204</v>
      </c>
    </row>
    <row r="142" spans="1:18" s="13" customFormat="1" ht="14.25" customHeight="1" x14ac:dyDescent="0.35">
      <c r="A142" s="25" t="s">
        <v>1555</v>
      </c>
      <c r="B142" s="25" t="s">
        <v>1091</v>
      </c>
      <c r="C142" s="25" t="s">
        <v>201</v>
      </c>
      <c r="D142" s="32" t="s">
        <v>420</v>
      </c>
      <c r="E142" s="27" t="s">
        <v>286</v>
      </c>
      <c r="F142" s="13" t="s">
        <v>405</v>
      </c>
      <c r="G142" s="13" t="s">
        <v>686</v>
      </c>
      <c r="H142" s="13" t="s">
        <v>1924</v>
      </c>
      <c r="I142" s="13" t="s">
        <v>962</v>
      </c>
      <c r="J142" s="13" t="s">
        <v>2234</v>
      </c>
      <c r="K142" s="13" t="s">
        <v>202</v>
      </c>
      <c r="L142" s="13" t="s">
        <v>24</v>
      </c>
      <c r="M142" s="13" t="s">
        <v>202</v>
      </c>
      <c r="R142" s="13" t="s">
        <v>2204</v>
      </c>
    </row>
    <row r="143" spans="1:18" s="13" customFormat="1" ht="14.25" customHeight="1" x14ac:dyDescent="0.35">
      <c r="A143" s="25" t="s">
        <v>1564</v>
      </c>
      <c r="B143" s="25" t="s">
        <v>1150</v>
      </c>
      <c r="C143" s="25" t="s">
        <v>216</v>
      </c>
      <c r="D143" s="32" t="s">
        <v>318</v>
      </c>
      <c r="E143" s="27" t="s">
        <v>320</v>
      </c>
      <c r="F143" s="13" t="s">
        <v>341</v>
      </c>
      <c r="G143" s="13" t="s">
        <v>774</v>
      </c>
      <c r="H143" s="13" t="s">
        <v>1756</v>
      </c>
      <c r="I143" s="13" t="s">
        <v>967</v>
      </c>
      <c r="J143" s="13" t="s">
        <v>2234</v>
      </c>
      <c r="K143" s="13" t="s">
        <v>1323</v>
      </c>
      <c r="L143" s="13" t="s">
        <v>1201</v>
      </c>
      <c r="M143" s="13" t="s">
        <v>1323</v>
      </c>
      <c r="R143" s="13" t="s">
        <v>2205</v>
      </c>
    </row>
    <row r="144" spans="1:18" s="13" customFormat="1" ht="14.25" customHeight="1" x14ac:dyDescent="0.35">
      <c r="A144" s="25" t="s">
        <v>1566</v>
      </c>
      <c r="B144" s="25" t="s">
        <v>1152</v>
      </c>
      <c r="C144" s="25" t="s">
        <v>218</v>
      </c>
      <c r="D144" s="32" t="s">
        <v>424</v>
      </c>
      <c r="E144" s="27" t="s">
        <v>320</v>
      </c>
      <c r="F144" s="13" t="s">
        <v>405</v>
      </c>
      <c r="G144" s="13" t="s">
        <v>1977</v>
      </c>
      <c r="H144" s="13" t="s">
        <v>1748</v>
      </c>
      <c r="I144" s="13" t="s">
        <v>1282</v>
      </c>
      <c r="J144" s="13" t="s">
        <v>2233</v>
      </c>
      <c r="K144" s="13" t="s">
        <v>1749</v>
      </c>
      <c r="L144" s="13" t="s">
        <v>24</v>
      </c>
      <c r="M144" s="13" t="s">
        <v>1749</v>
      </c>
      <c r="R144" s="13" t="s">
        <v>2206</v>
      </c>
    </row>
    <row r="145" spans="1:18" s="13" customFormat="1" ht="14.25" customHeight="1" x14ac:dyDescent="0.35">
      <c r="A145" s="25" t="s">
        <v>1565</v>
      </c>
      <c r="B145" s="25" t="s">
        <v>1151</v>
      </c>
      <c r="C145" s="25" t="s">
        <v>217</v>
      </c>
      <c r="D145" s="32" t="s">
        <v>424</v>
      </c>
      <c r="E145" s="27" t="s">
        <v>320</v>
      </c>
      <c r="F145" s="13" t="s">
        <v>405</v>
      </c>
      <c r="G145" s="13" t="s">
        <v>367</v>
      </c>
      <c r="H145" s="13" t="s">
        <v>1752</v>
      </c>
      <c r="I145" s="13" t="s">
        <v>968</v>
      </c>
      <c r="J145" s="13" t="s">
        <v>2235</v>
      </c>
      <c r="K145" s="13" t="s">
        <v>1310</v>
      </c>
      <c r="L145" s="13" t="s">
        <v>8</v>
      </c>
      <c r="M145" s="13" t="s">
        <v>2137</v>
      </c>
      <c r="R145" s="13" t="s">
        <v>2206</v>
      </c>
    </row>
    <row r="146" spans="1:18" ht="14.25" customHeight="1" x14ac:dyDescent="0.35">
      <c r="A146" s="25" t="s">
        <v>1567</v>
      </c>
      <c r="B146" s="25" t="s">
        <v>1141</v>
      </c>
      <c r="C146" s="25" t="s">
        <v>219</v>
      </c>
      <c r="D146" s="32" t="s">
        <v>1936</v>
      </c>
      <c r="E146" s="27" t="s">
        <v>309</v>
      </c>
      <c r="F146" s="6" t="s">
        <v>273</v>
      </c>
      <c r="G146" s="6" t="s">
        <v>840</v>
      </c>
      <c r="H146" s="6" t="s">
        <v>1654</v>
      </c>
      <c r="I146" s="6" t="s">
        <v>969</v>
      </c>
      <c r="J146" s="6" t="s">
        <v>2233</v>
      </c>
      <c r="K146" s="6" t="s">
        <v>1233</v>
      </c>
      <c r="L146" s="6" t="s">
        <v>8</v>
      </c>
      <c r="M146" s="6" t="s">
        <v>1233</v>
      </c>
      <c r="R146" s="6" t="s">
        <v>2207</v>
      </c>
    </row>
    <row r="147" spans="1:18" ht="14.25" customHeight="1" x14ac:dyDescent="0.35">
      <c r="A147" s="27" t="s">
        <v>1568</v>
      </c>
      <c r="B147" s="27" t="s">
        <v>1153</v>
      </c>
      <c r="C147" s="27" t="s">
        <v>220</v>
      </c>
      <c r="D147" s="47" t="s">
        <v>1936</v>
      </c>
      <c r="E147" s="27" t="s">
        <v>309</v>
      </c>
      <c r="F147" s="6" t="s">
        <v>273</v>
      </c>
      <c r="G147" s="6" t="s">
        <v>448</v>
      </c>
      <c r="H147" s="6" t="s">
        <v>1739</v>
      </c>
      <c r="I147" s="6" t="s">
        <v>1236</v>
      </c>
      <c r="J147" s="6" t="s">
        <v>2233</v>
      </c>
      <c r="K147" s="6" t="s">
        <v>1236</v>
      </c>
      <c r="L147" s="6" t="s">
        <v>8</v>
      </c>
      <c r="M147" s="6" t="s">
        <v>1236</v>
      </c>
      <c r="R147" s="6" t="s">
        <v>2207</v>
      </c>
    </row>
    <row r="148" spans="1:18" ht="14.25" customHeight="1" x14ac:dyDescent="0.35">
      <c r="A148" s="25" t="s">
        <v>1569</v>
      </c>
      <c r="B148" s="25" t="s">
        <v>1154</v>
      </c>
      <c r="C148" s="25" t="s">
        <v>221</v>
      </c>
      <c r="D148" s="32" t="s">
        <v>1936</v>
      </c>
      <c r="E148" s="27" t="s">
        <v>309</v>
      </c>
      <c r="F148" s="6" t="s">
        <v>273</v>
      </c>
      <c r="G148" s="6" t="s">
        <v>825</v>
      </c>
      <c r="H148" s="6" t="s">
        <v>1660</v>
      </c>
      <c r="I148" s="6" t="s">
        <v>1247</v>
      </c>
      <c r="J148" s="6" t="s">
        <v>2233</v>
      </c>
      <c r="K148" s="6" t="s">
        <v>1246</v>
      </c>
      <c r="L148" s="6" t="s">
        <v>8</v>
      </c>
      <c r="M148" s="6" t="s">
        <v>1246</v>
      </c>
      <c r="R148" s="6" t="s">
        <v>2207</v>
      </c>
    </row>
    <row r="149" spans="1:18" ht="14.25" customHeight="1" x14ac:dyDescent="0.35">
      <c r="A149" s="25" t="s">
        <v>1570</v>
      </c>
      <c r="B149" s="25" t="s">
        <v>1122</v>
      </c>
      <c r="C149" s="25" t="s">
        <v>1345</v>
      </c>
      <c r="D149" s="32" t="s">
        <v>1936</v>
      </c>
      <c r="E149" s="27" t="s">
        <v>309</v>
      </c>
      <c r="F149" s="6" t="s">
        <v>273</v>
      </c>
      <c r="G149" s="6" t="s">
        <v>354</v>
      </c>
      <c r="H149" s="6" t="s">
        <v>1390</v>
      </c>
      <c r="I149" s="6" t="s">
        <v>970</v>
      </c>
      <c r="J149" s="6" t="s">
        <v>2235</v>
      </c>
      <c r="K149" s="6" t="s">
        <v>1391</v>
      </c>
      <c r="L149" s="6" t="s">
        <v>15</v>
      </c>
      <c r="M149" s="6" t="s">
        <v>1391</v>
      </c>
      <c r="R149" s="6" t="s">
        <v>2207</v>
      </c>
    </row>
    <row r="150" spans="1:18" ht="14.25" customHeight="1" x14ac:dyDescent="0.35">
      <c r="A150" s="25" t="s">
        <v>1572</v>
      </c>
      <c r="B150" s="25" t="s">
        <v>1156</v>
      </c>
      <c r="C150" s="25" t="s">
        <v>223</v>
      </c>
      <c r="D150" s="32" t="s">
        <v>428</v>
      </c>
      <c r="E150" s="27" t="s">
        <v>286</v>
      </c>
      <c r="F150" s="6" t="s">
        <v>405</v>
      </c>
      <c r="G150" s="6" t="s">
        <v>467</v>
      </c>
      <c r="H150" s="6" t="s">
        <v>2126</v>
      </c>
      <c r="I150" s="6" t="s">
        <v>1264</v>
      </c>
      <c r="J150" s="6" t="s">
        <v>2233</v>
      </c>
      <c r="K150" s="6" t="s">
        <v>1265</v>
      </c>
      <c r="L150" s="6" t="s">
        <v>38</v>
      </c>
      <c r="M150" s="6" t="s">
        <v>1265</v>
      </c>
      <c r="R150" s="6" t="s">
        <v>2208</v>
      </c>
    </row>
    <row r="151" spans="1:18" ht="14.25" customHeight="1" x14ac:dyDescent="0.35">
      <c r="A151" s="25" t="s">
        <v>1571</v>
      </c>
      <c r="B151" s="25" t="s">
        <v>1155</v>
      </c>
      <c r="C151" s="25" t="s">
        <v>222</v>
      </c>
      <c r="D151" s="32" t="s">
        <v>428</v>
      </c>
      <c r="E151" s="27" t="s">
        <v>286</v>
      </c>
      <c r="F151" s="6" t="s">
        <v>405</v>
      </c>
      <c r="G151" s="6" t="s">
        <v>424</v>
      </c>
      <c r="H151" s="6" t="s">
        <v>1753</v>
      </c>
      <c r="I151" s="6" t="s">
        <v>2138</v>
      </c>
      <c r="J151" s="6" t="s">
        <v>2235</v>
      </c>
      <c r="K151" s="6" t="s">
        <v>1755</v>
      </c>
      <c r="L151" s="6" t="s">
        <v>8</v>
      </c>
      <c r="M151" s="6" t="s">
        <v>1755</v>
      </c>
      <c r="R151" s="6" t="s">
        <v>2208</v>
      </c>
    </row>
    <row r="152" spans="1:18" ht="14.25" customHeight="1" x14ac:dyDescent="0.35">
      <c r="A152" s="25" t="s">
        <v>1579</v>
      </c>
      <c r="B152" s="25" t="s">
        <v>1163</v>
      </c>
      <c r="C152" s="25" t="s">
        <v>232</v>
      </c>
      <c r="D152" s="32" t="s">
        <v>367</v>
      </c>
      <c r="E152" s="27" t="s">
        <v>286</v>
      </c>
      <c r="F152" s="6" t="s">
        <v>341</v>
      </c>
      <c r="G152" s="6" t="s">
        <v>745</v>
      </c>
      <c r="H152" s="6" t="s">
        <v>1646</v>
      </c>
      <c r="I152" s="6" t="s">
        <v>1330</v>
      </c>
      <c r="J152" s="6" t="s">
        <v>2236</v>
      </c>
      <c r="K152" s="6" t="s">
        <v>1331</v>
      </c>
      <c r="L152" s="6" t="s">
        <v>15</v>
      </c>
      <c r="M152" s="6" t="s">
        <v>1613</v>
      </c>
      <c r="N152" s="6" t="s">
        <v>38</v>
      </c>
      <c r="O152" s="6" t="s">
        <v>1612</v>
      </c>
      <c r="R152" s="6" t="s">
        <v>2209</v>
      </c>
    </row>
    <row r="153" spans="1:18" ht="14.25" customHeight="1" x14ac:dyDescent="0.35">
      <c r="A153" s="25" t="s">
        <v>1573</v>
      </c>
      <c r="B153" s="25" t="s">
        <v>1157</v>
      </c>
      <c r="C153" s="25" t="s">
        <v>224</v>
      </c>
      <c r="D153" s="32" t="s">
        <v>367</v>
      </c>
      <c r="E153" s="27" t="s">
        <v>286</v>
      </c>
      <c r="F153" s="6" t="s">
        <v>1200</v>
      </c>
      <c r="G153" s="6" t="s">
        <v>638</v>
      </c>
      <c r="H153" s="6" t="s">
        <v>1375</v>
      </c>
      <c r="I153" s="6" t="s">
        <v>1227</v>
      </c>
      <c r="J153" s="6" t="s">
        <v>1203</v>
      </c>
      <c r="K153" s="6" t="s">
        <v>1228</v>
      </c>
      <c r="L153" s="6" t="s">
        <v>41</v>
      </c>
      <c r="M153" s="6" t="s">
        <v>1228</v>
      </c>
      <c r="R153" s="6" t="s">
        <v>2163</v>
      </c>
    </row>
    <row r="154" spans="1:18" ht="14" customHeight="1" x14ac:dyDescent="0.35">
      <c r="A154" s="25" t="s">
        <v>1580</v>
      </c>
      <c r="B154" s="25" t="s">
        <v>1134</v>
      </c>
      <c r="C154" s="25" t="s">
        <v>1414</v>
      </c>
      <c r="D154" s="32" t="s">
        <v>367</v>
      </c>
      <c r="E154" s="27" t="s">
        <v>286</v>
      </c>
      <c r="F154" s="6" t="s">
        <v>1200</v>
      </c>
      <c r="G154" s="6" t="s">
        <v>668</v>
      </c>
      <c r="H154" s="6" t="s">
        <v>1376</v>
      </c>
      <c r="I154" s="6" t="s">
        <v>1231</v>
      </c>
      <c r="J154" s="6" t="s">
        <v>2233</v>
      </c>
      <c r="K154" s="6" t="s">
        <v>233</v>
      </c>
      <c r="L154" s="6" t="s">
        <v>38</v>
      </c>
      <c r="M154" s="6" t="s">
        <v>233</v>
      </c>
      <c r="R154" s="6" t="s">
        <v>2163</v>
      </c>
    </row>
    <row r="155" spans="1:18" ht="14.25" customHeight="1" x14ac:dyDescent="0.35">
      <c r="A155" s="25" t="s">
        <v>1578</v>
      </c>
      <c r="B155" s="25" t="s">
        <v>1162</v>
      </c>
      <c r="C155" s="25" t="s">
        <v>230</v>
      </c>
      <c r="D155" s="32" t="s">
        <v>367</v>
      </c>
      <c r="E155" s="27" t="s">
        <v>286</v>
      </c>
      <c r="F155" s="6" t="s">
        <v>1200</v>
      </c>
      <c r="G155" s="6" t="s">
        <v>1988</v>
      </c>
      <c r="H155" s="6" t="s">
        <v>1281</v>
      </c>
      <c r="I155" s="6" t="s">
        <v>1024</v>
      </c>
      <c r="J155" s="6" t="s">
        <v>2233</v>
      </c>
      <c r="K155" s="6" t="s">
        <v>231</v>
      </c>
      <c r="L155" s="6" t="s">
        <v>1200</v>
      </c>
      <c r="M155" s="6" t="s">
        <v>231</v>
      </c>
      <c r="R155" s="6" t="s">
        <v>2163</v>
      </c>
    </row>
    <row r="156" spans="1:18" ht="14.25" customHeight="1" x14ac:dyDescent="0.35">
      <c r="A156" s="25" t="s">
        <v>1581</v>
      </c>
      <c r="B156" s="25" t="s">
        <v>1164</v>
      </c>
      <c r="C156" s="25" t="s">
        <v>234</v>
      </c>
      <c r="D156" s="32" t="s">
        <v>367</v>
      </c>
      <c r="E156" s="27" t="s">
        <v>286</v>
      </c>
      <c r="F156" s="6" t="s">
        <v>341</v>
      </c>
      <c r="G156" s="6" t="s">
        <v>819</v>
      </c>
      <c r="H156" s="6" t="s">
        <v>1744</v>
      </c>
      <c r="I156" s="6" t="s">
        <v>1261</v>
      </c>
      <c r="J156" s="6" t="s">
        <v>2233</v>
      </c>
      <c r="K156" s="6" t="s">
        <v>1261</v>
      </c>
      <c r="L156" s="6" t="s">
        <v>8</v>
      </c>
      <c r="M156" s="6" t="s">
        <v>1261</v>
      </c>
      <c r="R156" s="6" t="s">
        <v>2209</v>
      </c>
    </row>
    <row r="157" spans="1:18" ht="14" customHeight="1" x14ac:dyDescent="0.35">
      <c r="A157" s="25" t="s">
        <v>1576</v>
      </c>
      <c r="B157" s="25" t="s">
        <v>1160</v>
      </c>
      <c r="C157" s="25" t="s">
        <v>227</v>
      </c>
      <c r="D157" s="32" t="s">
        <v>367</v>
      </c>
      <c r="E157" s="27" t="s">
        <v>286</v>
      </c>
      <c r="F157" s="6" t="s">
        <v>341</v>
      </c>
      <c r="G157" s="6" t="s">
        <v>898</v>
      </c>
      <c r="H157" s="6" t="s">
        <v>1750</v>
      </c>
      <c r="I157" s="6" t="s">
        <v>1023</v>
      </c>
      <c r="J157" s="6" t="s">
        <v>2233</v>
      </c>
      <c r="K157" s="6" t="s">
        <v>1287</v>
      </c>
      <c r="L157" s="6" t="s">
        <v>38</v>
      </c>
      <c r="M157" s="6" t="s">
        <v>1286</v>
      </c>
      <c r="R157" s="6" t="s">
        <v>2209</v>
      </c>
    </row>
    <row r="158" spans="1:18" ht="14.25" customHeight="1" x14ac:dyDescent="0.35">
      <c r="A158" s="27" t="s">
        <v>1574</v>
      </c>
      <c r="B158" s="27" t="s">
        <v>1158</v>
      </c>
      <c r="C158" s="27" t="s">
        <v>225</v>
      </c>
      <c r="D158" s="47" t="s">
        <v>367</v>
      </c>
      <c r="E158" s="27" t="s">
        <v>286</v>
      </c>
      <c r="F158" s="6" t="s">
        <v>341</v>
      </c>
      <c r="G158" s="6" t="s">
        <v>736</v>
      </c>
      <c r="H158" s="6" t="s">
        <v>1407</v>
      </c>
      <c r="I158" s="6" t="s">
        <v>1289</v>
      </c>
      <c r="J158" s="6" t="s">
        <v>2233</v>
      </c>
      <c r="K158" s="6" t="s">
        <v>1290</v>
      </c>
      <c r="L158" s="6" t="s">
        <v>24</v>
      </c>
      <c r="M158" s="6" t="s">
        <v>1290</v>
      </c>
      <c r="R158" s="6" t="s">
        <v>2209</v>
      </c>
    </row>
    <row r="159" spans="1:18" ht="14.25" customHeight="1" x14ac:dyDescent="0.35">
      <c r="A159" s="25" t="s">
        <v>1575</v>
      </c>
      <c r="B159" s="25" t="s">
        <v>1159</v>
      </c>
      <c r="C159" s="25" t="s">
        <v>226</v>
      </c>
      <c r="D159" s="32" t="s">
        <v>367</v>
      </c>
      <c r="E159" s="27" t="s">
        <v>286</v>
      </c>
      <c r="F159" s="6" t="s">
        <v>341</v>
      </c>
      <c r="G159" s="6" t="s">
        <v>472</v>
      </c>
      <c r="H159" s="6" t="s">
        <v>1693</v>
      </c>
      <c r="I159" s="6" t="s">
        <v>1334</v>
      </c>
      <c r="J159" s="6" t="s">
        <v>2236</v>
      </c>
      <c r="K159" s="6" t="s">
        <v>2139</v>
      </c>
      <c r="L159" s="6" t="s">
        <v>38</v>
      </c>
      <c r="M159" s="6" t="s">
        <v>1335</v>
      </c>
      <c r="R159" s="6" t="s">
        <v>2209</v>
      </c>
    </row>
    <row r="160" spans="1:18" ht="14.25" customHeight="1" x14ac:dyDescent="0.35">
      <c r="A160" s="25" t="s">
        <v>1577</v>
      </c>
      <c r="B160" s="25" t="s">
        <v>1161</v>
      </c>
      <c r="C160" s="25" t="s">
        <v>228</v>
      </c>
      <c r="D160" s="32" t="s">
        <v>367</v>
      </c>
      <c r="E160" s="27" t="s">
        <v>286</v>
      </c>
      <c r="F160" s="6" t="s">
        <v>341</v>
      </c>
      <c r="G160" s="6" t="s">
        <v>1978</v>
      </c>
      <c r="H160" s="6" t="s">
        <v>1362</v>
      </c>
      <c r="I160" s="6" t="s">
        <v>1351</v>
      </c>
      <c r="J160" s="6" t="s">
        <v>2236</v>
      </c>
      <c r="K160" s="6" t="s">
        <v>229</v>
      </c>
      <c r="L160" s="6" t="s">
        <v>15</v>
      </c>
      <c r="M160" s="6" t="s">
        <v>229</v>
      </c>
      <c r="R160" s="6" t="s">
        <v>2209</v>
      </c>
    </row>
    <row r="161" spans="1:18" ht="14.25" customHeight="1" x14ac:dyDescent="0.35">
      <c r="A161" s="25" t="s">
        <v>1583</v>
      </c>
      <c r="B161" s="25" t="s">
        <v>1166</v>
      </c>
      <c r="C161" s="25" t="s">
        <v>237</v>
      </c>
      <c r="D161" s="32" t="s">
        <v>312</v>
      </c>
      <c r="E161" s="27" t="s">
        <v>286</v>
      </c>
      <c r="F161" s="6" t="s">
        <v>273</v>
      </c>
      <c r="G161" s="6" t="s">
        <v>823</v>
      </c>
      <c r="H161" s="6" t="s">
        <v>1640</v>
      </c>
      <c r="I161" s="6" t="s">
        <v>238</v>
      </c>
      <c r="J161" s="6" t="s">
        <v>2235</v>
      </c>
      <c r="K161" s="6" t="s">
        <v>238</v>
      </c>
      <c r="L161" s="6" t="s">
        <v>38</v>
      </c>
      <c r="M161" s="6" t="s">
        <v>238</v>
      </c>
      <c r="N161" s="6" t="s">
        <v>8</v>
      </c>
      <c r="O161" s="6" t="s">
        <v>238</v>
      </c>
      <c r="R161" s="6" t="s">
        <v>2210</v>
      </c>
    </row>
    <row r="162" spans="1:18" ht="14.25" customHeight="1" x14ac:dyDescent="0.35">
      <c r="A162" s="25" t="s">
        <v>1582</v>
      </c>
      <c r="B162" s="25" t="s">
        <v>1165</v>
      </c>
      <c r="C162" s="25" t="s">
        <v>235</v>
      </c>
      <c r="D162" s="32" t="s">
        <v>312</v>
      </c>
      <c r="E162" s="27" t="s">
        <v>286</v>
      </c>
      <c r="F162" s="6" t="s">
        <v>273</v>
      </c>
      <c r="G162" s="6" t="s">
        <v>837</v>
      </c>
      <c r="H162" s="6" t="s">
        <v>2127</v>
      </c>
      <c r="I162" s="6" t="s">
        <v>971</v>
      </c>
      <c r="J162" s="6" t="s">
        <v>2233</v>
      </c>
      <c r="K162" s="6" t="s">
        <v>236</v>
      </c>
      <c r="L162" s="6" t="s">
        <v>8</v>
      </c>
      <c r="M162" s="6" t="s">
        <v>1627</v>
      </c>
      <c r="N162" s="6" t="s">
        <v>38</v>
      </c>
      <c r="O162" s="6" t="s">
        <v>1626</v>
      </c>
      <c r="R162" s="6" t="s">
        <v>2210</v>
      </c>
    </row>
    <row r="163" spans="1:18" ht="14.25" customHeight="1" x14ac:dyDescent="0.35">
      <c r="A163" s="25" t="s">
        <v>1584</v>
      </c>
      <c r="B163" s="25" t="s">
        <v>1167</v>
      </c>
      <c r="C163" s="25" t="s">
        <v>239</v>
      </c>
      <c r="D163" s="32" t="s">
        <v>1932</v>
      </c>
      <c r="E163" s="27" t="s">
        <v>309</v>
      </c>
      <c r="F163" s="6" t="s">
        <v>1200</v>
      </c>
      <c r="G163" s="6" t="s">
        <v>758</v>
      </c>
      <c r="H163" s="6" t="s">
        <v>1386</v>
      </c>
      <c r="I163" s="6" t="s">
        <v>972</v>
      </c>
      <c r="J163" s="6" t="s">
        <v>2233</v>
      </c>
      <c r="K163" s="6" t="s">
        <v>1598</v>
      </c>
      <c r="L163" s="6" t="s">
        <v>41</v>
      </c>
      <c r="M163" s="6" t="s">
        <v>1598</v>
      </c>
      <c r="N163" s="6" t="s">
        <v>1201</v>
      </c>
      <c r="O163" s="6" t="s">
        <v>1599</v>
      </c>
      <c r="R163" s="6" t="s">
        <v>2164</v>
      </c>
    </row>
    <row r="164" spans="1:18" ht="15" customHeight="1" x14ac:dyDescent="0.35">
      <c r="A164" s="25" t="s">
        <v>1585</v>
      </c>
      <c r="B164" s="25" t="s">
        <v>1168</v>
      </c>
      <c r="C164" s="25" t="s">
        <v>240</v>
      </c>
      <c r="D164" s="32" t="s">
        <v>1932</v>
      </c>
      <c r="E164" s="27" t="s">
        <v>309</v>
      </c>
      <c r="F164" s="6" t="s">
        <v>372</v>
      </c>
      <c r="G164" s="6" t="s">
        <v>2075</v>
      </c>
      <c r="H164" s="6" t="s">
        <v>2140</v>
      </c>
      <c r="I164" s="6" t="s">
        <v>1382</v>
      </c>
      <c r="J164" s="6" t="s">
        <v>2233</v>
      </c>
      <c r="K164" s="6" t="s">
        <v>1382</v>
      </c>
      <c r="L164" s="6" t="s">
        <v>38</v>
      </c>
      <c r="M164" s="6" t="s">
        <v>1382</v>
      </c>
      <c r="R164" s="6" t="s">
        <v>2211</v>
      </c>
    </row>
    <row r="165" spans="1:18" ht="15" customHeight="1" x14ac:dyDescent="0.35">
      <c r="A165" s="25" t="s">
        <v>1586</v>
      </c>
      <c r="B165" s="25" t="s">
        <v>1169</v>
      </c>
      <c r="C165" s="25" t="s">
        <v>241</v>
      </c>
      <c r="D165" s="32" t="s">
        <v>1932</v>
      </c>
      <c r="E165" s="27" t="s">
        <v>309</v>
      </c>
      <c r="F165" s="6" t="s">
        <v>372</v>
      </c>
      <c r="G165" s="6" t="s">
        <v>907</v>
      </c>
      <c r="H165" s="6" t="s">
        <v>1714</v>
      </c>
      <c r="I165" s="6" t="s">
        <v>973</v>
      </c>
      <c r="J165" s="6" t="s">
        <v>2233</v>
      </c>
      <c r="K165" s="6" t="s">
        <v>242</v>
      </c>
      <c r="L165" s="6" t="s">
        <v>8</v>
      </c>
      <c r="M165" s="6" t="s">
        <v>242</v>
      </c>
      <c r="R165" s="6" t="s">
        <v>2211</v>
      </c>
    </row>
    <row r="166" spans="1:18" ht="15" customHeight="1" x14ac:dyDescent="0.35">
      <c r="A166" s="25" t="s">
        <v>1437</v>
      </c>
      <c r="B166" s="25" t="s">
        <v>1041</v>
      </c>
      <c r="C166" s="25" t="s">
        <v>33</v>
      </c>
      <c r="D166" s="32" t="s">
        <v>1932</v>
      </c>
      <c r="E166" s="27" t="s">
        <v>309</v>
      </c>
      <c r="F166" s="6" t="s">
        <v>372</v>
      </c>
      <c r="G166" s="6" t="s">
        <v>379</v>
      </c>
      <c r="H166" s="6" t="s">
        <v>1389</v>
      </c>
      <c r="I166" s="6" t="s">
        <v>1294</v>
      </c>
      <c r="J166" s="6" t="s">
        <v>2235</v>
      </c>
      <c r="K166" s="6" t="s">
        <v>1357</v>
      </c>
      <c r="L166" s="6" t="s">
        <v>8</v>
      </c>
      <c r="M166" s="6" t="s">
        <v>1357</v>
      </c>
      <c r="R166" s="6" t="s">
        <v>2211</v>
      </c>
    </row>
    <row r="167" spans="1:18" ht="15" customHeight="1" x14ac:dyDescent="0.35">
      <c r="A167" s="25" t="s">
        <v>1434</v>
      </c>
      <c r="B167" s="25" t="s">
        <v>1038</v>
      </c>
      <c r="C167" s="25" t="s">
        <v>29</v>
      </c>
      <c r="D167" s="32" t="s">
        <v>364</v>
      </c>
      <c r="E167" s="27" t="s">
        <v>286</v>
      </c>
      <c r="F167" s="6" t="s">
        <v>372</v>
      </c>
      <c r="G167" s="6" t="s">
        <v>379</v>
      </c>
      <c r="H167" s="6" t="s">
        <v>1689</v>
      </c>
      <c r="I167" s="6" t="s">
        <v>1369</v>
      </c>
      <c r="J167" s="6" t="s">
        <v>2235</v>
      </c>
      <c r="K167" s="6" t="s">
        <v>1315</v>
      </c>
      <c r="L167" s="6" t="s">
        <v>8</v>
      </c>
      <c r="M167" s="6" t="s">
        <v>1315</v>
      </c>
      <c r="R167" s="6" t="s">
        <v>2196</v>
      </c>
    </row>
    <row r="168" spans="1:18" ht="15" customHeight="1" x14ac:dyDescent="0.35">
      <c r="A168" s="25" t="s">
        <v>1438</v>
      </c>
      <c r="B168" s="25" t="s">
        <v>1042</v>
      </c>
      <c r="C168" s="25" t="s">
        <v>34</v>
      </c>
      <c r="D168" s="32" t="s">
        <v>674</v>
      </c>
      <c r="E168" s="27" t="s">
        <v>309</v>
      </c>
      <c r="F168" s="6" t="s">
        <v>273</v>
      </c>
      <c r="G168" s="6" t="s">
        <v>340</v>
      </c>
      <c r="H168" s="6" t="s">
        <v>1741</v>
      </c>
      <c r="I168" s="6" t="s">
        <v>1742</v>
      </c>
      <c r="J168" s="6" t="s">
        <v>2233</v>
      </c>
      <c r="K168" s="6" t="s">
        <v>1255</v>
      </c>
      <c r="L168" s="6" t="s">
        <v>8</v>
      </c>
      <c r="M168" s="6" t="s">
        <v>1255</v>
      </c>
      <c r="R168" s="6" t="s">
        <v>2212</v>
      </c>
    </row>
    <row r="169" spans="1:18" ht="15" customHeight="1" x14ac:dyDescent="0.35">
      <c r="A169" s="25" t="s">
        <v>372</v>
      </c>
      <c r="B169" s="25" t="s">
        <v>1087</v>
      </c>
      <c r="C169" s="25" t="s">
        <v>98</v>
      </c>
      <c r="D169" s="32" t="s">
        <v>724</v>
      </c>
      <c r="E169" s="27" t="s">
        <v>331</v>
      </c>
      <c r="F169" s="6" t="s">
        <v>372</v>
      </c>
      <c r="G169" s="6" t="s">
        <v>386</v>
      </c>
      <c r="H169" s="6" t="s">
        <v>1682</v>
      </c>
      <c r="I169" s="6" t="s">
        <v>1302</v>
      </c>
      <c r="J169" s="6" t="s">
        <v>2235</v>
      </c>
      <c r="K169" s="6" t="s">
        <v>1304</v>
      </c>
      <c r="L169" s="6" t="s">
        <v>8</v>
      </c>
      <c r="M169" s="6" t="s">
        <v>1303</v>
      </c>
      <c r="R169" s="6" t="s">
        <v>2309</v>
      </c>
    </row>
    <row r="170" spans="1:18" ht="15" customHeight="1" x14ac:dyDescent="0.35">
      <c r="A170" s="25" t="s">
        <v>1505</v>
      </c>
      <c r="B170" s="25" t="s">
        <v>1096</v>
      </c>
      <c r="C170" s="25" t="s">
        <v>125</v>
      </c>
      <c r="D170" s="32" t="s">
        <v>1951</v>
      </c>
      <c r="E170" s="27" t="s">
        <v>309</v>
      </c>
      <c r="F170" s="6" t="s">
        <v>372</v>
      </c>
      <c r="G170" s="6" t="s">
        <v>1933</v>
      </c>
      <c r="H170" s="6" t="s">
        <v>1717</v>
      </c>
      <c r="I170" s="6" t="s">
        <v>126</v>
      </c>
      <c r="J170" s="6" t="s">
        <v>2233</v>
      </c>
      <c r="K170" s="6" t="s">
        <v>127</v>
      </c>
      <c r="L170" s="6" t="s">
        <v>12</v>
      </c>
      <c r="M170" s="6" t="s">
        <v>127</v>
      </c>
      <c r="R170" s="6" t="s">
        <v>2213</v>
      </c>
    </row>
    <row r="171" spans="1:18" ht="15" customHeight="1" x14ac:dyDescent="0.35">
      <c r="A171" s="25" t="s">
        <v>1508</v>
      </c>
      <c r="B171" s="25" t="s">
        <v>1099</v>
      </c>
      <c r="C171" s="25" t="s">
        <v>131</v>
      </c>
      <c r="D171" s="32" t="s">
        <v>580</v>
      </c>
      <c r="E171" s="27" t="s">
        <v>320</v>
      </c>
      <c r="F171" s="6" t="s">
        <v>273</v>
      </c>
      <c r="G171" s="6" t="s">
        <v>300</v>
      </c>
      <c r="H171" s="6" t="s">
        <v>1751</v>
      </c>
      <c r="I171" s="6" t="s">
        <v>974</v>
      </c>
      <c r="J171" s="6" t="s">
        <v>2235</v>
      </c>
      <c r="K171" s="6" t="s">
        <v>132</v>
      </c>
      <c r="L171" s="6" t="s">
        <v>8</v>
      </c>
      <c r="M171" s="6" t="s">
        <v>132</v>
      </c>
      <c r="R171" s="6" t="s">
        <v>2214</v>
      </c>
    </row>
    <row r="172" spans="1:18" ht="15" customHeight="1" x14ac:dyDescent="0.35">
      <c r="A172" s="25" t="s">
        <v>1547</v>
      </c>
      <c r="B172" s="25" t="s">
        <v>1135</v>
      </c>
      <c r="C172" s="25" t="s">
        <v>186</v>
      </c>
      <c r="D172" s="32" t="s">
        <v>580</v>
      </c>
      <c r="E172" s="27" t="s">
        <v>320</v>
      </c>
      <c r="F172" s="6" t="s">
        <v>273</v>
      </c>
      <c r="G172" s="6" t="s">
        <v>1935</v>
      </c>
      <c r="H172" s="6" t="s">
        <v>1669</v>
      </c>
      <c r="I172" s="6" t="s">
        <v>1747</v>
      </c>
      <c r="J172" s="6" t="s">
        <v>2233</v>
      </c>
      <c r="K172" s="6" t="s">
        <v>2136</v>
      </c>
      <c r="L172" s="6" t="s">
        <v>8</v>
      </c>
      <c r="M172" s="6" t="s">
        <v>2136</v>
      </c>
      <c r="R172" s="6" t="s">
        <v>2214</v>
      </c>
    </row>
    <row r="173" spans="1:18" ht="15" customHeight="1" x14ac:dyDescent="0.35">
      <c r="A173" s="25" t="s">
        <v>1551</v>
      </c>
      <c r="B173" s="25" t="s">
        <v>1138</v>
      </c>
      <c r="C173" s="25" t="s">
        <v>194</v>
      </c>
      <c r="D173" s="32" t="s">
        <v>418</v>
      </c>
      <c r="E173" s="27" t="s">
        <v>286</v>
      </c>
      <c r="F173" s="6" t="s">
        <v>372</v>
      </c>
      <c r="G173" s="6" t="s">
        <v>397</v>
      </c>
      <c r="H173" s="6" t="s">
        <v>1327</v>
      </c>
      <c r="I173" s="6" t="s">
        <v>1020</v>
      </c>
      <c r="J173" s="6" t="s">
        <v>2234</v>
      </c>
      <c r="K173" s="6" t="s">
        <v>195</v>
      </c>
      <c r="L173" s="6" t="s">
        <v>8</v>
      </c>
      <c r="M173" s="6" t="s">
        <v>1610</v>
      </c>
      <c r="N173" s="6" t="s">
        <v>38</v>
      </c>
      <c r="O173" s="6" t="s">
        <v>196</v>
      </c>
      <c r="R173" s="6" t="s">
        <v>2215</v>
      </c>
    </row>
    <row r="174" spans="1:18" ht="14.25" customHeight="1" x14ac:dyDescent="0.35">
      <c r="A174" s="25" t="s">
        <v>1554</v>
      </c>
      <c r="B174" s="25" t="s">
        <v>1141</v>
      </c>
      <c r="C174" s="25" t="s">
        <v>200</v>
      </c>
      <c r="D174" s="32" t="s">
        <v>1932</v>
      </c>
      <c r="E174" s="27" t="s">
        <v>309</v>
      </c>
      <c r="F174" s="6" t="s">
        <v>372</v>
      </c>
      <c r="G174" s="6" t="s">
        <v>2076</v>
      </c>
      <c r="H174" s="6" t="s">
        <v>1305</v>
      </c>
      <c r="I174" s="6" t="s">
        <v>961</v>
      </c>
      <c r="J174" s="6" t="s">
        <v>2235</v>
      </c>
      <c r="K174" s="6" t="s">
        <v>1306</v>
      </c>
      <c r="L174" s="6" t="s">
        <v>15</v>
      </c>
      <c r="M174" s="6" t="s">
        <v>1306</v>
      </c>
      <c r="R174" s="6" t="s">
        <v>2211</v>
      </c>
    </row>
    <row r="175" spans="1:18" ht="14.25" customHeight="1" x14ac:dyDescent="0.35">
      <c r="A175" s="25" t="s">
        <v>1561</v>
      </c>
      <c r="B175" s="25" t="s">
        <v>1147</v>
      </c>
      <c r="C175" s="25" t="s">
        <v>211</v>
      </c>
      <c r="D175" s="32" t="s">
        <v>1932</v>
      </c>
      <c r="E175" s="27" t="s">
        <v>309</v>
      </c>
      <c r="F175" s="6" t="s">
        <v>405</v>
      </c>
      <c r="G175" s="6" t="s">
        <v>420</v>
      </c>
      <c r="H175" s="6" t="s">
        <v>1639</v>
      </c>
      <c r="I175" s="6" t="s">
        <v>966</v>
      </c>
      <c r="J175" s="6" t="s">
        <v>2233</v>
      </c>
      <c r="K175" s="6" t="s">
        <v>1596</v>
      </c>
      <c r="L175" s="6" t="s">
        <v>15</v>
      </c>
      <c r="M175" s="6" t="s">
        <v>1596</v>
      </c>
      <c r="N175" s="6" t="s">
        <v>1201</v>
      </c>
      <c r="O175" s="6" t="s">
        <v>1597</v>
      </c>
      <c r="R175" s="6" t="s">
        <v>2216</v>
      </c>
    </row>
    <row r="176" spans="1:18" ht="14.25" customHeight="1" x14ac:dyDescent="0.35">
      <c r="A176" s="25" t="s">
        <v>1565</v>
      </c>
      <c r="B176" s="25" t="s">
        <v>1151</v>
      </c>
      <c r="C176" s="25" t="s">
        <v>217</v>
      </c>
      <c r="D176" s="32" t="s">
        <v>367</v>
      </c>
      <c r="E176" s="27" t="s">
        <v>286</v>
      </c>
      <c r="F176" s="6" t="s">
        <v>405</v>
      </c>
      <c r="G176" s="6" t="s">
        <v>424</v>
      </c>
      <c r="H176" s="6" t="s">
        <v>1752</v>
      </c>
      <c r="I176" s="6" t="s">
        <v>968</v>
      </c>
      <c r="J176" s="6" t="s">
        <v>2235</v>
      </c>
      <c r="K176" s="6" t="s">
        <v>1310</v>
      </c>
      <c r="L176" s="6" t="s">
        <v>8</v>
      </c>
      <c r="M176" s="6" t="s">
        <v>1310</v>
      </c>
      <c r="R176" s="6" t="s">
        <v>2217</v>
      </c>
    </row>
    <row r="177" spans="1:18" ht="14" customHeight="1" x14ac:dyDescent="0.35">
      <c r="A177" s="25" t="s">
        <v>1571</v>
      </c>
      <c r="B177" s="25" t="s">
        <v>1155</v>
      </c>
      <c r="C177" s="25" t="s">
        <v>222</v>
      </c>
      <c r="D177" s="32" t="s">
        <v>424</v>
      </c>
      <c r="E177" s="27" t="s">
        <v>320</v>
      </c>
      <c r="F177" s="6" t="s">
        <v>405</v>
      </c>
      <c r="G177" s="6" t="s">
        <v>428</v>
      </c>
      <c r="H177" s="6" t="s">
        <v>1753</v>
      </c>
      <c r="I177" s="6" t="s">
        <v>1754</v>
      </c>
      <c r="J177" s="6" t="s">
        <v>2235</v>
      </c>
      <c r="K177" s="6" t="s">
        <v>1755</v>
      </c>
      <c r="L177" s="6" t="s">
        <v>8</v>
      </c>
      <c r="M177" s="6" t="s">
        <v>1755</v>
      </c>
      <c r="R177" s="6" t="s">
        <v>2206</v>
      </c>
    </row>
    <row r="178" spans="1:18" ht="14.25" customHeight="1" x14ac:dyDescent="0.35">
      <c r="A178" s="25" t="s">
        <v>1574</v>
      </c>
      <c r="B178" s="25" t="s">
        <v>1158</v>
      </c>
      <c r="C178" s="25" t="s">
        <v>225</v>
      </c>
      <c r="D178" s="32" t="s">
        <v>736</v>
      </c>
      <c r="E178" s="27" t="s">
        <v>320</v>
      </c>
      <c r="F178" s="6" t="s">
        <v>341</v>
      </c>
      <c r="G178" s="6" t="s">
        <v>367</v>
      </c>
      <c r="H178" s="6" t="s">
        <v>1407</v>
      </c>
      <c r="I178" s="6" t="s">
        <v>1289</v>
      </c>
      <c r="J178" s="6" t="s">
        <v>2233</v>
      </c>
      <c r="K178" s="6" t="s">
        <v>1290</v>
      </c>
      <c r="L178" s="6" t="s">
        <v>24</v>
      </c>
      <c r="M178" s="6" t="s">
        <v>1290</v>
      </c>
      <c r="R178" s="6" t="s">
        <v>2218</v>
      </c>
    </row>
    <row r="179" spans="1:18" ht="14.25" customHeight="1" x14ac:dyDescent="0.35">
      <c r="A179" s="25" t="s">
        <v>1575</v>
      </c>
      <c r="B179" s="25" t="s">
        <v>1159</v>
      </c>
      <c r="C179" s="25" t="s">
        <v>226</v>
      </c>
      <c r="D179" s="32" t="s">
        <v>367</v>
      </c>
      <c r="E179" s="27" t="s">
        <v>286</v>
      </c>
      <c r="F179" s="6" t="s">
        <v>273</v>
      </c>
      <c r="G179" s="6" t="s">
        <v>472</v>
      </c>
      <c r="H179" s="6" t="s">
        <v>1693</v>
      </c>
      <c r="I179" s="6" t="s">
        <v>1334</v>
      </c>
      <c r="J179" s="6" t="s">
        <v>2236</v>
      </c>
      <c r="K179" s="6" t="s">
        <v>1335</v>
      </c>
      <c r="L179" s="6" t="s">
        <v>38</v>
      </c>
      <c r="M179" s="6" t="s">
        <v>1335</v>
      </c>
      <c r="R179" s="6" t="s">
        <v>2219</v>
      </c>
    </row>
    <row r="180" spans="1:18" ht="14.25" customHeight="1" x14ac:dyDescent="0.35">
      <c r="A180" s="25" t="s">
        <v>1494</v>
      </c>
      <c r="B180" s="25" t="s">
        <v>1213</v>
      </c>
      <c r="C180" s="25" t="s">
        <v>113</v>
      </c>
      <c r="D180" s="32" t="s">
        <v>354</v>
      </c>
      <c r="E180" s="27" t="s">
        <v>286</v>
      </c>
      <c r="F180" s="40" t="s">
        <v>372</v>
      </c>
      <c r="G180" s="6" t="s">
        <v>1963</v>
      </c>
      <c r="H180" s="6" t="s">
        <v>2130</v>
      </c>
      <c r="I180" s="6" t="s">
        <v>948</v>
      </c>
      <c r="J180" s="6" t="s">
        <v>2235</v>
      </c>
      <c r="K180" s="6" t="s">
        <v>1309</v>
      </c>
      <c r="L180" s="6" t="s">
        <v>24</v>
      </c>
      <c r="M180" s="6" t="s">
        <v>1309</v>
      </c>
    </row>
    <row r="181" spans="1:18" ht="14" customHeight="1" x14ac:dyDescent="0.35">
      <c r="A181" s="25"/>
      <c r="B181" s="25"/>
      <c r="C181" s="25"/>
      <c r="D181" s="25"/>
      <c r="E181" s="32"/>
      <c r="F181" s="27"/>
      <c r="G181" s="28"/>
      <c r="H181" s="12"/>
      <c r="I181" s="40"/>
      <c r="J181" s="40"/>
      <c r="K181" s="6"/>
      <c r="L181" s="6"/>
    </row>
    <row r="182" spans="1:18" ht="14" customHeight="1" x14ac:dyDescent="0.35">
      <c r="A182" s="25"/>
      <c r="B182" s="25"/>
      <c r="C182" s="25"/>
      <c r="D182" s="25"/>
      <c r="E182" s="32"/>
      <c r="F182" s="27"/>
      <c r="G182" s="25"/>
      <c r="H182" s="8"/>
      <c r="I182" s="40"/>
      <c r="J182" s="40"/>
      <c r="K182" s="6"/>
      <c r="L182" s="6"/>
    </row>
    <row r="183" spans="1:18" ht="14.25" customHeight="1" x14ac:dyDescent="0.35">
      <c r="A183" s="27"/>
      <c r="B183" s="27"/>
      <c r="C183" s="46"/>
      <c r="D183" s="27"/>
      <c r="E183" s="47"/>
      <c r="F183" s="27"/>
      <c r="G183" s="26"/>
      <c r="H183" s="7"/>
      <c r="I183" s="40"/>
      <c r="J183" s="40"/>
      <c r="K183" s="6"/>
      <c r="L183" s="6"/>
    </row>
    <row r="184" spans="1:18" ht="15" customHeight="1" x14ac:dyDescent="0.35">
      <c r="A184" s="27"/>
      <c r="B184" s="27"/>
      <c r="C184" s="46"/>
      <c r="D184" s="27"/>
      <c r="E184" s="47"/>
      <c r="F184" s="27"/>
      <c r="G184" s="26"/>
      <c r="H184" s="8"/>
      <c r="I184" s="40"/>
      <c r="J184" s="40"/>
      <c r="K184" s="6"/>
      <c r="L184" s="6"/>
    </row>
    <row r="185" spans="1:18" ht="15" customHeight="1" x14ac:dyDescent="0.35">
      <c r="A185" s="27"/>
      <c r="B185" s="27"/>
      <c r="C185" s="46"/>
      <c r="D185" s="27"/>
      <c r="E185" s="47"/>
      <c r="F185" s="27"/>
      <c r="G185" s="25"/>
      <c r="H185" s="7"/>
      <c r="I185" s="40"/>
      <c r="J185" s="40"/>
      <c r="K185" s="6"/>
      <c r="L185" s="6"/>
    </row>
    <row r="186" spans="1:18" ht="15" customHeight="1" x14ac:dyDescent="0.35">
      <c r="A186" s="25"/>
      <c r="B186" s="25"/>
      <c r="C186" s="25"/>
      <c r="D186" s="25"/>
      <c r="E186" s="32"/>
      <c r="F186" s="27"/>
      <c r="G186" s="25"/>
      <c r="H186" s="7"/>
      <c r="I186" s="40"/>
      <c r="J186" s="40"/>
      <c r="K186" s="6"/>
      <c r="L186" s="6"/>
    </row>
    <row r="187" spans="1:18" s="15" customFormat="1" ht="15" customHeight="1" x14ac:dyDescent="0.35">
      <c r="A187" s="25"/>
      <c r="B187" s="25"/>
      <c r="C187" s="28"/>
      <c r="D187" s="25"/>
      <c r="E187" s="32"/>
      <c r="F187" s="27"/>
      <c r="G187" s="26"/>
      <c r="H187" s="8"/>
      <c r="I187" s="40"/>
      <c r="J187" s="40"/>
      <c r="K187" s="6"/>
    </row>
    <row r="188" spans="1:18" s="15" customFormat="1" ht="15" customHeight="1" x14ac:dyDescent="0.35">
      <c r="A188" s="25"/>
      <c r="B188" s="25"/>
      <c r="C188" s="25"/>
      <c r="D188" s="25"/>
      <c r="E188" s="32"/>
      <c r="F188" s="27"/>
      <c r="G188" s="25"/>
      <c r="H188" s="8"/>
      <c r="I188" s="40"/>
      <c r="J188" s="40"/>
      <c r="K188" s="6"/>
    </row>
    <row r="189" spans="1:18" ht="15" customHeight="1" x14ac:dyDescent="0.35">
      <c r="A189" s="25"/>
      <c r="B189" s="25"/>
      <c r="C189" s="25"/>
      <c r="D189" s="25"/>
      <c r="E189" s="32"/>
      <c r="F189" s="27"/>
      <c r="G189" s="28"/>
      <c r="H189" s="28"/>
      <c r="I189" s="40"/>
      <c r="J189" s="40"/>
      <c r="K189" s="6"/>
      <c r="L189" s="6"/>
    </row>
    <row r="190" spans="1:18" ht="15" customHeight="1" x14ac:dyDescent="0.35">
      <c r="A190" s="25"/>
      <c r="B190" s="25"/>
      <c r="C190" s="25"/>
      <c r="D190" s="25"/>
      <c r="E190" s="32"/>
      <c r="F190" s="27"/>
      <c r="G190" s="30"/>
      <c r="H190" s="20"/>
      <c r="I190" s="40"/>
      <c r="J190" s="40"/>
      <c r="K190" s="6"/>
      <c r="L190" s="6"/>
    </row>
    <row r="191" spans="1:18" ht="15" customHeight="1" x14ac:dyDescent="0.35">
      <c r="A191" s="27"/>
      <c r="B191" s="27"/>
      <c r="C191" s="27"/>
      <c r="D191" s="27"/>
      <c r="E191" s="47"/>
      <c r="F191" s="27"/>
      <c r="G191" s="27"/>
      <c r="H191" s="139"/>
      <c r="I191" s="14"/>
      <c r="J191" s="14"/>
      <c r="K191" s="6"/>
      <c r="L191" s="6"/>
    </row>
    <row r="192" spans="1:18" ht="15" customHeight="1" x14ac:dyDescent="0.35">
      <c r="A192" s="25"/>
      <c r="B192" s="25"/>
      <c r="C192" s="25"/>
      <c r="D192" s="25"/>
      <c r="E192" s="32"/>
      <c r="F192" s="27"/>
      <c r="G192" s="26"/>
      <c r="H192" s="8"/>
      <c r="I192" s="40"/>
      <c r="J192" s="40"/>
      <c r="K192" s="6"/>
      <c r="L192" s="6"/>
    </row>
  </sheetData>
  <conditionalFormatting sqref="G181:G192">
    <cfRule type="expression" dxfId="1" priority="10">
      <formula>"NOT(ISBLANK(Z2))"</formula>
    </cfRule>
  </conditionalFormatting>
  <pageMargins left="0.7" right="0.7" top="0.75" bottom="0.75" header="0" footer="0"/>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38EA-65DC-44F7-9975-7E32F6679AC8}">
  <dimension ref="A1:C21"/>
  <sheetViews>
    <sheetView zoomScale="70" zoomScaleNormal="70" workbookViewId="0">
      <selection activeCell="T1" sqref="T1:X12"/>
    </sheetView>
  </sheetViews>
  <sheetFormatPr defaultRowHeight="14.5" x14ac:dyDescent="0.35"/>
  <cols>
    <col min="1" max="16384" width="8.7265625" style="419"/>
  </cols>
  <sheetData>
    <row r="1" spans="1:3" x14ac:dyDescent="0.35">
      <c r="A1" s="419" t="s">
        <v>2370</v>
      </c>
      <c r="B1" s="419" t="s">
        <v>2371</v>
      </c>
      <c r="C1" s="419" t="s">
        <v>2372</v>
      </c>
    </row>
    <row r="2" spans="1:3" x14ac:dyDescent="0.35">
      <c r="A2" s="419">
        <v>1</v>
      </c>
      <c r="B2" s="419">
        <v>0.63144800000000001</v>
      </c>
      <c r="C2" s="419">
        <v>-5.3883960000000002</v>
      </c>
    </row>
    <row r="3" spans="1:3" x14ac:dyDescent="0.35">
      <c r="A3" s="419">
        <v>2</v>
      </c>
      <c r="B3" s="419">
        <v>0.60545899999999997</v>
      </c>
      <c r="C3" s="419">
        <v>-5.5275879999999997</v>
      </c>
    </row>
    <row r="4" spans="1:3" x14ac:dyDescent="0.35">
      <c r="A4" s="419">
        <v>3</v>
      </c>
      <c r="B4" s="419">
        <v>0.60501199999999999</v>
      </c>
      <c r="C4" s="419">
        <v>-5.6043310000000002</v>
      </c>
    </row>
    <row r="5" spans="1:3" x14ac:dyDescent="0.35">
      <c r="A5" s="419">
        <v>4</v>
      </c>
      <c r="B5" s="419">
        <v>0.59233199999999997</v>
      </c>
      <c r="C5" s="419">
        <v>-5.6703869999999998</v>
      </c>
    </row>
    <row r="6" spans="1:3" x14ac:dyDescent="0.35">
      <c r="A6" s="420">
        <v>5</v>
      </c>
      <c r="B6" s="420">
        <v>0.600495</v>
      </c>
      <c r="C6" s="420">
        <v>-5.7569780000000002</v>
      </c>
    </row>
    <row r="7" spans="1:3" x14ac:dyDescent="0.35">
      <c r="A7" s="419">
        <v>6</v>
      </c>
      <c r="B7" s="419">
        <v>0.56311999999999995</v>
      </c>
      <c r="C7" s="419">
        <v>-5.7973990000000004</v>
      </c>
    </row>
    <row r="8" spans="1:3" x14ac:dyDescent="0.35">
      <c r="A8" s="420">
        <v>7</v>
      </c>
      <c r="B8" s="420">
        <v>0.56540999999999997</v>
      </c>
      <c r="C8" s="420">
        <v>-5.8157129999999997</v>
      </c>
    </row>
    <row r="9" spans="1:3" x14ac:dyDescent="0.35">
      <c r="A9" s="419">
        <v>8</v>
      </c>
      <c r="B9" s="419">
        <v>0.54870399999999997</v>
      </c>
      <c r="C9" s="419">
        <v>-5.8579929999999996</v>
      </c>
    </row>
    <row r="10" spans="1:3" x14ac:dyDescent="0.35">
      <c r="A10" s="419">
        <v>9</v>
      </c>
      <c r="B10" s="419">
        <v>0.52712300000000001</v>
      </c>
      <c r="C10" s="419">
        <v>-5.8177139999999996</v>
      </c>
    </row>
    <row r="11" spans="1:3" x14ac:dyDescent="0.35">
      <c r="A11" s="420">
        <v>10</v>
      </c>
      <c r="B11" s="420">
        <v>0.52961100000000005</v>
      </c>
      <c r="C11" s="420">
        <v>-5.8610879999999996</v>
      </c>
    </row>
    <row r="12" spans="1:3" x14ac:dyDescent="0.35">
      <c r="A12" s="419">
        <v>11</v>
      </c>
      <c r="B12" s="419">
        <v>0.52023299999999995</v>
      </c>
      <c r="C12" s="419">
        <v>-5.9828320000000001</v>
      </c>
    </row>
    <row r="13" spans="1:3" x14ac:dyDescent="0.35">
      <c r="A13" s="419">
        <v>12</v>
      </c>
      <c r="B13" s="419">
        <v>0.53187399999999996</v>
      </c>
      <c r="C13" s="419">
        <v>-5.9825480000000004</v>
      </c>
    </row>
    <row r="14" spans="1:3" x14ac:dyDescent="0.35">
      <c r="A14" s="420">
        <v>13</v>
      </c>
      <c r="B14" s="420">
        <v>0.52995300000000001</v>
      </c>
      <c r="C14" s="420">
        <v>-6.0080730000000004</v>
      </c>
    </row>
    <row r="15" spans="1:3" x14ac:dyDescent="0.35">
      <c r="A15" s="419">
        <v>14</v>
      </c>
      <c r="B15" s="419">
        <v>0.53467699999999996</v>
      </c>
      <c r="C15" s="419">
        <v>-6.0655130000000002</v>
      </c>
    </row>
    <row r="16" spans="1:3" x14ac:dyDescent="0.35">
      <c r="A16" s="420">
        <v>15</v>
      </c>
      <c r="B16" s="420">
        <v>0.51570400000000005</v>
      </c>
      <c r="C16" s="420">
        <v>-6.0600209999999999</v>
      </c>
    </row>
    <row r="17" spans="1:3" x14ac:dyDescent="0.35">
      <c r="A17" s="419">
        <v>16</v>
      </c>
      <c r="B17" s="419">
        <v>0.49915700000000002</v>
      </c>
      <c r="C17" s="419">
        <v>-6.1351500000000003</v>
      </c>
    </row>
    <row r="18" spans="1:3" x14ac:dyDescent="0.35">
      <c r="A18" s="420">
        <v>17</v>
      </c>
      <c r="B18" s="420">
        <v>0.53023399999999998</v>
      </c>
      <c r="C18" s="420">
        <v>-7.5393169999999996</v>
      </c>
    </row>
    <row r="19" spans="1:3" x14ac:dyDescent="0.35">
      <c r="A19" s="419">
        <v>18</v>
      </c>
      <c r="B19" s="419">
        <v>0.51949800000000002</v>
      </c>
      <c r="C19" s="419">
        <v>-8.9183249999999994</v>
      </c>
    </row>
    <row r="20" spans="1:3" x14ac:dyDescent="0.35">
      <c r="A20" s="419">
        <v>19</v>
      </c>
      <c r="B20" s="419">
        <v>0.51596299999999995</v>
      </c>
      <c r="C20" s="419">
        <v>-9.6377240000000004</v>
      </c>
    </row>
    <row r="21" spans="1:3" x14ac:dyDescent="0.35">
      <c r="A21" s="419">
        <v>20</v>
      </c>
      <c r="B21" s="419">
        <v>0.51708200000000004</v>
      </c>
      <c r="C21" s="419">
        <v>-9.8367120000000003</v>
      </c>
    </row>
  </sheetData>
  <pageMargins left="0.7" right="0.7" top="0.75" bottom="0.75" header="0.3" footer="0.3"/>
  <pageSetup paperSize="9"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7A75-6D1C-492D-8EE1-5D449248678E}">
  <dimension ref="A1:L42"/>
  <sheetViews>
    <sheetView workbookViewId="0">
      <selection activeCell="L1" sqref="L1:L1048576"/>
    </sheetView>
  </sheetViews>
  <sheetFormatPr defaultRowHeight="14.5" x14ac:dyDescent="0.35"/>
  <cols>
    <col min="1" max="16384" width="8.7265625" style="419"/>
  </cols>
  <sheetData>
    <row r="1" spans="1:12" x14ac:dyDescent="0.35">
      <c r="A1" s="419" t="s">
        <v>1931</v>
      </c>
      <c r="B1" s="419" t="s">
        <v>2302</v>
      </c>
      <c r="C1" s="419" t="s">
        <v>2301</v>
      </c>
      <c r="D1" s="419" t="s">
        <v>1931</v>
      </c>
      <c r="E1" s="419" t="s">
        <v>1931</v>
      </c>
      <c r="H1" s="419" t="s">
        <v>1950</v>
      </c>
      <c r="I1" s="419" t="s">
        <v>2302</v>
      </c>
      <c r="J1" s="419" t="s">
        <v>2301</v>
      </c>
      <c r="K1" s="419" t="s">
        <v>1931</v>
      </c>
      <c r="L1" s="419" t="s">
        <v>1931</v>
      </c>
    </row>
    <row r="2" spans="1:12" x14ac:dyDescent="0.35">
      <c r="A2" s="419">
        <v>0</v>
      </c>
      <c r="B2" s="419">
        <v>1</v>
      </c>
      <c r="C2" s="419">
        <v>2</v>
      </c>
      <c r="D2" s="419">
        <v>3</v>
      </c>
      <c r="E2" s="419">
        <v>4</v>
      </c>
      <c r="H2" s="419">
        <v>0</v>
      </c>
      <c r="I2" s="419">
        <v>1</v>
      </c>
      <c r="J2" s="419">
        <v>2</v>
      </c>
      <c r="K2" s="419">
        <v>3</v>
      </c>
      <c r="L2" s="419">
        <v>4</v>
      </c>
    </row>
    <row r="3" spans="1:12" x14ac:dyDescent="0.35">
      <c r="A3" s="419" t="s">
        <v>2373</v>
      </c>
      <c r="B3" s="419" t="s">
        <v>2374</v>
      </c>
      <c r="C3" s="419" t="s">
        <v>2375</v>
      </c>
      <c r="D3" s="419" t="s">
        <v>2376</v>
      </c>
      <c r="E3" s="419" t="s">
        <v>2377</v>
      </c>
      <c r="H3" s="419" t="str">
        <f t="shared" ref="H3:H42" si="0">RIGHT(A3,(LEN(A3)-FIND("""",A3)+1))</f>
        <v>"shuttl"</v>
      </c>
      <c r="I3" s="419" t="str">
        <f t="shared" ref="I3:L18" si="1">RIGHT(B3,(LEN(B3)-FIND("""",B3)+1))</f>
        <v>"deliveri"</v>
      </c>
      <c r="J3" s="419" t="str">
        <f t="shared" si="1"/>
        <v>"truck"</v>
      </c>
      <c r="K3" s="419" t="str">
        <f t="shared" si="1"/>
        <v>"vehicl"</v>
      </c>
      <c r="L3" s="419" t="str">
        <f t="shared" si="1"/>
        <v>"vehicl"</v>
      </c>
    </row>
    <row r="4" spans="1:12" x14ac:dyDescent="0.35">
      <c r="A4" s="419" t="s">
        <v>2378</v>
      </c>
      <c r="B4" s="419" t="s">
        <v>2379</v>
      </c>
      <c r="C4" s="419" t="s">
        <v>2380</v>
      </c>
      <c r="D4" s="419" t="s">
        <v>2381</v>
      </c>
      <c r="E4" s="419" t="s">
        <v>2382</v>
      </c>
      <c r="H4" s="419" t="str">
        <f t="shared" si="0"/>
        <v>"develop"</v>
      </c>
      <c r="I4" s="419" t="str">
        <f t="shared" si="1"/>
        <v>"robot"</v>
      </c>
      <c r="J4" s="419" t="str">
        <f t="shared" si="1"/>
        <v>"develop"</v>
      </c>
      <c r="K4" s="419" t="str">
        <f t="shared" si="1"/>
        <v>"announc"</v>
      </c>
      <c r="L4" s="419" t="str">
        <f t="shared" si="1"/>
        <v>"technolog"</v>
      </c>
    </row>
    <row r="5" spans="1:12" x14ac:dyDescent="0.35">
      <c r="A5" s="419" t="s">
        <v>2383</v>
      </c>
      <c r="B5" s="419" t="s">
        <v>2384</v>
      </c>
      <c r="C5" s="419" t="s">
        <v>2385</v>
      </c>
      <c r="D5" s="419" t="s">
        <v>2386</v>
      </c>
      <c r="E5" s="419" t="s">
        <v>2387</v>
      </c>
      <c r="H5" s="419" t="str">
        <f t="shared" si="0"/>
        <v>"share"</v>
      </c>
      <c r="I5" s="419" t="str">
        <f t="shared" si="1"/>
        <v>"expand"</v>
      </c>
      <c r="J5" s="419" t="str">
        <f t="shared" si="1"/>
        <v>"bring"</v>
      </c>
      <c r="K5" s="419" t="str">
        <f t="shared" si="1"/>
        <v>"selfdriv"</v>
      </c>
      <c r="L5" s="419" t="str">
        <f t="shared" si="1"/>
        <v>"deploy"</v>
      </c>
    </row>
    <row r="6" spans="1:12" x14ac:dyDescent="0.35">
      <c r="A6" s="419" t="s">
        <v>2388</v>
      </c>
      <c r="B6" s="419" t="s">
        <v>2389</v>
      </c>
      <c r="C6" s="419" t="s">
        <v>2390</v>
      </c>
      <c r="D6" s="419" t="s">
        <v>2391</v>
      </c>
      <c r="E6" s="419" t="s">
        <v>2392</v>
      </c>
      <c r="H6" s="419" t="str">
        <f t="shared" si="0"/>
        <v>"collabor"</v>
      </c>
      <c r="I6" s="419" t="str">
        <f t="shared" si="1"/>
        <v>"easymil"</v>
      </c>
      <c r="J6" s="419" t="str">
        <f t="shared" si="1"/>
        <v>"invest"</v>
      </c>
      <c r="K6" s="419" t="str">
        <f t="shared" si="1"/>
        <v>"scale"</v>
      </c>
      <c r="L6" s="419" t="str">
        <f t="shared" si="1"/>
        <v>"strengthen"</v>
      </c>
    </row>
    <row r="7" spans="1:12" x14ac:dyDescent="0.35">
      <c r="A7" s="419" t="s">
        <v>2393</v>
      </c>
      <c r="B7" s="419" t="s">
        <v>2394</v>
      </c>
      <c r="C7" s="419" t="s">
        <v>2395</v>
      </c>
      <c r="D7" s="419" t="s">
        <v>2396</v>
      </c>
      <c r="E7" s="419" t="s">
        <v>2397</v>
      </c>
      <c r="H7" s="419" t="str">
        <f t="shared" si="0"/>
        <v>"truck"</v>
      </c>
      <c r="I7" s="419" t="str">
        <f t="shared" si="1"/>
        <v>"campus"</v>
      </c>
      <c r="J7" s="419" t="str">
        <f t="shared" si="1"/>
        <v>"oper"</v>
      </c>
      <c r="K7" s="419" t="str">
        <f t="shared" si="1"/>
        <v>"develop"</v>
      </c>
      <c r="L7" s="419" t="str">
        <f t="shared" si="1"/>
        <v>"creat"</v>
      </c>
    </row>
    <row r="8" spans="1:12" x14ac:dyDescent="0.35">
      <c r="A8" s="419" t="s">
        <v>2398</v>
      </c>
      <c r="B8" s="419" t="s">
        <v>2399</v>
      </c>
      <c r="C8" s="419" t="s">
        <v>2400</v>
      </c>
      <c r="D8" s="419" t="s">
        <v>2401</v>
      </c>
      <c r="E8" s="419" t="s">
        <v>2402</v>
      </c>
      <c r="H8" s="419" t="str">
        <f t="shared" si="0"/>
        <v>"team"</v>
      </c>
      <c r="I8" s="419" t="str">
        <f t="shared" si="1"/>
        <v>"colleg"</v>
      </c>
      <c r="J8" s="419" t="str">
        <f t="shared" si="1"/>
        <v>"mass"</v>
      </c>
      <c r="K8" s="419" t="str">
        <f t="shared" si="1"/>
        <v>"fleet"</v>
      </c>
      <c r="L8" s="419" t="str">
        <f t="shared" si="1"/>
        <v>"state"</v>
      </c>
    </row>
    <row r="9" spans="1:12" x14ac:dyDescent="0.35">
      <c r="A9" s="419" t="s">
        <v>2403</v>
      </c>
      <c r="B9" s="419" t="s">
        <v>2404</v>
      </c>
      <c r="C9" s="419" t="s">
        <v>2405</v>
      </c>
      <c r="D9" s="419" t="s">
        <v>2406</v>
      </c>
      <c r="E9" s="419" t="s">
        <v>2407</v>
      </c>
      <c r="H9" s="419" t="str">
        <f t="shared" si="0"/>
        <v>"fulli"</v>
      </c>
      <c r="I9" s="419" t="str">
        <f t="shared" si="1"/>
        <v>"groceri"</v>
      </c>
      <c r="J9" s="419" t="str">
        <f t="shared" si="1"/>
        <v>"ventur"</v>
      </c>
      <c r="K9" s="419" t="str">
        <f t="shared" si="1"/>
        <v>"futur"</v>
      </c>
      <c r="L9" s="419" t="str">
        <f t="shared" si="1"/>
        <v>"develop"</v>
      </c>
    </row>
    <row r="10" spans="1:12" x14ac:dyDescent="0.35">
      <c r="A10" s="419" t="s">
        <v>2408</v>
      </c>
      <c r="B10" s="419" t="s">
        <v>2409</v>
      </c>
      <c r="C10" s="419" t="s">
        <v>2410</v>
      </c>
      <c r="D10" s="419" t="s">
        <v>2411</v>
      </c>
      <c r="E10" s="419" t="s">
        <v>2412</v>
      </c>
      <c r="H10" s="419" t="str">
        <f t="shared" si="0"/>
        <v>"enter"</v>
      </c>
      <c r="I10" s="419" t="str">
        <f t="shared" si="1"/>
        <v>"provid"</v>
      </c>
      <c r="J10" s="419" t="str">
        <f t="shared" si="1"/>
        <v>"form"</v>
      </c>
      <c r="K10" s="419" t="str">
        <f t="shared" si="1"/>
        <v>"commerci"</v>
      </c>
      <c r="L10" s="419" t="str">
        <f t="shared" si="1"/>
        <v>"form"</v>
      </c>
    </row>
    <row r="11" spans="1:12" x14ac:dyDescent="0.35">
      <c r="A11" s="419" t="s">
        <v>2413</v>
      </c>
      <c r="B11" s="419" t="s">
        <v>2414</v>
      </c>
      <c r="C11" s="419" t="s">
        <v>2415</v>
      </c>
      <c r="D11" s="419" t="s">
        <v>2416</v>
      </c>
      <c r="E11" s="419" t="s">
        <v>2417</v>
      </c>
      <c r="H11" s="419" t="str">
        <f t="shared" si="0"/>
        <v>"driverless"</v>
      </c>
      <c r="I11" s="419" t="str">
        <f t="shared" si="1"/>
        <v>"food"</v>
      </c>
      <c r="J11" s="419" t="str">
        <f t="shared" si="1"/>
        <v>"integr"</v>
      </c>
      <c r="K11" s="419" t="str">
        <f t="shared" si="1"/>
        <v>"assist"</v>
      </c>
      <c r="L11" s="419" t="str">
        <f t="shared" si="1"/>
        <v>"launch"</v>
      </c>
    </row>
    <row r="12" spans="1:12" x14ac:dyDescent="0.35">
      <c r="A12" s="419" t="s">
        <v>2418</v>
      </c>
      <c r="B12" s="419" t="s">
        <v>2419</v>
      </c>
      <c r="C12" s="419" t="s">
        <v>2420</v>
      </c>
      <c r="D12" s="419" t="s">
        <v>2421</v>
      </c>
      <c r="E12" s="419" t="s">
        <v>2422</v>
      </c>
      <c r="H12" s="419" t="str">
        <f t="shared" si="0"/>
        <v>"deliv"</v>
      </c>
      <c r="I12" s="419" t="str">
        <f t="shared" si="1"/>
        <v>"servic"</v>
      </c>
      <c r="J12" s="419" t="str">
        <f t="shared" si="1"/>
        <v>"product"</v>
      </c>
      <c r="K12" s="419" t="str">
        <f t="shared" si="1"/>
        <v>"acceler"</v>
      </c>
      <c r="L12" s="419" t="str">
        <f t="shared" si="1"/>
        <v>"research"</v>
      </c>
    </row>
    <row r="13" spans="1:12" x14ac:dyDescent="0.35">
      <c r="A13" s="419" t="s">
        <v>2423</v>
      </c>
      <c r="B13" s="419" t="s">
        <v>2424</v>
      </c>
      <c r="C13" s="419" t="s">
        <v>2425</v>
      </c>
      <c r="D13" s="419" t="s">
        <v>2426</v>
      </c>
      <c r="E13" s="419" t="s">
        <v>2427</v>
      </c>
      <c r="H13" s="419" t="str">
        <f t="shared" si="0"/>
        <v>"icrist"</v>
      </c>
      <c r="I13" s="419" t="str">
        <f t="shared" si="1"/>
        <v>"start"</v>
      </c>
      <c r="J13" s="419" t="str">
        <f t="shared" si="1"/>
        <v>"deploy"</v>
      </c>
      <c r="K13" s="419" t="str">
        <f t="shared" si="1"/>
        <v>"compact"</v>
      </c>
      <c r="L13" s="419" t="str">
        <f t="shared" si="1"/>
        <v>"advanc"</v>
      </c>
    </row>
    <row r="14" spans="1:12" x14ac:dyDescent="0.35">
      <c r="A14" s="419" t="s">
        <v>2428</v>
      </c>
      <c r="B14" s="419" t="s">
        <v>2429</v>
      </c>
      <c r="C14" s="419" t="s">
        <v>2430</v>
      </c>
      <c r="D14" s="419" t="s">
        <v>2431</v>
      </c>
      <c r="E14" s="419" t="s">
        <v>2432</v>
      </c>
      <c r="H14" s="419" t="str">
        <f t="shared" si="0"/>
        <v>"deploy"</v>
      </c>
      <c r="I14" s="419" t="str">
        <f t="shared" si="1"/>
        <v>"10year"</v>
      </c>
      <c r="J14" s="419" t="str">
        <f t="shared" si="1"/>
        <v>"public"</v>
      </c>
      <c r="K14" s="419" t="str">
        <f t="shared" si="1"/>
        <v>"util"</v>
      </c>
      <c r="L14" s="419" t="str">
        <f t="shared" si="1"/>
        <v>"smart"</v>
      </c>
    </row>
    <row r="15" spans="1:12" x14ac:dyDescent="0.35">
      <c r="A15" s="419" t="s">
        <v>2433</v>
      </c>
      <c r="B15" s="419" t="s">
        <v>2434</v>
      </c>
      <c r="C15" s="419" t="s">
        <v>2435</v>
      </c>
      <c r="D15" s="419" t="s">
        <v>2436</v>
      </c>
      <c r="E15" s="419" t="s">
        <v>2437</v>
      </c>
      <c r="H15" s="419" t="str">
        <f t="shared" si="0"/>
        <v>"test"</v>
      </c>
      <c r="I15" s="419" t="str">
        <f t="shared" si="1"/>
        <v>"texa"</v>
      </c>
      <c r="J15" s="419" t="str">
        <f t="shared" si="1"/>
        <v>"selfdriv"</v>
      </c>
      <c r="K15" s="419" t="str">
        <f t="shared" si="1"/>
        <v>"safeti"</v>
      </c>
      <c r="L15" s="419" t="str">
        <f t="shared" si="1"/>
        <v>"oem"</v>
      </c>
    </row>
    <row r="16" spans="1:12" x14ac:dyDescent="0.35">
      <c r="A16" s="419" t="s">
        <v>2438</v>
      </c>
      <c r="B16" s="419" t="s">
        <v>2439</v>
      </c>
      <c r="C16" s="419" t="s">
        <v>2440</v>
      </c>
      <c r="D16" s="419" t="s">
        <v>2441</v>
      </c>
      <c r="E16" s="419" t="s">
        <v>2442</v>
      </c>
      <c r="H16" s="419" t="str">
        <f t="shared" si="0"/>
        <v>"passeng"</v>
      </c>
      <c r="I16" s="419" t="str">
        <f t="shared" si="1"/>
        <v>"franc"</v>
      </c>
      <c r="J16" s="419" t="str">
        <f t="shared" si="1"/>
        <v>"asia"</v>
      </c>
      <c r="K16" s="419" t="str">
        <f t="shared" si="1"/>
        <v>"allelectr"</v>
      </c>
      <c r="L16" s="419" t="str">
        <f t="shared" si="1"/>
        <v>"comprehens"</v>
      </c>
    </row>
    <row r="17" spans="1:12" x14ac:dyDescent="0.35">
      <c r="A17" s="419" t="s">
        <v>2447</v>
      </c>
      <c r="B17" s="419" t="s">
        <v>2443</v>
      </c>
      <c r="C17" s="419" t="s">
        <v>2444</v>
      </c>
      <c r="D17" s="419" t="s">
        <v>2445</v>
      </c>
      <c r="E17" s="419" t="s">
        <v>2446</v>
      </c>
      <c r="H17" s="419" t="str">
        <f t="shared" si="0"/>
        <v>"bird\sey"</v>
      </c>
      <c r="I17" s="419" t="str">
        <f t="shared" si="1"/>
        <v>"rider"</v>
      </c>
      <c r="J17" s="419" t="str">
        <f t="shared" si="1"/>
        <v>"establish"</v>
      </c>
      <c r="K17" s="419" t="str">
        <f t="shared" si="1"/>
        <v>"trial"</v>
      </c>
      <c r="L17" s="419" t="str">
        <f t="shared" si="1"/>
        <v>"blind"</v>
      </c>
    </row>
    <row r="18" spans="1:12" x14ac:dyDescent="0.35">
      <c r="A18" s="419" t="s">
        <v>2448</v>
      </c>
      <c r="B18" s="419" t="s">
        <v>2449</v>
      </c>
      <c r="C18" s="419" t="s">
        <v>2450</v>
      </c>
      <c r="D18" s="419" t="s">
        <v>2451</v>
      </c>
      <c r="E18" s="419" t="s">
        <v>2452</v>
      </c>
      <c r="H18" s="419" t="str">
        <f t="shared" si="0"/>
        <v>"view"</v>
      </c>
      <c r="I18" s="419" t="str">
        <f t="shared" si="1"/>
        <v>"japan"</v>
      </c>
      <c r="J18" s="419" t="str">
        <f t="shared" si="1"/>
        <v>"produc"</v>
      </c>
      <c r="K18" s="419" t="str">
        <f t="shared" si="1"/>
        <v>"power"</v>
      </c>
      <c r="L18" s="419" t="str">
        <f t="shared" si="1"/>
        <v>"navig"</v>
      </c>
    </row>
    <row r="19" spans="1:12" x14ac:dyDescent="0.35">
      <c r="A19" s="419" t="s">
        <v>2453</v>
      </c>
      <c r="B19" s="419" t="s">
        <v>2454</v>
      </c>
      <c r="C19" s="419" t="s">
        <v>2455</v>
      </c>
      <c r="D19" s="419" t="s">
        <v>2456</v>
      </c>
      <c r="E19" s="419" t="s">
        <v>2457</v>
      </c>
      <c r="H19" s="419" t="str">
        <f t="shared" si="0"/>
        <v>"effici"</v>
      </c>
      <c r="I19" s="419" t="str">
        <f t="shared" ref="I19:L34" si="2">RIGHT(B19,(LEN(B19)-FIND("""",B19)+1))</f>
        <v>"global"</v>
      </c>
      <c r="J19" s="419" t="str">
        <f t="shared" si="2"/>
        <v>"deliveri"</v>
      </c>
      <c r="K19" s="419" t="str">
        <f t="shared" si="2"/>
        <v>"electrifi"</v>
      </c>
      <c r="L19" s="419" t="str">
        <f t="shared" si="2"/>
        <v>"driven"</v>
      </c>
    </row>
    <row r="20" spans="1:12" x14ac:dyDescent="0.35">
      <c r="A20" s="419" t="s">
        <v>2458</v>
      </c>
      <c r="B20" s="419" t="s">
        <v>2459</v>
      </c>
      <c r="C20" s="419" t="s">
        <v>2460</v>
      </c>
      <c r="D20" s="419" t="s">
        <v>2461</v>
      </c>
      <c r="E20" s="419" t="s">
        <v>2462</v>
      </c>
      <c r="H20" s="419" t="str">
        <f t="shared" si="0"/>
        <v>"enhanc"</v>
      </c>
      <c r="I20" s="419" t="str">
        <f t="shared" si="2"/>
        <v>"retail"</v>
      </c>
      <c r="J20" s="419" t="str">
        <f t="shared" si="2"/>
        <v>"region"</v>
      </c>
      <c r="K20" s="419" t="str">
        <f t="shared" si="2"/>
        <v>"build"</v>
      </c>
      <c r="L20" s="419" t="str">
        <f t="shared" si="2"/>
        <v>"traffic"</v>
      </c>
    </row>
    <row r="21" spans="1:12" x14ac:dyDescent="0.35">
      <c r="A21" s="419" t="s">
        <v>2463</v>
      </c>
      <c r="B21" s="419" t="s">
        <v>2464</v>
      </c>
      <c r="C21" s="419" t="s">
        <v>2465</v>
      </c>
      <c r="D21" s="419" t="s">
        <v>2466</v>
      </c>
      <c r="E21" s="419" t="s">
        <v>2467</v>
      </c>
      <c r="H21" s="419" t="str">
        <f t="shared" si="0"/>
        <v>"mile"</v>
      </c>
      <c r="I21" s="419" t="str">
        <f t="shared" si="2"/>
        <v>"process"</v>
      </c>
      <c r="J21" s="419" t="str">
        <f t="shared" si="2"/>
        <v>"ondemand"</v>
      </c>
      <c r="K21" s="419" t="str">
        <f t="shared" si="2"/>
        <v>"level"</v>
      </c>
      <c r="L21" s="419" t="str">
        <f t="shared" si="2"/>
        <v>"turnaround"</v>
      </c>
    </row>
    <row r="22" spans="1:12" x14ac:dyDescent="0.35">
      <c r="A22" s="419" t="s">
        <v>2468</v>
      </c>
      <c r="B22" s="419" t="s">
        <v>2469</v>
      </c>
      <c r="C22" s="419" t="s">
        <v>2449</v>
      </c>
      <c r="D22" s="419" t="s">
        <v>2470</v>
      </c>
      <c r="E22" s="419" t="s">
        <v>2471</v>
      </c>
      <c r="H22" s="419" t="str">
        <f t="shared" si="0"/>
        <v>"middl"</v>
      </c>
      <c r="I22" s="419" t="str">
        <f t="shared" si="2"/>
        <v>"imag"</v>
      </c>
      <c r="J22" s="419" t="str">
        <f t="shared" si="2"/>
        <v>"japan"</v>
      </c>
      <c r="K22" s="419" t="str">
        <f t="shared" si="2"/>
        <v>"unveil"</v>
      </c>
      <c r="L22" s="419" t="str">
        <f t="shared" si="2"/>
        <v>"public"</v>
      </c>
    </row>
    <row r="23" spans="1:12" x14ac:dyDescent="0.35">
      <c r="A23" s="419" t="s">
        <v>2472</v>
      </c>
      <c r="B23" s="419" t="s">
        <v>2473</v>
      </c>
      <c r="C23" s="419" t="s">
        <v>2474</v>
      </c>
      <c r="D23" s="419" t="s">
        <v>2475</v>
      </c>
      <c r="E23" s="419" t="s">
        <v>2476</v>
      </c>
      <c r="H23" s="419" t="str">
        <f t="shared" si="0"/>
        <v>"safeti"</v>
      </c>
      <c r="I23" s="419" t="str">
        <f t="shared" si="2"/>
        <v>"nextgen"</v>
      </c>
      <c r="J23" s="419" t="str">
        <f t="shared" si="2"/>
        <v>"southeast"</v>
      </c>
      <c r="K23" s="419" t="str">
        <f t="shared" si="2"/>
        <v>"fulli"</v>
      </c>
      <c r="L23" s="419" t="str">
        <f t="shared" si="2"/>
        <v>"reveal"</v>
      </c>
    </row>
    <row r="24" spans="1:12" x14ac:dyDescent="0.35">
      <c r="A24" s="419" t="s">
        <v>2477</v>
      </c>
      <c r="B24" s="419" t="s">
        <v>2478</v>
      </c>
      <c r="C24" s="419" t="s">
        <v>2479</v>
      </c>
      <c r="D24" s="419" t="s">
        <v>2480</v>
      </c>
      <c r="E24" s="419" t="s">
        <v>2481</v>
      </c>
      <c r="H24" s="419" t="str">
        <f t="shared" si="0"/>
        <v>"invest"</v>
      </c>
      <c r="I24" s="419" t="str">
        <f t="shared" si="2"/>
        <v>"sens"</v>
      </c>
      <c r="J24" s="419" t="str">
        <f t="shared" si="2"/>
        <v>"agre"</v>
      </c>
      <c r="K24" s="419" t="str">
        <f t="shared" si="2"/>
        <v>"system"</v>
      </c>
      <c r="L24" s="419" t="str">
        <f t="shared" si="2"/>
        <v>"citi"</v>
      </c>
    </row>
    <row r="25" spans="1:12" x14ac:dyDescent="0.35">
      <c r="A25" s="419" t="s">
        <v>2482</v>
      </c>
      <c r="B25" s="419" t="s">
        <v>2483</v>
      </c>
      <c r="C25" s="419" t="s">
        <v>2484</v>
      </c>
      <c r="D25" s="419" t="s">
        <v>2485</v>
      </c>
      <c r="E25" s="419" t="s">
        <v>2486</v>
      </c>
      <c r="H25" s="419" t="str">
        <f t="shared" si="0"/>
        <v>"easymil"</v>
      </c>
      <c r="I25" s="419" t="str">
        <f t="shared" si="2"/>
        <v>"broader"</v>
      </c>
      <c r="J25" s="419" t="str">
        <f t="shared" si="2"/>
        <v>"sustain"</v>
      </c>
      <c r="K25" s="419" t="str">
        <f t="shared" si="2"/>
        <v>"uniqu"</v>
      </c>
      <c r="L25" s="419" t="str">
        <f t="shared" si="2"/>
        <v>"truck"</v>
      </c>
    </row>
    <row r="26" spans="1:12" x14ac:dyDescent="0.35">
      <c r="A26" s="419" t="s">
        <v>2487</v>
      </c>
      <c r="B26" s="419" t="s">
        <v>2488</v>
      </c>
      <c r="C26" s="419" t="s">
        <v>2489</v>
      </c>
      <c r="D26" s="419" t="s">
        <v>2490</v>
      </c>
      <c r="E26" s="419" t="s">
        <v>2491</v>
      </c>
      <c r="H26" s="419" t="str">
        <f t="shared" si="0"/>
        <v>"china"</v>
      </c>
      <c r="I26" s="419" t="str">
        <f t="shared" si="2"/>
        <v>"kick"</v>
      </c>
      <c r="J26" s="419" t="str">
        <f t="shared" si="2"/>
        <v>"deliv"</v>
      </c>
      <c r="K26" s="419" t="str">
        <f t="shared" si="2"/>
        <v>"nextgener"</v>
      </c>
      <c r="L26" s="419" t="str">
        <f t="shared" si="2"/>
        <v>"safer"</v>
      </c>
    </row>
    <row r="27" spans="1:12" x14ac:dyDescent="0.35">
      <c r="A27" s="419" t="s">
        <v>2492</v>
      </c>
      <c r="B27" s="419" t="s">
        <v>2493</v>
      </c>
      <c r="C27" s="419" t="s">
        <v>2494</v>
      </c>
      <c r="D27" s="419" t="s">
        <v>2495</v>
      </c>
      <c r="E27" s="419" t="s">
        <v>2496</v>
      </c>
      <c r="H27" s="419" t="str">
        <f t="shared" si="0"/>
        <v>"innov"</v>
      </c>
      <c r="I27" s="419" t="str">
        <f t="shared" si="2"/>
        <v>"open"</v>
      </c>
      <c r="J27" s="419" t="str">
        <f t="shared" si="2"/>
        <v>"offer"</v>
      </c>
      <c r="K27" s="419" t="str">
        <f t="shared" si="2"/>
        <v>"shuttl"</v>
      </c>
      <c r="L27" s="419" t="str">
        <f t="shared" si="2"/>
        <v>"cleaner"</v>
      </c>
    </row>
    <row r="28" spans="1:12" x14ac:dyDescent="0.35">
      <c r="A28" s="419" t="s">
        <v>2497</v>
      </c>
      <c r="B28" s="419" t="s">
        <v>2498</v>
      </c>
      <c r="C28" s="419" t="s">
        <v>2499</v>
      </c>
      <c r="D28" s="419" t="s">
        <v>2500</v>
      </c>
      <c r="E28" s="419" t="s">
        <v>2501</v>
      </c>
      <c r="H28" s="419" t="str">
        <f t="shared" si="0"/>
        <v>"project"</v>
      </c>
      <c r="I28" s="419" t="str">
        <f t="shared" si="2"/>
        <v>"manufactur"</v>
      </c>
      <c r="J28" s="419" t="str">
        <f t="shared" si="2"/>
        <v>"demonstr"</v>
      </c>
      <c r="K28" s="419" t="str">
        <f t="shared" si="2"/>
        <v>"team"</v>
      </c>
      <c r="L28" s="419" t="str">
        <f t="shared" si="2"/>
        <v>"lowcarbon"</v>
      </c>
    </row>
    <row r="29" spans="1:12" x14ac:dyDescent="0.35">
      <c r="A29" s="419" t="s">
        <v>2502</v>
      </c>
      <c r="B29" s="419" t="s">
        <v>2503</v>
      </c>
      <c r="C29" s="419" t="s">
        <v>2504</v>
      </c>
      <c r="D29" s="419" t="s">
        <v>2505</v>
      </c>
      <c r="E29" s="419" t="s">
        <v>2506</v>
      </c>
      <c r="H29" s="419" t="str">
        <f t="shared" si="0"/>
        <v>"sustain"</v>
      </c>
      <c r="I29" s="419" t="str">
        <f t="shared" si="2"/>
        <v>"platform"</v>
      </c>
      <c r="J29" s="419" t="str">
        <f t="shared" si="2"/>
        <v>"ecosystem"</v>
      </c>
      <c r="K29" s="419" t="str">
        <f t="shared" si="2"/>
        <v>"aipow"</v>
      </c>
      <c r="L29" s="419" t="str">
        <f t="shared" si="2"/>
        <v>"field"</v>
      </c>
    </row>
    <row r="30" spans="1:12" x14ac:dyDescent="0.35">
      <c r="A30" s="419" t="s">
        <v>2507</v>
      </c>
      <c r="B30" s="419" t="s">
        <v>2508</v>
      </c>
      <c r="C30" s="419" t="s">
        <v>2509</v>
      </c>
      <c r="D30" s="419" t="s">
        <v>2510</v>
      </c>
      <c r="E30" s="419" t="s">
        <v>2511</v>
      </c>
      <c r="H30" s="419" t="str">
        <f t="shared" si="0"/>
        <v>"ondemand"</v>
      </c>
      <c r="I30" s="419" t="str">
        <f t="shared" si="2"/>
        <v>"pilot"</v>
      </c>
      <c r="J30" s="419" t="str">
        <f t="shared" si="2"/>
        <v>"american"</v>
      </c>
      <c r="K30" s="419" t="str">
        <f t="shared" si="2"/>
        <v>"industryfirst"</v>
      </c>
      <c r="L30" s="419" t="str">
        <f t="shared" si="2"/>
        <v>"speed"</v>
      </c>
    </row>
    <row r="31" spans="1:12" x14ac:dyDescent="0.35">
      <c r="A31" s="419" t="s">
        <v>2512</v>
      </c>
      <c r="B31" s="419" t="s">
        <v>2513</v>
      </c>
      <c r="C31" s="419" t="s">
        <v>2514</v>
      </c>
      <c r="D31" s="419" t="s">
        <v>2515</v>
      </c>
      <c r="E31" s="419" t="s">
        <v>2516</v>
      </c>
      <c r="H31" s="419" t="str">
        <f t="shared" si="0"/>
        <v>"acceler"</v>
      </c>
      <c r="I31" s="419" t="str">
        <f t="shared" si="2"/>
        <v>"scalabl"</v>
      </c>
      <c r="J31" s="419" t="str">
        <f t="shared" si="2"/>
        <v>"shorthaul"</v>
      </c>
      <c r="K31" s="419" t="str">
        <f t="shared" si="2"/>
        <v>"squeakyclean"</v>
      </c>
      <c r="L31" s="419" t="str">
        <f t="shared" si="2"/>
        <v>"explor"</v>
      </c>
    </row>
    <row r="32" spans="1:12" x14ac:dyDescent="0.35">
      <c r="A32" s="419" t="s">
        <v>2517</v>
      </c>
      <c r="B32" s="419" t="s">
        <v>2518</v>
      </c>
      <c r="C32" s="419" t="s">
        <v>2519</v>
      </c>
      <c r="D32" s="419" t="s">
        <v>2520</v>
      </c>
      <c r="E32" s="419" t="s">
        <v>2521</v>
      </c>
      <c r="H32" s="419" t="str">
        <f t="shared" si="0"/>
        <v>"pioneer"</v>
      </c>
      <c r="I32" s="419" t="str">
        <f t="shared" si="2"/>
        <v>"realiz"</v>
      </c>
      <c r="J32" s="419" t="str">
        <f t="shared" si="2"/>
        <v>"enabl"</v>
      </c>
      <c r="K32" s="419" t="str">
        <f t="shared" si="2"/>
        <v>"tailormad"</v>
      </c>
      <c r="L32" s="419" t="str">
        <f t="shared" si="2"/>
        <v>"tank"</v>
      </c>
    </row>
    <row r="33" spans="1:12" x14ac:dyDescent="0.35">
      <c r="A33" s="419" t="s">
        <v>2522</v>
      </c>
      <c r="B33" s="419" t="s">
        <v>2523</v>
      </c>
      <c r="C33" s="419" t="s">
        <v>2524</v>
      </c>
      <c r="D33" s="419" t="s">
        <v>2525</v>
      </c>
      <c r="E33" s="419" t="s">
        <v>2526</v>
      </c>
      <c r="H33" s="419" t="str">
        <f t="shared" si="0"/>
        <v>"machin"</v>
      </c>
      <c r="I33" s="419" t="str">
        <f t="shared" si="2"/>
        <v>"commerci"</v>
      </c>
      <c r="J33" s="419" t="str">
        <f t="shared" si="2"/>
        <v>"gener"</v>
      </c>
      <c r="K33" s="419" t="str">
        <f t="shared" si="2"/>
        <v>"welloil"</v>
      </c>
      <c r="L33" s="419" t="str">
        <f t="shared" si="2"/>
        <v>"think"</v>
      </c>
    </row>
    <row r="34" spans="1:12" x14ac:dyDescent="0.35">
      <c r="A34" s="419" t="s">
        <v>2527</v>
      </c>
      <c r="B34" s="419" t="s">
        <v>2528</v>
      </c>
      <c r="C34" s="419" t="s">
        <v>2529</v>
      </c>
      <c r="D34" s="419" t="s">
        <v>2530</v>
      </c>
      <c r="E34" s="419" t="s">
        <v>2531</v>
      </c>
      <c r="H34" s="419" t="str">
        <f t="shared" si="0"/>
        <v>"learn"</v>
      </c>
      <c r="I34" s="419" t="str">
        <f t="shared" si="2"/>
        <v>"buse"</v>
      </c>
      <c r="J34" s="419" t="str">
        <f t="shared" si="2"/>
        <v>"largest"</v>
      </c>
      <c r="K34" s="419" t="str">
        <f t="shared" si="2"/>
        <v>"secur"</v>
      </c>
      <c r="L34" s="419" t="str">
        <f t="shared" si="2"/>
        <v>"movin"</v>
      </c>
    </row>
    <row r="35" spans="1:12" x14ac:dyDescent="0.35">
      <c r="A35" s="419" t="s">
        <v>2532</v>
      </c>
      <c r="B35" s="419" t="s">
        <v>2533</v>
      </c>
      <c r="C35" s="419" t="s">
        <v>2534</v>
      </c>
      <c r="D35" s="419" t="s">
        <v>2535</v>
      </c>
      <c r="E35" s="419" t="s">
        <v>2536</v>
      </c>
      <c r="H35" s="419" t="str">
        <f t="shared" si="0"/>
        <v>"begin"</v>
      </c>
      <c r="I35" s="419" t="str">
        <f t="shared" ref="I35:L42" si="3">RIGHT(B35,(LEN(B35)-FIND("""",B35)+1))</f>
        <v>"deploy"</v>
      </c>
      <c r="J35" s="419" t="str">
        <f t="shared" si="3"/>
        <v>"europ"</v>
      </c>
      <c r="K35" s="419" t="str">
        <f t="shared" si="3"/>
        <v>"maintain"</v>
      </c>
      <c r="L35" s="419" t="str">
        <f t="shared" si="3"/>
        <v>"experiment"</v>
      </c>
    </row>
    <row r="36" spans="1:12" x14ac:dyDescent="0.35">
      <c r="A36" s="419" t="s">
        <v>2537</v>
      </c>
      <c r="B36" s="419" t="s">
        <v>2538</v>
      </c>
      <c r="C36" s="419" t="s">
        <v>2539</v>
      </c>
      <c r="D36" s="419" t="s">
        <v>2540</v>
      </c>
      <c r="E36" s="419" t="s">
        <v>2541</v>
      </c>
      <c r="H36" s="419" t="str">
        <f t="shared" si="0"/>
        <v>"microtransit"</v>
      </c>
      <c r="I36" s="419" t="str">
        <f t="shared" si="3"/>
        <v>"test"</v>
      </c>
      <c r="J36" s="419" t="str">
        <f t="shared" si="3"/>
        <v>"mileston"</v>
      </c>
      <c r="K36" s="419" t="str">
        <f t="shared" si="3"/>
        <v>"driver"</v>
      </c>
      <c r="L36" s="419" t="str">
        <f t="shared" si="3"/>
        <v>"framework"</v>
      </c>
    </row>
    <row r="37" spans="1:12" x14ac:dyDescent="0.35">
      <c r="A37" s="419" t="s">
        <v>2542</v>
      </c>
      <c r="B37" s="419" t="s">
        <v>2543</v>
      </c>
      <c r="C37" s="419" t="s">
        <v>2544</v>
      </c>
      <c r="D37" s="419" t="s">
        <v>2545</v>
      </c>
      <c r="E37" s="419" t="s">
        <v>2546</v>
      </c>
      <c r="H37" s="419" t="str">
        <f t="shared" si="0"/>
        <v>"turnkey"</v>
      </c>
      <c r="I37" s="419" t="str">
        <f t="shared" si="3"/>
        <v>"canada"</v>
      </c>
      <c r="J37" s="419" t="str">
        <f t="shared" si="3"/>
        <v>"firm"</v>
      </c>
      <c r="K37" s="419" t="str">
        <f t="shared" si="3"/>
        <v>"toyotaback"</v>
      </c>
      <c r="L37" s="419" t="str">
        <f t="shared" si="3"/>
        <v>"hawaii"</v>
      </c>
    </row>
    <row r="38" spans="1:12" x14ac:dyDescent="0.35">
      <c r="A38" s="419" t="s">
        <v>2547</v>
      </c>
      <c r="B38" s="419" t="s">
        <v>2548</v>
      </c>
      <c r="C38" s="419" t="s">
        <v>2549</v>
      </c>
      <c r="D38" s="419" t="s">
        <v>2550</v>
      </c>
      <c r="E38" s="419" t="s">
        <v>2551</v>
      </c>
      <c r="H38" s="419" t="str">
        <f t="shared" si="0"/>
        <v>"fork"</v>
      </c>
      <c r="I38" s="419" t="str">
        <f t="shared" si="3"/>
        <v>"doortodoor"</v>
      </c>
      <c r="J38" s="419" t="str">
        <f t="shared" si="3"/>
        <v>"assist"</v>
      </c>
      <c r="K38" s="419" t="str">
        <f t="shared" si="3"/>
        <v>"robot"</v>
      </c>
      <c r="L38" s="419" t="str">
        <f t="shared" si="3"/>
        <v>"bring"</v>
      </c>
    </row>
    <row r="39" spans="1:12" x14ac:dyDescent="0.35">
      <c r="A39" s="419" t="s">
        <v>2552</v>
      </c>
      <c r="B39" s="419" t="s">
        <v>2553</v>
      </c>
      <c r="C39" s="419" t="s">
        <v>2554</v>
      </c>
      <c r="D39" s="419" t="s">
        <v>2555</v>
      </c>
      <c r="E39" s="419" t="s">
        <v>2556</v>
      </c>
      <c r="H39" s="419" t="str">
        <f t="shared" si="0"/>
        <v>"servic"</v>
      </c>
      <c r="I39" s="419" t="str">
        <f t="shared" si="3"/>
        <v>"drone"</v>
      </c>
      <c r="J39" s="419" t="str">
        <f t="shared" si="3"/>
        <v>"singapor"</v>
      </c>
      <c r="K39" s="419" t="str">
        <f t="shared" si="3"/>
        <v>"renew"</v>
      </c>
      <c r="L39" s="419" t="str">
        <f t="shared" si="3"/>
        <v>"nation"</v>
      </c>
    </row>
    <row r="40" spans="1:12" x14ac:dyDescent="0.35">
      <c r="A40" s="419" t="s">
        <v>2557</v>
      </c>
      <c r="B40" s="419" t="s">
        <v>2558</v>
      </c>
      <c r="C40" s="419" t="s">
        <v>2559</v>
      </c>
      <c r="D40" s="419" t="s">
        <v>2560</v>
      </c>
      <c r="E40" s="419" t="s">
        <v>2561</v>
      </c>
      <c r="H40" s="419" t="str">
        <f t="shared" si="0"/>
        <v>"solarpow"</v>
      </c>
      <c r="I40" s="419" t="str">
        <f t="shared" si="3"/>
        <v>"autom"</v>
      </c>
      <c r="J40" s="419" t="str">
        <f t="shared" si="3"/>
        <v>"futur"</v>
      </c>
      <c r="K40" s="419" t="str">
        <f t="shared" si="3"/>
        <v>"ondemand"</v>
      </c>
      <c r="L40" s="419" t="str">
        <f t="shared" si="3"/>
        <v>"rescu"</v>
      </c>
    </row>
    <row r="41" spans="1:12" x14ac:dyDescent="0.35">
      <c r="A41" s="419" t="s">
        <v>2562</v>
      </c>
      <c r="B41" s="419" t="s">
        <v>2563</v>
      </c>
      <c r="C41" s="419" t="s">
        <v>2564</v>
      </c>
      <c r="D41" s="419" t="s">
        <v>2565</v>
      </c>
      <c r="E41" s="419" t="s">
        <v>2566</v>
      </c>
      <c r="H41" s="419" t="str">
        <f t="shared" si="0"/>
        <v>"dynam"</v>
      </c>
      <c r="I41" s="419" t="str">
        <f t="shared" si="3"/>
        <v>"pizza"</v>
      </c>
      <c r="J41" s="419" t="str">
        <f t="shared" si="3"/>
        <v>"municip"</v>
      </c>
      <c r="K41" s="419" t="str">
        <f t="shared" si="3"/>
        <v>"share"</v>
      </c>
      <c r="L41" s="419" t="str">
        <f t="shared" si="3"/>
        <v>"food"</v>
      </c>
    </row>
    <row r="42" spans="1:12" x14ac:dyDescent="0.35">
      <c r="A42" s="419" t="s">
        <v>2567</v>
      </c>
      <c r="B42" s="419" t="s">
        <v>2568</v>
      </c>
      <c r="C42" s="419" t="s">
        <v>2569</v>
      </c>
      <c r="D42" s="419" t="s">
        <v>2570</v>
      </c>
      <c r="E42" s="419" t="s">
        <v>2571</v>
      </c>
      <c r="H42" s="419" t="str">
        <f t="shared" si="0"/>
        <v>"foundat"</v>
      </c>
      <c r="I42" s="419" t="str">
        <f t="shared" si="3"/>
        <v>"artisan"</v>
      </c>
      <c r="J42" s="419" t="str">
        <f t="shared" si="3"/>
        <v>"natur"</v>
      </c>
      <c r="K42" s="419" t="str">
        <f t="shared" si="3"/>
        <v>"swedish"</v>
      </c>
      <c r="L42" s="419" t="str">
        <f t="shared" si="3"/>
        <v>"evalu"</v>
      </c>
    </row>
  </sheetData>
  <pageMargins left="0.7" right="0.7" top="0.75" bottom="0.75" header="0.3" footer="0.3"/>
  <pageSetup paperSize="9"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E143-2713-4577-A911-34E2CAF3B5D4}">
  <dimension ref="A1:S171"/>
  <sheetViews>
    <sheetView zoomScale="85" zoomScaleNormal="85" workbookViewId="0"/>
  </sheetViews>
  <sheetFormatPr defaultRowHeight="14.5" x14ac:dyDescent="0.35"/>
  <cols>
    <col min="2" max="2" width="24.1796875" bestFit="1" customWidth="1"/>
    <col min="3" max="3" width="14.1796875" bestFit="1" customWidth="1"/>
    <col min="5" max="5" width="8.7265625" style="107"/>
    <col min="8" max="8" width="23.26953125" customWidth="1"/>
    <col min="13" max="13" width="19.81640625" customWidth="1"/>
    <col min="16" max="16" width="28.81640625" bestFit="1" customWidth="1"/>
  </cols>
  <sheetData>
    <row r="1" spans="1:19" x14ac:dyDescent="0.35">
      <c r="A1" s="59" t="s">
        <v>2287</v>
      </c>
      <c r="B1" s="59" t="s">
        <v>1943</v>
      </c>
      <c r="C1" s="59" t="s">
        <v>1946</v>
      </c>
      <c r="D1" s="59" t="s">
        <v>2243</v>
      </c>
      <c r="E1" s="285" t="s">
        <v>2253</v>
      </c>
      <c r="F1" s="59" t="s">
        <v>2288</v>
      </c>
      <c r="G1" s="1" t="s">
        <v>260</v>
      </c>
      <c r="H1" s="76" t="s">
        <v>372</v>
      </c>
      <c r="I1" s="76" t="s">
        <v>341</v>
      </c>
      <c r="J1" s="76" t="s">
        <v>405</v>
      </c>
      <c r="K1" s="76" t="s">
        <v>273</v>
      </c>
      <c r="L1" s="76" t="s">
        <v>1200</v>
      </c>
      <c r="M1" s="76" t="s">
        <v>2292</v>
      </c>
      <c r="N1" s="76" t="s">
        <v>2293</v>
      </c>
      <c r="O1" s="76" t="s">
        <v>2294</v>
      </c>
      <c r="Q1" t="s">
        <v>2289</v>
      </c>
      <c r="R1" t="s">
        <v>2290</v>
      </c>
      <c r="S1" t="s">
        <v>2291</v>
      </c>
    </row>
    <row r="2" spans="1:19" x14ac:dyDescent="0.35">
      <c r="A2">
        <v>1</v>
      </c>
      <c r="B2" t="s">
        <v>340</v>
      </c>
      <c r="C2" t="s">
        <v>320</v>
      </c>
      <c r="D2">
        <v>4126</v>
      </c>
      <c r="E2" s="107">
        <v>2043.839702</v>
      </c>
      <c r="F2">
        <v>0</v>
      </c>
      <c r="G2" t="str">
        <f>CBIMPORT!S35</f>
        <v>bolt.eu</v>
      </c>
      <c r="H2">
        <f>IF(EXACT(H$1,
_xlfn.XLOOKUP($B2,ANNOUNCEMENTS!$E$2:$E$180,ANNOUNCEMENTS!$J$2:$J$180,0,0)),1,
IF(EXACT(H$1,
_xlfn.XLOOKUP($B2,ANNOUNCEMENTS!$L$2:$L$180,ANNOUNCEMENTS!$J$2:$J$180,0,0)),1,
IF(EXACT(H$1,
_xlfn.XLOOKUP($B2,ANNOUNCEMENTS!$M$2:$M$180,ANNOUNCEMENTS!$J$2:$J$180,0,0)),1,
IF(EXACT(H$1,
_xlfn.XLOOKUP($B2,ANNOUNCEMENTS!$N$2:$N$180,ANNOUNCEMENTS!$J$2:$J$180,0,0)),1,0))))</f>
        <v>0</v>
      </c>
      <c r="I2">
        <f>IF(EXACT(I$1,
_xlfn.XLOOKUP($B2,ANNOUNCEMENTS!$E$2:$E$180,ANNOUNCEMENTS!$J$2:$J$180,0,0)),1,
IF(EXACT(I$1,
_xlfn.XLOOKUP($B2,ANNOUNCEMENTS!$L$2:$L$180,ANNOUNCEMENTS!$J$2:$J$180,0,0)),1,
IF(EXACT(I$1,
_xlfn.XLOOKUP($B2,ANNOUNCEMENTS!$M$2:$M$180,ANNOUNCEMENTS!$J$2:$J$180,0,0)),1,
IF(EXACT(I$1,
_xlfn.XLOOKUP($B2,ANNOUNCEMENTS!$N$2:$N$180,ANNOUNCEMENTS!$J$2:$J$180,0,0)),1,0))))</f>
        <v>0</v>
      </c>
      <c r="J2">
        <f>IF(EXACT(J$1,
_xlfn.XLOOKUP($B2,ANNOUNCEMENTS!$E$2:$E$180,ANNOUNCEMENTS!$J$2:$J$180,0,0)),1,
IF(EXACT(J$1,
_xlfn.XLOOKUP($B2,ANNOUNCEMENTS!$L$2:$L$180,ANNOUNCEMENTS!$J$2:$J$180,0,0)),1,
IF(EXACT(J$1,
_xlfn.XLOOKUP($B2,ANNOUNCEMENTS!$M$2:$M$180,ANNOUNCEMENTS!$J$2:$J$180,0,0)),1,
IF(EXACT(J$1,
_xlfn.XLOOKUP($B2,ANNOUNCEMENTS!$N$2:$N$180,ANNOUNCEMENTS!$J$2:$J$180,0,0)),1,0))))</f>
        <v>0</v>
      </c>
      <c r="K2">
        <f>IF(EXACT(K$1,
_xlfn.XLOOKUP($B2,ANNOUNCEMENTS!$E$2:$E$180,ANNOUNCEMENTS!$J$2:$J$180,0,0)),1,
IF(EXACT(K$1,
_xlfn.XLOOKUP($B2,ANNOUNCEMENTS!$L$2:$L$180,ANNOUNCEMENTS!$J$2:$J$180,0,0)),1,
IF(EXACT(K$1,
_xlfn.XLOOKUP($B2,ANNOUNCEMENTS!$M$2:$M$180,ANNOUNCEMENTS!$J$2:$J$180,0,0)),1,
IF(EXACT(K$1,
_xlfn.XLOOKUP($B2,ANNOUNCEMENTS!$N$2:$N$180,ANNOUNCEMENTS!$J$2:$J$180,0,0)),1,0))))</f>
        <v>1</v>
      </c>
      <c r="L2">
        <f>IF(EXACT(L$1,
_xlfn.XLOOKUP($B2,ANNOUNCEMENTS!$E$2:$E$180,ANNOUNCEMENTS!$J$2:$J$180,0,0)),1,
IF(EXACT(L$1,
_xlfn.XLOOKUP($B2,ANNOUNCEMENTS!$L$2:$L$180,ANNOUNCEMENTS!$J$2:$J$180,0,0)),1,
IF(EXACT(L$1,
_xlfn.XLOOKUP($B2,ANNOUNCEMENTS!$M$2:$M$180,ANNOUNCEMENTS!$J$2:$J$180,0,0)),1,
IF(EXACT(L$1,
_xlfn.XLOOKUP($B2,ANNOUNCEMENTS!$N$2:$N$180,ANNOUNCEMENTS!$J$2:$J$180,0,0)),1,0))))</f>
        <v>0</v>
      </c>
      <c r="M2">
        <f t="shared" ref="M2:M24" si="0">SUM(H2:L2)</f>
        <v>1</v>
      </c>
      <c r="N2" t="b">
        <f>TRUE</f>
        <v>1</v>
      </c>
      <c r="O2">
        <v>1</v>
      </c>
      <c r="P2" t="str" cm="1">
        <f t="array" ref="P2:P42">_xlfn.UNIQUE(C2:C171)</f>
        <v>L4</v>
      </c>
      <c r="Q2">
        <v>1</v>
      </c>
      <c r="R2">
        <f t="shared" ref="R2:R42" si="1">COUNTIF($C$2:$C$171,P2)</f>
        <v>6</v>
      </c>
    </row>
    <row r="3" spans="1:19" x14ac:dyDescent="0.35">
      <c r="A3">
        <f>A2+1</f>
        <v>2</v>
      </c>
      <c r="B3" t="s">
        <v>338</v>
      </c>
      <c r="C3" t="s">
        <v>320</v>
      </c>
      <c r="D3">
        <v>180</v>
      </c>
      <c r="E3" s="107">
        <v>0</v>
      </c>
      <c r="F3">
        <v>0</v>
      </c>
      <c r="G3" t="str">
        <f>CBIMPORT!S36</f>
        <v>ioki.com/en/</v>
      </c>
      <c r="H3">
        <f>IF(EXACT(H$1,
_xlfn.XLOOKUP($B3,ANNOUNCEMENTS!$E$2:$E$180,ANNOUNCEMENTS!$J$2:$J$180,0,0)),1,
IF(EXACT(H$1,
_xlfn.XLOOKUP($B3,ANNOUNCEMENTS!$L$2:$L$180,ANNOUNCEMENTS!$J$2:$J$180,0,0)),1,
IF(EXACT(H$1,
_xlfn.XLOOKUP($B3,ANNOUNCEMENTS!$M$2:$M$180,ANNOUNCEMENTS!$J$2:$J$180,0,0)),1,
IF(EXACT(H$1,
_xlfn.XLOOKUP($B3,ANNOUNCEMENTS!$N$2:$N$180,ANNOUNCEMENTS!$J$2:$J$180,0,0)),1,0))))</f>
        <v>1</v>
      </c>
      <c r="I3">
        <f>IF(EXACT(I$1,
_xlfn.XLOOKUP($B3,ANNOUNCEMENTS!$E$2:$E$180,ANNOUNCEMENTS!$J$2:$J$180,0,0)),1,
IF(EXACT(I$1,
_xlfn.XLOOKUP($B3,ANNOUNCEMENTS!$L$2:$L$180,ANNOUNCEMENTS!$J$2:$J$180,0,0)),1,
IF(EXACT(I$1,
_xlfn.XLOOKUP($B3,ANNOUNCEMENTS!$M$2:$M$180,ANNOUNCEMENTS!$J$2:$J$180,0,0)),1,
IF(EXACT(I$1,
_xlfn.XLOOKUP($B3,ANNOUNCEMENTS!$N$2:$N$180,ANNOUNCEMENTS!$J$2:$J$180,0,0)),1,0))))</f>
        <v>0</v>
      </c>
      <c r="J3">
        <f>IF(EXACT(J$1,
_xlfn.XLOOKUP($B3,ANNOUNCEMENTS!$E$2:$E$180,ANNOUNCEMENTS!$J$2:$J$180,0,0)),1,
IF(EXACT(J$1,
_xlfn.XLOOKUP($B3,ANNOUNCEMENTS!$L$2:$L$180,ANNOUNCEMENTS!$J$2:$J$180,0,0)),1,
IF(EXACT(J$1,
_xlfn.XLOOKUP($B3,ANNOUNCEMENTS!$M$2:$M$180,ANNOUNCEMENTS!$J$2:$J$180,0,0)),1,
IF(EXACT(J$1,
_xlfn.XLOOKUP($B3,ANNOUNCEMENTS!$N$2:$N$180,ANNOUNCEMENTS!$J$2:$J$180,0,0)),1,0))))</f>
        <v>0</v>
      </c>
      <c r="K3">
        <f>IF(EXACT(K$1,
_xlfn.XLOOKUP($B3,ANNOUNCEMENTS!$E$2:$E$180,ANNOUNCEMENTS!$J$2:$J$180,0,0)),1,
IF(EXACT(K$1,
_xlfn.XLOOKUP($B3,ANNOUNCEMENTS!$L$2:$L$180,ANNOUNCEMENTS!$J$2:$J$180,0,0)),1,
IF(EXACT(K$1,
_xlfn.XLOOKUP($B3,ANNOUNCEMENTS!$M$2:$M$180,ANNOUNCEMENTS!$J$2:$J$180,0,0)),1,
IF(EXACT(K$1,
_xlfn.XLOOKUP($B3,ANNOUNCEMENTS!$N$2:$N$180,ANNOUNCEMENTS!$J$2:$J$180,0,0)),1,0))))</f>
        <v>0</v>
      </c>
      <c r="L3">
        <f>IF(EXACT(L$1,
_xlfn.XLOOKUP($B3,ANNOUNCEMENTS!$E$2:$E$180,ANNOUNCEMENTS!$J$2:$J$180,0,0)),1,
IF(EXACT(L$1,
_xlfn.XLOOKUP($B3,ANNOUNCEMENTS!$L$2:$L$180,ANNOUNCEMENTS!$J$2:$J$180,0,0)),1,
IF(EXACT(L$1,
_xlfn.XLOOKUP($B3,ANNOUNCEMENTS!$M$2:$M$180,ANNOUNCEMENTS!$J$2:$J$180,0,0)),1,
IF(EXACT(L$1,
_xlfn.XLOOKUP($B3,ANNOUNCEMENTS!$N$2:$N$180,ANNOUNCEMENTS!$J$2:$J$180,0,0)),1,0))))</f>
        <v>0</v>
      </c>
      <c r="M3">
        <f t="shared" si="0"/>
        <v>1</v>
      </c>
      <c r="N3" t="b">
        <f>TRUE</f>
        <v>1</v>
      </c>
      <c r="O3">
        <v>1</v>
      </c>
      <c r="P3" t="str">
        <v>L3</v>
      </c>
      <c r="Q3">
        <v>1</v>
      </c>
      <c r="R3">
        <f t="shared" si="1"/>
        <v>4</v>
      </c>
    </row>
    <row r="4" spans="1:19" x14ac:dyDescent="0.35">
      <c r="A4">
        <f t="shared" ref="A4:A67" si="2">A3+1</f>
        <v>3</v>
      </c>
      <c r="B4" t="s">
        <v>736</v>
      </c>
      <c r="C4" t="s">
        <v>320</v>
      </c>
      <c r="D4">
        <v>4419</v>
      </c>
      <c r="E4" s="107">
        <v>4913.6067780000003</v>
      </c>
      <c r="F4">
        <v>1</v>
      </c>
      <c r="G4" t="str">
        <f>CBIMPORT!S37</f>
        <v>lyft.com</v>
      </c>
      <c r="H4">
        <f>IF(EXACT(H$1,
_xlfn.XLOOKUP($B4,ANNOUNCEMENTS!$E$2:$E$180,ANNOUNCEMENTS!$J$2:$J$180,0,0)),1,
IF(EXACT(H$1,
_xlfn.XLOOKUP($B4,ANNOUNCEMENTS!$L$2:$L$180,ANNOUNCEMENTS!$J$2:$J$180,0,0)),1,
IF(EXACT(H$1,
_xlfn.XLOOKUP($B4,ANNOUNCEMENTS!$M$2:$M$180,ANNOUNCEMENTS!$J$2:$J$180,0,0)),1,
IF(EXACT(H$1,
_xlfn.XLOOKUP($B4,ANNOUNCEMENTS!$N$2:$N$180,ANNOUNCEMENTS!$J$2:$J$180,0,0)),1,0))))</f>
        <v>0</v>
      </c>
      <c r="I4">
        <f>IF(EXACT(I$1,
_xlfn.XLOOKUP($B4,ANNOUNCEMENTS!$E$2:$E$180,ANNOUNCEMENTS!$J$2:$J$180,0,0)),1,
IF(EXACT(I$1,
_xlfn.XLOOKUP($B4,ANNOUNCEMENTS!$L$2:$L$180,ANNOUNCEMENTS!$J$2:$J$180,0,0)),1,
IF(EXACT(I$1,
_xlfn.XLOOKUP($B4,ANNOUNCEMENTS!$M$2:$M$180,ANNOUNCEMENTS!$J$2:$J$180,0,0)),1,
IF(EXACT(I$1,
_xlfn.XLOOKUP($B4,ANNOUNCEMENTS!$N$2:$N$180,ANNOUNCEMENTS!$J$2:$J$180,0,0)),1,0))))</f>
        <v>1</v>
      </c>
      <c r="J4">
        <f>IF(EXACT(J$1,
_xlfn.XLOOKUP($B4,ANNOUNCEMENTS!$E$2:$E$180,ANNOUNCEMENTS!$J$2:$J$180,0,0)),1,
IF(EXACT(J$1,
_xlfn.XLOOKUP($B4,ANNOUNCEMENTS!$L$2:$L$180,ANNOUNCEMENTS!$J$2:$J$180,0,0)),1,
IF(EXACT(J$1,
_xlfn.XLOOKUP($B4,ANNOUNCEMENTS!$M$2:$M$180,ANNOUNCEMENTS!$J$2:$J$180,0,0)),1,
IF(EXACT(J$1,
_xlfn.XLOOKUP($B4,ANNOUNCEMENTS!$N$2:$N$180,ANNOUNCEMENTS!$J$2:$J$180,0,0)),1,0))))</f>
        <v>0</v>
      </c>
      <c r="K4">
        <f>IF(EXACT(K$1,
_xlfn.XLOOKUP($B4,ANNOUNCEMENTS!$E$2:$E$180,ANNOUNCEMENTS!$J$2:$J$180,0,0)),1,
IF(EXACT(K$1,
_xlfn.XLOOKUP($B4,ANNOUNCEMENTS!$L$2:$L$180,ANNOUNCEMENTS!$J$2:$J$180,0,0)),1,
IF(EXACT(K$1,
_xlfn.XLOOKUP($B4,ANNOUNCEMENTS!$M$2:$M$180,ANNOUNCEMENTS!$J$2:$J$180,0,0)),1,
IF(EXACT(K$1,
_xlfn.XLOOKUP($B4,ANNOUNCEMENTS!$N$2:$N$180,ANNOUNCEMENTS!$J$2:$J$180,0,0)),1,0))))</f>
        <v>0</v>
      </c>
      <c r="L4">
        <f>IF(EXACT(L$1,
_xlfn.XLOOKUP($B4,ANNOUNCEMENTS!$E$2:$E$180,ANNOUNCEMENTS!$J$2:$J$180,0,0)),1,
IF(EXACT(L$1,
_xlfn.XLOOKUP($B4,ANNOUNCEMENTS!$L$2:$L$180,ANNOUNCEMENTS!$J$2:$J$180,0,0)),1,
IF(EXACT(L$1,
_xlfn.XLOOKUP($B4,ANNOUNCEMENTS!$M$2:$M$180,ANNOUNCEMENTS!$J$2:$J$180,0,0)),1,
IF(EXACT(L$1,
_xlfn.XLOOKUP($B4,ANNOUNCEMENTS!$N$2:$N$180,ANNOUNCEMENTS!$J$2:$J$180,0,0)),1,0))))</f>
        <v>0</v>
      </c>
      <c r="M4">
        <f t="shared" si="0"/>
        <v>1</v>
      </c>
      <c r="N4" t="b">
        <f>TRUE</f>
        <v>1</v>
      </c>
      <c r="O4">
        <v>1</v>
      </c>
      <c r="P4" t="str">
        <v>L2</v>
      </c>
      <c r="Q4">
        <v>1</v>
      </c>
      <c r="R4">
        <f t="shared" si="1"/>
        <v>12</v>
      </c>
    </row>
    <row r="5" spans="1:19" x14ac:dyDescent="0.35">
      <c r="A5">
        <f t="shared" si="2"/>
        <v>4</v>
      </c>
      <c r="B5" t="s">
        <v>318</v>
      </c>
      <c r="C5" t="s">
        <v>320</v>
      </c>
      <c r="D5">
        <v>3000</v>
      </c>
      <c r="E5" s="107">
        <v>25212.45</v>
      </c>
      <c r="F5">
        <v>1</v>
      </c>
      <c r="G5" t="str">
        <f>CBIMPORT!S38</f>
        <v>www.uber.com</v>
      </c>
      <c r="H5">
        <f>IF(EXACT(H$1,
_xlfn.XLOOKUP($B5,ANNOUNCEMENTS!$E$2:$E$180,ANNOUNCEMENTS!$J$2:$J$180,0,0)),1,
IF(EXACT(H$1,
_xlfn.XLOOKUP($B5,ANNOUNCEMENTS!$L$2:$L$180,ANNOUNCEMENTS!$J$2:$J$180,0,0)),1,
IF(EXACT(H$1,
_xlfn.XLOOKUP($B5,ANNOUNCEMENTS!$M$2:$M$180,ANNOUNCEMENTS!$J$2:$J$180,0,0)),1,
IF(EXACT(H$1,
_xlfn.XLOOKUP($B5,ANNOUNCEMENTS!$N$2:$N$180,ANNOUNCEMENTS!$J$2:$J$180,0,0)),1,0))))</f>
        <v>0</v>
      </c>
      <c r="I5">
        <f>IF(EXACT(I$1,
_xlfn.XLOOKUP($B5,ANNOUNCEMENTS!$E$2:$E$180,ANNOUNCEMENTS!$J$2:$J$180,0,0)),1,
IF(EXACT(I$1,
_xlfn.XLOOKUP($B5,ANNOUNCEMENTS!$L$2:$L$180,ANNOUNCEMENTS!$J$2:$J$180,0,0)),1,
IF(EXACT(I$1,
_xlfn.XLOOKUP($B5,ANNOUNCEMENTS!$M$2:$M$180,ANNOUNCEMENTS!$J$2:$J$180,0,0)),1,
IF(EXACT(I$1,
_xlfn.XLOOKUP($B5,ANNOUNCEMENTS!$N$2:$N$180,ANNOUNCEMENTS!$J$2:$J$180,0,0)),1,0))))</f>
        <v>1</v>
      </c>
      <c r="J5">
        <f>IF(EXACT(J$1,
_xlfn.XLOOKUP($B5,ANNOUNCEMENTS!$E$2:$E$180,ANNOUNCEMENTS!$J$2:$J$180,0,0)),1,
IF(EXACT(J$1,
_xlfn.XLOOKUP($B5,ANNOUNCEMENTS!$L$2:$L$180,ANNOUNCEMENTS!$J$2:$J$180,0,0)),1,
IF(EXACT(J$1,
_xlfn.XLOOKUP($B5,ANNOUNCEMENTS!$M$2:$M$180,ANNOUNCEMENTS!$J$2:$J$180,0,0)),1,
IF(EXACT(J$1,
_xlfn.XLOOKUP($B5,ANNOUNCEMENTS!$N$2:$N$180,ANNOUNCEMENTS!$J$2:$J$180,0,0)),1,0))))</f>
        <v>0</v>
      </c>
      <c r="K5">
        <f>IF(EXACT(K$1,
_xlfn.XLOOKUP($B5,ANNOUNCEMENTS!$E$2:$E$180,ANNOUNCEMENTS!$J$2:$J$180,0,0)),1,
IF(EXACT(K$1,
_xlfn.XLOOKUP($B5,ANNOUNCEMENTS!$L$2:$L$180,ANNOUNCEMENTS!$J$2:$J$180,0,0)),1,
IF(EXACT(K$1,
_xlfn.XLOOKUP($B5,ANNOUNCEMENTS!$M$2:$M$180,ANNOUNCEMENTS!$J$2:$J$180,0,0)),1,
IF(EXACT(K$1,
_xlfn.XLOOKUP($B5,ANNOUNCEMENTS!$N$2:$N$180,ANNOUNCEMENTS!$J$2:$J$180,0,0)),1,0))))</f>
        <v>1</v>
      </c>
      <c r="L5">
        <f>IF(EXACT(L$1,
_xlfn.XLOOKUP($B5,ANNOUNCEMENTS!$E$2:$E$180,ANNOUNCEMENTS!$J$2:$J$180,0,0)),1,
IF(EXACT(L$1,
_xlfn.XLOOKUP($B5,ANNOUNCEMENTS!$L$2:$L$180,ANNOUNCEMENTS!$J$2:$J$180,0,0)),1,
IF(EXACT(L$1,
_xlfn.XLOOKUP($B5,ANNOUNCEMENTS!$M$2:$M$180,ANNOUNCEMENTS!$J$2:$J$180,0,0)),1,
IF(EXACT(L$1,
_xlfn.XLOOKUP($B5,ANNOUNCEMENTS!$N$2:$N$180,ANNOUNCEMENTS!$J$2:$J$180,0,0)),1,0))))</f>
        <v>0</v>
      </c>
      <c r="M5">
        <f t="shared" si="0"/>
        <v>2</v>
      </c>
      <c r="N5" t="b">
        <f>TRUE</f>
        <v>1</v>
      </c>
      <c r="O5">
        <v>1</v>
      </c>
      <c r="P5" t="str">
        <v>L1</v>
      </c>
      <c r="Q5">
        <v>1</v>
      </c>
      <c r="R5">
        <f t="shared" si="1"/>
        <v>17</v>
      </c>
    </row>
    <row r="6" spans="1:19" x14ac:dyDescent="0.35">
      <c r="A6">
        <f t="shared" si="2"/>
        <v>5</v>
      </c>
      <c r="B6" t="s">
        <v>580</v>
      </c>
      <c r="C6" t="s">
        <v>320</v>
      </c>
      <c r="D6">
        <v>175</v>
      </c>
      <c r="E6" s="107">
        <v>0</v>
      </c>
      <c r="F6">
        <v>0</v>
      </c>
      <c r="G6" t="str">
        <f>CBIMPORT!S39</f>
        <v>www.ubereats.com</v>
      </c>
      <c r="H6">
        <f>IF(EXACT(H$1,
_xlfn.XLOOKUP($B6,ANNOUNCEMENTS!$E$2:$E$180,ANNOUNCEMENTS!$J$2:$J$180,0,0)),1,
IF(EXACT(H$1,
_xlfn.XLOOKUP($B6,ANNOUNCEMENTS!$L$2:$L$180,ANNOUNCEMENTS!$J$2:$J$180,0,0)),1,
IF(EXACT(H$1,
_xlfn.XLOOKUP($B6,ANNOUNCEMENTS!$M$2:$M$180,ANNOUNCEMENTS!$J$2:$J$180,0,0)),1,
IF(EXACT(H$1,
_xlfn.XLOOKUP($B6,ANNOUNCEMENTS!$N$2:$N$180,ANNOUNCEMENTS!$J$2:$J$180,0,0)),1,0))))</f>
        <v>0</v>
      </c>
      <c r="I6">
        <f>IF(EXACT(I$1,
_xlfn.XLOOKUP($B6,ANNOUNCEMENTS!$E$2:$E$180,ANNOUNCEMENTS!$J$2:$J$180,0,0)),1,
IF(EXACT(I$1,
_xlfn.XLOOKUP($B6,ANNOUNCEMENTS!$L$2:$L$180,ANNOUNCEMENTS!$J$2:$J$180,0,0)),1,
IF(EXACT(I$1,
_xlfn.XLOOKUP($B6,ANNOUNCEMENTS!$M$2:$M$180,ANNOUNCEMENTS!$J$2:$J$180,0,0)),1,
IF(EXACT(I$1,
_xlfn.XLOOKUP($B6,ANNOUNCEMENTS!$N$2:$N$180,ANNOUNCEMENTS!$J$2:$J$180,0,0)),1,0))))</f>
        <v>0</v>
      </c>
      <c r="J6">
        <f>IF(EXACT(J$1,
_xlfn.XLOOKUP($B6,ANNOUNCEMENTS!$E$2:$E$180,ANNOUNCEMENTS!$J$2:$J$180,0,0)),1,
IF(EXACT(J$1,
_xlfn.XLOOKUP($B6,ANNOUNCEMENTS!$L$2:$L$180,ANNOUNCEMENTS!$J$2:$J$180,0,0)),1,
IF(EXACT(J$1,
_xlfn.XLOOKUP($B6,ANNOUNCEMENTS!$M$2:$M$180,ANNOUNCEMENTS!$J$2:$J$180,0,0)),1,
IF(EXACT(J$1,
_xlfn.XLOOKUP($B6,ANNOUNCEMENTS!$N$2:$N$180,ANNOUNCEMENTS!$J$2:$J$180,0,0)),1,0))))</f>
        <v>0</v>
      </c>
      <c r="K6">
        <f>IF(EXACT(K$1,
_xlfn.XLOOKUP($B6,ANNOUNCEMENTS!$E$2:$E$180,ANNOUNCEMENTS!$J$2:$J$180,0,0)),1,
IF(EXACT(K$1,
_xlfn.XLOOKUP($B6,ANNOUNCEMENTS!$L$2:$L$180,ANNOUNCEMENTS!$J$2:$J$180,0,0)),1,
IF(EXACT(K$1,
_xlfn.XLOOKUP($B6,ANNOUNCEMENTS!$M$2:$M$180,ANNOUNCEMENTS!$J$2:$J$180,0,0)),1,
IF(EXACT(K$1,
_xlfn.XLOOKUP($B6,ANNOUNCEMENTS!$N$2:$N$180,ANNOUNCEMENTS!$J$2:$J$180,0,0)),1,0))))</f>
        <v>1</v>
      </c>
      <c r="L6">
        <f>IF(EXACT(L$1,
_xlfn.XLOOKUP($B6,ANNOUNCEMENTS!$E$2:$E$180,ANNOUNCEMENTS!$J$2:$J$180,0,0)),1,
IF(EXACT(L$1,
_xlfn.XLOOKUP($B6,ANNOUNCEMENTS!$L$2:$L$180,ANNOUNCEMENTS!$J$2:$J$180,0,0)),1,
IF(EXACT(L$1,
_xlfn.XLOOKUP($B6,ANNOUNCEMENTS!$M$2:$M$180,ANNOUNCEMENTS!$J$2:$J$180,0,0)),1,
IF(EXACT(L$1,
_xlfn.XLOOKUP($B6,ANNOUNCEMENTS!$N$2:$N$180,ANNOUNCEMENTS!$J$2:$J$180,0,0)),1,0))))</f>
        <v>0</v>
      </c>
      <c r="M6">
        <f t="shared" si="0"/>
        <v>1</v>
      </c>
      <c r="N6" t="b">
        <f>TRUE</f>
        <v>1</v>
      </c>
      <c r="O6">
        <v>1</v>
      </c>
      <c r="P6" t="str">
        <v>Logistics</v>
      </c>
      <c r="Q6" s="21">
        <v>22</v>
      </c>
      <c r="R6">
        <f t="shared" si="1"/>
        <v>13</v>
      </c>
      <c r="S6">
        <f>R6/SUM(R6:R42)</f>
        <v>9.9236641221374045E-2</v>
      </c>
    </row>
    <row r="7" spans="1:19" x14ac:dyDescent="0.35">
      <c r="A7">
        <f t="shared" si="2"/>
        <v>6</v>
      </c>
      <c r="B7" t="s">
        <v>424</v>
      </c>
      <c r="C7" t="s">
        <v>320</v>
      </c>
      <c r="D7">
        <v>3000</v>
      </c>
      <c r="E7" s="107">
        <v>1050</v>
      </c>
      <c r="F7">
        <v>0</v>
      </c>
      <c r="G7" t="str">
        <f>CBIMPORT!S40</f>
        <v>www.uberfreight.com</v>
      </c>
      <c r="H7">
        <f>IF(EXACT(H$1,
_xlfn.XLOOKUP($B7,ANNOUNCEMENTS!$E$2:$E$180,ANNOUNCEMENTS!$J$2:$J$180,0,0)),1,
IF(EXACT(H$1,
_xlfn.XLOOKUP($B7,ANNOUNCEMENTS!$L$2:$L$180,ANNOUNCEMENTS!$J$2:$J$180,0,0)),1,
IF(EXACT(H$1,
_xlfn.XLOOKUP($B7,ANNOUNCEMENTS!$M$2:$M$180,ANNOUNCEMENTS!$J$2:$J$180,0,0)),1,
IF(EXACT(H$1,
_xlfn.XLOOKUP($B7,ANNOUNCEMENTS!$N$2:$N$180,ANNOUNCEMENTS!$J$2:$J$180,0,0)),1,0))))</f>
        <v>0</v>
      </c>
      <c r="I7">
        <f>IF(EXACT(I$1,
_xlfn.XLOOKUP($B7,ANNOUNCEMENTS!$E$2:$E$180,ANNOUNCEMENTS!$J$2:$J$180,0,0)),1,
IF(EXACT(I$1,
_xlfn.XLOOKUP($B7,ANNOUNCEMENTS!$L$2:$L$180,ANNOUNCEMENTS!$J$2:$J$180,0,0)),1,
IF(EXACT(I$1,
_xlfn.XLOOKUP($B7,ANNOUNCEMENTS!$M$2:$M$180,ANNOUNCEMENTS!$J$2:$J$180,0,0)),1,
IF(EXACT(I$1,
_xlfn.XLOOKUP($B7,ANNOUNCEMENTS!$N$2:$N$180,ANNOUNCEMENTS!$J$2:$J$180,0,0)),1,0))))</f>
        <v>0</v>
      </c>
      <c r="J7">
        <f>IF(EXACT(J$1,
_xlfn.XLOOKUP($B7,ANNOUNCEMENTS!$E$2:$E$180,ANNOUNCEMENTS!$J$2:$J$180,0,0)),1,
IF(EXACT(J$1,
_xlfn.XLOOKUP($B7,ANNOUNCEMENTS!$L$2:$L$180,ANNOUNCEMENTS!$J$2:$J$180,0,0)),1,
IF(EXACT(J$1,
_xlfn.XLOOKUP($B7,ANNOUNCEMENTS!$M$2:$M$180,ANNOUNCEMENTS!$J$2:$J$180,0,0)),1,
IF(EXACT(J$1,
_xlfn.XLOOKUP($B7,ANNOUNCEMENTS!$N$2:$N$180,ANNOUNCEMENTS!$J$2:$J$180,0,0)),1,0))))</f>
        <v>1</v>
      </c>
      <c r="K7">
        <f>IF(EXACT(K$1,
_xlfn.XLOOKUP($B7,ANNOUNCEMENTS!$E$2:$E$180,ANNOUNCEMENTS!$J$2:$J$180,0,0)),1,
IF(EXACT(K$1,
_xlfn.XLOOKUP($B7,ANNOUNCEMENTS!$L$2:$L$180,ANNOUNCEMENTS!$J$2:$J$180,0,0)),1,
IF(EXACT(K$1,
_xlfn.XLOOKUP($B7,ANNOUNCEMENTS!$M$2:$M$180,ANNOUNCEMENTS!$J$2:$J$180,0,0)),1,
IF(EXACT(K$1,
_xlfn.XLOOKUP($B7,ANNOUNCEMENTS!$N$2:$N$180,ANNOUNCEMENTS!$J$2:$J$180,0,0)),1,0))))</f>
        <v>0</v>
      </c>
      <c r="L7">
        <f>IF(EXACT(L$1,
_xlfn.XLOOKUP($B7,ANNOUNCEMENTS!$E$2:$E$180,ANNOUNCEMENTS!$J$2:$J$180,0,0)),1,
IF(EXACT(L$1,
_xlfn.XLOOKUP($B7,ANNOUNCEMENTS!$L$2:$L$180,ANNOUNCEMENTS!$J$2:$J$180,0,0)),1,
IF(EXACT(L$1,
_xlfn.XLOOKUP($B7,ANNOUNCEMENTS!$M$2:$M$180,ANNOUNCEMENTS!$J$2:$J$180,0,0)),1,
IF(EXACT(L$1,
_xlfn.XLOOKUP($B7,ANNOUNCEMENTS!$N$2:$N$180,ANNOUNCEMENTS!$J$2:$J$180,0,0)),1,0))))</f>
        <v>0</v>
      </c>
      <c r="M7">
        <f t="shared" si="0"/>
        <v>1</v>
      </c>
      <c r="N7" t="b">
        <f>TRUE</f>
        <v>1</v>
      </c>
      <c r="O7">
        <v>1</v>
      </c>
      <c r="P7" t="str">
        <v>Insurance</v>
      </c>
      <c r="Q7" s="21">
        <v>27</v>
      </c>
      <c r="R7">
        <f t="shared" si="1"/>
        <v>3</v>
      </c>
      <c r="S7">
        <f t="shared" ref="S7:S42" si="3">R7/SUM(R7:R43)</f>
        <v>2.5423728813559324E-2</v>
      </c>
    </row>
    <row r="8" spans="1:19" x14ac:dyDescent="0.35">
      <c r="A8">
        <f t="shared" si="2"/>
        <v>7</v>
      </c>
      <c r="B8" t="s">
        <v>379</v>
      </c>
      <c r="C8" t="s">
        <v>331</v>
      </c>
      <c r="D8">
        <v>50</v>
      </c>
      <c r="E8" s="107">
        <v>45</v>
      </c>
      <c r="F8">
        <v>0</v>
      </c>
      <c r="G8" t="str">
        <f>CBIMPORT!S31</f>
        <v>ridebeep.com</v>
      </c>
      <c r="H8">
        <f>IF(EXACT(H$1,
_xlfn.XLOOKUP($B8,ANNOUNCEMENTS!$E$2:$E$180,ANNOUNCEMENTS!$J$2:$J$180,0,0)),1,
IF(EXACT(H$1,
_xlfn.XLOOKUP($B8,ANNOUNCEMENTS!$L$2:$L$180,ANNOUNCEMENTS!$J$2:$J$180,0,0)),1,
IF(EXACT(H$1,
_xlfn.XLOOKUP($B8,ANNOUNCEMENTS!$M$2:$M$180,ANNOUNCEMENTS!$J$2:$J$180,0,0)),1,
IF(EXACT(H$1,
_xlfn.XLOOKUP($B8,ANNOUNCEMENTS!$N$2:$N$180,ANNOUNCEMENTS!$J$2:$J$180,0,0)),1,0))))</f>
        <v>1</v>
      </c>
      <c r="I8">
        <f>IF(EXACT(I$1,
_xlfn.XLOOKUP($B8,ANNOUNCEMENTS!$E$2:$E$180,ANNOUNCEMENTS!$J$2:$J$180,0,0)),1,
IF(EXACT(I$1,
_xlfn.XLOOKUP($B8,ANNOUNCEMENTS!$L$2:$L$180,ANNOUNCEMENTS!$J$2:$J$180,0,0)),1,
IF(EXACT(I$1,
_xlfn.XLOOKUP($B8,ANNOUNCEMENTS!$M$2:$M$180,ANNOUNCEMENTS!$J$2:$J$180,0,0)),1,
IF(EXACT(I$1,
_xlfn.XLOOKUP($B8,ANNOUNCEMENTS!$N$2:$N$180,ANNOUNCEMENTS!$J$2:$J$180,0,0)),1,0))))</f>
        <v>0</v>
      </c>
      <c r="J8">
        <f>IF(EXACT(J$1,
_xlfn.XLOOKUP($B8,ANNOUNCEMENTS!$E$2:$E$180,ANNOUNCEMENTS!$J$2:$J$180,0,0)),1,
IF(EXACT(J$1,
_xlfn.XLOOKUP($B8,ANNOUNCEMENTS!$L$2:$L$180,ANNOUNCEMENTS!$J$2:$J$180,0,0)),1,
IF(EXACT(J$1,
_xlfn.XLOOKUP($B8,ANNOUNCEMENTS!$M$2:$M$180,ANNOUNCEMENTS!$J$2:$J$180,0,0)),1,
IF(EXACT(J$1,
_xlfn.XLOOKUP($B8,ANNOUNCEMENTS!$N$2:$N$180,ANNOUNCEMENTS!$J$2:$J$180,0,0)),1,0))))</f>
        <v>0</v>
      </c>
      <c r="K8">
        <f>IF(EXACT(K$1,
_xlfn.XLOOKUP($B8,ANNOUNCEMENTS!$E$2:$E$180,ANNOUNCEMENTS!$J$2:$J$180,0,0)),1,
IF(EXACT(K$1,
_xlfn.XLOOKUP($B8,ANNOUNCEMENTS!$L$2:$L$180,ANNOUNCEMENTS!$J$2:$J$180,0,0)),1,
IF(EXACT(K$1,
_xlfn.XLOOKUP($B8,ANNOUNCEMENTS!$M$2:$M$180,ANNOUNCEMENTS!$J$2:$J$180,0,0)),1,
IF(EXACT(K$1,
_xlfn.XLOOKUP($B8,ANNOUNCEMENTS!$N$2:$N$180,ANNOUNCEMENTS!$J$2:$J$180,0,0)),1,0))))</f>
        <v>0</v>
      </c>
      <c r="L8">
        <f>IF(EXACT(L$1,
_xlfn.XLOOKUP($B8,ANNOUNCEMENTS!$E$2:$E$180,ANNOUNCEMENTS!$J$2:$J$180,0,0)),1,
IF(EXACT(L$1,
_xlfn.XLOOKUP($B8,ANNOUNCEMENTS!$L$2:$L$180,ANNOUNCEMENTS!$J$2:$J$180,0,0)),1,
IF(EXACT(L$1,
_xlfn.XLOOKUP($B8,ANNOUNCEMENTS!$M$2:$M$180,ANNOUNCEMENTS!$J$2:$J$180,0,0)),1,
IF(EXACT(L$1,
_xlfn.XLOOKUP($B8,ANNOUNCEMENTS!$N$2:$N$180,ANNOUNCEMENTS!$J$2:$J$180,0,0)),1,0))))</f>
        <v>0</v>
      </c>
      <c r="M8">
        <f t="shared" si="0"/>
        <v>1</v>
      </c>
      <c r="N8" t="b">
        <f>TRUE</f>
        <v>1</v>
      </c>
      <c r="O8">
        <v>1</v>
      </c>
      <c r="P8" t="str">
        <v>Mobility Project</v>
      </c>
      <c r="Q8" s="21">
        <v>26</v>
      </c>
      <c r="R8">
        <f t="shared" si="1"/>
        <v>3</v>
      </c>
      <c r="S8">
        <f t="shared" si="3"/>
        <v>2.6086956521739129E-2</v>
      </c>
    </row>
    <row r="9" spans="1:19" x14ac:dyDescent="0.35">
      <c r="A9">
        <f t="shared" si="2"/>
        <v>8</v>
      </c>
      <c r="B9" t="s">
        <v>117</v>
      </c>
      <c r="C9" t="s">
        <v>331</v>
      </c>
      <c r="D9">
        <v>250</v>
      </c>
      <c r="E9" s="107">
        <v>0</v>
      </c>
      <c r="F9">
        <v>0</v>
      </c>
      <c r="G9" t="str">
        <f>CBIMPORT!S32</f>
        <v>www.moia.io/</v>
      </c>
      <c r="H9">
        <f>IF(EXACT(H$1,
_xlfn.XLOOKUP($B9,ANNOUNCEMENTS!$E$2:$E$180,ANNOUNCEMENTS!$J$2:$J$180,0,0)),1,
IF(EXACT(H$1,
_xlfn.XLOOKUP($B9,ANNOUNCEMENTS!$L$2:$L$180,ANNOUNCEMENTS!$J$2:$J$180,0,0)),1,
IF(EXACT(H$1,
_xlfn.XLOOKUP($B9,ANNOUNCEMENTS!$M$2:$M$180,ANNOUNCEMENTS!$J$2:$J$180,0,0)),1,
IF(EXACT(H$1,
_xlfn.XLOOKUP($B9,ANNOUNCEMENTS!$N$2:$N$180,ANNOUNCEMENTS!$J$2:$J$180,0,0)),1,0))))</f>
        <v>1</v>
      </c>
      <c r="I9">
        <f>IF(EXACT(I$1,
_xlfn.XLOOKUP($B9,ANNOUNCEMENTS!$E$2:$E$180,ANNOUNCEMENTS!$J$2:$J$180,0,0)),1,
IF(EXACT(I$1,
_xlfn.XLOOKUP($B9,ANNOUNCEMENTS!$L$2:$L$180,ANNOUNCEMENTS!$J$2:$J$180,0,0)),1,
IF(EXACT(I$1,
_xlfn.XLOOKUP($B9,ANNOUNCEMENTS!$M$2:$M$180,ANNOUNCEMENTS!$J$2:$J$180,0,0)),1,
IF(EXACT(I$1,
_xlfn.XLOOKUP($B9,ANNOUNCEMENTS!$N$2:$N$180,ANNOUNCEMENTS!$J$2:$J$180,0,0)),1,0))))</f>
        <v>0</v>
      </c>
      <c r="J9">
        <f>IF(EXACT(J$1,
_xlfn.XLOOKUP($B9,ANNOUNCEMENTS!$E$2:$E$180,ANNOUNCEMENTS!$J$2:$J$180,0,0)),1,
IF(EXACT(J$1,
_xlfn.XLOOKUP($B9,ANNOUNCEMENTS!$L$2:$L$180,ANNOUNCEMENTS!$J$2:$J$180,0,0)),1,
IF(EXACT(J$1,
_xlfn.XLOOKUP($B9,ANNOUNCEMENTS!$M$2:$M$180,ANNOUNCEMENTS!$J$2:$J$180,0,0)),1,
IF(EXACT(J$1,
_xlfn.XLOOKUP($B9,ANNOUNCEMENTS!$N$2:$N$180,ANNOUNCEMENTS!$J$2:$J$180,0,0)),1,0))))</f>
        <v>0</v>
      </c>
      <c r="K9">
        <f>IF(EXACT(K$1,
_xlfn.XLOOKUP($B9,ANNOUNCEMENTS!$E$2:$E$180,ANNOUNCEMENTS!$J$2:$J$180,0,0)),1,
IF(EXACT(K$1,
_xlfn.XLOOKUP($B9,ANNOUNCEMENTS!$L$2:$L$180,ANNOUNCEMENTS!$J$2:$J$180,0,0)),1,
IF(EXACT(K$1,
_xlfn.XLOOKUP($B9,ANNOUNCEMENTS!$M$2:$M$180,ANNOUNCEMENTS!$J$2:$J$180,0,0)),1,
IF(EXACT(K$1,
_xlfn.XLOOKUP($B9,ANNOUNCEMENTS!$N$2:$N$180,ANNOUNCEMENTS!$J$2:$J$180,0,0)),1,0))))</f>
        <v>0</v>
      </c>
      <c r="L9">
        <f>IF(EXACT(L$1,
_xlfn.XLOOKUP($B9,ANNOUNCEMENTS!$E$2:$E$180,ANNOUNCEMENTS!$J$2:$J$180,0,0)),1,
IF(EXACT(L$1,
_xlfn.XLOOKUP($B9,ANNOUNCEMENTS!$L$2:$L$180,ANNOUNCEMENTS!$J$2:$J$180,0,0)),1,
IF(EXACT(L$1,
_xlfn.XLOOKUP($B9,ANNOUNCEMENTS!$M$2:$M$180,ANNOUNCEMENTS!$J$2:$J$180,0,0)),1,
IF(EXACT(L$1,
_xlfn.XLOOKUP($B9,ANNOUNCEMENTS!$N$2:$N$180,ANNOUNCEMENTS!$J$2:$J$180,0,0)),1,0))))</f>
        <v>0</v>
      </c>
      <c r="M9">
        <f t="shared" si="0"/>
        <v>1</v>
      </c>
      <c r="N9" t="b">
        <f>TRUE</f>
        <v>1</v>
      </c>
      <c r="O9">
        <v>1</v>
      </c>
      <c r="P9" t="str">
        <v>Food &amp; Beverage</v>
      </c>
      <c r="Q9" s="21">
        <v>19</v>
      </c>
      <c r="R9">
        <f t="shared" si="1"/>
        <v>6</v>
      </c>
      <c r="S9">
        <f t="shared" si="3"/>
        <v>5.3571428571428568E-2</v>
      </c>
    </row>
    <row r="10" spans="1:19" x14ac:dyDescent="0.35">
      <c r="A10">
        <f t="shared" si="2"/>
        <v>9</v>
      </c>
      <c r="B10" t="s">
        <v>397</v>
      </c>
      <c r="C10" t="s">
        <v>331</v>
      </c>
      <c r="D10">
        <v>74928</v>
      </c>
      <c r="E10" s="107">
        <v>0</v>
      </c>
      <c r="F10">
        <v>0</v>
      </c>
      <c r="G10" t="str">
        <f>CBIMPORT!S33</f>
        <v>www.transdev.com/en/</v>
      </c>
      <c r="H10">
        <f>IF(EXACT(H$1,
_xlfn.XLOOKUP($B10,ANNOUNCEMENTS!$E$2:$E$180,ANNOUNCEMENTS!$J$2:$J$180,0,0)),1,
IF(EXACT(H$1,
_xlfn.XLOOKUP($B10,ANNOUNCEMENTS!$L$2:$L$180,ANNOUNCEMENTS!$J$2:$J$180,0,0)),1,
IF(EXACT(H$1,
_xlfn.XLOOKUP($B10,ANNOUNCEMENTS!$M$2:$M$180,ANNOUNCEMENTS!$J$2:$J$180,0,0)),1,
IF(EXACT(H$1,
_xlfn.XLOOKUP($B10,ANNOUNCEMENTS!$N$2:$N$180,ANNOUNCEMENTS!$J$2:$J$180,0,0)),1,0))))</f>
        <v>1</v>
      </c>
      <c r="I10">
        <f>IF(EXACT(I$1,
_xlfn.XLOOKUP($B10,ANNOUNCEMENTS!$E$2:$E$180,ANNOUNCEMENTS!$J$2:$J$180,0,0)),1,
IF(EXACT(I$1,
_xlfn.XLOOKUP($B10,ANNOUNCEMENTS!$L$2:$L$180,ANNOUNCEMENTS!$J$2:$J$180,0,0)),1,
IF(EXACT(I$1,
_xlfn.XLOOKUP($B10,ANNOUNCEMENTS!$M$2:$M$180,ANNOUNCEMENTS!$J$2:$J$180,0,0)),1,
IF(EXACT(I$1,
_xlfn.XLOOKUP($B10,ANNOUNCEMENTS!$N$2:$N$180,ANNOUNCEMENTS!$J$2:$J$180,0,0)),1,0))))</f>
        <v>0</v>
      </c>
      <c r="J10">
        <f>IF(EXACT(J$1,
_xlfn.XLOOKUP($B10,ANNOUNCEMENTS!$E$2:$E$180,ANNOUNCEMENTS!$J$2:$J$180,0,0)),1,
IF(EXACT(J$1,
_xlfn.XLOOKUP($B10,ANNOUNCEMENTS!$L$2:$L$180,ANNOUNCEMENTS!$J$2:$J$180,0,0)),1,
IF(EXACT(J$1,
_xlfn.XLOOKUP($B10,ANNOUNCEMENTS!$M$2:$M$180,ANNOUNCEMENTS!$J$2:$J$180,0,0)),1,
IF(EXACT(J$1,
_xlfn.XLOOKUP($B10,ANNOUNCEMENTS!$N$2:$N$180,ANNOUNCEMENTS!$J$2:$J$180,0,0)),1,0))))</f>
        <v>0</v>
      </c>
      <c r="K10">
        <f>IF(EXACT(K$1,
_xlfn.XLOOKUP($B10,ANNOUNCEMENTS!$E$2:$E$180,ANNOUNCEMENTS!$J$2:$J$180,0,0)),1,
IF(EXACT(K$1,
_xlfn.XLOOKUP($B10,ANNOUNCEMENTS!$L$2:$L$180,ANNOUNCEMENTS!$J$2:$J$180,0,0)),1,
IF(EXACT(K$1,
_xlfn.XLOOKUP($B10,ANNOUNCEMENTS!$M$2:$M$180,ANNOUNCEMENTS!$J$2:$J$180,0,0)),1,
IF(EXACT(K$1,
_xlfn.XLOOKUP($B10,ANNOUNCEMENTS!$N$2:$N$180,ANNOUNCEMENTS!$J$2:$J$180,0,0)),1,0))))</f>
        <v>0</v>
      </c>
      <c r="L10">
        <f>IF(EXACT(L$1,
_xlfn.XLOOKUP($B10,ANNOUNCEMENTS!$E$2:$E$180,ANNOUNCEMENTS!$J$2:$J$180,0,0)),1,
IF(EXACT(L$1,
_xlfn.XLOOKUP($B10,ANNOUNCEMENTS!$L$2:$L$180,ANNOUNCEMENTS!$J$2:$J$180,0,0)),1,
IF(EXACT(L$1,
_xlfn.XLOOKUP($B10,ANNOUNCEMENTS!$M$2:$M$180,ANNOUNCEMENTS!$J$2:$J$180,0,0)),1,
IF(EXACT(L$1,
_xlfn.XLOOKUP($B10,ANNOUNCEMENTS!$N$2:$N$180,ANNOUNCEMENTS!$J$2:$J$180,0,0)),1,0))))</f>
        <v>0</v>
      </c>
      <c r="M10">
        <f t="shared" si="0"/>
        <v>1</v>
      </c>
      <c r="N10" t="b">
        <f>TRUE</f>
        <v>1</v>
      </c>
      <c r="O10">
        <v>1</v>
      </c>
      <c r="P10" t="str">
        <v>V&amp;V</v>
      </c>
      <c r="Q10" s="21">
        <v>5</v>
      </c>
      <c r="R10">
        <f t="shared" si="1"/>
        <v>1</v>
      </c>
      <c r="S10">
        <f t="shared" si="3"/>
        <v>9.433962264150943E-3</v>
      </c>
    </row>
    <row r="11" spans="1:19" x14ac:dyDescent="0.35">
      <c r="A11">
        <f t="shared" si="2"/>
        <v>10</v>
      </c>
      <c r="B11" t="s">
        <v>724</v>
      </c>
      <c r="C11" t="s">
        <v>331</v>
      </c>
      <c r="D11">
        <v>3000</v>
      </c>
      <c r="E11" s="107">
        <v>887.06411100000003</v>
      </c>
      <c r="F11">
        <v>0</v>
      </c>
      <c r="G11" t="str">
        <f>CBIMPORT!S34</f>
        <v>www.ridewithvia.com</v>
      </c>
      <c r="H11">
        <f>IF(EXACT(H$1,
_xlfn.XLOOKUP($B11,ANNOUNCEMENTS!$E$2:$E$180,ANNOUNCEMENTS!$J$2:$J$180,0,0)),1,
IF(EXACT(H$1,
_xlfn.XLOOKUP($B11,ANNOUNCEMENTS!$L$2:$L$180,ANNOUNCEMENTS!$J$2:$J$180,0,0)),1,
IF(EXACT(H$1,
_xlfn.XLOOKUP($B11,ANNOUNCEMENTS!$M$2:$M$180,ANNOUNCEMENTS!$J$2:$J$180,0,0)),1,
IF(EXACT(H$1,
_xlfn.XLOOKUP($B11,ANNOUNCEMENTS!$N$2:$N$180,ANNOUNCEMENTS!$J$2:$J$180,0,0)),1,0))))</f>
        <v>1</v>
      </c>
      <c r="I11">
        <f>IF(EXACT(I$1,
_xlfn.XLOOKUP($B11,ANNOUNCEMENTS!$E$2:$E$180,ANNOUNCEMENTS!$J$2:$J$180,0,0)),1,
IF(EXACT(I$1,
_xlfn.XLOOKUP($B11,ANNOUNCEMENTS!$L$2:$L$180,ANNOUNCEMENTS!$J$2:$J$180,0,0)),1,
IF(EXACT(I$1,
_xlfn.XLOOKUP($B11,ANNOUNCEMENTS!$M$2:$M$180,ANNOUNCEMENTS!$J$2:$J$180,0,0)),1,
IF(EXACT(I$1,
_xlfn.XLOOKUP($B11,ANNOUNCEMENTS!$N$2:$N$180,ANNOUNCEMENTS!$J$2:$J$180,0,0)),1,0))))</f>
        <v>0</v>
      </c>
      <c r="J11">
        <f>IF(EXACT(J$1,
_xlfn.XLOOKUP($B11,ANNOUNCEMENTS!$E$2:$E$180,ANNOUNCEMENTS!$J$2:$J$180,0,0)),1,
IF(EXACT(J$1,
_xlfn.XLOOKUP($B11,ANNOUNCEMENTS!$L$2:$L$180,ANNOUNCEMENTS!$J$2:$J$180,0,0)),1,
IF(EXACT(J$1,
_xlfn.XLOOKUP($B11,ANNOUNCEMENTS!$M$2:$M$180,ANNOUNCEMENTS!$J$2:$J$180,0,0)),1,
IF(EXACT(J$1,
_xlfn.XLOOKUP($B11,ANNOUNCEMENTS!$N$2:$N$180,ANNOUNCEMENTS!$J$2:$J$180,0,0)),1,0))))</f>
        <v>0</v>
      </c>
      <c r="K11">
        <f>IF(EXACT(K$1,
_xlfn.XLOOKUP($B11,ANNOUNCEMENTS!$E$2:$E$180,ANNOUNCEMENTS!$J$2:$J$180,0,0)),1,
IF(EXACT(K$1,
_xlfn.XLOOKUP($B11,ANNOUNCEMENTS!$L$2:$L$180,ANNOUNCEMENTS!$J$2:$J$180,0,0)),1,
IF(EXACT(K$1,
_xlfn.XLOOKUP($B11,ANNOUNCEMENTS!$M$2:$M$180,ANNOUNCEMENTS!$J$2:$J$180,0,0)),1,
IF(EXACT(K$1,
_xlfn.XLOOKUP($B11,ANNOUNCEMENTS!$N$2:$N$180,ANNOUNCEMENTS!$J$2:$J$180,0,0)),1,0))))</f>
        <v>0</v>
      </c>
      <c r="L11">
        <f>IF(EXACT(L$1,
_xlfn.XLOOKUP($B11,ANNOUNCEMENTS!$E$2:$E$180,ANNOUNCEMENTS!$J$2:$J$180,0,0)),1,
IF(EXACT(L$1,
_xlfn.XLOOKUP($B11,ANNOUNCEMENTS!$L$2:$L$180,ANNOUNCEMENTS!$J$2:$J$180,0,0)),1,
IF(EXACT(L$1,
_xlfn.XLOOKUP($B11,ANNOUNCEMENTS!$M$2:$M$180,ANNOUNCEMENTS!$J$2:$J$180,0,0)),1,
IF(EXACT(L$1,
_xlfn.XLOOKUP($B11,ANNOUNCEMENTS!$N$2:$N$180,ANNOUNCEMENTS!$J$2:$J$180,0,0)),1,0))))</f>
        <v>0</v>
      </c>
      <c r="M11">
        <f t="shared" si="0"/>
        <v>1</v>
      </c>
      <c r="N11" t="b">
        <f>TRUE</f>
        <v>1</v>
      </c>
      <c r="O11">
        <v>1</v>
      </c>
      <c r="P11" t="str">
        <v>Retail</v>
      </c>
      <c r="Q11" s="21">
        <v>20</v>
      </c>
      <c r="R11">
        <f t="shared" si="1"/>
        <v>6</v>
      </c>
      <c r="S11">
        <f t="shared" si="3"/>
        <v>5.7142857142857141E-2</v>
      </c>
    </row>
    <row r="12" spans="1:19" x14ac:dyDescent="0.35">
      <c r="A12">
        <f t="shared" si="2"/>
        <v>11</v>
      </c>
      <c r="B12" t="s">
        <v>1937</v>
      </c>
      <c r="C12" t="s">
        <v>309</v>
      </c>
      <c r="D12">
        <v>60</v>
      </c>
      <c r="E12" s="107">
        <v>0</v>
      </c>
      <c r="F12">
        <v>0</v>
      </c>
      <c r="G12" t="str">
        <f>CBIMPORT!S18</f>
        <v>www.2getthere.eu/</v>
      </c>
      <c r="H12">
        <f>IF(EXACT(H$1,
_xlfn.XLOOKUP($B12,ANNOUNCEMENTS!$E$2:$E$180,ANNOUNCEMENTS!$J$2:$J$180,0,0)),1,
IF(EXACT(H$1,
_xlfn.XLOOKUP($B12,ANNOUNCEMENTS!$L$2:$L$180,ANNOUNCEMENTS!$J$2:$J$180,0,0)),1,
IF(EXACT(H$1,
_xlfn.XLOOKUP($B12,ANNOUNCEMENTS!$M$2:$M$180,ANNOUNCEMENTS!$J$2:$J$180,0,0)),1,
IF(EXACT(H$1,
_xlfn.XLOOKUP($B12,ANNOUNCEMENTS!$N$2:$N$180,ANNOUNCEMENTS!$J$2:$J$180,0,0)),1,0))))</f>
        <v>1</v>
      </c>
      <c r="I12">
        <f>IF(EXACT(I$1,
_xlfn.XLOOKUP($B12,ANNOUNCEMENTS!$E$2:$E$180,ANNOUNCEMENTS!$J$2:$J$180,0,0)),1,
IF(EXACT(I$1,
_xlfn.XLOOKUP($B12,ANNOUNCEMENTS!$L$2:$L$180,ANNOUNCEMENTS!$J$2:$J$180,0,0)),1,
IF(EXACT(I$1,
_xlfn.XLOOKUP($B12,ANNOUNCEMENTS!$M$2:$M$180,ANNOUNCEMENTS!$J$2:$J$180,0,0)),1,
IF(EXACT(I$1,
_xlfn.XLOOKUP($B12,ANNOUNCEMENTS!$N$2:$N$180,ANNOUNCEMENTS!$J$2:$J$180,0,0)),1,0))))</f>
        <v>0</v>
      </c>
      <c r="J12">
        <f>IF(EXACT(J$1,
_xlfn.XLOOKUP($B12,ANNOUNCEMENTS!$E$2:$E$180,ANNOUNCEMENTS!$J$2:$J$180,0,0)),1,
IF(EXACT(J$1,
_xlfn.XLOOKUP($B12,ANNOUNCEMENTS!$L$2:$L$180,ANNOUNCEMENTS!$J$2:$J$180,0,0)),1,
IF(EXACT(J$1,
_xlfn.XLOOKUP($B12,ANNOUNCEMENTS!$M$2:$M$180,ANNOUNCEMENTS!$J$2:$J$180,0,0)),1,
IF(EXACT(J$1,
_xlfn.XLOOKUP($B12,ANNOUNCEMENTS!$N$2:$N$180,ANNOUNCEMENTS!$J$2:$J$180,0,0)),1,0))))</f>
        <v>0</v>
      </c>
      <c r="K12">
        <f>IF(EXACT(K$1,
_xlfn.XLOOKUP($B12,ANNOUNCEMENTS!$E$2:$E$180,ANNOUNCEMENTS!$J$2:$J$180,0,0)),1,
IF(EXACT(K$1,
_xlfn.XLOOKUP($B12,ANNOUNCEMENTS!$L$2:$L$180,ANNOUNCEMENTS!$J$2:$J$180,0,0)),1,
IF(EXACT(K$1,
_xlfn.XLOOKUP($B12,ANNOUNCEMENTS!$M$2:$M$180,ANNOUNCEMENTS!$J$2:$J$180,0,0)),1,
IF(EXACT(K$1,
_xlfn.XLOOKUP($B12,ANNOUNCEMENTS!$N$2:$N$180,ANNOUNCEMENTS!$J$2:$J$180,0,0)),1,0))))</f>
        <v>0</v>
      </c>
      <c r="L12">
        <f>IF(EXACT(L$1,
_xlfn.XLOOKUP($B12,ANNOUNCEMENTS!$E$2:$E$180,ANNOUNCEMENTS!$J$2:$J$180,0,0)),1,
IF(EXACT(L$1,
_xlfn.XLOOKUP($B12,ANNOUNCEMENTS!$L$2:$L$180,ANNOUNCEMENTS!$J$2:$J$180,0,0)),1,
IF(EXACT(L$1,
_xlfn.XLOOKUP($B12,ANNOUNCEMENTS!$M$2:$M$180,ANNOUNCEMENTS!$J$2:$J$180,0,0)),1,
IF(EXACT(L$1,
_xlfn.XLOOKUP($B12,ANNOUNCEMENTS!$N$2:$N$180,ANNOUNCEMENTS!$J$2:$J$180,0,0)),1,0))))</f>
        <v>0</v>
      </c>
      <c r="M12">
        <f t="shared" si="0"/>
        <v>1</v>
      </c>
      <c r="N12" t="b">
        <f>TRUE</f>
        <v>1</v>
      </c>
      <c r="O12">
        <v>1</v>
      </c>
      <c r="P12" t="str">
        <v>Rental Services</v>
      </c>
      <c r="Q12" s="21">
        <v>24</v>
      </c>
      <c r="R12">
        <f t="shared" si="1"/>
        <v>1</v>
      </c>
      <c r="S12">
        <f t="shared" si="3"/>
        <v>1.0101010101010102E-2</v>
      </c>
    </row>
    <row r="13" spans="1:19" x14ac:dyDescent="0.35">
      <c r="A13">
        <f t="shared" si="2"/>
        <v>12</v>
      </c>
      <c r="B13" t="s">
        <v>272</v>
      </c>
      <c r="C13" t="s">
        <v>309</v>
      </c>
      <c r="D13">
        <v>30</v>
      </c>
      <c r="E13" s="107">
        <v>0</v>
      </c>
      <c r="F13">
        <v>0</v>
      </c>
      <c r="G13" t="str">
        <f>CBIMPORT!S19</f>
        <v>www.cartken.com/</v>
      </c>
      <c r="H13">
        <f>IF(EXACT(H$1,
_xlfn.XLOOKUP($B13,ANNOUNCEMENTS!$E$2:$E$180,ANNOUNCEMENTS!$J$2:$J$180,0,0)),1,
IF(EXACT(H$1,
_xlfn.XLOOKUP($B13,ANNOUNCEMENTS!$L$2:$L$180,ANNOUNCEMENTS!$J$2:$J$180,0,0)),1,
IF(EXACT(H$1,
_xlfn.XLOOKUP($B13,ANNOUNCEMENTS!$M$2:$M$180,ANNOUNCEMENTS!$J$2:$J$180,0,0)),1,
IF(EXACT(H$1,
_xlfn.XLOOKUP($B13,ANNOUNCEMENTS!$N$2:$N$180,ANNOUNCEMENTS!$J$2:$J$180,0,0)),1,0))))</f>
        <v>0</v>
      </c>
      <c r="I13">
        <f>IF(EXACT(I$1,
_xlfn.XLOOKUP($B13,ANNOUNCEMENTS!$E$2:$E$180,ANNOUNCEMENTS!$J$2:$J$180,0,0)),1,
IF(EXACT(I$1,
_xlfn.XLOOKUP($B13,ANNOUNCEMENTS!$L$2:$L$180,ANNOUNCEMENTS!$J$2:$J$180,0,0)),1,
IF(EXACT(I$1,
_xlfn.XLOOKUP($B13,ANNOUNCEMENTS!$M$2:$M$180,ANNOUNCEMENTS!$J$2:$J$180,0,0)),1,
IF(EXACT(I$1,
_xlfn.XLOOKUP($B13,ANNOUNCEMENTS!$N$2:$N$180,ANNOUNCEMENTS!$J$2:$J$180,0,0)),1,0))))</f>
        <v>0</v>
      </c>
      <c r="J13">
        <f>IF(EXACT(J$1,
_xlfn.XLOOKUP($B13,ANNOUNCEMENTS!$E$2:$E$180,ANNOUNCEMENTS!$J$2:$J$180,0,0)),1,
IF(EXACT(J$1,
_xlfn.XLOOKUP($B13,ANNOUNCEMENTS!$L$2:$L$180,ANNOUNCEMENTS!$J$2:$J$180,0,0)),1,
IF(EXACT(J$1,
_xlfn.XLOOKUP($B13,ANNOUNCEMENTS!$M$2:$M$180,ANNOUNCEMENTS!$J$2:$J$180,0,0)),1,
IF(EXACT(J$1,
_xlfn.XLOOKUP($B13,ANNOUNCEMENTS!$N$2:$N$180,ANNOUNCEMENTS!$J$2:$J$180,0,0)),1,0))))</f>
        <v>0</v>
      </c>
      <c r="K13">
        <f>IF(EXACT(K$1,
_xlfn.XLOOKUP($B13,ANNOUNCEMENTS!$E$2:$E$180,ANNOUNCEMENTS!$J$2:$J$180,0,0)),1,
IF(EXACT(K$1,
_xlfn.XLOOKUP($B13,ANNOUNCEMENTS!$L$2:$L$180,ANNOUNCEMENTS!$J$2:$J$180,0,0)),1,
IF(EXACT(K$1,
_xlfn.XLOOKUP($B13,ANNOUNCEMENTS!$M$2:$M$180,ANNOUNCEMENTS!$J$2:$J$180,0,0)),1,
IF(EXACT(K$1,
_xlfn.XLOOKUP($B13,ANNOUNCEMENTS!$N$2:$N$180,ANNOUNCEMENTS!$J$2:$J$180,0,0)),1,0))))</f>
        <v>1</v>
      </c>
      <c r="L13">
        <f>IF(EXACT(L$1,
_xlfn.XLOOKUP($B13,ANNOUNCEMENTS!$E$2:$E$180,ANNOUNCEMENTS!$J$2:$J$180,0,0)),1,
IF(EXACT(L$1,
_xlfn.XLOOKUP($B13,ANNOUNCEMENTS!$L$2:$L$180,ANNOUNCEMENTS!$J$2:$J$180,0,0)),1,
IF(EXACT(L$1,
_xlfn.XLOOKUP($B13,ANNOUNCEMENTS!$M$2:$M$180,ANNOUNCEMENTS!$J$2:$J$180,0,0)),1,
IF(EXACT(L$1,
_xlfn.XLOOKUP($B13,ANNOUNCEMENTS!$N$2:$N$180,ANNOUNCEMENTS!$J$2:$J$180,0,0)),1,0))))</f>
        <v>0</v>
      </c>
      <c r="M13">
        <f t="shared" si="0"/>
        <v>1</v>
      </c>
      <c r="N13" t="b">
        <f>TRUE</f>
        <v>1</v>
      </c>
      <c r="O13">
        <v>1</v>
      </c>
      <c r="P13" t="str">
        <v>Automotive Supplier</v>
      </c>
      <c r="Q13" s="21">
        <v>9</v>
      </c>
      <c r="R13">
        <f t="shared" si="1"/>
        <v>9</v>
      </c>
      <c r="S13">
        <f t="shared" si="3"/>
        <v>9.1836734693877556E-2</v>
      </c>
    </row>
    <row r="14" spans="1:19" x14ac:dyDescent="0.35">
      <c r="A14">
        <f t="shared" si="2"/>
        <v>13</v>
      </c>
      <c r="B14" t="s">
        <v>56</v>
      </c>
      <c r="C14" t="s">
        <v>309</v>
      </c>
      <c r="D14">
        <v>250</v>
      </c>
      <c r="E14" s="107">
        <v>82.516926609999999</v>
      </c>
      <c r="F14">
        <v>0</v>
      </c>
      <c r="G14" t="str">
        <f>CBIMPORT!S20</f>
        <v>easymile.com/</v>
      </c>
      <c r="H14">
        <v>1</v>
      </c>
      <c r="I14">
        <f>IF(EXACT(I$1,
_xlfn.XLOOKUP($B14,ANNOUNCEMENTS!$E$2:$E$180,ANNOUNCEMENTS!$J$2:$J$180,0,0)),1,
IF(EXACT(I$1,
_xlfn.XLOOKUP($B14,ANNOUNCEMENTS!$L$2:$L$180,ANNOUNCEMENTS!$J$2:$J$180,0,0)),1,
IF(EXACT(I$1,
_xlfn.XLOOKUP($B14,ANNOUNCEMENTS!$M$2:$M$180,ANNOUNCEMENTS!$J$2:$J$180,0,0)),1,
IF(EXACT(I$1,
_xlfn.XLOOKUP($B14,ANNOUNCEMENTS!$N$2:$N$180,ANNOUNCEMENTS!$J$2:$J$180,0,0)),1,0))))</f>
        <v>0</v>
      </c>
      <c r="J14">
        <f>IF(EXACT(J$1,
_xlfn.XLOOKUP($B14,ANNOUNCEMENTS!$E$2:$E$180,ANNOUNCEMENTS!$J$2:$J$180,0,0)),1,
IF(EXACT(J$1,
_xlfn.XLOOKUP($B14,ANNOUNCEMENTS!$L$2:$L$180,ANNOUNCEMENTS!$J$2:$J$180,0,0)),1,
IF(EXACT(J$1,
_xlfn.XLOOKUP($B14,ANNOUNCEMENTS!$M$2:$M$180,ANNOUNCEMENTS!$J$2:$J$180,0,0)),1,
IF(EXACT(J$1,
_xlfn.XLOOKUP($B14,ANNOUNCEMENTS!$N$2:$N$180,ANNOUNCEMENTS!$J$2:$J$180,0,0)),1,0))))</f>
        <v>0</v>
      </c>
      <c r="K14">
        <f>IF(EXACT(K$1,
_xlfn.XLOOKUP($B14,ANNOUNCEMENTS!$E$2:$E$180,ANNOUNCEMENTS!$J$2:$J$180,0,0)),1,
IF(EXACT(K$1,
_xlfn.XLOOKUP($B14,ANNOUNCEMENTS!$L$2:$L$180,ANNOUNCEMENTS!$J$2:$J$180,0,0)),1,
IF(EXACT(K$1,
_xlfn.XLOOKUP($B14,ANNOUNCEMENTS!$M$2:$M$180,ANNOUNCEMENTS!$J$2:$J$180,0,0)),1,
IF(EXACT(K$1,
_xlfn.XLOOKUP($B14,ANNOUNCEMENTS!$N$2:$N$180,ANNOUNCEMENTS!$J$2:$J$180,0,0)),1,0))))</f>
        <v>0</v>
      </c>
      <c r="L14">
        <f>IF(EXACT(L$1,
_xlfn.XLOOKUP($B14,ANNOUNCEMENTS!$E$2:$E$180,ANNOUNCEMENTS!$J$2:$J$180,0,0)),1,
IF(EXACT(L$1,
_xlfn.XLOOKUP($B14,ANNOUNCEMENTS!$L$2:$L$180,ANNOUNCEMENTS!$J$2:$J$180,0,0)),1,
IF(EXACT(L$1,
_xlfn.XLOOKUP($B14,ANNOUNCEMENTS!$M$2:$M$180,ANNOUNCEMENTS!$J$2:$J$180,0,0)),1,
IF(EXACT(L$1,
_xlfn.XLOOKUP($B14,ANNOUNCEMENTS!$N$2:$N$180,ANNOUNCEMENTS!$J$2:$J$180,0,0)),1,0))))</f>
        <v>1</v>
      </c>
      <c r="M14">
        <f t="shared" si="0"/>
        <v>2</v>
      </c>
      <c r="N14" t="b">
        <f>TRUE</f>
        <v>1</v>
      </c>
      <c r="O14">
        <v>1</v>
      </c>
      <c r="P14" t="str">
        <v>Transport Operator</v>
      </c>
      <c r="Q14" s="21">
        <v>13</v>
      </c>
      <c r="R14">
        <f t="shared" si="1"/>
        <v>10</v>
      </c>
      <c r="S14">
        <f t="shared" si="3"/>
        <v>0.11235955056179775</v>
      </c>
    </row>
    <row r="15" spans="1:19" x14ac:dyDescent="0.35">
      <c r="A15">
        <f t="shared" si="2"/>
        <v>14</v>
      </c>
      <c r="B15" t="s">
        <v>404</v>
      </c>
      <c r="C15" t="s">
        <v>309</v>
      </c>
      <c r="D15">
        <v>375</v>
      </c>
      <c r="E15" s="107">
        <v>652.34307000000001</v>
      </c>
      <c r="F15">
        <v>0</v>
      </c>
      <c r="G15" t="str">
        <f>CBIMPORT!S21</f>
        <v>www.einride.tech</v>
      </c>
      <c r="H15">
        <f>IF(EXACT(H$1,
_xlfn.XLOOKUP($B15,ANNOUNCEMENTS!$E$2:$E$180,ANNOUNCEMENTS!$J$2:$J$180,0,0)),1,
IF(EXACT(H$1,
_xlfn.XLOOKUP($B15,ANNOUNCEMENTS!$L$2:$L$180,ANNOUNCEMENTS!$J$2:$J$180,0,0)),1,
IF(EXACT(H$1,
_xlfn.XLOOKUP($B15,ANNOUNCEMENTS!$M$2:$M$180,ANNOUNCEMENTS!$J$2:$J$180,0,0)),1,
IF(EXACT(H$1,
_xlfn.XLOOKUP($B15,ANNOUNCEMENTS!$N$2:$N$180,ANNOUNCEMENTS!$J$2:$J$180,0,0)),1,0))))</f>
        <v>0</v>
      </c>
      <c r="I15">
        <f>IF(EXACT(I$1,
_xlfn.XLOOKUP($B15,ANNOUNCEMENTS!$E$2:$E$180,ANNOUNCEMENTS!$J$2:$J$180,0,0)),1,
IF(EXACT(I$1,
_xlfn.XLOOKUP($B15,ANNOUNCEMENTS!$L$2:$L$180,ANNOUNCEMENTS!$J$2:$J$180,0,0)),1,
IF(EXACT(I$1,
_xlfn.XLOOKUP($B15,ANNOUNCEMENTS!$M$2:$M$180,ANNOUNCEMENTS!$J$2:$J$180,0,0)),1,
IF(EXACT(I$1,
_xlfn.XLOOKUP($B15,ANNOUNCEMENTS!$N$2:$N$180,ANNOUNCEMENTS!$J$2:$J$180,0,0)),1,0))))</f>
        <v>0</v>
      </c>
      <c r="J15">
        <f>IF(EXACT(J$1,
_xlfn.XLOOKUP($B15,ANNOUNCEMENTS!$E$2:$E$180,ANNOUNCEMENTS!$J$2:$J$180,0,0)),1,
IF(EXACT(J$1,
_xlfn.XLOOKUP($B15,ANNOUNCEMENTS!$L$2:$L$180,ANNOUNCEMENTS!$J$2:$J$180,0,0)),1,
IF(EXACT(J$1,
_xlfn.XLOOKUP($B15,ANNOUNCEMENTS!$M$2:$M$180,ANNOUNCEMENTS!$J$2:$J$180,0,0)),1,
IF(EXACT(J$1,
_xlfn.XLOOKUP($B15,ANNOUNCEMENTS!$N$2:$N$180,ANNOUNCEMENTS!$J$2:$J$180,0,0)),1,0))))</f>
        <v>1</v>
      </c>
      <c r="K15">
        <f>IF(EXACT(K$1,
_xlfn.XLOOKUP($B15,ANNOUNCEMENTS!$E$2:$E$180,ANNOUNCEMENTS!$J$2:$J$180,0,0)),1,
IF(EXACT(K$1,
_xlfn.XLOOKUP($B15,ANNOUNCEMENTS!$L$2:$L$180,ANNOUNCEMENTS!$J$2:$J$180,0,0)),1,
IF(EXACT(K$1,
_xlfn.XLOOKUP($B15,ANNOUNCEMENTS!$M$2:$M$180,ANNOUNCEMENTS!$J$2:$J$180,0,0)),1,
IF(EXACT(K$1,
_xlfn.XLOOKUP($B15,ANNOUNCEMENTS!$N$2:$N$180,ANNOUNCEMENTS!$J$2:$J$180,0,0)),1,0))))</f>
        <v>0</v>
      </c>
      <c r="L15">
        <f>IF(EXACT(L$1,
_xlfn.XLOOKUP($B15,ANNOUNCEMENTS!$E$2:$E$180,ANNOUNCEMENTS!$J$2:$J$180,0,0)),1,
IF(EXACT(L$1,
_xlfn.XLOOKUP($B15,ANNOUNCEMENTS!$L$2:$L$180,ANNOUNCEMENTS!$J$2:$J$180,0,0)),1,
IF(EXACT(L$1,
_xlfn.XLOOKUP($B15,ANNOUNCEMENTS!$M$2:$M$180,ANNOUNCEMENTS!$J$2:$J$180,0,0)),1,
IF(EXACT(L$1,
_xlfn.XLOOKUP($B15,ANNOUNCEMENTS!$N$2:$N$180,ANNOUNCEMENTS!$J$2:$J$180,0,0)),1,0))))</f>
        <v>0</v>
      </c>
      <c r="M15">
        <f t="shared" si="0"/>
        <v>1</v>
      </c>
      <c r="N15" t="b">
        <f>TRUE</f>
        <v>1</v>
      </c>
      <c r="O15">
        <v>1</v>
      </c>
      <c r="P15" t="str">
        <v>Mobility Services</v>
      </c>
      <c r="Q15" s="21">
        <v>16</v>
      </c>
      <c r="R15">
        <f t="shared" si="1"/>
        <v>4</v>
      </c>
      <c r="S15">
        <f t="shared" si="3"/>
        <v>5.0632911392405063E-2</v>
      </c>
    </row>
    <row r="16" spans="1:19" x14ac:dyDescent="0.35">
      <c r="A16">
        <f t="shared" si="2"/>
        <v>15</v>
      </c>
      <c r="B16" t="s">
        <v>293</v>
      </c>
      <c r="C16" t="s">
        <v>309</v>
      </c>
      <c r="D16">
        <v>175</v>
      </c>
      <c r="E16" s="107">
        <v>30.083497999999999</v>
      </c>
      <c r="F16">
        <v>0</v>
      </c>
      <c r="G16" t="str">
        <f>CBIMPORT!S22</f>
        <v>www.kiwibot.com/</v>
      </c>
      <c r="H16">
        <f>IF(EXACT(H$1,
_xlfn.XLOOKUP($B16,ANNOUNCEMENTS!$E$2:$E$180,ANNOUNCEMENTS!$J$2:$J$180,0,0)),1,
IF(EXACT(H$1,
_xlfn.XLOOKUP($B16,ANNOUNCEMENTS!$L$2:$L$180,ANNOUNCEMENTS!$J$2:$J$180,0,0)),1,
IF(EXACT(H$1,
_xlfn.XLOOKUP($B16,ANNOUNCEMENTS!$M$2:$M$180,ANNOUNCEMENTS!$J$2:$J$180,0,0)),1,
IF(EXACT(H$1,
_xlfn.XLOOKUP($B16,ANNOUNCEMENTS!$N$2:$N$180,ANNOUNCEMENTS!$J$2:$J$180,0,0)),1,0))))</f>
        <v>0</v>
      </c>
      <c r="I16">
        <f>IF(EXACT(I$1,
_xlfn.XLOOKUP($B16,ANNOUNCEMENTS!$E$2:$E$180,ANNOUNCEMENTS!$J$2:$J$180,0,0)),1,
IF(EXACT(I$1,
_xlfn.XLOOKUP($B16,ANNOUNCEMENTS!$L$2:$L$180,ANNOUNCEMENTS!$J$2:$J$180,0,0)),1,
IF(EXACT(I$1,
_xlfn.XLOOKUP($B16,ANNOUNCEMENTS!$M$2:$M$180,ANNOUNCEMENTS!$J$2:$J$180,0,0)),1,
IF(EXACT(I$1,
_xlfn.XLOOKUP($B16,ANNOUNCEMENTS!$N$2:$N$180,ANNOUNCEMENTS!$J$2:$J$180,0,0)),1,0))))</f>
        <v>0</v>
      </c>
      <c r="J16">
        <f>IF(EXACT(J$1,
_xlfn.XLOOKUP($B16,ANNOUNCEMENTS!$E$2:$E$180,ANNOUNCEMENTS!$J$2:$J$180,0,0)),1,
IF(EXACT(J$1,
_xlfn.XLOOKUP($B16,ANNOUNCEMENTS!$L$2:$L$180,ANNOUNCEMENTS!$J$2:$J$180,0,0)),1,
IF(EXACT(J$1,
_xlfn.XLOOKUP($B16,ANNOUNCEMENTS!$M$2:$M$180,ANNOUNCEMENTS!$J$2:$J$180,0,0)),1,
IF(EXACT(J$1,
_xlfn.XLOOKUP($B16,ANNOUNCEMENTS!$N$2:$N$180,ANNOUNCEMENTS!$J$2:$J$180,0,0)),1,0))))</f>
        <v>0</v>
      </c>
      <c r="K16">
        <f>IF(EXACT(K$1,
_xlfn.XLOOKUP($B16,ANNOUNCEMENTS!$E$2:$E$180,ANNOUNCEMENTS!$J$2:$J$180,0,0)),1,
IF(EXACT(K$1,
_xlfn.XLOOKUP($B16,ANNOUNCEMENTS!$L$2:$L$180,ANNOUNCEMENTS!$J$2:$J$180,0,0)),1,
IF(EXACT(K$1,
_xlfn.XLOOKUP($B16,ANNOUNCEMENTS!$M$2:$M$180,ANNOUNCEMENTS!$J$2:$J$180,0,0)),1,
IF(EXACT(K$1,
_xlfn.XLOOKUP($B16,ANNOUNCEMENTS!$N$2:$N$180,ANNOUNCEMENTS!$J$2:$J$180,0,0)),1,0))))</f>
        <v>1</v>
      </c>
      <c r="L16">
        <f>IF(EXACT(L$1,
_xlfn.XLOOKUP($B16,ANNOUNCEMENTS!$E$2:$E$180,ANNOUNCEMENTS!$J$2:$J$180,0,0)),1,
IF(EXACT(L$1,
_xlfn.XLOOKUP($B16,ANNOUNCEMENTS!$L$2:$L$180,ANNOUNCEMENTS!$J$2:$J$180,0,0)),1,
IF(EXACT(L$1,
_xlfn.XLOOKUP($B16,ANNOUNCEMENTS!$M$2:$M$180,ANNOUNCEMENTS!$J$2:$J$180,0,0)),1,
IF(EXACT(L$1,
_xlfn.XLOOKUP($B16,ANNOUNCEMENTS!$N$2:$N$180,ANNOUNCEMENTS!$J$2:$J$180,0,0)),1,0))))</f>
        <v>0</v>
      </c>
      <c r="M16">
        <f t="shared" si="0"/>
        <v>1</v>
      </c>
      <c r="N16" t="b">
        <f>TRUE</f>
        <v>1</v>
      </c>
      <c r="O16">
        <v>1</v>
      </c>
      <c r="P16" t="str">
        <v>University</v>
      </c>
      <c r="Q16" s="21">
        <v>25</v>
      </c>
      <c r="R16">
        <f t="shared" si="1"/>
        <v>2</v>
      </c>
      <c r="S16">
        <f t="shared" si="3"/>
        <v>2.6666666666666668E-2</v>
      </c>
    </row>
    <row r="17" spans="1:19" x14ac:dyDescent="0.35">
      <c r="A17">
        <f t="shared" si="2"/>
        <v>16</v>
      </c>
      <c r="B17" t="s">
        <v>1951</v>
      </c>
      <c r="C17" t="s">
        <v>309</v>
      </c>
      <c r="D17">
        <v>75</v>
      </c>
      <c r="E17" s="107">
        <v>0</v>
      </c>
      <c r="F17">
        <v>0</v>
      </c>
      <c r="G17" t="str">
        <f>CBIMPORT!S23</f>
        <v>lohr.us</v>
      </c>
      <c r="H17">
        <f>IF(EXACT(H$1,
_xlfn.XLOOKUP($B17,ANNOUNCEMENTS!$E$2:$E$180,ANNOUNCEMENTS!$J$2:$J$180,0,0)),1,
IF(EXACT(H$1,
_xlfn.XLOOKUP($B17,ANNOUNCEMENTS!$L$2:$L$180,ANNOUNCEMENTS!$J$2:$J$180,0,0)),1,
IF(EXACT(H$1,
_xlfn.XLOOKUP($B17,ANNOUNCEMENTS!$M$2:$M$180,ANNOUNCEMENTS!$J$2:$J$180,0,0)),1,
IF(EXACT(H$1,
_xlfn.XLOOKUP($B17,ANNOUNCEMENTS!$N$2:$N$180,ANNOUNCEMENTS!$J$2:$J$180,0,0)),1,0))))</f>
        <v>1</v>
      </c>
      <c r="I17">
        <f>IF(EXACT(I$1,
_xlfn.XLOOKUP($B17,ANNOUNCEMENTS!$E$2:$E$180,ANNOUNCEMENTS!$J$2:$J$180,0,0)),1,
IF(EXACT(I$1,
_xlfn.XLOOKUP($B17,ANNOUNCEMENTS!$L$2:$L$180,ANNOUNCEMENTS!$J$2:$J$180,0,0)),1,
IF(EXACT(I$1,
_xlfn.XLOOKUP($B17,ANNOUNCEMENTS!$M$2:$M$180,ANNOUNCEMENTS!$J$2:$J$180,0,0)),1,
IF(EXACT(I$1,
_xlfn.XLOOKUP($B17,ANNOUNCEMENTS!$N$2:$N$180,ANNOUNCEMENTS!$J$2:$J$180,0,0)),1,0))))</f>
        <v>0</v>
      </c>
      <c r="J17">
        <f>IF(EXACT(J$1,
_xlfn.XLOOKUP($B17,ANNOUNCEMENTS!$E$2:$E$180,ANNOUNCEMENTS!$J$2:$J$180,0,0)),1,
IF(EXACT(J$1,
_xlfn.XLOOKUP($B17,ANNOUNCEMENTS!$L$2:$L$180,ANNOUNCEMENTS!$J$2:$J$180,0,0)),1,
IF(EXACT(J$1,
_xlfn.XLOOKUP($B17,ANNOUNCEMENTS!$M$2:$M$180,ANNOUNCEMENTS!$J$2:$J$180,0,0)),1,
IF(EXACT(J$1,
_xlfn.XLOOKUP($B17,ANNOUNCEMENTS!$N$2:$N$180,ANNOUNCEMENTS!$J$2:$J$180,0,0)),1,0))))</f>
        <v>0</v>
      </c>
      <c r="K17">
        <f>IF(EXACT(K$1,
_xlfn.XLOOKUP($B17,ANNOUNCEMENTS!$E$2:$E$180,ANNOUNCEMENTS!$J$2:$J$180,0,0)),1,
IF(EXACT(K$1,
_xlfn.XLOOKUP($B17,ANNOUNCEMENTS!$L$2:$L$180,ANNOUNCEMENTS!$J$2:$J$180,0,0)),1,
IF(EXACT(K$1,
_xlfn.XLOOKUP($B17,ANNOUNCEMENTS!$M$2:$M$180,ANNOUNCEMENTS!$J$2:$J$180,0,0)),1,
IF(EXACT(K$1,
_xlfn.XLOOKUP($B17,ANNOUNCEMENTS!$N$2:$N$180,ANNOUNCEMENTS!$J$2:$J$180,0,0)),1,0))))</f>
        <v>0</v>
      </c>
      <c r="L17">
        <f>IF(EXACT(L$1,
_xlfn.XLOOKUP($B17,ANNOUNCEMENTS!$E$2:$E$180,ANNOUNCEMENTS!$J$2:$J$180,0,0)),1,
IF(EXACT(L$1,
_xlfn.XLOOKUP($B17,ANNOUNCEMENTS!$L$2:$L$180,ANNOUNCEMENTS!$J$2:$J$180,0,0)),1,
IF(EXACT(L$1,
_xlfn.XLOOKUP($B17,ANNOUNCEMENTS!$M$2:$M$180,ANNOUNCEMENTS!$J$2:$J$180,0,0)),1,
IF(EXACT(L$1,
_xlfn.XLOOKUP($B17,ANNOUNCEMENTS!$N$2:$N$180,ANNOUNCEMENTS!$J$2:$J$180,0,0)),1,0))))</f>
        <v>0</v>
      </c>
      <c r="M17">
        <f t="shared" si="0"/>
        <v>1</v>
      </c>
      <c r="N17" t="b">
        <f>TRUE</f>
        <v>1</v>
      </c>
      <c r="O17">
        <v>1</v>
      </c>
      <c r="P17" t="str">
        <v>Charging System</v>
      </c>
      <c r="Q17" s="21">
        <v>28</v>
      </c>
      <c r="R17">
        <f t="shared" si="1"/>
        <v>2</v>
      </c>
      <c r="S17">
        <f t="shared" si="3"/>
        <v>2.7397260273972601E-2</v>
      </c>
    </row>
    <row r="18" spans="1:19" x14ac:dyDescent="0.35">
      <c r="A18">
        <f t="shared" si="2"/>
        <v>17</v>
      </c>
      <c r="B18" t="s">
        <v>1933</v>
      </c>
      <c r="C18" t="s">
        <v>309</v>
      </c>
      <c r="D18">
        <v>375</v>
      </c>
      <c r="E18" s="107">
        <v>108.44449893000001</v>
      </c>
      <c r="F18">
        <v>1</v>
      </c>
      <c r="G18" t="str">
        <f>CBIMPORT!S24</f>
        <v>navya.tech</v>
      </c>
      <c r="H18">
        <f>IF(EXACT(H$1,
_xlfn.XLOOKUP($B18,ANNOUNCEMENTS!$E$2:$E$180,ANNOUNCEMENTS!$J$2:$J$180,0,0)),1,
IF(EXACT(H$1,
_xlfn.XLOOKUP($B18,ANNOUNCEMENTS!$L$2:$L$180,ANNOUNCEMENTS!$J$2:$J$180,0,0)),1,
IF(EXACT(H$1,
_xlfn.XLOOKUP($B18,ANNOUNCEMENTS!$M$2:$M$180,ANNOUNCEMENTS!$J$2:$J$180,0,0)),1,
IF(EXACT(H$1,
_xlfn.XLOOKUP($B18,ANNOUNCEMENTS!$N$2:$N$180,ANNOUNCEMENTS!$J$2:$J$180,0,0)),1,0))))</f>
        <v>1</v>
      </c>
      <c r="I18">
        <f>IF(EXACT(I$1,
_xlfn.XLOOKUP($B18,ANNOUNCEMENTS!$E$2:$E$180,ANNOUNCEMENTS!$J$2:$J$180,0,0)),1,
IF(EXACT(I$1,
_xlfn.XLOOKUP($B18,ANNOUNCEMENTS!$L$2:$L$180,ANNOUNCEMENTS!$J$2:$J$180,0,0)),1,
IF(EXACT(I$1,
_xlfn.XLOOKUP($B18,ANNOUNCEMENTS!$M$2:$M$180,ANNOUNCEMENTS!$J$2:$J$180,0,0)),1,
IF(EXACT(I$1,
_xlfn.XLOOKUP($B18,ANNOUNCEMENTS!$N$2:$N$180,ANNOUNCEMENTS!$J$2:$J$180,0,0)),1,0))))</f>
        <v>0</v>
      </c>
      <c r="J18">
        <f>IF(EXACT(J$1,
_xlfn.XLOOKUP($B18,ANNOUNCEMENTS!$E$2:$E$180,ANNOUNCEMENTS!$J$2:$J$180,0,0)),1,
IF(EXACT(J$1,
_xlfn.XLOOKUP($B18,ANNOUNCEMENTS!$L$2:$L$180,ANNOUNCEMENTS!$J$2:$J$180,0,0)),1,
IF(EXACT(J$1,
_xlfn.XLOOKUP($B18,ANNOUNCEMENTS!$M$2:$M$180,ANNOUNCEMENTS!$J$2:$J$180,0,0)),1,
IF(EXACT(J$1,
_xlfn.XLOOKUP($B18,ANNOUNCEMENTS!$N$2:$N$180,ANNOUNCEMENTS!$J$2:$J$180,0,0)),1,0))))</f>
        <v>0</v>
      </c>
      <c r="K18">
        <f>IF(EXACT(K$1,
_xlfn.XLOOKUP($B18,ANNOUNCEMENTS!$E$2:$E$180,ANNOUNCEMENTS!$J$2:$J$180,0,0)),1,
IF(EXACT(K$1,
_xlfn.XLOOKUP($B18,ANNOUNCEMENTS!$L$2:$L$180,ANNOUNCEMENTS!$J$2:$J$180,0,0)),1,
IF(EXACT(K$1,
_xlfn.XLOOKUP($B18,ANNOUNCEMENTS!$M$2:$M$180,ANNOUNCEMENTS!$J$2:$J$180,0,0)),1,
IF(EXACT(K$1,
_xlfn.XLOOKUP($B18,ANNOUNCEMENTS!$N$2:$N$180,ANNOUNCEMENTS!$J$2:$J$180,0,0)),1,0))))</f>
        <v>0</v>
      </c>
      <c r="L18">
        <f>IF(EXACT(L$1,
_xlfn.XLOOKUP($B18,ANNOUNCEMENTS!$E$2:$E$180,ANNOUNCEMENTS!$J$2:$J$180,0,0)),1,
IF(EXACT(L$1,
_xlfn.XLOOKUP($B18,ANNOUNCEMENTS!$L$2:$L$180,ANNOUNCEMENTS!$J$2:$J$180,0,0)),1,
IF(EXACT(L$1,
_xlfn.XLOOKUP($B18,ANNOUNCEMENTS!$M$2:$M$180,ANNOUNCEMENTS!$J$2:$J$180,0,0)),1,
IF(EXACT(L$1,
_xlfn.XLOOKUP($B18,ANNOUNCEMENTS!$N$2:$N$180,ANNOUNCEMENTS!$J$2:$J$180,0,0)),1,0))))</f>
        <v>0</v>
      </c>
      <c r="M18">
        <f t="shared" si="0"/>
        <v>1</v>
      </c>
      <c r="N18" t="b">
        <f>TRUE</f>
        <v>1</v>
      </c>
      <c r="O18">
        <v>1</v>
      </c>
      <c r="P18" t="str">
        <v>Transportation Authority</v>
      </c>
      <c r="Q18" s="21">
        <v>14</v>
      </c>
      <c r="R18">
        <f t="shared" si="1"/>
        <v>3</v>
      </c>
      <c r="S18">
        <f t="shared" si="3"/>
        <v>4.2253521126760563E-2</v>
      </c>
    </row>
    <row r="19" spans="1:19" x14ac:dyDescent="0.35">
      <c r="A19">
        <f t="shared" si="2"/>
        <v>18</v>
      </c>
      <c r="B19" t="s">
        <v>300</v>
      </c>
      <c r="C19" t="s">
        <v>309</v>
      </c>
      <c r="D19">
        <v>1133</v>
      </c>
      <c r="E19" s="107">
        <v>2132.1488549999999</v>
      </c>
      <c r="F19">
        <v>0</v>
      </c>
      <c r="G19" t="str">
        <f>CBIMPORT!S25</f>
        <v>nuro.ai</v>
      </c>
      <c r="H19">
        <f>IF(EXACT(H$1,
_xlfn.XLOOKUP($B19,ANNOUNCEMENTS!$E$2:$E$180,ANNOUNCEMENTS!$J$2:$J$180,0,0)),1,
IF(EXACT(H$1,
_xlfn.XLOOKUP($B19,ANNOUNCEMENTS!$L$2:$L$180,ANNOUNCEMENTS!$J$2:$J$180,0,0)),1,
IF(EXACT(H$1,
_xlfn.XLOOKUP($B19,ANNOUNCEMENTS!$M$2:$M$180,ANNOUNCEMENTS!$J$2:$J$180,0,0)),1,
IF(EXACT(H$1,
_xlfn.XLOOKUP($B19,ANNOUNCEMENTS!$N$2:$N$180,ANNOUNCEMENTS!$J$2:$J$180,0,0)),1,0))))</f>
        <v>0</v>
      </c>
      <c r="I19">
        <f>IF(EXACT(I$1,
_xlfn.XLOOKUP($B19,ANNOUNCEMENTS!$E$2:$E$180,ANNOUNCEMENTS!$J$2:$J$180,0,0)),1,
IF(EXACT(I$1,
_xlfn.XLOOKUP($B19,ANNOUNCEMENTS!$L$2:$L$180,ANNOUNCEMENTS!$J$2:$J$180,0,0)),1,
IF(EXACT(I$1,
_xlfn.XLOOKUP($B19,ANNOUNCEMENTS!$M$2:$M$180,ANNOUNCEMENTS!$J$2:$J$180,0,0)),1,
IF(EXACT(I$1,
_xlfn.XLOOKUP($B19,ANNOUNCEMENTS!$N$2:$N$180,ANNOUNCEMENTS!$J$2:$J$180,0,0)),1,0))))</f>
        <v>0</v>
      </c>
      <c r="J19">
        <f>IF(EXACT(J$1,
_xlfn.XLOOKUP($B19,ANNOUNCEMENTS!$E$2:$E$180,ANNOUNCEMENTS!$J$2:$J$180,0,0)),1,
IF(EXACT(J$1,
_xlfn.XLOOKUP($B19,ANNOUNCEMENTS!$L$2:$L$180,ANNOUNCEMENTS!$J$2:$J$180,0,0)),1,
IF(EXACT(J$1,
_xlfn.XLOOKUP($B19,ANNOUNCEMENTS!$M$2:$M$180,ANNOUNCEMENTS!$J$2:$J$180,0,0)),1,
IF(EXACT(J$1,
_xlfn.XLOOKUP($B19,ANNOUNCEMENTS!$N$2:$N$180,ANNOUNCEMENTS!$J$2:$J$180,0,0)),1,0))))</f>
        <v>0</v>
      </c>
      <c r="K19">
        <f>IF(EXACT(K$1,
_xlfn.XLOOKUP($B19,ANNOUNCEMENTS!$E$2:$E$180,ANNOUNCEMENTS!$J$2:$J$180,0,0)),1,
IF(EXACT(K$1,
_xlfn.XLOOKUP($B19,ANNOUNCEMENTS!$L$2:$L$180,ANNOUNCEMENTS!$J$2:$J$180,0,0)),1,
IF(EXACT(K$1,
_xlfn.XLOOKUP($B19,ANNOUNCEMENTS!$M$2:$M$180,ANNOUNCEMENTS!$J$2:$J$180,0,0)),1,
IF(EXACT(K$1,
_xlfn.XLOOKUP($B19,ANNOUNCEMENTS!$N$2:$N$180,ANNOUNCEMENTS!$J$2:$J$180,0,0)),1,0))))</f>
        <v>1</v>
      </c>
      <c r="L19">
        <f>IF(EXACT(L$1,
_xlfn.XLOOKUP($B19,ANNOUNCEMENTS!$E$2:$E$180,ANNOUNCEMENTS!$J$2:$J$180,0,0)),1,
IF(EXACT(L$1,
_xlfn.XLOOKUP($B19,ANNOUNCEMENTS!$L$2:$L$180,ANNOUNCEMENTS!$J$2:$J$180,0,0)),1,
IF(EXACT(L$1,
_xlfn.XLOOKUP($B19,ANNOUNCEMENTS!$M$2:$M$180,ANNOUNCEMENTS!$J$2:$J$180,0,0)),1,
IF(EXACT(L$1,
_xlfn.XLOOKUP($B19,ANNOUNCEMENTS!$N$2:$N$180,ANNOUNCEMENTS!$J$2:$J$180,0,0)),1,0))))</f>
        <v>0</v>
      </c>
      <c r="M19">
        <f t="shared" si="0"/>
        <v>1</v>
      </c>
      <c r="N19" t="b">
        <f>TRUE</f>
        <v>1</v>
      </c>
      <c r="O19">
        <v>1</v>
      </c>
      <c r="P19" t="str">
        <v>OEM Commercial Vehicles</v>
      </c>
      <c r="Q19" s="21">
        <v>12</v>
      </c>
      <c r="R19">
        <f t="shared" si="1"/>
        <v>13</v>
      </c>
      <c r="S19">
        <f t="shared" si="3"/>
        <v>0.19117647058823528</v>
      </c>
    </row>
    <row r="20" spans="1:19" x14ac:dyDescent="0.35">
      <c r="A20">
        <f t="shared" si="2"/>
        <v>19</v>
      </c>
      <c r="B20" t="s">
        <v>1935</v>
      </c>
      <c r="C20" t="s">
        <v>309</v>
      </c>
      <c r="D20">
        <v>75</v>
      </c>
      <c r="E20" s="107">
        <v>53</v>
      </c>
      <c r="F20">
        <v>0</v>
      </c>
      <c r="G20" t="str">
        <f>CBIMPORT!S26</f>
        <v>www.serverobotics.com</v>
      </c>
      <c r="H20">
        <f>IF(EXACT(H$1,
_xlfn.XLOOKUP($B20,ANNOUNCEMENTS!$E$2:$E$180,ANNOUNCEMENTS!$J$2:$J$180,0,0)),1,
IF(EXACT(H$1,
_xlfn.XLOOKUP($B20,ANNOUNCEMENTS!$L$2:$L$180,ANNOUNCEMENTS!$J$2:$J$180,0,0)),1,
IF(EXACT(H$1,
_xlfn.XLOOKUP($B20,ANNOUNCEMENTS!$M$2:$M$180,ANNOUNCEMENTS!$J$2:$J$180,0,0)),1,
IF(EXACT(H$1,
_xlfn.XLOOKUP($B20,ANNOUNCEMENTS!$N$2:$N$180,ANNOUNCEMENTS!$J$2:$J$180,0,0)),1,0))))</f>
        <v>0</v>
      </c>
      <c r="I20">
        <f>IF(EXACT(I$1,
_xlfn.XLOOKUP($B20,ANNOUNCEMENTS!$E$2:$E$180,ANNOUNCEMENTS!$J$2:$J$180,0,0)),1,
IF(EXACT(I$1,
_xlfn.XLOOKUP($B20,ANNOUNCEMENTS!$L$2:$L$180,ANNOUNCEMENTS!$J$2:$J$180,0,0)),1,
IF(EXACT(I$1,
_xlfn.XLOOKUP($B20,ANNOUNCEMENTS!$M$2:$M$180,ANNOUNCEMENTS!$J$2:$J$180,0,0)),1,
IF(EXACT(I$1,
_xlfn.XLOOKUP($B20,ANNOUNCEMENTS!$N$2:$N$180,ANNOUNCEMENTS!$J$2:$J$180,0,0)),1,0))))</f>
        <v>0</v>
      </c>
      <c r="J20">
        <f>IF(EXACT(J$1,
_xlfn.XLOOKUP($B20,ANNOUNCEMENTS!$E$2:$E$180,ANNOUNCEMENTS!$J$2:$J$180,0,0)),1,
IF(EXACT(J$1,
_xlfn.XLOOKUP($B20,ANNOUNCEMENTS!$L$2:$L$180,ANNOUNCEMENTS!$J$2:$J$180,0,0)),1,
IF(EXACT(J$1,
_xlfn.XLOOKUP($B20,ANNOUNCEMENTS!$M$2:$M$180,ANNOUNCEMENTS!$J$2:$J$180,0,0)),1,
IF(EXACT(J$1,
_xlfn.XLOOKUP($B20,ANNOUNCEMENTS!$N$2:$N$180,ANNOUNCEMENTS!$J$2:$J$180,0,0)),1,0))))</f>
        <v>0</v>
      </c>
      <c r="K20">
        <f>IF(EXACT(K$1,
_xlfn.XLOOKUP($B20,ANNOUNCEMENTS!$E$2:$E$180,ANNOUNCEMENTS!$J$2:$J$180,0,0)),1,
IF(EXACT(K$1,
_xlfn.XLOOKUP($B20,ANNOUNCEMENTS!$L$2:$L$180,ANNOUNCEMENTS!$J$2:$J$180,0,0)),1,
IF(EXACT(K$1,
_xlfn.XLOOKUP($B20,ANNOUNCEMENTS!$M$2:$M$180,ANNOUNCEMENTS!$J$2:$J$180,0,0)),1,
IF(EXACT(K$1,
_xlfn.XLOOKUP($B20,ANNOUNCEMENTS!$N$2:$N$180,ANNOUNCEMENTS!$J$2:$J$180,0,0)),1,0))))</f>
        <v>1</v>
      </c>
      <c r="L20">
        <f>IF(EXACT(L$1,
_xlfn.XLOOKUP($B20,ANNOUNCEMENTS!$E$2:$E$180,ANNOUNCEMENTS!$J$2:$J$180,0,0)),1,
IF(EXACT(L$1,
_xlfn.XLOOKUP($B20,ANNOUNCEMENTS!$L$2:$L$180,ANNOUNCEMENTS!$J$2:$J$180,0,0)),1,
IF(EXACT(L$1,
_xlfn.XLOOKUP($B20,ANNOUNCEMENTS!$M$2:$M$180,ANNOUNCEMENTS!$J$2:$J$180,0,0)),1,
IF(EXACT(L$1,
_xlfn.XLOOKUP($B20,ANNOUNCEMENTS!$N$2:$N$180,ANNOUNCEMENTS!$J$2:$J$180,0,0)),1,0))))</f>
        <v>0</v>
      </c>
      <c r="M20">
        <f t="shared" si="0"/>
        <v>1</v>
      </c>
      <c r="N20" t="b">
        <f>TRUE</f>
        <v>1</v>
      </c>
      <c r="O20">
        <v>1</v>
      </c>
      <c r="P20" t="str">
        <v>Artificial Intelligence (AI)</v>
      </c>
      <c r="Q20" s="21">
        <v>6</v>
      </c>
      <c r="R20">
        <f t="shared" si="1"/>
        <v>2</v>
      </c>
      <c r="S20">
        <f t="shared" si="3"/>
        <v>3.6363636363636362E-2</v>
      </c>
    </row>
    <row r="21" spans="1:19" x14ac:dyDescent="0.35">
      <c r="A21">
        <f t="shared" si="2"/>
        <v>20</v>
      </c>
      <c r="B21" t="s">
        <v>674</v>
      </c>
      <c r="C21" t="s">
        <v>309</v>
      </c>
      <c r="D21">
        <v>375</v>
      </c>
      <c r="E21" s="107">
        <v>197.715822</v>
      </c>
      <c r="F21">
        <v>0</v>
      </c>
      <c r="G21" t="str">
        <f>CBIMPORT!S27</f>
        <v>www.starship.xyz/</v>
      </c>
      <c r="H21">
        <f>IF(EXACT(H$1,
_xlfn.XLOOKUP($B21,ANNOUNCEMENTS!$E$2:$E$180,ANNOUNCEMENTS!$J$2:$J$180,0,0)),1,
IF(EXACT(H$1,
_xlfn.XLOOKUP($B21,ANNOUNCEMENTS!$L$2:$L$180,ANNOUNCEMENTS!$J$2:$J$180,0,0)),1,
IF(EXACT(H$1,
_xlfn.XLOOKUP($B21,ANNOUNCEMENTS!$M$2:$M$180,ANNOUNCEMENTS!$J$2:$J$180,0,0)),1,
IF(EXACT(H$1,
_xlfn.XLOOKUP($B21,ANNOUNCEMENTS!$N$2:$N$180,ANNOUNCEMENTS!$J$2:$J$180,0,0)),1,0))))</f>
        <v>0</v>
      </c>
      <c r="I21">
        <f>IF(EXACT(I$1,
_xlfn.XLOOKUP($B21,ANNOUNCEMENTS!$E$2:$E$180,ANNOUNCEMENTS!$J$2:$J$180,0,0)),1,
IF(EXACT(I$1,
_xlfn.XLOOKUP($B21,ANNOUNCEMENTS!$L$2:$L$180,ANNOUNCEMENTS!$J$2:$J$180,0,0)),1,
IF(EXACT(I$1,
_xlfn.XLOOKUP($B21,ANNOUNCEMENTS!$M$2:$M$180,ANNOUNCEMENTS!$J$2:$J$180,0,0)),1,
IF(EXACT(I$1,
_xlfn.XLOOKUP($B21,ANNOUNCEMENTS!$N$2:$N$180,ANNOUNCEMENTS!$J$2:$J$180,0,0)),1,0))))</f>
        <v>0</v>
      </c>
      <c r="J21">
        <f>IF(EXACT(J$1,
_xlfn.XLOOKUP($B21,ANNOUNCEMENTS!$E$2:$E$180,ANNOUNCEMENTS!$J$2:$J$180,0,0)),1,
IF(EXACT(J$1,
_xlfn.XLOOKUP($B21,ANNOUNCEMENTS!$L$2:$L$180,ANNOUNCEMENTS!$J$2:$J$180,0,0)),1,
IF(EXACT(J$1,
_xlfn.XLOOKUP($B21,ANNOUNCEMENTS!$M$2:$M$180,ANNOUNCEMENTS!$J$2:$J$180,0,0)),1,
IF(EXACT(J$1,
_xlfn.XLOOKUP($B21,ANNOUNCEMENTS!$N$2:$N$180,ANNOUNCEMENTS!$J$2:$J$180,0,0)),1,0))))</f>
        <v>0</v>
      </c>
      <c r="K21">
        <f>IF(EXACT(K$1,
_xlfn.XLOOKUP($B21,ANNOUNCEMENTS!$E$2:$E$180,ANNOUNCEMENTS!$J$2:$J$180,0,0)),1,
IF(EXACT(K$1,
_xlfn.XLOOKUP($B21,ANNOUNCEMENTS!$L$2:$L$180,ANNOUNCEMENTS!$J$2:$J$180,0,0)),1,
IF(EXACT(K$1,
_xlfn.XLOOKUP($B21,ANNOUNCEMENTS!$M$2:$M$180,ANNOUNCEMENTS!$J$2:$J$180,0,0)),1,
IF(EXACT(K$1,
_xlfn.XLOOKUP($B21,ANNOUNCEMENTS!$N$2:$N$180,ANNOUNCEMENTS!$J$2:$J$180,0,0)),1,0))))</f>
        <v>1</v>
      </c>
      <c r="L21">
        <f>IF(EXACT(L$1,
_xlfn.XLOOKUP($B21,ANNOUNCEMENTS!$E$2:$E$180,ANNOUNCEMENTS!$J$2:$J$180,0,0)),1,
IF(EXACT(L$1,
_xlfn.XLOOKUP($B21,ANNOUNCEMENTS!$L$2:$L$180,ANNOUNCEMENTS!$J$2:$J$180,0,0)),1,
IF(EXACT(L$1,
_xlfn.XLOOKUP($B21,ANNOUNCEMENTS!$M$2:$M$180,ANNOUNCEMENTS!$J$2:$J$180,0,0)),1,
IF(EXACT(L$1,
_xlfn.XLOOKUP($B21,ANNOUNCEMENTS!$N$2:$N$180,ANNOUNCEMENTS!$J$2:$J$180,0,0)),1,0))))</f>
        <v>0</v>
      </c>
      <c r="M21">
        <f t="shared" si="0"/>
        <v>1</v>
      </c>
      <c r="N21" t="b">
        <f>TRUE</f>
        <v>1</v>
      </c>
      <c r="O21">
        <v>1</v>
      </c>
      <c r="P21" t="str">
        <v>OEM</v>
      </c>
      <c r="Q21" s="21">
        <v>11</v>
      </c>
      <c r="R21">
        <f t="shared" si="1"/>
        <v>12</v>
      </c>
      <c r="S21">
        <f t="shared" si="3"/>
        <v>0.22641509433962265</v>
      </c>
    </row>
    <row r="22" spans="1:19" x14ac:dyDescent="0.35">
      <c r="A22">
        <f t="shared" si="2"/>
        <v>21</v>
      </c>
      <c r="B22" t="s">
        <v>1936</v>
      </c>
      <c r="C22" t="s">
        <v>309</v>
      </c>
      <c r="D22">
        <v>30</v>
      </c>
      <c r="E22" s="107">
        <v>0</v>
      </c>
      <c r="F22">
        <v>0</v>
      </c>
      <c r="G22" t="str">
        <f>CBIMPORT!S29</f>
        <v>www.udelv.com/</v>
      </c>
      <c r="H22">
        <f>IF(EXACT(H$1,
_xlfn.XLOOKUP($B22,ANNOUNCEMENTS!$E$2:$E$180,ANNOUNCEMENTS!$J$2:$J$180,0,0)),1,
IF(EXACT(H$1,
_xlfn.XLOOKUP($B22,ANNOUNCEMENTS!$L$2:$L$180,ANNOUNCEMENTS!$J$2:$J$180,0,0)),1,
IF(EXACT(H$1,
_xlfn.XLOOKUP($B22,ANNOUNCEMENTS!$M$2:$M$180,ANNOUNCEMENTS!$J$2:$J$180,0,0)),1,
IF(EXACT(H$1,
_xlfn.XLOOKUP($B22,ANNOUNCEMENTS!$N$2:$N$180,ANNOUNCEMENTS!$J$2:$J$180,0,0)),1,0))))</f>
        <v>0</v>
      </c>
      <c r="I22">
        <f>IF(EXACT(I$1,
_xlfn.XLOOKUP($B22,ANNOUNCEMENTS!$E$2:$E$180,ANNOUNCEMENTS!$J$2:$J$180,0,0)),1,
IF(EXACT(I$1,
_xlfn.XLOOKUP($B22,ANNOUNCEMENTS!$L$2:$L$180,ANNOUNCEMENTS!$J$2:$J$180,0,0)),1,
IF(EXACT(I$1,
_xlfn.XLOOKUP($B22,ANNOUNCEMENTS!$M$2:$M$180,ANNOUNCEMENTS!$J$2:$J$180,0,0)),1,
IF(EXACT(I$1,
_xlfn.XLOOKUP($B22,ANNOUNCEMENTS!$N$2:$N$180,ANNOUNCEMENTS!$J$2:$J$180,0,0)),1,0))))</f>
        <v>0</v>
      </c>
      <c r="J22">
        <f>IF(EXACT(J$1,
_xlfn.XLOOKUP($B22,ANNOUNCEMENTS!$E$2:$E$180,ANNOUNCEMENTS!$J$2:$J$180,0,0)),1,
IF(EXACT(J$1,
_xlfn.XLOOKUP($B22,ANNOUNCEMENTS!$L$2:$L$180,ANNOUNCEMENTS!$J$2:$J$180,0,0)),1,
IF(EXACT(J$1,
_xlfn.XLOOKUP($B22,ANNOUNCEMENTS!$M$2:$M$180,ANNOUNCEMENTS!$J$2:$J$180,0,0)),1,
IF(EXACT(J$1,
_xlfn.XLOOKUP($B22,ANNOUNCEMENTS!$N$2:$N$180,ANNOUNCEMENTS!$J$2:$J$180,0,0)),1,0))))</f>
        <v>0</v>
      </c>
      <c r="K22">
        <f>IF(EXACT(K$1,
_xlfn.XLOOKUP($B22,ANNOUNCEMENTS!$E$2:$E$180,ANNOUNCEMENTS!$J$2:$J$180,0,0)),1,
IF(EXACT(K$1,
_xlfn.XLOOKUP($B22,ANNOUNCEMENTS!$L$2:$L$180,ANNOUNCEMENTS!$J$2:$J$180,0,0)),1,
IF(EXACT(K$1,
_xlfn.XLOOKUP($B22,ANNOUNCEMENTS!$M$2:$M$180,ANNOUNCEMENTS!$J$2:$J$180,0,0)),1,
IF(EXACT(K$1,
_xlfn.XLOOKUP($B22,ANNOUNCEMENTS!$N$2:$N$180,ANNOUNCEMENTS!$J$2:$J$180,0,0)),1,0))))</f>
        <v>1</v>
      </c>
      <c r="L22">
        <f>IF(EXACT(L$1,
_xlfn.XLOOKUP($B22,ANNOUNCEMENTS!$E$2:$E$180,ANNOUNCEMENTS!$J$2:$J$180,0,0)),1,
IF(EXACT(L$1,
_xlfn.XLOOKUP($B22,ANNOUNCEMENTS!$L$2:$L$180,ANNOUNCEMENTS!$J$2:$J$180,0,0)),1,
IF(EXACT(L$1,
_xlfn.XLOOKUP($B22,ANNOUNCEMENTS!$M$2:$M$180,ANNOUNCEMENTS!$J$2:$J$180,0,0)),1,
IF(EXACT(L$1,
_xlfn.XLOOKUP($B22,ANNOUNCEMENTS!$N$2:$N$180,ANNOUNCEMENTS!$J$2:$J$180,0,0)),1,0))))</f>
        <v>0</v>
      </c>
      <c r="M22">
        <f t="shared" si="0"/>
        <v>1</v>
      </c>
      <c r="N22" t="b">
        <f>TRUE</f>
        <v>1</v>
      </c>
      <c r="O22">
        <v>1</v>
      </c>
      <c r="P22" t="str">
        <v>Consumer Electronics</v>
      </c>
      <c r="Q22" s="21">
        <v>21</v>
      </c>
      <c r="R22">
        <f t="shared" si="1"/>
        <v>2</v>
      </c>
      <c r="S22">
        <f t="shared" si="3"/>
        <v>4.878048780487805E-2</v>
      </c>
    </row>
    <row r="23" spans="1:19" x14ac:dyDescent="0.35">
      <c r="A23">
        <f t="shared" si="2"/>
        <v>22</v>
      </c>
      <c r="B23" t="s">
        <v>1932</v>
      </c>
      <c r="C23" t="s">
        <v>309</v>
      </c>
      <c r="D23">
        <v>3000</v>
      </c>
      <c r="E23" s="107">
        <v>0</v>
      </c>
      <c r="F23">
        <v>0</v>
      </c>
      <c r="G23" t="str">
        <f>CBIMPORT!S30</f>
        <v>zf.com</v>
      </c>
      <c r="H23">
        <f>IF(EXACT(H$1,
_xlfn.XLOOKUP($B23,ANNOUNCEMENTS!$E$2:$E$180,ANNOUNCEMENTS!$J$2:$J$180,0,0)),1,
IF(EXACT(H$1,
_xlfn.XLOOKUP($B23,ANNOUNCEMENTS!$L$2:$L$180,ANNOUNCEMENTS!$J$2:$J$180,0,0)),1,
IF(EXACT(H$1,
_xlfn.XLOOKUP($B23,ANNOUNCEMENTS!$M$2:$M$180,ANNOUNCEMENTS!$J$2:$J$180,0,0)),1,
IF(EXACT(H$1,
_xlfn.XLOOKUP($B23,ANNOUNCEMENTS!$N$2:$N$180,ANNOUNCEMENTS!$J$2:$J$180,0,0)),1,0))))</f>
        <v>1</v>
      </c>
      <c r="I23">
        <f>IF(EXACT(I$1,
_xlfn.XLOOKUP($B23,ANNOUNCEMENTS!$E$2:$E$180,ANNOUNCEMENTS!$J$2:$J$180,0,0)),1,
IF(EXACT(I$1,
_xlfn.XLOOKUP($B23,ANNOUNCEMENTS!$L$2:$L$180,ANNOUNCEMENTS!$J$2:$J$180,0,0)),1,
IF(EXACT(I$1,
_xlfn.XLOOKUP($B23,ANNOUNCEMENTS!$M$2:$M$180,ANNOUNCEMENTS!$J$2:$J$180,0,0)),1,
IF(EXACT(I$1,
_xlfn.XLOOKUP($B23,ANNOUNCEMENTS!$N$2:$N$180,ANNOUNCEMENTS!$J$2:$J$180,0,0)),1,0))))</f>
        <v>0</v>
      </c>
      <c r="J23">
        <v>1</v>
      </c>
      <c r="K23">
        <f>IF(EXACT(K$1,
_xlfn.XLOOKUP($B23,ANNOUNCEMENTS!$E$2:$E$180,ANNOUNCEMENTS!$J$2:$J$180,0,0)),1,
IF(EXACT(K$1,
_xlfn.XLOOKUP($B23,ANNOUNCEMENTS!$L$2:$L$180,ANNOUNCEMENTS!$J$2:$J$180,0,0)),1,
IF(EXACT(K$1,
_xlfn.XLOOKUP($B23,ANNOUNCEMENTS!$M$2:$M$180,ANNOUNCEMENTS!$J$2:$J$180,0,0)),1,
IF(EXACT(K$1,
_xlfn.XLOOKUP($B23,ANNOUNCEMENTS!$N$2:$N$180,ANNOUNCEMENTS!$J$2:$J$180,0,0)),1,0))))</f>
        <v>0</v>
      </c>
      <c r="L23">
        <v>1</v>
      </c>
      <c r="M23">
        <f t="shared" si="0"/>
        <v>3</v>
      </c>
      <c r="N23" t="b">
        <f>TRUE</f>
        <v>1</v>
      </c>
      <c r="O23">
        <v>1</v>
      </c>
      <c r="P23" t="str">
        <v>Telecommunications</v>
      </c>
      <c r="Q23" s="21">
        <v>10</v>
      </c>
      <c r="R23">
        <f t="shared" si="1"/>
        <v>2</v>
      </c>
      <c r="S23">
        <f t="shared" si="3"/>
        <v>5.128205128205128E-2</v>
      </c>
    </row>
    <row r="24" spans="1:19" x14ac:dyDescent="0.35">
      <c r="A24">
        <f t="shared" si="2"/>
        <v>23</v>
      </c>
      <c r="B24" t="s">
        <v>375</v>
      </c>
      <c r="C24" t="s">
        <v>286</v>
      </c>
      <c r="D24">
        <v>75</v>
      </c>
      <c r="E24" s="107">
        <v>4.75</v>
      </c>
      <c r="F24">
        <v>0</v>
      </c>
      <c r="G24" t="str">
        <f>CBIMPORT!S2</f>
        <v>www.adastec.com</v>
      </c>
      <c r="H24">
        <f>IF(EXACT(H$1,
_xlfn.XLOOKUP($B24,ANNOUNCEMENTS!$E$2:$E$180,ANNOUNCEMENTS!$J$2:$J$180,0,0)),1,
IF(EXACT(H$1,
_xlfn.XLOOKUP($B24,ANNOUNCEMENTS!$L$2:$L$180,ANNOUNCEMENTS!$J$2:$J$180,0,0)),1,
IF(EXACT(H$1,
_xlfn.XLOOKUP($B24,ANNOUNCEMENTS!$M$2:$M$180,ANNOUNCEMENTS!$J$2:$J$180,0,0)),1,
IF(EXACT(H$1,
_xlfn.XLOOKUP($B24,ANNOUNCEMENTS!$N$2:$N$180,ANNOUNCEMENTS!$J$2:$J$180,0,0)),1,0))))</f>
        <v>1</v>
      </c>
      <c r="I24">
        <f>IF(EXACT(I$1,
_xlfn.XLOOKUP($B24,ANNOUNCEMENTS!$E$2:$E$180,ANNOUNCEMENTS!$J$2:$J$180,0,0)),1,
IF(EXACT(I$1,
_xlfn.XLOOKUP($B24,ANNOUNCEMENTS!$L$2:$L$180,ANNOUNCEMENTS!$J$2:$J$180,0,0)),1,
IF(EXACT(I$1,
_xlfn.XLOOKUP($B24,ANNOUNCEMENTS!$M$2:$M$180,ANNOUNCEMENTS!$J$2:$J$180,0,0)),1,
IF(EXACT(I$1,
_xlfn.XLOOKUP($B24,ANNOUNCEMENTS!$N$2:$N$180,ANNOUNCEMENTS!$J$2:$J$180,0,0)),1,0))))</f>
        <v>0</v>
      </c>
      <c r="J24">
        <f>IF(EXACT(J$1,
_xlfn.XLOOKUP($B24,ANNOUNCEMENTS!$E$2:$E$180,ANNOUNCEMENTS!$J$2:$J$180,0,0)),1,
IF(EXACT(J$1,
_xlfn.XLOOKUP($B24,ANNOUNCEMENTS!$L$2:$L$180,ANNOUNCEMENTS!$J$2:$J$180,0,0)),1,
IF(EXACT(J$1,
_xlfn.XLOOKUP($B24,ANNOUNCEMENTS!$M$2:$M$180,ANNOUNCEMENTS!$J$2:$J$180,0,0)),1,
IF(EXACT(J$1,
_xlfn.XLOOKUP($B24,ANNOUNCEMENTS!$N$2:$N$180,ANNOUNCEMENTS!$J$2:$J$180,0,0)),1,0))))</f>
        <v>0</v>
      </c>
      <c r="K24">
        <f>IF(EXACT(K$1,
_xlfn.XLOOKUP($B24,ANNOUNCEMENTS!$E$2:$E$180,ANNOUNCEMENTS!$J$2:$J$180,0,0)),1,
IF(EXACT(K$1,
_xlfn.XLOOKUP($B24,ANNOUNCEMENTS!$L$2:$L$180,ANNOUNCEMENTS!$J$2:$J$180,0,0)),1,
IF(EXACT(K$1,
_xlfn.XLOOKUP($B24,ANNOUNCEMENTS!$M$2:$M$180,ANNOUNCEMENTS!$J$2:$J$180,0,0)),1,
IF(EXACT(K$1,
_xlfn.XLOOKUP($B24,ANNOUNCEMENTS!$N$2:$N$180,ANNOUNCEMENTS!$J$2:$J$180,0,0)),1,0))))</f>
        <v>0</v>
      </c>
      <c r="L24">
        <f>IF(EXACT(L$1,
_xlfn.XLOOKUP($B24,ANNOUNCEMENTS!$E$2:$E$180,ANNOUNCEMENTS!$J$2:$J$180,0,0)),1,
IF(EXACT(L$1,
_xlfn.XLOOKUP($B24,ANNOUNCEMENTS!$L$2:$L$180,ANNOUNCEMENTS!$J$2:$J$180,0,0)),1,
IF(EXACT(L$1,
_xlfn.XLOOKUP($B24,ANNOUNCEMENTS!$M$2:$M$180,ANNOUNCEMENTS!$J$2:$J$180,0,0)),1,
IF(EXACT(L$1,
_xlfn.XLOOKUP($B24,ANNOUNCEMENTS!$N$2:$N$180,ANNOUNCEMENTS!$J$2:$J$180,0,0)),1,0))))</f>
        <v>0</v>
      </c>
      <c r="M24">
        <f t="shared" si="0"/>
        <v>1</v>
      </c>
      <c r="N24" t="b">
        <f>TRUE</f>
        <v>1</v>
      </c>
      <c r="O24">
        <v>1</v>
      </c>
      <c r="P24" t="str">
        <v>Autonomous Vehicles</v>
      </c>
      <c r="Q24" s="21">
        <v>4</v>
      </c>
      <c r="R24">
        <f t="shared" si="1"/>
        <v>3</v>
      </c>
      <c r="S24">
        <f t="shared" si="3"/>
        <v>8.1081081081081086E-2</v>
      </c>
    </row>
    <row r="25" spans="1:19" x14ac:dyDescent="0.35">
      <c r="A25">
        <f t="shared" si="2"/>
        <v>24</v>
      </c>
      <c r="B25" t="s">
        <v>431</v>
      </c>
      <c r="C25" t="s">
        <v>286</v>
      </c>
      <c r="D25">
        <v>1700</v>
      </c>
      <c r="E25" s="107">
        <v>3710</v>
      </c>
      <c r="F25">
        <v>1</v>
      </c>
      <c r="G25" t="str">
        <f>CBIMPORT!S3</f>
        <v>aurora.tech</v>
      </c>
      <c r="H25">
        <f>IF(EXACT(H$1,
_xlfn.XLOOKUP($B25,ANNOUNCEMENTS!$E$2:$E$180,ANNOUNCEMENTS!$J$2:$J$180,0,0)),1,
IF(EXACT(H$1,
_xlfn.XLOOKUP($B25,ANNOUNCEMENTS!$L$2:$L$180,ANNOUNCEMENTS!$J$2:$J$180,0,0)),1,
IF(EXACT(H$1,
_xlfn.XLOOKUP($B25,ANNOUNCEMENTS!$M$2:$M$180,ANNOUNCEMENTS!$J$2:$J$180,0,0)),1,
IF(EXACT(H$1,
_xlfn.XLOOKUP($B25,ANNOUNCEMENTS!$N$2:$N$180,ANNOUNCEMENTS!$J$2:$J$180,0,0)),1,0))))</f>
        <v>0</v>
      </c>
      <c r="I25">
        <f>IF(EXACT(I$1,
_xlfn.XLOOKUP($B25,ANNOUNCEMENTS!$E$2:$E$180,ANNOUNCEMENTS!$J$2:$J$180,0,0)),1,
IF(EXACT(I$1,
_xlfn.XLOOKUP($B25,ANNOUNCEMENTS!$L$2:$L$180,ANNOUNCEMENTS!$J$2:$J$180,0,0)),1,
IF(EXACT(I$1,
_xlfn.XLOOKUP($B25,ANNOUNCEMENTS!$M$2:$M$180,ANNOUNCEMENTS!$J$2:$J$180,0,0)),1,
IF(EXACT(I$1,
_xlfn.XLOOKUP($B25,ANNOUNCEMENTS!$N$2:$N$180,ANNOUNCEMENTS!$J$2:$J$180,0,0)),1,0))))</f>
        <v>0</v>
      </c>
      <c r="J25">
        <f>IF(EXACT(J$1,
_xlfn.XLOOKUP($B25,ANNOUNCEMENTS!$E$2:$E$180,ANNOUNCEMENTS!$J$2:$J$180,0,0)),1,
IF(EXACT(J$1,
_xlfn.XLOOKUP($B25,ANNOUNCEMENTS!$L$2:$L$180,ANNOUNCEMENTS!$J$2:$J$180,0,0)),1,
IF(EXACT(J$1,
_xlfn.XLOOKUP($B25,ANNOUNCEMENTS!$M$2:$M$180,ANNOUNCEMENTS!$J$2:$J$180,0,0)),1,
IF(EXACT(J$1,
_xlfn.XLOOKUP($B25,ANNOUNCEMENTS!$N$2:$N$180,ANNOUNCEMENTS!$J$2:$J$180,0,0)),1,0))))</f>
        <v>1</v>
      </c>
      <c r="K25">
        <f>IF(EXACT(K$1,
_xlfn.XLOOKUP($B25,ANNOUNCEMENTS!$E$2:$E$180,ANNOUNCEMENTS!$J$2:$J$180,0,0)),1,
IF(EXACT(K$1,
_xlfn.XLOOKUP($B25,ANNOUNCEMENTS!$L$2:$L$180,ANNOUNCEMENTS!$J$2:$J$180,0,0)),1,
IF(EXACT(K$1,
_xlfn.XLOOKUP($B25,ANNOUNCEMENTS!$M$2:$M$180,ANNOUNCEMENTS!$J$2:$J$180,0,0)),1,
IF(EXACT(K$1,
_xlfn.XLOOKUP($B25,ANNOUNCEMENTS!$N$2:$N$180,ANNOUNCEMENTS!$J$2:$J$180,0,0)),1,0))))</f>
        <v>0</v>
      </c>
      <c r="L25">
        <f>IF(EXACT(L$1,
_xlfn.XLOOKUP($B25,ANNOUNCEMENTS!$E$2:$E$180,ANNOUNCEMENTS!$J$2:$J$180,0,0)),1,
IF(EXACT(L$1,
_xlfn.XLOOKUP($B25,ANNOUNCEMENTS!$L$2:$L$180,ANNOUNCEMENTS!$J$2:$J$180,0,0)),1,
IF(EXACT(L$1,
_xlfn.XLOOKUP($B25,ANNOUNCEMENTS!$M$2:$M$180,ANNOUNCEMENTS!$J$2:$J$180,0,0)),1,
IF(EXACT(L$1,
_xlfn.XLOOKUP($B25,ANNOUNCEMENTS!$N$2:$N$180,ANNOUNCEMENTS!$J$2:$J$180,0,0)),1,0))))</f>
        <v>0</v>
      </c>
      <c r="M25">
        <f t="shared" ref="M25:M66" si="4">SUM(H25:L25)</f>
        <v>1</v>
      </c>
      <c r="N25" t="b">
        <f>TRUE</f>
        <v>1</v>
      </c>
      <c r="O25">
        <v>1</v>
      </c>
      <c r="P25" t="str">
        <v>Delivery Service</v>
      </c>
      <c r="Q25" s="21">
        <v>23</v>
      </c>
      <c r="R25">
        <f t="shared" si="1"/>
        <v>2</v>
      </c>
      <c r="S25">
        <f t="shared" si="3"/>
        <v>5.8823529411764705E-2</v>
      </c>
    </row>
    <row r="26" spans="1:19" x14ac:dyDescent="0.35">
      <c r="A26">
        <f t="shared" si="2"/>
        <v>25</v>
      </c>
      <c r="B26" t="s">
        <v>418</v>
      </c>
      <c r="C26" t="s">
        <v>286</v>
      </c>
      <c r="D26">
        <v>175</v>
      </c>
      <c r="E26" s="107">
        <v>0</v>
      </c>
      <c r="F26">
        <v>0</v>
      </c>
      <c r="G26" t="str">
        <f>CBIMPORT!S28</f>
        <v>torc.ai</v>
      </c>
      <c r="H26">
        <f>IF(EXACT(H$1,
_xlfn.XLOOKUP($B26,ANNOUNCEMENTS!$E$2:$E$180,ANNOUNCEMENTS!$J$2:$J$180,0,0)),1,
IF(EXACT(H$1,
_xlfn.XLOOKUP($B26,ANNOUNCEMENTS!$L$2:$L$180,ANNOUNCEMENTS!$J$2:$J$180,0,0)),1,
IF(EXACT(H$1,
_xlfn.XLOOKUP($B26,ANNOUNCEMENTS!$M$2:$M$180,ANNOUNCEMENTS!$J$2:$J$180,0,0)),1,
IF(EXACT(H$1,
_xlfn.XLOOKUP($B26,ANNOUNCEMENTS!$N$2:$N$180,ANNOUNCEMENTS!$J$2:$J$180,0,0)),1,0))))</f>
        <v>1</v>
      </c>
      <c r="I26">
        <f>IF(EXACT(I$1,
_xlfn.XLOOKUP($B26,ANNOUNCEMENTS!$E$2:$E$180,ANNOUNCEMENTS!$J$2:$J$180,0,0)),1,
IF(EXACT(I$1,
_xlfn.XLOOKUP($B26,ANNOUNCEMENTS!$L$2:$L$180,ANNOUNCEMENTS!$J$2:$J$180,0,0)),1,
IF(EXACT(I$1,
_xlfn.XLOOKUP($B26,ANNOUNCEMENTS!$M$2:$M$180,ANNOUNCEMENTS!$J$2:$J$180,0,0)),1,
IF(EXACT(I$1,
_xlfn.XLOOKUP($B26,ANNOUNCEMENTS!$N$2:$N$180,ANNOUNCEMENTS!$J$2:$J$180,0,0)),1,0))))</f>
        <v>0</v>
      </c>
      <c r="J26">
        <f>IF(EXACT(J$1,
_xlfn.XLOOKUP($B26,ANNOUNCEMENTS!$E$2:$E$180,ANNOUNCEMENTS!$J$2:$J$180,0,0)),1,
IF(EXACT(J$1,
_xlfn.XLOOKUP($B26,ANNOUNCEMENTS!$L$2:$L$180,ANNOUNCEMENTS!$J$2:$J$180,0,0)),1,
IF(EXACT(J$1,
_xlfn.XLOOKUP($B26,ANNOUNCEMENTS!$M$2:$M$180,ANNOUNCEMENTS!$J$2:$J$180,0,0)),1,
IF(EXACT(J$1,
_xlfn.XLOOKUP($B26,ANNOUNCEMENTS!$N$2:$N$180,ANNOUNCEMENTS!$J$2:$J$180,0,0)),1,0))))</f>
        <v>1</v>
      </c>
      <c r="K26">
        <f>IF(EXACT(K$1,
_xlfn.XLOOKUP($B26,ANNOUNCEMENTS!$E$2:$E$180,ANNOUNCEMENTS!$J$2:$J$180,0,0)),1,
IF(EXACT(K$1,
_xlfn.XLOOKUP($B26,ANNOUNCEMENTS!$L$2:$L$180,ANNOUNCEMENTS!$J$2:$J$180,0,0)),1,
IF(EXACT(K$1,
_xlfn.XLOOKUP($B26,ANNOUNCEMENTS!$M$2:$M$180,ANNOUNCEMENTS!$J$2:$J$180,0,0)),1,
IF(EXACT(K$1,
_xlfn.XLOOKUP($B26,ANNOUNCEMENTS!$N$2:$N$180,ANNOUNCEMENTS!$J$2:$J$180,0,0)),1,0))))</f>
        <v>0</v>
      </c>
      <c r="L26">
        <f>IF(EXACT(L$1,
_xlfn.XLOOKUP($B26,ANNOUNCEMENTS!$E$2:$E$180,ANNOUNCEMENTS!$J$2:$J$180,0,0)),1,
IF(EXACT(L$1,
_xlfn.XLOOKUP($B26,ANNOUNCEMENTS!$L$2:$L$180,ANNOUNCEMENTS!$J$2:$J$180,0,0)),1,
IF(EXACT(L$1,
_xlfn.XLOOKUP($B26,ANNOUNCEMENTS!$M$2:$M$180,ANNOUNCEMENTS!$J$2:$J$180,0,0)),1,
IF(EXACT(L$1,
_xlfn.XLOOKUP($B26,ANNOUNCEMENTS!$N$2:$N$180,ANNOUNCEMENTS!$J$2:$J$180,0,0)),1,0))))</f>
        <v>0</v>
      </c>
      <c r="M26">
        <f>SUM(H26:L26)</f>
        <v>2</v>
      </c>
      <c r="N26" t="b">
        <f>TRUE</f>
        <v>1</v>
      </c>
      <c r="O26">
        <v>1</v>
      </c>
      <c r="P26" t="str">
        <v>Financial Services</v>
      </c>
      <c r="Q26" s="21">
        <v>38</v>
      </c>
      <c r="R26">
        <f t="shared" si="1"/>
        <v>4</v>
      </c>
      <c r="S26">
        <f t="shared" si="3"/>
        <v>0.125</v>
      </c>
    </row>
    <row r="27" spans="1:19" x14ac:dyDescent="0.35">
      <c r="A27">
        <f t="shared" si="2"/>
        <v>26</v>
      </c>
      <c r="B27" t="s">
        <v>349</v>
      </c>
      <c r="C27" t="s">
        <v>286</v>
      </c>
      <c r="D27">
        <v>3750</v>
      </c>
      <c r="E27" s="107">
        <v>15118.8</v>
      </c>
      <c r="F27">
        <v>0</v>
      </c>
      <c r="G27" t="str">
        <f>CBIMPORT!S4</f>
        <v>www.getcruise.com</v>
      </c>
      <c r="H27">
        <f>IF(EXACT(H$1,
_xlfn.XLOOKUP($B27,ANNOUNCEMENTS!$E$2:$E$180,ANNOUNCEMENTS!$J$2:$J$180,0,0)),1,
IF(EXACT(H$1,
_xlfn.XLOOKUP($B27,ANNOUNCEMENTS!$L$2:$L$180,ANNOUNCEMENTS!$J$2:$J$180,0,0)),1,
IF(EXACT(H$1,
_xlfn.XLOOKUP($B27,ANNOUNCEMENTS!$M$2:$M$180,ANNOUNCEMENTS!$J$2:$J$180,0,0)),1,
IF(EXACT(H$1,
_xlfn.XLOOKUP($B27,ANNOUNCEMENTS!$N$2:$N$180,ANNOUNCEMENTS!$J$2:$J$180,0,0)),1,0))))</f>
        <v>0</v>
      </c>
      <c r="I27" s="283">
        <v>1</v>
      </c>
      <c r="J27">
        <f>IF(EXACT(J$1,
_xlfn.XLOOKUP($B27,ANNOUNCEMENTS!$E$2:$E$180,ANNOUNCEMENTS!$J$2:$J$180,0,0)),1,
IF(EXACT(J$1,
_xlfn.XLOOKUP($B27,ANNOUNCEMENTS!$L$2:$L$180,ANNOUNCEMENTS!$J$2:$J$180,0,0)),1,
IF(EXACT(J$1,
_xlfn.XLOOKUP($B27,ANNOUNCEMENTS!$M$2:$M$180,ANNOUNCEMENTS!$J$2:$J$180,0,0)),1,
IF(EXACT(J$1,
_xlfn.XLOOKUP($B27,ANNOUNCEMENTS!$N$2:$N$180,ANNOUNCEMENTS!$J$2:$J$180,0,0)),1,0))))</f>
        <v>0</v>
      </c>
      <c r="K27">
        <v>1</v>
      </c>
      <c r="L27">
        <f>IF(EXACT(L$1,
_xlfn.XLOOKUP($B27,ANNOUNCEMENTS!$E$2:$E$180,ANNOUNCEMENTS!$J$2:$J$180,0,0)),1,
IF(EXACT(L$1,
_xlfn.XLOOKUP($B27,ANNOUNCEMENTS!$L$2:$L$180,ANNOUNCEMENTS!$J$2:$J$180,0,0)),1,
IF(EXACT(L$1,
_xlfn.XLOOKUP($B27,ANNOUNCEMENTS!$M$2:$M$180,ANNOUNCEMENTS!$J$2:$J$180,0,0)),1,
IF(EXACT(L$1,
_xlfn.XLOOKUP($B27,ANNOUNCEMENTS!$N$2:$N$180,ANNOUNCEMENTS!$J$2:$J$180,0,0)),1,0))))</f>
        <v>1</v>
      </c>
      <c r="M27">
        <f t="shared" si="4"/>
        <v>3</v>
      </c>
      <c r="N27" t="b">
        <f>TRUE</f>
        <v>1</v>
      </c>
      <c r="O27">
        <v>1</v>
      </c>
      <c r="P27" t="str">
        <v>Autonomous mobility network</v>
      </c>
      <c r="Q27" s="21">
        <v>37</v>
      </c>
      <c r="R27">
        <f t="shared" si="1"/>
        <v>1</v>
      </c>
      <c r="S27">
        <f t="shared" si="3"/>
        <v>3.5714285714285712E-2</v>
      </c>
    </row>
    <row r="28" spans="1:19" x14ac:dyDescent="0.35">
      <c r="A28">
        <f t="shared" si="2"/>
        <v>27</v>
      </c>
      <c r="B28" t="s">
        <v>285</v>
      </c>
      <c r="C28" t="s">
        <v>286</v>
      </c>
      <c r="D28">
        <v>120</v>
      </c>
      <c r="E28" s="107">
        <v>122.857843</v>
      </c>
      <c r="F28">
        <v>0</v>
      </c>
      <c r="G28" t="str">
        <f>CBIMPORT!S5</f>
        <v>www.gatik.ai/</v>
      </c>
      <c r="H28">
        <f>IF(EXACT(H$1,
_xlfn.XLOOKUP($B28,ANNOUNCEMENTS!$E$2:$E$180,ANNOUNCEMENTS!$J$2:$J$180,0,0)),1,
IF(EXACT(H$1,
_xlfn.XLOOKUP($B28,ANNOUNCEMENTS!$L$2:$L$180,ANNOUNCEMENTS!$J$2:$J$180,0,0)),1,
IF(EXACT(H$1,
_xlfn.XLOOKUP($B28,ANNOUNCEMENTS!$M$2:$M$180,ANNOUNCEMENTS!$J$2:$J$180,0,0)),1,
IF(EXACT(H$1,
_xlfn.XLOOKUP($B28,ANNOUNCEMENTS!$N$2:$N$180,ANNOUNCEMENTS!$J$2:$J$180,0,0)),1,0))))</f>
        <v>0</v>
      </c>
      <c r="I28">
        <f>IF(EXACT(I$1,
_xlfn.XLOOKUP($B28,ANNOUNCEMENTS!$E$2:$E$180,ANNOUNCEMENTS!$J$2:$J$180,0,0)),1,
IF(EXACT(I$1,
_xlfn.XLOOKUP($B28,ANNOUNCEMENTS!$L$2:$L$180,ANNOUNCEMENTS!$J$2:$J$180,0,0)),1,
IF(EXACT(I$1,
_xlfn.XLOOKUP($B28,ANNOUNCEMENTS!$M$2:$M$180,ANNOUNCEMENTS!$J$2:$J$180,0,0)),1,
IF(EXACT(I$1,
_xlfn.XLOOKUP($B28,ANNOUNCEMENTS!$N$2:$N$180,ANNOUNCEMENTS!$J$2:$J$180,0,0)),1,0))))</f>
        <v>0</v>
      </c>
      <c r="J28">
        <f>IF(EXACT(J$1,
_xlfn.XLOOKUP($B28,ANNOUNCEMENTS!$E$2:$E$180,ANNOUNCEMENTS!$J$2:$J$180,0,0)),1,
IF(EXACT(J$1,
_xlfn.XLOOKUP($B28,ANNOUNCEMENTS!$L$2:$L$180,ANNOUNCEMENTS!$J$2:$J$180,0,0)),1,
IF(EXACT(J$1,
_xlfn.XLOOKUP($B28,ANNOUNCEMENTS!$M$2:$M$180,ANNOUNCEMENTS!$J$2:$J$180,0,0)),1,
IF(EXACT(J$1,
_xlfn.XLOOKUP($B28,ANNOUNCEMENTS!$N$2:$N$180,ANNOUNCEMENTS!$J$2:$J$180,0,0)),1,0))))</f>
        <v>1</v>
      </c>
      <c r="K28">
        <f>IF(EXACT(K$1,
_xlfn.XLOOKUP($B28,ANNOUNCEMENTS!$E$2:$E$180,ANNOUNCEMENTS!$J$2:$J$180,0,0)),1,
IF(EXACT(K$1,
_xlfn.XLOOKUP($B28,ANNOUNCEMENTS!$L$2:$L$180,ANNOUNCEMENTS!$J$2:$J$180,0,0)),1,
IF(EXACT(K$1,
_xlfn.XLOOKUP($B28,ANNOUNCEMENTS!$M$2:$M$180,ANNOUNCEMENTS!$J$2:$J$180,0,0)),1,
IF(EXACT(K$1,
_xlfn.XLOOKUP($B28,ANNOUNCEMENTS!$N$2:$N$180,ANNOUNCEMENTS!$J$2:$J$180,0,0)),1,0))))</f>
        <v>0</v>
      </c>
      <c r="L28">
        <f>IF(EXACT(L$1,
_xlfn.XLOOKUP($B28,ANNOUNCEMENTS!$E$2:$E$180,ANNOUNCEMENTS!$J$2:$J$180,0,0)),1,
IF(EXACT(L$1,
_xlfn.XLOOKUP($B28,ANNOUNCEMENTS!$L$2:$L$180,ANNOUNCEMENTS!$J$2:$J$180,0,0)),1,
IF(EXACT(L$1,
_xlfn.XLOOKUP($B28,ANNOUNCEMENTS!$M$2:$M$180,ANNOUNCEMENTS!$J$2:$J$180,0,0)),1,
IF(EXACT(L$1,
_xlfn.XLOOKUP($B28,ANNOUNCEMENTS!$N$2:$N$180,ANNOUNCEMENTS!$J$2:$J$180,0,0)),1,0))))</f>
        <v>0</v>
      </c>
      <c r="M28">
        <f t="shared" si="4"/>
        <v>1</v>
      </c>
      <c r="N28" t="b">
        <f>TRUE</f>
        <v>1</v>
      </c>
      <c r="O28">
        <v>1</v>
      </c>
      <c r="P28" t="str">
        <v>Semiconductor</v>
      </c>
      <c r="Q28" s="21">
        <v>3</v>
      </c>
      <c r="R28">
        <f t="shared" si="1"/>
        <v>2</v>
      </c>
      <c r="S28">
        <f t="shared" si="3"/>
        <v>7.407407407407407E-2</v>
      </c>
    </row>
    <row r="29" spans="1:19" x14ac:dyDescent="0.35">
      <c r="A29">
        <f t="shared" si="2"/>
        <v>28</v>
      </c>
      <c r="B29" t="s">
        <v>408</v>
      </c>
      <c r="C29" t="s">
        <v>286</v>
      </c>
      <c r="D29">
        <v>250</v>
      </c>
      <c r="E29" s="107">
        <v>319.89999999999998</v>
      </c>
      <c r="F29">
        <v>0</v>
      </c>
      <c r="G29" t="str">
        <f>CBIMPORT!S6</f>
        <v>www.kodiak.ai</v>
      </c>
      <c r="H29">
        <f>IF(EXACT(H$1,
_xlfn.XLOOKUP($B29,ANNOUNCEMENTS!$E$2:$E$180,ANNOUNCEMENTS!$J$2:$J$180,0,0)),1,
IF(EXACT(H$1,
_xlfn.XLOOKUP($B29,ANNOUNCEMENTS!$L$2:$L$180,ANNOUNCEMENTS!$J$2:$J$180,0,0)),1,
IF(EXACT(H$1,
_xlfn.XLOOKUP($B29,ANNOUNCEMENTS!$M$2:$M$180,ANNOUNCEMENTS!$J$2:$J$180,0,0)),1,
IF(EXACT(H$1,
_xlfn.XLOOKUP($B29,ANNOUNCEMENTS!$N$2:$N$180,ANNOUNCEMENTS!$J$2:$J$180,0,0)),1,0))))</f>
        <v>0</v>
      </c>
      <c r="I29">
        <f>IF(EXACT(I$1,
_xlfn.XLOOKUP($B29,ANNOUNCEMENTS!$E$2:$E$180,ANNOUNCEMENTS!$J$2:$J$180,0,0)),1,
IF(EXACT(I$1,
_xlfn.XLOOKUP($B29,ANNOUNCEMENTS!$L$2:$L$180,ANNOUNCEMENTS!$J$2:$J$180,0,0)),1,
IF(EXACT(I$1,
_xlfn.XLOOKUP($B29,ANNOUNCEMENTS!$M$2:$M$180,ANNOUNCEMENTS!$J$2:$J$180,0,0)),1,
IF(EXACT(I$1,
_xlfn.XLOOKUP($B29,ANNOUNCEMENTS!$N$2:$N$180,ANNOUNCEMENTS!$J$2:$J$180,0,0)),1,0))))</f>
        <v>0</v>
      </c>
      <c r="J29">
        <f>IF(EXACT(J$1,
_xlfn.XLOOKUP($B29,ANNOUNCEMENTS!$E$2:$E$180,ANNOUNCEMENTS!$J$2:$J$180,0,0)),1,
IF(EXACT(J$1,
_xlfn.XLOOKUP($B29,ANNOUNCEMENTS!$L$2:$L$180,ANNOUNCEMENTS!$J$2:$J$180,0,0)),1,
IF(EXACT(J$1,
_xlfn.XLOOKUP($B29,ANNOUNCEMENTS!$M$2:$M$180,ANNOUNCEMENTS!$J$2:$J$180,0,0)),1,
IF(EXACT(J$1,
_xlfn.XLOOKUP($B29,ANNOUNCEMENTS!$N$2:$N$180,ANNOUNCEMENTS!$J$2:$J$180,0,0)),1,0))))</f>
        <v>1</v>
      </c>
      <c r="K29">
        <f>IF(EXACT(K$1,
_xlfn.XLOOKUP($B29,ANNOUNCEMENTS!$E$2:$E$180,ANNOUNCEMENTS!$J$2:$J$180,0,0)),1,
IF(EXACT(K$1,
_xlfn.XLOOKUP($B29,ANNOUNCEMENTS!$L$2:$L$180,ANNOUNCEMENTS!$J$2:$J$180,0,0)),1,
IF(EXACT(K$1,
_xlfn.XLOOKUP($B29,ANNOUNCEMENTS!$M$2:$M$180,ANNOUNCEMENTS!$J$2:$J$180,0,0)),1,
IF(EXACT(K$1,
_xlfn.XLOOKUP($B29,ANNOUNCEMENTS!$N$2:$N$180,ANNOUNCEMENTS!$J$2:$J$180,0,0)),1,0))))</f>
        <v>0</v>
      </c>
      <c r="L29">
        <f>IF(EXACT(L$1,
_xlfn.XLOOKUP($B29,ANNOUNCEMENTS!$E$2:$E$180,ANNOUNCEMENTS!$J$2:$J$180,0,0)),1,
IF(EXACT(L$1,
_xlfn.XLOOKUP($B29,ANNOUNCEMENTS!$L$2:$L$180,ANNOUNCEMENTS!$J$2:$J$180,0,0)),1,
IF(EXACT(L$1,
_xlfn.XLOOKUP($B29,ANNOUNCEMENTS!$M$2:$M$180,ANNOUNCEMENTS!$J$2:$J$180,0,0)),1,
IF(EXACT(L$1,
_xlfn.XLOOKUP($B29,ANNOUNCEMENTS!$N$2:$N$180,ANNOUNCEMENTS!$J$2:$J$180,0,0)),1,0))))</f>
        <v>0</v>
      </c>
      <c r="M29">
        <f t="shared" si="4"/>
        <v>1</v>
      </c>
      <c r="N29" t="b">
        <f>TRUE</f>
        <v>1</v>
      </c>
      <c r="O29">
        <v>1</v>
      </c>
      <c r="P29" t="str">
        <v>Mobility Services Booking</v>
      </c>
      <c r="Q29" s="21">
        <v>17</v>
      </c>
      <c r="R29">
        <f t="shared" si="1"/>
        <v>2</v>
      </c>
      <c r="S29">
        <f t="shared" si="3"/>
        <v>0.08</v>
      </c>
    </row>
    <row r="30" spans="1:19" x14ac:dyDescent="0.35">
      <c r="A30">
        <f t="shared" si="2"/>
        <v>29</v>
      </c>
      <c r="B30" t="s">
        <v>386</v>
      </c>
      <c r="C30" t="s">
        <v>286</v>
      </c>
      <c r="D30">
        <v>250</v>
      </c>
      <c r="E30" s="107">
        <v>302.62</v>
      </c>
      <c r="F30">
        <v>0</v>
      </c>
      <c r="G30" t="str">
        <f>CBIMPORT!S7</f>
        <v>maymobility.com</v>
      </c>
      <c r="H30">
        <f>IF(EXACT(H$1,
_xlfn.XLOOKUP($B30,ANNOUNCEMENTS!$E$2:$E$180,ANNOUNCEMENTS!$J$2:$J$180,0,0)),1,
IF(EXACT(H$1,
_xlfn.XLOOKUP($B30,ANNOUNCEMENTS!$L$2:$L$180,ANNOUNCEMENTS!$J$2:$J$180,0,0)),1,
IF(EXACT(H$1,
_xlfn.XLOOKUP($B30,ANNOUNCEMENTS!$M$2:$M$180,ANNOUNCEMENTS!$J$2:$J$180,0,0)),1,
IF(EXACT(H$1,
_xlfn.XLOOKUP($B30,ANNOUNCEMENTS!$N$2:$N$180,ANNOUNCEMENTS!$J$2:$J$180,0,0)),1,0))))</f>
        <v>1</v>
      </c>
      <c r="I30">
        <f>IF(EXACT(I$1,
_xlfn.XLOOKUP($B30,ANNOUNCEMENTS!$E$2:$E$180,ANNOUNCEMENTS!$J$2:$J$180,0,0)),1,
IF(EXACT(I$1,
_xlfn.XLOOKUP($B30,ANNOUNCEMENTS!$L$2:$L$180,ANNOUNCEMENTS!$J$2:$J$180,0,0)),1,
IF(EXACT(I$1,
_xlfn.XLOOKUP($B30,ANNOUNCEMENTS!$M$2:$M$180,ANNOUNCEMENTS!$J$2:$J$180,0,0)),1,
IF(EXACT(I$1,
_xlfn.XLOOKUP($B30,ANNOUNCEMENTS!$N$2:$N$180,ANNOUNCEMENTS!$J$2:$J$180,0,0)),1,0))))</f>
        <v>1</v>
      </c>
      <c r="J30">
        <f>IF(EXACT(J$1,
_xlfn.XLOOKUP($B30,ANNOUNCEMENTS!$E$2:$E$180,ANNOUNCEMENTS!$J$2:$J$180,0,0)),1,
IF(EXACT(J$1,
_xlfn.XLOOKUP($B30,ANNOUNCEMENTS!$L$2:$L$180,ANNOUNCEMENTS!$J$2:$J$180,0,0)),1,
IF(EXACT(J$1,
_xlfn.XLOOKUP($B30,ANNOUNCEMENTS!$M$2:$M$180,ANNOUNCEMENTS!$J$2:$J$180,0,0)),1,
IF(EXACT(J$1,
_xlfn.XLOOKUP($B30,ANNOUNCEMENTS!$N$2:$N$180,ANNOUNCEMENTS!$J$2:$J$180,0,0)),1,0))))</f>
        <v>0</v>
      </c>
      <c r="K30">
        <f>IF(EXACT(K$1,
_xlfn.XLOOKUP($B30,ANNOUNCEMENTS!$E$2:$E$180,ANNOUNCEMENTS!$J$2:$J$180,0,0)),1,
IF(EXACT(K$1,
_xlfn.XLOOKUP($B30,ANNOUNCEMENTS!$L$2:$L$180,ANNOUNCEMENTS!$J$2:$J$180,0,0)),1,
IF(EXACT(K$1,
_xlfn.XLOOKUP($B30,ANNOUNCEMENTS!$M$2:$M$180,ANNOUNCEMENTS!$J$2:$J$180,0,0)),1,
IF(EXACT(K$1,
_xlfn.XLOOKUP($B30,ANNOUNCEMENTS!$N$2:$N$180,ANNOUNCEMENTS!$J$2:$J$180,0,0)),1,0))))</f>
        <v>0</v>
      </c>
      <c r="L30">
        <f>IF(EXACT(L$1,
_xlfn.XLOOKUP($B30,ANNOUNCEMENTS!$E$2:$E$180,ANNOUNCEMENTS!$J$2:$J$180,0,0)),1,
IF(EXACT(L$1,
_xlfn.XLOOKUP($B30,ANNOUNCEMENTS!$L$2:$L$180,ANNOUNCEMENTS!$J$2:$J$180,0,0)),1,
IF(EXACT(L$1,
_xlfn.XLOOKUP($B30,ANNOUNCEMENTS!$M$2:$M$180,ANNOUNCEMENTS!$J$2:$J$180,0,0)),1,
IF(EXACT(L$1,
_xlfn.XLOOKUP($B30,ANNOUNCEMENTS!$N$2:$N$180,ANNOUNCEMENTS!$J$2:$J$180,0,0)),1,0))))</f>
        <v>0</v>
      </c>
      <c r="M30">
        <f t="shared" si="4"/>
        <v>2</v>
      </c>
      <c r="N30" t="b">
        <f>TRUE</f>
        <v>1</v>
      </c>
      <c r="O30">
        <v>1</v>
      </c>
      <c r="P30" t="str">
        <v>Environmental Engineering</v>
      </c>
      <c r="Q30" s="21">
        <v>36</v>
      </c>
      <c r="R30">
        <f t="shared" si="1"/>
        <v>1</v>
      </c>
      <c r="S30">
        <f t="shared" si="3"/>
        <v>4.3478260869565216E-2</v>
      </c>
    </row>
    <row r="31" spans="1:19" x14ac:dyDescent="0.35">
      <c r="A31">
        <f t="shared" si="2"/>
        <v>30</v>
      </c>
      <c r="B31" t="s">
        <v>354</v>
      </c>
      <c r="C31" t="s">
        <v>286</v>
      </c>
      <c r="D31">
        <v>3000</v>
      </c>
      <c r="E31" s="107">
        <v>2132</v>
      </c>
      <c r="F31">
        <v>1</v>
      </c>
      <c r="G31" t="str">
        <f>CBIMPORT!S8</f>
        <v>www.mobileye.com</v>
      </c>
      <c r="H31">
        <v>1</v>
      </c>
      <c r="I31">
        <v>1</v>
      </c>
      <c r="J31">
        <f>IF(EXACT(J$1,
_xlfn.XLOOKUP($B31,ANNOUNCEMENTS!$E$2:$E$180,ANNOUNCEMENTS!$J$2:$J$180,0,0)),1,
IF(EXACT(J$1,
_xlfn.XLOOKUP($B31,ANNOUNCEMENTS!$L$2:$L$180,ANNOUNCEMENTS!$J$2:$J$180,0,0)),1,
IF(EXACT(J$1,
_xlfn.XLOOKUP($B31,ANNOUNCEMENTS!$M$2:$M$180,ANNOUNCEMENTS!$J$2:$J$180,0,0)),1,
IF(EXACT(J$1,
_xlfn.XLOOKUP($B31,ANNOUNCEMENTS!$N$2:$N$180,ANNOUNCEMENTS!$J$2:$J$180,0,0)),1,0))))</f>
        <v>0</v>
      </c>
      <c r="K31">
        <f>IF(EXACT(K$1,
_xlfn.XLOOKUP($B31,ANNOUNCEMENTS!$E$2:$E$180,ANNOUNCEMENTS!$J$2:$J$180,0,0)),1,
IF(EXACT(K$1,
_xlfn.XLOOKUP($B31,ANNOUNCEMENTS!$L$2:$L$180,ANNOUNCEMENTS!$J$2:$J$180,0,0)),1,
IF(EXACT(K$1,
_xlfn.XLOOKUP($B31,ANNOUNCEMENTS!$M$2:$M$180,ANNOUNCEMENTS!$J$2:$J$180,0,0)),1,
IF(EXACT(K$1,
_xlfn.XLOOKUP($B31,ANNOUNCEMENTS!$N$2:$N$180,ANNOUNCEMENTS!$J$2:$J$180,0,0)),1,0))))</f>
        <v>1</v>
      </c>
      <c r="L31">
        <v>1</v>
      </c>
      <c r="M31">
        <f t="shared" si="4"/>
        <v>4</v>
      </c>
      <c r="N31" t="b">
        <f>TRUE</f>
        <v>1</v>
      </c>
      <c r="O31">
        <v>1</v>
      </c>
      <c r="P31" t="str">
        <v>Sensor</v>
      </c>
      <c r="Q31" s="21">
        <v>2</v>
      </c>
      <c r="R31">
        <f t="shared" si="1"/>
        <v>4</v>
      </c>
      <c r="S31">
        <f t="shared" si="3"/>
        <v>0.18181818181818182</v>
      </c>
    </row>
    <row r="32" spans="1:19" x14ac:dyDescent="0.35">
      <c r="A32">
        <f t="shared" si="2"/>
        <v>31</v>
      </c>
      <c r="B32" t="s">
        <v>359</v>
      </c>
      <c r="C32" t="s">
        <v>286</v>
      </c>
      <c r="D32">
        <v>750</v>
      </c>
      <c r="E32" s="107">
        <v>0</v>
      </c>
      <c r="F32">
        <v>0</v>
      </c>
      <c r="G32" t="str">
        <f>CBIMPORT!S9</f>
        <v>motional.com/</v>
      </c>
      <c r="H32">
        <f>IF(EXACT(H$1,
_xlfn.XLOOKUP($B32,ANNOUNCEMENTS!$E$2:$E$180,ANNOUNCEMENTS!$J$2:$J$180,0,0)),1,
IF(EXACT(H$1,
_xlfn.XLOOKUP($B32,ANNOUNCEMENTS!$L$2:$L$180,ANNOUNCEMENTS!$J$2:$J$180,0,0)),1,
IF(EXACT(H$1,
_xlfn.XLOOKUP($B32,ANNOUNCEMENTS!$M$2:$M$180,ANNOUNCEMENTS!$J$2:$J$180,0,0)),1,
IF(EXACT(H$1,
_xlfn.XLOOKUP($B32,ANNOUNCEMENTS!$N$2:$N$180,ANNOUNCEMENTS!$J$2:$J$180,0,0)),1,0))))</f>
        <v>0</v>
      </c>
      <c r="I32">
        <f>IF(EXACT(I$1,
_xlfn.XLOOKUP($B32,ANNOUNCEMENTS!$E$2:$E$180,ANNOUNCEMENTS!$J$2:$J$180,0,0)),1,
IF(EXACT(I$1,
_xlfn.XLOOKUP($B32,ANNOUNCEMENTS!$L$2:$L$180,ANNOUNCEMENTS!$J$2:$J$180,0,0)),1,
IF(EXACT(I$1,
_xlfn.XLOOKUP($B32,ANNOUNCEMENTS!$M$2:$M$180,ANNOUNCEMENTS!$J$2:$J$180,0,0)),1,
IF(EXACT(I$1,
_xlfn.XLOOKUP($B32,ANNOUNCEMENTS!$N$2:$N$180,ANNOUNCEMENTS!$J$2:$J$180,0,0)),1,0))))</f>
        <v>1</v>
      </c>
      <c r="J32">
        <f>IF(EXACT(J$1,
_xlfn.XLOOKUP($B32,ANNOUNCEMENTS!$E$2:$E$180,ANNOUNCEMENTS!$J$2:$J$180,0,0)),1,
IF(EXACT(J$1,
_xlfn.XLOOKUP($B32,ANNOUNCEMENTS!$L$2:$L$180,ANNOUNCEMENTS!$J$2:$J$180,0,0)),1,
IF(EXACT(J$1,
_xlfn.XLOOKUP($B32,ANNOUNCEMENTS!$M$2:$M$180,ANNOUNCEMENTS!$J$2:$J$180,0,0)),1,
IF(EXACT(J$1,
_xlfn.XLOOKUP($B32,ANNOUNCEMENTS!$N$2:$N$180,ANNOUNCEMENTS!$J$2:$J$180,0,0)),1,0))))</f>
        <v>0</v>
      </c>
      <c r="K32">
        <v>1</v>
      </c>
      <c r="L32">
        <f>IF(EXACT(L$1,
_xlfn.XLOOKUP($B32,ANNOUNCEMENTS!$E$2:$E$180,ANNOUNCEMENTS!$J$2:$J$180,0,0)),1,
IF(EXACT(L$1,
_xlfn.XLOOKUP($B32,ANNOUNCEMENTS!$L$2:$L$180,ANNOUNCEMENTS!$J$2:$J$180,0,0)),1,
IF(EXACT(L$1,
_xlfn.XLOOKUP($B32,ANNOUNCEMENTS!$M$2:$M$180,ANNOUNCEMENTS!$J$2:$J$180,0,0)),1,
IF(EXACT(L$1,
_xlfn.XLOOKUP($B32,ANNOUNCEMENTS!$N$2:$N$180,ANNOUNCEMENTS!$J$2:$J$180,0,0)),1,0))))</f>
        <v>0</v>
      </c>
      <c r="M32">
        <f t="shared" si="4"/>
        <v>2</v>
      </c>
      <c r="N32" t="b">
        <f>TRUE</f>
        <v>1</v>
      </c>
      <c r="O32">
        <v>1</v>
      </c>
      <c r="P32" t="str">
        <v>Software Company</v>
      </c>
      <c r="Q32" s="21">
        <v>7</v>
      </c>
      <c r="R32">
        <f t="shared" si="1"/>
        <v>2</v>
      </c>
      <c r="S32">
        <f t="shared" si="3"/>
        <v>0.1111111111111111</v>
      </c>
    </row>
    <row r="33" spans="1:19" x14ac:dyDescent="0.35">
      <c r="A33">
        <f t="shared" si="2"/>
        <v>32</v>
      </c>
      <c r="B33" t="s">
        <v>364</v>
      </c>
      <c r="C33" t="s">
        <v>286</v>
      </c>
      <c r="D33">
        <v>300</v>
      </c>
      <c r="E33" s="107">
        <v>228.816</v>
      </c>
      <c r="F33">
        <v>0</v>
      </c>
      <c r="G33" t="str">
        <f>CBIMPORT!S10</f>
        <v>www.oxbotica.com</v>
      </c>
      <c r="H33">
        <f>IF(EXACT(H$1,
_xlfn.XLOOKUP($B33,ANNOUNCEMENTS!$E$2:$E$180,ANNOUNCEMENTS!$J$2:$J$180,0,0)),1,
IF(EXACT(H$1,
_xlfn.XLOOKUP($B33,ANNOUNCEMENTS!$L$2:$L$180,ANNOUNCEMENTS!$J$2:$J$180,0,0)),1,
IF(EXACT(H$1,
_xlfn.XLOOKUP($B33,ANNOUNCEMENTS!$M$2:$M$180,ANNOUNCEMENTS!$J$2:$J$180,0,0)),1,
IF(EXACT(H$1,
_xlfn.XLOOKUP($B33,ANNOUNCEMENTS!$N$2:$N$180,ANNOUNCEMENTS!$J$2:$J$180,0,0)),1,0))))</f>
        <v>1</v>
      </c>
      <c r="I33">
        <f>IF(EXACT(I$1,
_xlfn.XLOOKUP($B33,ANNOUNCEMENTS!$E$2:$E$180,ANNOUNCEMENTS!$J$2:$J$180,0,0)),1,
IF(EXACT(I$1,
_xlfn.XLOOKUP($B33,ANNOUNCEMENTS!$L$2:$L$180,ANNOUNCEMENTS!$J$2:$J$180,0,0)),1,
IF(EXACT(I$1,
_xlfn.XLOOKUP($B33,ANNOUNCEMENTS!$M$2:$M$180,ANNOUNCEMENTS!$J$2:$J$180,0,0)),1,
IF(EXACT(I$1,
_xlfn.XLOOKUP($B33,ANNOUNCEMENTS!$N$2:$N$180,ANNOUNCEMENTS!$J$2:$J$180,0,0)),1,0))))</f>
        <v>0</v>
      </c>
      <c r="J33">
        <f>IF(EXACT(J$1,
_xlfn.XLOOKUP($B33,ANNOUNCEMENTS!$E$2:$E$180,ANNOUNCEMENTS!$J$2:$J$180,0,0)),1,
IF(EXACT(J$1,
_xlfn.XLOOKUP($B33,ANNOUNCEMENTS!$L$2:$L$180,ANNOUNCEMENTS!$J$2:$J$180,0,0)),1,
IF(EXACT(J$1,
_xlfn.XLOOKUP($B33,ANNOUNCEMENTS!$M$2:$M$180,ANNOUNCEMENTS!$J$2:$J$180,0,0)),1,
IF(EXACT(J$1,
_xlfn.XLOOKUP($B33,ANNOUNCEMENTS!$N$2:$N$180,ANNOUNCEMENTS!$J$2:$J$180,0,0)),1,0))))</f>
        <v>0</v>
      </c>
      <c r="K33">
        <v>1</v>
      </c>
      <c r="L33">
        <v>1</v>
      </c>
      <c r="M33">
        <f t="shared" si="4"/>
        <v>3</v>
      </c>
      <c r="N33" t="b">
        <f>TRUE</f>
        <v>1</v>
      </c>
      <c r="O33">
        <v>1</v>
      </c>
      <c r="P33" t="str">
        <v>Cyber Security</v>
      </c>
      <c r="Q33" s="21">
        <v>8</v>
      </c>
      <c r="R33">
        <f t="shared" si="1"/>
        <v>2</v>
      </c>
      <c r="S33">
        <f t="shared" si="3"/>
        <v>0.125</v>
      </c>
    </row>
    <row r="34" spans="1:19" x14ac:dyDescent="0.35">
      <c r="A34">
        <f t="shared" si="2"/>
        <v>33</v>
      </c>
      <c r="B34" t="s">
        <v>141</v>
      </c>
      <c r="C34" t="s">
        <v>286</v>
      </c>
      <c r="D34">
        <v>30</v>
      </c>
      <c r="E34" s="107">
        <v>12.615</v>
      </c>
      <c r="F34">
        <v>0</v>
      </c>
      <c r="G34" t="str">
        <f>CBIMPORT!S11</f>
        <v>www.perronerobotics.com/</v>
      </c>
      <c r="H34">
        <f>IF(EXACT(H$1,
_xlfn.XLOOKUP($B34,ANNOUNCEMENTS!$E$2:$E$180,ANNOUNCEMENTS!$J$2:$J$180,0,0)),1,
IF(EXACT(H$1,
_xlfn.XLOOKUP($B34,ANNOUNCEMENTS!$L$2:$L$180,ANNOUNCEMENTS!$J$2:$J$180,0,0)),1,
IF(EXACT(H$1,
_xlfn.XLOOKUP($B34,ANNOUNCEMENTS!$M$2:$M$180,ANNOUNCEMENTS!$J$2:$J$180,0,0)),1,
IF(EXACT(H$1,
_xlfn.XLOOKUP($B34,ANNOUNCEMENTS!$N$2:$N$180,ANNOUNCEMENTS!$J$2:$J$180,0,0)),1,0))))</f>
        <v>1</v>
      </c>
      <c r="I34">
        <f>IF(EXACT(I$1,
_xlfn.XLOOKUP($B34,ANNOUNCEMENTS!$E$2:$E$180,ANNOUNCEMENTS!$J$2:$J$180,0,0)),1,
IF(EXACT(I$1,
_xlfn.XLOOKUP($B34,ANNOUNCEMENTS!$L$2:$L$180,ANNOUNCEMENTS!$J$2:$J$180,0,0)),1,
IF(EXACT(I$1,
_xlfn.XLOOKUP($B34,ANNOUNCEMENTS!$M$2:$M$180,ANNOUNCEMENTS!$J$2:$J$180,0,0)),1,
IF(EXACT(I$1,
_xlfn.XLOOKUP($B34,ANNOUNCEMENTS!$N$2:$N$180,ANNOUNCEMENTS!$J$2:$J$180,0,0)),1,0))))</f>
        <v>0</v>
      </c>
      <c r="J34">
        <f>IF(EXACT(J$1,
_xlfn.XLOOKUP($B34,ANNOUNCEMENTS!$E$2:$E$180,ANNOUNCEMENTS!$J$2:$J$180,0,0)),1,
IF(EXACT(J$1,
_xlfn.XLOOKUP($B34,ANNOUNCEMENTS!$L$2:$L$180,ANNOUNCEMENTS!$J$2:$J$180,0,0)),1,
IF(EXACT(J$1,
_xlfn.XLOOKUP($B34,ANNOUNCEMENTS!$M$2:$M$180,ANNOUNCEMENTS!$J$2:$J$180,0,0)),1,
IF(EXACT(J$1,
_xlfn.XLOOKUP($B34,ANNOUNCEMENTS!$N$2:$N$180,ANNOUNCEMENTS!$J$2:$J$180,0,0)),1,0))))</f>
        <v>0</v>
      </c>
      <c r="K34">
        <f>IF(EXACT(K$1,
_xlfn.XLOOKUP($B34,ANNOUNCEMENTS!$E$2:$E$180,ANNOUNCEMENTS!$J$2:$J$180,0,0)),1,
IF(EXACT(K$1,
_xlfn.XLOOKUP($B34,ANNOUNCEMENTS!$L$2:$L$180,ANNOUNCEMENTS!$J$2:$J$180,0,0)),1,
IF(EXACT(K$1,
_xlfn.XLOOKUP($B34,ANNOUNCEMENTS!$M$2:$M$180,ANNOUNCEMENTS!$J$2:$J$180,0,0)),1,
IF(EXACT(K$1,
_xlfn.XLOOKUP($B34,ANNOUNCEMENTS!$N$2:$N$180,ANNOUNCEMENTS!$J$2:$J$180,0,0)),1,0))))</f>
        <v>0</v>
      </c>
      <c r="L34">
        <f>IF(EXACT(L$1,
_xlfn.XLOOKUP($B34,ANNOUNCEMENTS!$E$2:$E$180,ANNOUNCEMENTS!$J$2:$J$180,0,0)),1,
IF(EXACT(L$1,
_xlfn.XLOOKUP($B34,ANNOUNCEMENTS!$L$2:$L$180,ANNOUNCEMENTS!$J$2:$J$180,0,0)),1,
IF(EXACT(L$1,
_xlfn.XLOOKUP($B34,ANNOUNCEMENTS!$M$2:$M$180,ANNOUNCEMENTS!$J$2:$J$180,0,0)),1,
IF(EXACT(L$1,
_xlfn.XLOOKUP($B34,ANNOUNCEMENTS!$N$2:$N$180,ANNOUNCEMENTS!$J$2:$J$180,0,0)),1,0))))</f>
        <v>0</v>
      </c>
      <c r="M34">
        <f t="shared" si="4"/>
        <v>1</v>
      </c>
      <c r="N34" t="b">
        <f>TRUE</f>
        <v>1</v>
      </c>
      <c r="O34">
        <v>1</v>
      </c>
      <c r="P34" t="str">
        <v>NPO</v>
      </c>
      <c r="Q34" s="21">
        <v>35</v>
      </c>
      <c r="R34">
        <f t="shared" si="1"/>
        <v>3</v>
      </c>
      <c r="S34">
        <f t="shared" si="3"/>
        <v>0.21428571428571427</v>
      </c>
    </row>
    <row r="35" spans="1:19" x14ac:dyDescent="0.35">
      <c r="A35">
        <f t="shared" si="2"/>
        <v>34</v>
      </c>
      <c r="B35" t="s">
        <v>411</v>
      </c>
      <c r="C35" t="s">
        <v>286</v>
      </c>
      <c r="D35">
        <v>250</v>
      </c>
      <c r="E35" s="107">
        <v>520.02510199999995</v>
      </c>
      <c r="F35">
        <v>0</v>
      </c>
      <c r="G35" t="str">
        <f>CBIMPORT!S12</f>
        <v>plus.ai</v>
      </c>
      <c r="H35">
        <f>IF(EXACT(H$1,
_xlfn.XLOOKUP($B35,ANNOUNCEMENTS!$E$2:$E$180,ANNOUNCEMENTS!$J$2:$J$180,0,0)),1,
IF(EXACT(H$1,
_xlfn.XLOOKUP($B35,ANNOUNCEMENTS!$L$2:$L$180,ANNOUNCEMENTS!$J$2:$J$180,0,0)),1,
IF(EXACT(H$1,
_xlfn.XLOOKUP($B35,ANNOUNCEMENTS!$M$2:$M$180,ANNOUNCEMENTS!$J$2:$J$180,0,0)),1,
IF(EXACT(H$1,
_xlfn.XLOOKUP($B35,ANNOUNCEMENTS!$N$2:$N$180,ANNOUNCEMENTS!$J$2:$J$180,0,0)),1,0))))</f>
        <v>0</v>
      </c>
      <c r="I35">
        <f>IF(EXACT(I$1,
_xlfn.XLOOKUP($B35,ANNOUNCEMENTS!$E$2:$E$180,ANNOUNCEMENTS!$J$2:$J$180,0,0)),1,
IF(EXACT(I$1,
_xlfn.XLOOKUP($B35,ANNOUNCEMENTS!$L$2:$L$180,ANNOUNCEMENTS!$J$2:$J$180,0,0)),1,
IF(EXACT(I$1,
_xlfn.XLOOKUP($B35,ANNOUNCEMENTS!$M$2:$M$180,ANNOUNCEMENTS!$J$2:$J$180,0,0)),1,
IF(EXACT(I$1,
_xlfn.XLOOKUP($B35,ANNOUNCEMENTS!$N$2:$N$180,ANNOUNCEMENTS!$J$2:$J$180,0,0)),1,0))))</f>
        <v>0</v>
      </c>
      <c r="J35">
        <f>IF(EXACT(J$1,
_xlfn.XLOOKUP($B35,ANNOUNCEMENTS!$E$2:$E$180,ANNOUNCEMENTS!$J$2:$J$180,0,0)),1,
IF(EXACT(J$1,
_xlfn.XLOOKUP($B35,ANNOUNCEMENTS!$L$2:$L$180,ANNOUNCEMENTS!$J$2:$J$180,0,0)),1,
IF(EXACT(J$1,
_xlfn.XLOOKUP($B35,ANNOUNCEMENTS!$M$2:$M$180,ANNOUNCEMENTS!$J$2:$J$180,0,0)),1,
IF(EXACT(J$1,
_xlfn.XLOOKUP($B35,ANNOUNCEMENTS!$N$2:$N$180,ANNOUNCEMENTS!$J$2:$J$180,0,0)),1,0))))</f>
        <v>1</v>
      </c>
      <c r="K35">
        <f>IF(EXACT(K$1,
_xlfn.XLOOKUP($B35,ANNOUNCEMENTS!$E$2:$E$180,ANNOUNCEMENTS!$J$2:$J$180,0,0)),1,
IF(EXACT(K$1,
_xlfn.XLOOKUP($B35,ANNOUNCEMENTS!$L$2:$L$180,ANNOUNCEMENTS!$J$2:$J$180,0,0)),1,
IF(EXACT(K$1,
_xlfn.XLOOKUP($B35,ANNOUNCEMENTS!$M$2:$M$180,ANNOUNCEMENTS!$J$2:$J$180,0,0)),1,
IF(EXACT(K$1,
_xlfn.XLOOKUP($B35,ANNOUNCEMENTS!$N$2:$N$180,ANNOUNCEMENTS!$J$2:$J$180,0,0)),1,0))))</f>
        <v>0</v>
      </c>
      <c r="L35">
        <f>IF(EXACT(L$1,
_xlfn.XLOOKUP($B35,ANNOUNCEMENTS!$E$2:$E$180,ANNOUNCEMENTS!$J$2:$J$180,0,0)),1,
IF(EXACT(L$1,
_xlfn.XLOOKUP($B35,ANNOUNCEMENTS!$L$2:$L$180,ANNOUNCEMENTS!$J$2:$J$180,0,0)),1,
IF(EXACT(L$1,
_xlfn.XLOOKUP($B35,ANNOUNCEMENTS!$M$2:$M$180,ANNOUNCEMENTS!$J$2:$J$180,0,0)),1,
IF(EXACT(L$1,
_xlfn.XLOOKUP($B35,ANNOUNCEMENTS!$N$2:$N$180,ANNOUNCEMENTS!$J$2:$J$180,0,0)),1,0))))</f>
        <v>0</v>
      </c>
      <c r="M35">
        <f t="shared" si="4"/>
        <v>1</v>
      </c>
      <c r="N35" t="b">
        <f>TRUE</f>
        <v>1</v>
      </c>
      <c r="O35">
        <v>1</v>
      </c>
      <c r="P35" t="str">
        <v>Advertising</v>
      </c>
      <c r="Q35" s="21">
        <v>34</v>
      </c>
      <c r="R35">
        <f t="shared" si="1"/>
        <v>2</v>
      </c>
      <c r="S35">
        <f t="shared" si="3"/>
        <v>0.18181818181818182</v>
      </c>
    </row>
    <row r="36" spans="1:19" x14ac:dyDescent="0.35">
      <c r="A36">
        <f t="shared" si="2"/>
        <v>35</v>
      </c>
      <c r="B36" t="s">
        <v>414</v>
      </c>
      <c r="C36" t="s">
        <v>286</v>
      </c>
      <c r="D36">
        <v>750</v>
      </c>
      <c r="E36" s="107">
        <v>1332</v>
      </c>
      <c r="F36">
        <v>0</v>
      </c>
      <c r="G36" t="str">
        <f>CBIMPORT!S13</f>
        <v>www.pony.ai</v>
      </c>
      <c r="H36">
        <f>IF(EXACT(H$1,
_xlfn.XLOOKUP($B36,ANNOUNCEMENTS!$E$2:$E$180,ANNOUNCEMENTS!$J$2:$J$180,0,0)),1,
IF(EXACT(H$1,
_xlfn.XLOOKUP($B36,ANNOUNCEMENTS!$L$2:$L$180,ANNOUNCEMENTS!$J$2:$J$180,0,0)),1,
IF(EXACT(H$1,
_xlfn.XLOOKUP($B36,ANNOUNCEMENTS!$M$2:$M$180,ANNOUNCEMENTS!$J$2:$J$180,0,0)),1,
IF(EXACT(H$1,
_xlfn.XLOOKUP($B36,ANNOUNCEMENTS!$N$2:$N$180,ANNOUNCEMENTS!$J$2:$J$180,0,0)),1,0))))</f>
        <v>0</v>
      </c>
      <c r="I36">
        <f>IF(EXACT(I$1,
_xlfn.XLOOKUP($B36,ANNOUNCEMENTS!$E$2:$E$180,ANNOUNCEMENTS!$J$2:$J$180,0,0)),1,
IF(EXACT(I$1,
_xlfn.XLOOKUP($B36,ANNOUNCEMENTS!$L$2:$L$180,ANNOUNCEMENTS!$J$2:$J$180,0,0)),1,
IF(EXACT(I$1,
_xlfn.XLOOKUP($B36,ANNOUNCEMENTS!$M$2:$M$180,ANNOUNCEMENTS!$J$2:$J$180,0,0)),1,
IF(EXACT(I$1,
_xlfn.XLOOKUP($B36,ANNOUNCEMENTS!$N$2:$N$180,ANNOUNCEMENTS!$J$2:$J$180,0,0)),1,0))))</f>
        <v>1</v>
      </c>
      <c r="J36">
        <v>1</v>
      </c>
      <c r="K36">
        <f>IF(EXACT(K$1,
_xlfn.XLOOKUP($B36,ANNOUNCEMENTS!$E$2:$E$180,ANNOUNCEMENTS!$J$2:$J$180,0,0)),1,
IF(EXACT(K$1,
_xlfn.XLOOKUP($B36,ANNOUNCEMENTS!$L$2:$L$180,ANNOUNCEMENTS!$J$2:$J$180,0,0)),1,
IF(EXACT(K$1,
_xlfn.XLOOKUP($B36,ANNOUNCEMENTS!$M$2:$M$180,ANNOUNCEMENTS!$J$2:$J$180,0,0)),1,
IF(EXACT(K$1,
_xlfn.XLOOKUP($B36,ANNOUNCEMENTS!$N$2:$N$180,ANNOUNCEMENTS!$J$2:$J$180,0,0)),1,0))))</f>
        <v>0</v>
      </c>
      <c r="L36">
        <f>IF(EXACT(L$1,
_xlfn.XLOOKUP($B36,ANNOUNCEMENTS!$E$2:$E$180,ANNOUNCEMENTS!$J$2:$J$180,0,0)),1,
IF(EXACT(L$1,
_xlfn.XLOOKUP($B36,ANNOUNCEMENTS!$L$2:$L$180,ANNOUNCEMENTS!$J$2:$J$180,0,0)),1,
IF(EXACT(L$1,
_xlfn.XLOOKUP($B36,ANNOUNCEMENTS!$M$2:$M$180,ANNOUNCEMENTS!$J$2:$J$180,0,0)),1,
IF(EXACT(L$1,
_xlfn.XLOOKUP($B36,ANNOUNCEMENTS!$N$2:$N$180,ANNOUNCEMENTS!$J$2:$J$180,0,0)),1,0))))</f>
        <v>0</v>
      </c>
      <c r="M36">
        <f t="shared" si="4"/>
        <v>2</v>
      </c>
      <c r="N36" t="b">
        <f>TRUE</f>
        <v>1</v>
      </c>
      <c r="O36">
        <v>1</v>
      </c>
      <c r="P36" t="str">
        <v>Transport Regulator</v>
      </c>
      <c r="Q36" s="21">
        <v>15</v>
      </c>
      <c r="R36">
        <f t="shared" si="1"/>
        <v>2</v>
      </c>
      <c r="S36">
        <f t="shared" si="3"/>
        <v>0.22222222222222221</v>
      </c>
    </row>
    <row r="37" spans="1:19" x14ac:dyDescent="0.35">
      <c r="A37">
        <f t="shared" si="2"/>
        <v>36</v>
      </c>
      <c r="B37" t="s">
        <v>420</v>
      </c>
      <c r="C37" t="s">
        <v>286</v>
      </c>
      <c r="D37">
        <v>700</v>
      </c>
      <c r="E37" s="107">
        <v>648.071101</v>
      </c>
      <c r="F37">
        <v>1</v>
      </c>
      <c r="G37" t="str">
        <f>CBIMPORT!S14</f>
        <v>www.tusimple.com</v>
      </c>
      <c r="H37">
        <f>IF(EXACT(H$1,
_xlfn.XLOOKUP($B37,ANNOUNCEMENTS!$E$2:$E$180,ANNOUNCEMENTS!$J$2:$J$180,0,0)),1,
IF(EXACT(H$1,
_xlfn.XLOOKUP($B37,ANNOUNCEMENTS!$L$2:$L$180,ANNOUNCEMENTS!$J$2:$J$180,0,0)),1,
IF(EXACT(H$1,
_xlfn.XLOOKUP($B37,ANNOUNCEMENTS!$M$2:$M$180,ANNOUNCEMENTS!$J$2:$J$180,0,0)),1,
IF(EXACT(H$1,
_xlfn.XLOOKUP($B37,ANNOUNCEMENTS!$N$2:$N$180,ANNOUNCEMENTS!$J$2:$J$180,0,0)),1,0))))</f>
        <v>0</v>
      </c>
      <c r="I37">
        <f>IF(EXACT(I$1,
_xlfn.XLOOKUP($B37,ANNOUNCEMENTS!$E$2:$E$180,ANNOUNCEMENTS!$J$2:$J$180,0,0)),1,
IF(EXACT(I$1,
_xlfn.XLOOKUP($B37,ANNOUNCEMENTS!$L$2:$L$180,ANNOUNCEMENTS!$J$2:$J$180,0,0)),1,
IF(EXACT(I$1,
_xlfn.XLOOKUP($B37,ANNOUNCEMENTS!$M$2:$M$180,ANNOUNCEMENTS!$J$2:$J$180,0,0)),1,
IF(EXACT(I$1,
_xlfn.XLOOKUP($B37,ANNOUNCEMENTS!$N$2:$N$180,ANNOUNCEMENTS!$J$2:$J$180,0,0)),1,0))))</f>
        <v>0</v>
      </c>
      <c r="J37">
        <f>IF(EXACT(J$1,
_xlfn.XLOOKUP($B37,ANNOUNCEMENTS!$E$2:$E$180,ANNOUNCEMENTS!$J$2:$J$180,0,0)),1,
IF(EXACT(J$1,
_xlfn.XLOOKUP($B37,ANNOUNCEMENTS!$L$2:$L$180,ANNOUNCEMENTS!$J$2:$J$180,0,0)),1,
IF(EXACT(J$1,
_xlfn.XLOOKUP($B37,ANNOUNCEMENTS!$M$2:$M$180,ANNOUNCEMENTS!$J$2:$J$180,0,0)),1,
IF(EXACT(J$1,
_xlfn.XLOOKUP($B37,ANNOUNCEMENTS!$N$2:$N$180,ANNOUNCEMENTS!$J$2:$J$180,0,0)),1,0))))</f>
        <v>1</v>
      </c>
      <c r="K37">
        <f>IF(EXACT(K$1,
_xlfn.XLOOKUP($B37,ANNOUNCEMENTS!$E$2:$E$180,ANNOUNCEMENTS!$J$2:$J$180,0,0)),1,
IF(EXACT(K$1,
_xlfn.XLOOKUP($B37,ANNOUNCEMENTS!$L$2:$L$180,ANNOUNCEMENTS!$J$2:$J$180,0,0)),1,
IF(EXACT(K$1,
_xlfn.XLOOKUP($B37,ANNOUNCEMENTS!$M$2:$M$180,ANNOUNCEMENTS!$J$2:$J$180,0,0)),1,
IF(EXACT(K$1,
_xlfn.XLOOKUP($B37,ANNOUNCEMENTS!$N$2:$N$180,ANNOUNCEMENTS!$J$2:$J$180,0,0)),1,0))))</f>
        <v>0</v>
      </c>
      <c r="L37">
        <f>IF(EXACT(L$1,
_xlfn.XLOOKUP($B37,ANNOUNCEMENTS!$E$2:$E$180,ANNOUNCEMENTS!$J$2:$J$180,0,0)),1,
IF(EXACT(L$1,
_xlfn.XLOOKUP($B37,ANNOUNCEMENTS!$L$2:$L$180,ANNOUNCEMENTS!$J$2:$J$180,0,0)),1,
IF(EXACT(L$1,
_xlfn.XLOOKUP($B37,ANNOUNCEMENTS!$M$2:$M$180,ANNOUNCEMENTS!$J$2:$J$180,0,0)),1,
IF(EXACT(L$1,
_xlfn.XLOOKUP($B37,ANNOUNCEMENTS!$N$2:$N$180,ANNOUNCEMENTS!$J$2:$J$180,0,0)),1,0))))</f>
        <v>0</v>
      </c>
      <c r="M37">
        <f t="shared" si="4"/>
        <v>1</v>
      </c>
      <c r="N37" t="b">
        <f>TRUE</f>
        <v>1</v>
      </c>
      <c r="O37">
        <v>1</v>
      </c>
      <c r="P37" t="str">
        <v>Real estate</v>
      </c>
      <c r="Q37" s="21">
        <v>33</v>
      </c>
      <c r="R37">
        <f t="shared" si="1"/>
        <v>1</v>
      </c>
      <c r="S37">
        <f t="shared" si="3"/>
        <v>0.14285714285714285</v>
      </c>
    </row>
    <row r="38" spans="1:19" x14ac:dyDescent="0.35">
      <c r="A38">
        <f t="shared" si="2"/>
        <v>37</v>
      </c>
      <c r="B38" t="s">
        <v>428</v>
      </c>
      <c r="C38" t="s">
        <v>286</v>
      </c>
      <c r="D38">
        <v>110</v>
      </c>
      <c r="E38" s="107">
        <v>73</v>
      </c>
      <c r="F38">
        <v>0</v>
      </c>
      <c r="G38" t="str">
        <f>CBIMPORT!S15</f>
        <v>waabi.ai</v>
      </c>
      <c r="H38">
        <f>IF(EXACT(H$1,
_xlfn.XLOOKUP($B38,ANNOUNCEMENTS!$E$2:$E$180,ANNOUNCEMENTS!$J$2:$J$180,0,0)),1,
IF(EXACT(H$1,
_xlfn.XLOOKUP($B38,ANNOUNCEMENTS!$L$2:$L$180,ANNOUNCEMENTS!$J$2:$J$180,0,0)),1,
IF(EXACT(H$1,
_xlfn.XLOOKUP($B38,ANNOUNCEMENTS!$M$2:$M$180,ANNOUNCEMENTS!$J$2:$J$180,0,0)),1,
IF(EXACT(H$1,
_xlfn.XLOOKUP($B38,ANNOUNCEMENTS!$N$2:$N$180,ANNOUNCEMENTS!$J$2:$J$180,0,0)),1,0))))</f>
        <v>0</v>
      </c>
      <c r="I38">
        <f>IF(EXACT(I$1,
_xlfn.XLOOKUP($B38,ANNOUNCEMENTS!$E$2:$E$180,ANNOUNCEMENTS!$J$2:$J$180,0,0)),1,
IF(EXACT(I$1,
_xlfn.XLOOKUP($B38,ANNOUNCEMENTS!$L$2:$L$180,ANNOUNCEMENTS!$J$2:$J$180,0,0)),1,
IF(EXACT(I$1,
_xlfn.XLOOKUP($B38,ANNOUNCEMENTS!$M$2:$M$180,ANNOUNCEMENTS!$J$2:$J$180,0,0)),1,
IF(EXACT(I$1,
_xlfn.XLOOKUP($B38,ANNOUNCEMENTS!$N$2:$N$180,ANNOUNCEMENTS!$J$2:$J$180,0,0)),1,0))))</f>
        <v>0</v>
      </c>
      <c r="J38">
        <f>IF(EXACT(J$1,
_xlfn.XLOOKUP($B38,ANNOUNCEMENTS!$E$2:$E$180,ANNOUNCEMENTS!$J$2:$J$180,0,0)),1,
IF(EXACT(J$1,
_xlfn.XLOOKUP($B38,ANNOUNCEMENTS!$L$2:$L$180,ANNOUNCEMENTS!$J$2:$J$180,0,0)),1,
IF(EXACT(J$1,
_xlfn.XLOOKUP($B38,ANNOUNCEMENTS!$M$2:$M$180,ANNOUNCEMENTS!$J$2:$J$180,0,0)),1,
IF(EXACT(J$1,
_xlfn.XLOOKUP($B38,ANNOUNCEMENTS!$N$2:$N$180,ANNOUNCEMENTS!$J$2:$J$180,0,0)),1,0))))</f>
        <v>1</v>
      </c>
      <c r="K38">
        <f>IF(EXACT(K$1,
_xlfn.XLOOKUP($B38,ANNOUNCEMENTS!$E$2:$E$180,ANNOUNCEMENTS!$J$2:$J$180,0,0)),1,
IF(EXACT(K$1,
_xlfn.XLOOKUP($B38,ANNOUNCEMENTS!$L$2:$L$180,ANNOUNCEMENTS!$J$2:$J$180,0,0)),1,
IF(EXACT(K$1,
_xlfn.XLOOKUP($B38,ANNOUNCEMENTS!$M$2:$M$180,ANNOUNCEMENTS!$J$2:$J$180,0,0)),1,
IF(EXACT(K$1,
_xlfn.XLOOKUP($B38,ANNOUNCEMENTS!$N$2:$N$180,ANNOUNCEMENTS!$J$2:$J$180,0,0)),1,0))))</f>
        <v>0</v>
      </c>
      <c r="L38">
        <f>IF(EXACT(L$1,
_xlfn.XLOOKUP($B38,ANNOUNCEMENTS!$E$2:$E$180,ANNOUNCEMENTS!$J$2:$J$180,0,0)),1,
IF(EXACT(L$1,
_xlfn.XLOOKUP($B38,ANNOUNCEMENTS!$L$2:$L$180,ANNOUNCEMENTS!$J$2:$J$180,0,0)),1,
IF(EXACT(L$1,
_xlfn.XLOOKUP($B38,ANNOUNCEMENTS!$M$2:$M$180,ANNOUNCEMENTS!$J$2:$J$180,0,0)),1,
IF(EXACT(L$1,
_xlfn.XLOOKUP($B38,ANNOUNCEMENTS!$N$2:$N$180,ANNOUNCEMENTS!$J$2:$J$180,0,0)),1,0))))</f>
        <v>0</v>
      </c>
      <c r="M38">
        <f t="shared" si="4"/>
        <v>1</v>
      </c>
      <c r="N38" t="b">
        <f>TRUE</f>
        <v>1</v>
      </c>
      <c r="O38">
        <v>1</v>
      </c>
      <c r="P38" t="str">
        <v>Construction</v>
      </c>
      <c r="Q38" s="21">
        <v>31</v>
      </c>
      <c r="R38">
        <f t="shared" si="1"/>
        <v>1</v>
      </c>
      <c r="S38">
        <f t="shared" si="3"/>
        <v>0.16666666666666666</v>
      </c>
    </row>
    <row r="39" spans="1:19" x14ac:dyDescent="0.35">
      <c r="A39">
        <f t="shared" si="2"/>
        <v>38</v>
      </c>
      <c r="B39" t="s">
        <v>367</v>
      </c>
      <c r="C39" t="s">
        <v>286</v>
      </c>
      <c r="D39">
        <v>3000</v>
      </c>
      <c r="E39" s="107">
        <v>5500</v>
      </c>
      <c r="F39">
        <v>0</v>
      </c>
      <c r="G39" t="str">
        <f>CBIMPORT!S16</f>
        <v>www.waymo.com</v>
      </c>
      <c r="H39">
        <f>IF(EXACT(H$1,
_xlfn.XLOOKUP($B39,ANNOUNCEMENTS!$E$2:$E$180,ANNOUNCEMENTS!$J$2:$J$180,0,0)),1,
IF(EXACT(H$1,
_xlfn.XLOOKUP($B39,ANNOUNCEMENTS!$L$2:$L$180,ANNOUNCEMENTS!$J$2:$J$180,0,0)),1,
IF(EXACT(H$1,
_xlfn.XLOOKUP($B39,ANNOUNCEMENTS!$M$2:$M$180,ANNOUNCEMENTS!$J$2:$J$180,0,0)),1,
IF(EXACT(H$1,
_xlfn.XLOOKUP($B39,ANNOUNCEMENTS!$N$2:$N$180,ANNOUNCEMENTS!$J$2:$J$180,0,0)),1,0))))</f>
        <v>0</v>
      </c>
      <c r="I39">
        <f>IF(EXACT(I$1,
_xlfn.XLOOKUP($B39,ANNOUNCEMENTS!$E$2:$E$180,ANNOUNCEMENTS!$J$2:$J$180,0,0)),1,
IF(EXACT(I$1,
_xlfn.XLOOKUP($B39,ANNOUNCEMENTS!$L$2:$L$180,ANNOUNCEMENTS!$J$2:$J$180,0,0)),1,
IF(EXACT(I$1,
_xlfn.XLOOKUP($B39,ANNOUNCEMENTS!$M$2:$M$180,ANNOUNCEMENTS!$J$2:$J$180,0,0)),1,
IF(EXACT(I$1,
_xlfn.XLOOKUP($B39,ANNOUNCEMENTS!$N$2:$N$180,ANNOUNCEMENTS!$J$2:$J$180,0,0)),1,0))))</f>
        <v>1</v>
      </c>
      <c r="J39">
        <f>IF(EXACT(J$1,
_xlfn.XLOOKUP($B39,ANNOUNCEMENTS!$E$2:$E$180,ANNOUNCEMENTS!$J$2:$J$180,0,0)),1,
IF(EXACT(J$1,
_xlfn.XLOOKUP($B39,ANNOUNCEMENTS!$L$2:$L$180,ANNOUNCEMENTS!$J$2:$J$180,0,0)),1,
IF(EXACT(J$1,
_xlfn.XLOOKUP($B39,ANNOUNCEMENTS!$M$2:$M$180,ANNOUNCEMENTS!$J$2:$J$180,0,0)),1,
IF(EXACT(J$1,
_xlfn.XLOOKUP($B39,ANNOUNCEMENTS!$N$2:$N$180,ANNOUNCEMENTS!$J$2:$J$180,0,0)),1,0))))</f>
        <v>1</v>
      </c>
      <c r="K39">
        <v>1</v>
      </c>
      <c r="L39">
        <v>1</v>
      </c>
      <c r="M39">
        <f t="shared" si="4"/>
        <v>4</v>
      </c>
      <c r="N39" t="b">
        <f>TRUE</f>
        <v>1</v>
      </c>
      <c r="O39">
        <v>1</v>
      </c>
      <c r="P39" t="str">
        <v>Industrial</v>
      </c>
      <c r="Q39" s="21">
        <v>32</v>
      </c>
      <c r="R39">
        <f t="shared" si="1"/>
        <v>2</v>
      </c>
      <c r="S39">
        <f t="shared" si="3"/>
        <v>0.4</v>
      </c>
    </row>
    <row r="40" spans="1:19" x14ac:dyDescent="0.35">
      <c r="A40">
        <f t="shared" si="2"/>
        <v>39</v>
      </c>
      <c r="B40" t="s">
        <v>312</v>
      </c>
      <c r="C40" t="s">
        <v>286</v>
      </c>
      <c r="D40">
        <v>175</v>
      </c>
      <c r="E40" s="107">
        <v>257.21844499999997</v>
      </c>
      <c r="F40">
        <v>0</v>
      </c>
      <c r="G40" t="str">
        <f>CBIMPORT!S17</f>
        <v>wayve.ai</v>
      </c>
      <c r="H40">
        <f>IF(EXACT(H$1,
_xlfn.XLOOKUP($B40,ANNOUNCEMENTS!$E$2:$E$180,ANNOUNCEMENTS!$J$2:$J$180,0,0)),1,
IF(EXACT(H$1,
_xlfn.XLOOKUP($B40,ANNOUNCEMENTS!$L$2:$L$180,ANNOUNCEMENTS!$J$2:$J$180,0,0)),1,
IF(EXACT(H$1,
_xlfn.XLOOKUP($B40,ANNOUNCEMENTS!$M$2:$M$180,ANNOUNCEMENTS!$J$2:$J$180,0,0)),1,
IF(EXACT(H$1,
_xlfn.XLOOKUP($B40,ANNOUNCEMENTS!$N$2:$N$180,ANNOUNCEMENTS!$J$2:$J$180,0,0)),1,0))))</f>
        <v>0</v>
      </c>
      <c r="I40">
        <f>IF(EXACT(I$1,
_xlfn.XLOOKUP($B40,ANNOUNCEMENTS!$E$2:$E$180,ANNOUNCEMENTS!$J$2:$J$180,0,0)),1,
IF(EXACT(I$1,
_xlfn.XLOOKUP($B40,ANNOUNCEMENTS!$L$2:$L$180,ANNOUNCEMENTS!$J$2:$J$180,0,0)),1,
IF(EXACT(I$1,
_xlfn.XLOOKUP($B40,ANNOUNCEMENTS!$M$2:$M$180,ANNOUNCEMENTS!$J$2:$J$180,0,0)),1,
IF(EXACT(I$1,
_xlfn.XLOOKUP($B40,ANNOUNCEMENTS!$N$2:$N$180,ANNOUNCEMENTS!$J$2:$J$180,0,0)),1,0))))</f>
        <v>0</v>
      </c>
      <c r="J40">
        <f>IF(EXACT(J$1,
_xlfn.XLOOKUP($B40,ANNOUNCEMENTS!$E$2:$E$180,ANNOUNCEMENTS!$J$2:$J$180,0,0)),1,
IF(EXACT(J$1,
_xlfn.XLOOKUP($B40,ANNOUNCEMENTS!$L$2:$L$180,ANNOUNCEMENTS!$J$2:$J$180,0,0)),1,
IF(EXACT(J$1,
_xlfn.XLOOKUP($B40,ANNOUNCEMENTS!$M$2:$M$180,ANNOUNCEMENTS!$J$2:$J$180,0,0)),1,
IF(EXACT(J$1,
_xlfn.XLOOKUP($B40,ANNOUNCEMENTS!$N$2:$N$180,ANNOUNCEMENTS!$J$2:$J$180,0,0)),1,0))))</f>
        <v>0</v>
      </c>
      <c r="K40">
        <f>IF(EXACT(K$1,
_xlfn.XLOOKUP($B40,ANNOUNCEMENTS!$E$2:$E$180,ANNOUNCEMENTS!$J$2:$J$180,0,0)),1,
IF(EXACT(K$1,
_xlfn.XLOOKUP($B40,ANNOUNCEMENTS!$L$2:$L$180,ANNOUNCEMENTS!$J$2:$J$180,0,0)),1,
IF(EXACT(K$1,
_xlfn.XLOOKUP($B40,ANNOUNCEMENTS!$M$2:$M$180,ANNOUNCEMENTS!$J$2:$J$180,0,0)),1,
IF(EXACT(K$1,
_xlfn.XLOOKUP($B40,ANNOUNCEMENTS!$N$2:$N$180,ANNOUNCEMENTS!$J$2:$J$180,0,0)),1,0))))</f>
        <v>1</v>
      </c>
      <c r="L40">
        <f>IF(EXACT(L$1,
_xlfn.XLOOKUP($B40,ANNOUNCEMENTS!$E$2:$E$180,ANNOUNCEMENTS!$J$2:$J$180,0,0)),1,
IF(EXACT(L$1,
_xlfn.XLOOKUP($B40,ANNOUNCEMENTS!$L$2:$L$180,ANNOUNCEMENTS!$J$2:$J$180,0,0)),1,
IF(EXACT(L$1,
_xlfn.XLOOKUP($B40,ANNOUNCEMENTS!$M$2:$M$180,ANNOUNCEMENTS!$J$2:$J$180,0,0)),1,
IF(EXACT(L$1,
_xlfn.XLOOKUP($B40,ANNOUNCEMENTS!$N$2:$N$180,ANNOUNCEMENTS!$J$2:$J$180,0,0)),1,0))))</f>
        <v>0</v>
      </c>
      <c r="M40">
        <f t="shared" si="4"/>
        <v>1</v>
      </c>
      <c r="N40" t="b">
        <f>TRUE</f>
        <v>1</v>
      </c>
      <c r="O40">
        <v>1</v>
      </c>
      <c r="P40" t="str">
        <v>Mobility Analytics</v>
      </c>
      <c r="Q40" s="21">
        <v>18</v>
      </c>
      <c r="R40">
        <f t="shared" si="1"/>
        <v>1</v>
      </c>
      <c r="S40">
        <f t="shared" si="3"/>
        <v>0.33333333333333331</v>
      </c>
    </row>
    <row r="41" spans="1:19" ht="15" customHeight="1" x14ac:dyDescent="0.35">
      <c r="A41">
        <f t="shared" si="2"/>
        <v>40</v>
      </c>
      <c r="B41" t="s">
        <v>2077</v>
      </c>
      <c r="C41" t="s">
        <v>306</v>
      </c>
      <c r="D41">
        <v>0</v>
      </c>
      <c r="E41" s="107">
        <v>0</v>
      </c>
      <c r="F41">
        <v>0</v>
      </c>
      <c r="G41" t="str">
        <f>CBIMPORT!S41</f>
        <v>www.10roadsexpress.com/</v>
      </c>
      <c r="H41">
        <f>IF(EXACT(H$1,
_xlfn.XLOOKUP($B41,ANNOUNCEMENTS!$E$2:$E$180,ANNOUNCEMENTS!$J$2:$J$180,0,0)),1,
IF(EXACT(H$1,
_xlfn.XLOOKUP($B41,ANNOUNCEMENTS!$L$2:$L$180,ANNOUNCEMENTS!$J$2:$J$180,0,0)),1,
IF(EXACT(H$1,
_xlfn.XLOOKUP($B41,ANNOUNCEMENTS!$M$2:$M$180,ANNOUNCEMENTS!$J$2:$J$180,0,0)),1,
IF(EXACT(H$1,
_xlfn.XLOOKUP($B41,ANNOUNCEMENTS!$N$2:$N$180,ANNOUNCEMENTS!$J$2:$J$180,0,0)),1,0))))</f>
        <v>0</v>
      </c>
      <c r="I41">
        <f>IF(EXACT(I$1,
_xlfn.XLOOKUP($B41,ANNOUNCEMENTS!$E$2:$E$180,ANNOUNCEMENTS!$J$2:$J$180,0,0)),1,
IF(EXACT(I$1,
_xlfn.XLOOKUP($B41,ANNOUNCEMENTS!$L$2:$L$180,ANNOUNCEMENTS!$J$2:$J$180,0,0)),1,
IF(EXACT(I$1,
_xlfn.XLOOKUP($B41,ANNOUNCEMENTS!$M$2:$M$180,ANNOUNCEMENTS!$J$2:$J$180,0,0)),1,
IF(EXACT(I$1,
_xlfn.XLOOKUP($B41,ANNOUNCEMENTS!$N$2:$N$180,ANNOUNCEMENTS!$J$2:$J$180,0,0)),1,0))))</f>
        <v>0</v>
      </c>
      <c r="J41">
        <f>IF(EXACT(J$1,
_xlfn.XLOOKUP($B41,ANNOUNCEMENTS!$E$2:$E$180,ANNOUNCEMENTS!$J$2:$J$180,0,0)),1,
IF(EXACT(J$1,
_xlfn.XLOOKUP($B41,ANNOUNCEMENTS!$L$2:$L$180,ANNOUNCEMENTS!$J$2:$J$180,0,0)),1,
IF(EXACT(J$1,
_xlfn.XLOOKUP($B41,ANNOUNCEMENTS!$M$2:$M$180,ANNOUNCEMENTS!$J$2:$J$180,0,0)),1,
IF(EXACT(J$1,
_xlfn.XLOOKUP($B41,ANNOUNCEMENTS!$N$2:$N$180,ANNOUNCEMENTS!$J$2:$J$180,0,0)),1,0))))</f>
        <v>1</v>
      </c>
      <c r="K41">
        <f>IF(EXACT(K$1,
_xlfn.XLOOKUP($B41,ANNOUNCEMENTS!$E$2:$E$180,ANNOUNCEMENTS!$J$2:$J$180,0,0)),1,
IF(EXACT(K$1,
_xlfn.XLOOKUP($B41,ANNOUNCEMENTS!$L$2:$L$180,ANNOUNCEMENTS!$J$2:$J$180,0,0)),1,
IF(EXACT(K$1,
_xlfn.XLOOKUP($B41,ANNOUNCEMENTS!$M$2:$M$180,ANNOUNCEMENTS!$J$2:$J$180,0,0)),1,
IF(EXACT(K$1,
_xlfn.XLOOKUP($B41,ANNOUNCEMENTS!$N$2:$N$180,ANNOUNCEMENTS!$J$2:$J$180,0,0)),1,0))))</f>
        <v>0</v>
      </c>
      <c r="L41">
        <f>IF(EXACT(L$1,
_xlfn.XLOOKUP($B41,ANNOUNCEMENTS!$E$2:$E$180,ANNOUNCEMENTS!$J$2:$J$180,0,0)),1,
IF(EXACT(L$1,
_xlfn.XLOOKUP($B41,ANNOUNCEMENTS!$L$2:$L$180,ANNOUNCEMENTS!$J$2:$J$180,0,0)),1,
IF(EXACT(L$1,
_xlfn.XLOOKUP($B41,ANNOUNCEMENTS!$M$2:$M$180,ANNOUNCEMENTS!$J$2:$J$180,0,0)),1,
IF(EXACT(L$1,
_xlfn.XLOOKUP($B41,ANNOUNCEMENTS!$N$2:$N$180,ANNOUNCEMENTS!$J$2:$J$180,0,0)),1,0))))</f>
        <v>0</v>
      </c>
      <c r="M41">
        <f t="shared" si="4"/>
        <v>1</v>
      </c>
      <c r="N41" t="b">
        <v>0</v>
      </c>
      <c r="O41" s="284">
        <f t="shared" ref="O41:O72" si="5">VLOOKUP(C41,$P$2:$Q$42,2,FALSE)</f>
        <v>22</v>
      </c>
      <c r="P41" t="str">
        <v>City Architecture</v>
      </c>
      <c r="Q41" s="21">
        <v>29</v>
      </c>
      <c r="R41">
        <f t="shared" si="1"/>
        <v>1</v>
      </c>
      <c r="S41">
        <f t="shared" si="3"/>
        <v>0.5</v>
      </c>
    </row>
    <row r="42" spans="1:19" x14ac:dyDescent="0.35">
      <c r="A42">
        <f t="shared" si="2"/>
        <v>41</v>
      </c>
      <c r="B42" t="s">
        <v>1988</v>
      </c>
      <c r="C42" t="s">
        <v>660</v>
      </c>
      <c r="D42">
        <v>0</v>
      </c>
      <c r="E42" s="107">
        <v>0</v>
      </c>
      <c r="F42">
        <v>0</v>
      </c>
      <c r="G42" t="str">
        <f>CBIMPORT!S42</f>
        <v>calstate.aaa.com/</v>
      </c>
      <c r="H42">
        <f>IF(EXACT(H$1,
_xlfn.XLOOKUP($B42,ANNOUNCEMENTS!$E$2:$E$180,ANNOUNCEMENTS!$J$2:$J$180,0,0)),1,
IF(EXACT(H$1,
_xlfn.XLOOKUP($B42,ANNOUNCEMENTS!$L$2:$L$180,ANNOUNCEMENTS!$J$2:$J$180,0,0)),1,
IF(EXACT(H$1,
_xlfn.XLOOKUP($B42,ANNOUNCEMENTS!$M$2:$M$180,ANNOUNCEMENTS!$J$2:$J$180,0,0)),1,
IF(EXACT(H$1,
_xlfn.XLOOKUP($B42,ANNOUNCEMENTS!$N$2:$N$180,ANNOUNCEMENTS!$J$2:$J$180,0,0)),1,0))))</f>
        <v>0</v>
      </c>
      <c r="I42">
        <f>IF(EXACT(I$1,
_xlfn.XLOOKUP($B42,ANNOUNCEMENTS!$E$2:$E$180,ANNOUNCEMENTS!$J$2:$J$180,0,0)),1,
IF(EXACT(I$1,
_xlfn.XLOOKUP($B42,ANNOUNCEMENTS!$L$2:$L$180,ANNOUNCEMENTS!$J$2:$J$180,0,0)),1,
IF(EXACT(I$1,
_xlfn.XLOOKUP($B42,ANNOUNCEMENTS!$M$2:$M$180,ANNOUNCEMENTS!$J$2:$J$180,0,0)),1,
IF(EXACT(I$1,
_xlfn.XLOOKUP($B42,ANNOUNCEMENTS!$N$2:$N$180,ANNOUNCEMENTS!$J$2:$J$180,0,0)),1,0))))</f>
        <v>0</v>
      </c>
      <c r="J42">
        <f>IF(EXACT(J$1,
_xlfn.XLOOKUP($B42,ANNOUNCEMENTS!$E$2:$E$180,ANNOUNCEMENTS!$J$2:$J$180,0,0)),1,
IF(EXACT(J$1,
_xlfn.XLOOKUP($B42,ANNOUNCEMENTS!$L$2:$L$180,ANNOUNCEMENTS!$J$2:$J$180,0,0)),1,
IF(EXACT(J$1,
_xlfn.XLOOKUP($B42,ANNOUNCEMENTS!$M$2:$M$180,ANNOUNCEMENTS!$J$2:$J$180,0,0)),1,
IF(EXACT(J$1,
_xlfn.XLOOKUP($B42,ANNOUNCEMENTS!$N$2:$N$180,ANNOUNCEMENTS!$J$2:$J$180,0,0)),1,0))))</f>
        <v>0</v>
      </c>
      <c r="K42">
        <f>IF(EXACT(K$1,
_xlfn.XLOOKUP($B42,ANNOUNCEMENTS!$E$2:$E$180,ANNOUNCEMENTS!$J$2:$J$180,0,0)),1,
IF(EXACT(K$1,
_xlfn.XLOOKUP($B42,ANNOUNCEMENTS!$L$2:$L$180,ANNOUNCEMENTS!$J$2:$J$180,0,0)),1,
IF(EXACT(K$1,
_xlfn.XLOOKUP($B42,ANNOUNCEMENTS!$M$2:$M$180,ANNOUNCEMENTS!$J$2:$J$180,0,0)),1,
IF(EXACT(K$1,
_xlfn.XLOOKUP($B42,ANNOUNCEMENTS!$N$2:$N$180,ANNOUNCEMENTS!$J$2:$J$180,0,0)),1,0))))</f>
        <v>0</v>
      </c>
      <c r="L42">
        <f>IF(EXACT(L$1,
_xlfn.XLOOKUP($B42,ANNOUNCEMENTS!$E$2:$E$180,ANNOUNCEMENTS!$J$2:$J$180,0,0)),1,
IF(EXACT(L$1,
_xlfn.XLOOKUP($B42,ANNOUNCEMENTS!$L$2:$L$180,ANNOUNCEMENTS!$J$2:$J$180,0,0)),1,
IF(EXACT(L$1,
_xlfn.XLOOKUP($B42,ANNOUNCEMENTS!$M$2:$M$180,ANNOUNCEMENTS!$J$2:$J$180,0,0)),1,
IF(EXACT(L$1,
_xlfn.XLOOKUP($B42,ANNOUNCEMENTS!$N$2:$N$180,ANNOUNCEMENTS!$J$2:$J$180,0,0)),1,0))))</f>
        <v>1</v>
      </c>
      <c r="M42">
        <f t="shared" si="4"/>
        <v>1</v>
      </c>
      <c r="N42" t="b">
        <v>0</v>
      </c>
      <c r="O42" s="284">
        <f t="shared" si="5"/>
        <v>27</v>
      </c>
      <c r="P42" t="str">
        <v>Health Care Analytics</v>
      </c>
      <c r="Q42" s="21">
        <v>30</v>
      </c>
      <c r="R42">
        <f t="shared" si="1"/>
        <v>1</v>
      </c>
      <c r="S42">
        <f t="shared" si="3"/>
        <v>1</v>
      </c>
    </row>
    <row r="43" spans="1:19" x14ac:dyDescent="0.35">
      <c r="A43">
        <f t="shared" si="2"/>
        <v>42</v>
      </c>
      <c r="B43" t="s">
        <v>472</v>
      </c>
      <c r="C43" t="s">
        <v>473</v>
      </c>
      <c r="D43">
        <v>0</v>
      </c>
      <c r="E43" s="107">
        <v>0</v>
      </c>
      <c r="F43">
        <v>0</v>
      </c>
      <c r="G43" t="str">
        <f>CBIMPORT!S43</f>
        <v>alliancernm.com</v>
      </c>
      <c r="H43">
        <f>IF(EXACT(H$1,
_xlfn.XLOOKUP($B43,ANNOUNCEMENTS!$E$2:$E$180,ANNOUNCEMENTS!$J$2:$J$180,0,0)),1,
IF(EXACT(H$1,
_xlfn.XLOOKUP($B43,ANNOUNCEMENTS!$L$2:$L$180,ANNOUNCEMENTS!$J$2:$J$180,0,0)),1,
IF(EXACT(H$1,
_xlfn.XLOOKUP($B43,ANNOUNCEMENTS!$M$2:$M$180,ANNOUNCEMENTS!$J$2:$J$180,0,0)),1,
IF(EXACT(H$1,
_xlfn.XLOOKUP($B43,ANNOUNCEMENTS!$N$2:$N$180,ANNOUNCEMENTS!$J$2:$J$180,0,0)),1,0))))</f>
        <v>0</v>
      </c>
      <c r="I43">
        <f>IF(EXACT(I$1,
_xlfn.XLOOKUP($B43,ANNOUNCEMENTS!$E$2:$E$180,ANNOUNCEMENTS!$J$2:$J$180,0,0)),1,
IF(EXACT(I$1,
_xlfn.XLOOKUP($B43,ANNOUNCEMENTS!$L$2:$L$180,ANNOUNCEMENTS!$J$2:$J$180,0,0)),1,
IF(EXACT(I$1,
_xlfn.XLOOKUP($B43,ANNOUNCEMENTS!$M$2:$M$180,ANNOUNCEMENTS!$J$2:$J$180,0,0)),1,
IF(EXACT(I$1,
_xlfn.XLOOKUP($B43,ANNOUNCEMENTS!$N$2:$N$180,ANNOUNCEMENTS!$J$2:$J$180,0,0)),1,0))))</f>
        <v>1</v>
      </c>
      <c r="J43">
        <f>IF(EXACT(J$1,
_xlfn.XLOOKUP($B43,ANNOUNCEMENTS!$E$2:$E$180,ANNOUNCEMENTS!$J$2:$J$180,0,0)),1,
IF(EXACT(J$1,
_xlfn.XLOOKUP($B43,ANNOUNCEMENTS!$L$2:$L$180,ANNOUNCEMENTS!$J$2:$J$180,0,0)),1,
IF(EXACT(J$1,
_xlfn.XLOOKUP($B43,ANNOUNCEMENTS!$M$2:$M$180,ANNOUNCEMENTS!$J$2:$J$180,0,0)),1,
IF(EXACT(J$1,
_xlfn.XLOOKUP($B43,ANNOUNCEMENTS!$N$2:$N$180,ANNOUNCEMENTS!$J$2:$J$180,0,0)),1,0))))</f>
        <v>0</v>
      </c>
      <c r="K43">
        <v>1</v>
      </c>
      <c r="L43">
        <f>IF(EXACT(L$1,
_xlfn.XLOOKUP($B43,ANNOUNCEMENTS!$E$2:$E$180,ANNOUNCEMENTS!$J$2:$J$180,0,0)),1,
IF(EXACT(L$1,
_xlfn.XLOOKUP($B43,ANNOUNCEMENTS!$L$2:$L$180,ANNOUNCEMENTS!$J$2:$J$180,0,0)),1,
IF(EXACT(L$1,
_xlfn.XLOOKUP($B43,ANNOUNCEMENTS!$M$2:$M$180,ANNOUNCEMENTS!$J$2:$J$180,0,0)),1,
IF(EXACT(L$1,
_xlfn.XLOOKUP($B43,ANNOUNCEMENTS!$N$2:$N$180,ANNOUNCEMENTS!$J$2:$J$180,0,0)),1,0))))</f>
        <v>0</v>
      </c>
      <c r="M43">
        <f t="shared" si="4"/>
        <v>2</v>
      </c>
      <c r="N43" t="b">
        <v>0</v>
      </c>
      <c r="O43" s="284">
        <f t="shared" si="5"/>
        <v>26</v>
      </c>
    </row>
    <row r="44" spans="1:19" x14ac:dyDescent="0.35">
      <c r="A44">
        <f t="shared" si="2"/>
        <v>43</v>
      </c>
      <c r="B44" t="s">
        <v>1979</v>
      </c>
      <c r="C44" t="s">
        <v>606</v>
      </c>
      <c r="D44">
        <v>0</v>
      </c>
      <c r="E44" s="107">
        <v>96.6</v>
      </c>
      <c r="F44">
        <v>1</v>
      </c>
      <c r="G44" t="str">
        <f>CBIMPORT!S44</f>
        <v>ab-inbev.com</v>
      </c>
      <c r="H44">
        <f>IF(EXACT(H$1,
_xlfn.XLOOKUP($B44,ANNOUNCEMENTS!$E$2:$E$180,ANNOUNCEMENTS!$J$2:$J$180,0,0)),1,
IF(EXACT(H$1,
_xlfn.XLOOKUP($B44,ANNOUNCEMENTS!$L$2:$L$180,ANNOUNCEMENTS!$J$2:$J$180,0,0)),1,
IF(EXACT(H$1,
_xlfn.XLOOKUP($B44,ANNOUNCEMENTS!$M$2:$M$180,ANNOUNCEMENTS!$J$2:$J$180,0,0)),1,
IF(EXACT(H$1,
_xlfn.XLOOKUP($B44,ANNOUNCEMENTS!$N$2:$N$180,ANNOUNCEMENTS!$J$2:$J$180,0,0)),1,0))))</f>
        <v>1</v>
      </c>
      <c r="I44">
        <f>IF(EXACT(I$1,
_xlfn.XLOOKUP($B44,ANNOUNCEMENTS!$E$2:$E$180,ANNOUNCEMENTS!$J$2:$J$180,0,0)),1,
IF(EXACT(I$1,
_xlfn.XLOOKUP($B44,ANNOUNCEMENTS!$L$2:$L$180,ANNOUNCEMENTS!$J$2:$J$180,0,0)),1,
IF(EXACT(I$1,
_xlfn.XLOOKUP($B44,ANNOUNCEMENTS!$M$2:$M$180,ANNOUNCEMENTS!$J$2:$J$180,0,0)),1,
IF(EXACT(I$1,
_xlfn.XLOOKUP($B44,ANNOUNCEMENTS!$N$2:$N$180,ANNOUNCEMENTS!$J$2:$J$180,0,0)),1,0))))</f>
        <v>0</v>
      </c>
      <c r="J44">
        <f>IF(EXACT(J$1,
_xlfn.XLOOKUP($B44,ANNOUNCEMENTS!$E$2:$E$180,ANNOUNCEMENTS!$J$2:$J$180,0,0)),1,
IF(EXACT(J$1,
_xlfn.XLOOKUP($B44,ANNOUNCEMENTS!$L$2:$L$180,ANNOUNCEMENTS!$J$2:$J$180,0,0)),1,
IF(EXACT(J$1,
_xlfn.XLOOKUP($B44,ANNOUNCEMENTS!$M$2:$M$180,ANNOUNCEMENTS!$J$2:$J$180,0,0)),1,
IF(EXACT(J$1,
_xlfn.XLOOKUP($B44,ANNOUNCEMENTS!$N$2:$N$180,ANNOUNCEMENTS!$J$2:$J$180,0,0)),1,0))))</f>
        <v>0</v>
      </c>
      <c r="K44">
        <f>IF(EXACT(K$1,
_xlfn.XLOOKUP($B44,ANNOUNCEMENTS!$E$2:$E$180,ANNOUNCEMENTS!$J$2:$J$180,0,0)),1,
IF(EXACT(K$1,
_xlfn.XLOOKUP($B44,ANNOUNCEMENTS!$L$2:$L$180,ANNOUNCEMENTS!$J$2:$J$180,0,0)),1,
IF(EXACT(K$1,
_xlfn.XLOOKUP($B44,ANNOUNCEMENTS!$M$2:$M$180,ANNOUNCEMENTS!$J$2:$J$180,0,0)),1,
IF(EXACT(K$1,
_xlfn.XLOOKUP($B44,ANNOUNCEMENTS!$N$2:$N$180,ANNOUNCEMENTS!$J$2:$J$180,0,0)),1,0))))</f>
        <v>0</v>
      </c>
      <c r="L44">
        <f>IF(EXACT(L$1,
_xlfn.XLOOKUP($B44,ANNOUNCEMENTS!$E$2:$E$180,ANNOUNCEMENTS!$J$2:$J$180,0,0)),1,
IF(EXACT(L$1,
_xlfn.XLOOKUP($B44,ANNOUNCEMENTS!$L$2:$L$180,ANNOUNCEMENTS!$J$2:$J$180,0,0)),1,
IF(EXACT(L$1,
_xlfn.XLOOKUP($B44,ANNOUNCEMENTS!$M$2:$M$180,ANNOUNCEMENTS!$J$2:$J$180,0,0)),1,
IF(EXACT(L$1,
_xlfn.XLOOKUP($B44,ANNOUNCEMENTS!$N$2:$N$180,ANNOUNCEMENTS!$J$2:$J$180,0,0)),1,0))))</f>
        <v>0</v>
      </c>
      <c r="M44">
        <f t="shared" si="4"/>
        <v>1</v>
      </c>
      <c r="N44" t="b">
        <v>0</v>
      </c>
      <c r="O44" s="284">
        <f t="shared" si="5"/>
        <v>19</v>
      </c>
    </row>
    <row r="45" spans="1:19" x14ac:dyDescent="0.35">
      <c r="A45">
        <f t="shared" si="2"/>
        <v>44</v>
      </c>
      <c r="B45" t="s">
        <v>939</v>
      </c>
      <c r="C45" t="s">
        <v>940</v>
      </c>
      <c r="D45">
        <v>0</v>
      </c>
      <c r="E45" s="107">
        <v>351.5</v>
      </c>
      <c r="F45">
        <v>0</v>
      </c>
      <c r="G45" t="str">
        <f>CBIMPORT!S45</f>
        <v>appliedintuition.com</v>
      </c>
      <c r="H45">
        <f>IF(EXACT(H$1,
_xlfn.XLOOKUP($B45,ANNOUNCEMENTS!$E$2:$E$180,ANNOUNCEMENTS!$J$2:$J$180,0,0)),1,
IF(EXACT(H$1,
_xlfn.XLOOKUP($B45,ANNOUNCEMENTS!$L$2:$L$180,ANNOUNCEMENTS!$J$2:$J$180,0,0)),1,
IF(EXACT(H$1,
_xlfn.XLOOKUP($B45,ANNOUNCEMENTS!$M$2:$M$180,ANNOUNCEMENTS!$J$2:$J$180,0,0)),1,
IF(EXACT(H$1,
_xlfn.XLOOKUP($B45,ANNOUNCEMENTS!$N$2:$N$180,ANNOUNCEMENTS!$J$2:$J$180,0,0)),1,0))))</f>
        <v>0</v>
      </c>
      <c r="I45">
        <f>IF(EXACT(I$1,
_xlfn.XLOOKUP($B45,ANNOUNCEMENTS!$E$2:$E$180,ANNOUNCEMENTS!$J$2:$J$180,0,0)),1,
IF(EXACT(I$1,
_xlfn.XLOOKUP($B45,ANNOUNCEMENTS!$L$2:$L$180,ANNOUNCEMENTS!$J$2:$J$180,0,0)),1,
IF(EXACT(I$1,
_xlfn.XLOOKUP($B45,ANNOUNCEMENTS!$M$2:$M$180,ANNOUNCEMENTS!$J$2:$J$180,0,0)),1,
IF(EXACT(I$1,
_xlfn.XLOOKUP($B45,ANNOUNCEMENTS!$N$2:$N$180,ANNOUNCEMENTS!$J$2:$J$180,0,0)),1,0))))</f>
        <v>0</v>
      </c>
      <c r="J45">
        <f>IF(EXACT(J$1,
_xlfn.XLOOKUP($B45,ANNOUNCEMENTS!$E$2:$E$180,ANNOUNCEMENTS!$J$2:$J$180,0,0)),1,
IF(EXACT(J$1,
_xlfn.XLOOKUP($B45,ANNOUNCEMENTS!$L$2:$L$180,ANNOUNCEMENTS!$J$2:$J$180,0,0)),1,
IF(EXACT(J$1,
_xlfn.XLOOKUP($B45,ANNOUNCEMENTS!$M$2:$M$180,ANNOUNCEMENTS!$J$2:$J$180,0,0)),1,
IF(EXACT(J$1,
_xlfn.XLOOKUP($B45,ANNOUNCEMENTS!$N$2:$N$180,ANNOUNCEMENTS!$J$2:$J$180,0,0)),1,0))))</f>
        <v>1</v>
      </c>
      <c r="K45">
        <f>IF(EXACT(K$1,
_xlfn.XLOOKUP($B45,ANNOUNCEMENTS!$E$2:$E$180,ANNOUNCEMENTS!$J$2:$J$180,0,0)),1,
IF(EXACT(K$1,
_xlfn.XLOOKUP($B45,ANNOUNCEMENTS!$L$2:$L$180,ANNOUNCEMENTS!$J$2:$J$180,0,0)),1,
IF(EXACT(K$1,
_xlfn.XLOOKUP($B45,ANNOUNCEMENTS!$M$2:$M$180,ANNOUNCEMENTS!$J$2:$J$180,0,0)),1,
IF(EXACT(K$1,
_xlfn.XLOOKUP($B45,ANNOUNCEMENTS!$N$2:$N$180,ANNOUNCEMENTS!$J$2:$J$180,0,0)),1,0))))</f>
        <v>0</v>
      </c>
      <c r="L45">
        <f>IF(EXACT(L$1,
_xlfn.XLOOKUP($B45,ANNOUNCEMENTS!$E$2:$E$180,ANNOUNCEMENTS!$J$2:$J$180,0,0)),1,
IF(EXACT(L$1,
_xlfn.XLOOKUP($B45,ANNOUNCEMENTS!$L$2:$L$180,ANNOUNCEMENTS!$J$2:$J$180,0,0)),1,
IF(EXACT(L$1,
_xlfn.XLOOKUP($B45,ANNOUNCEMENTS!$M$2:$M$180,ANNOUNCEMENTS!$J$2:$J$180,0,0)),1,
IF(EXACT(L$1,
_xlfn.XLOOKUP($B45,ANNOUNCEMENTS!$N$2:$N$180,ANNOUNCEMENTS!$J$2:$J$180,0,0)),1,0))))</f>
        <v>0</v>
      </c>
      <c r="M45">
        <f t="shared" si="4"/>
        <v>1</v>
      </c>
      <c r="N45" t="b">
        <v>0</v>
      </c>
      <c r="O45" s="284">
        <f t="shared" si="5"/>
        <v>5</v>
      </c>
    </row>
    <row r="46" spans="1:19" x14ac:dyDescent="0.35">
      <c r="A46">
        <f t="shared" si="2"/>
        <v>45</v>
      </c>
      <c r="B46" t="s">
        <v>680</v>
      </c>
      <c r="C46" t="s">
        <v>306</v>
      </c>
      <c r="D46">
        <v>0</v>
      </c>
      <c r="E46" s="107">
        <v>0</v>
      </c>
      <c r="F46">
        <v>0</v>
      </c>
      <c r="G46" t="str">
        <f>CBIMPORT!S46</f>
        <v>www.aramex.co.nz/</v>
      </c>
      <c r="H46">
        <f>IF(EXACT(H$1,
_xlfn.XLOOKUP($B46,ANNOUNCEMENTS!$E$2:$E$180,ANNOUNCEMENTS!$J$2:$J$180,0,0)),1,
IF(EXACT(H$1,
_xlfn.XLOOKUP($B46,ANNOUNCEMENTS!$L$2:$L$180,ANNOUNCEMENTS!$J$2:$J$180,0,0)),1,
IF(EXACT(H$1,
_xlfn.XLOOKUP($B46,ANNOUNCEMENTS!$M$2:$M$180,ANNOUNCEMENTS!$J$2:$J$180,0,0)),1,
IF(EXACT(H$1,
_xlfn.XLOOKUP($B46,ANNOUNCEMENTS!$N$2:$N$180,ANNOUNCEMENTS!$J$2:$J$180,0,0)),1,0))))</f>
        <v>0</v>
      </c>
      <c r="I46">
        <f>IF(EXACT(I$1,
_xlfn.XLOOKUP($B46,ANNOUNCEMENTS!$E$2:$E$180,ANNOUNCEMENTS!$J$2:$J$180,0,0)),1,
IF(EXACT(I$1,
_xlfn.XLOOKUP($B46,ANNOUNCEMENTS!$L$2:$L$180,ANNOUNCEMENTS!$J$2:$J$180,0,0)),1,
IF(EXACT(I$1,
_xlfn.XLOOKUP($B46,ANNOUNCEMENTS!$M$2:$M$180,ANNOUNCEMENTS!$J$2:$J$180,0,0)),1,
IF(EXACT(I$1,
_xlfn.XLOOKUP($B46,ANNOUNCEMENTS!$N$2:$N$180,ANNOUNCEMENTS!$J$2:$J$180,0,0)),1,0))))</f>
        <v>0</v>
      </c>
      <c r="J46">
        <f>IF(EXACT(J$1,
_xlfn.XLOOKUP($B46,ANNOUNCEMENTS!$E$2:$E$180,ANNOUNCEMENTS!$J$2:$J$180,0,0)),1,
IF(EXACT(J$1,
_xlfn.XLOOKUP($B46,ANNOUNCEMENTS!$L$2:$L$180,ANNOUNCEMENTS!$J$2:$J$180,0,0)),1,
IF(EXACT(J$1,
_xlfn.XLOOKUP($B46,ANNOUNCEMENTS!$M$2:$M$180,ANNOUNCEMENTS!$J$2:$J$180,0,0)),1,
IF(EXACT(J$1,
_xlfn.XLOOKUP($B46,ANNOUNCEMENTS!$N$2:$N$180,ANNOUNCEMENTS!$J$2:$J$180,0,0)),1,0))))</f>
        <v>0</v>
      </c>
      <c r="K46">
        <f>IF(EXACT(K$1,
_xlfn.XLOOKUP($B46,ANNOUNCEMENTS!$E$2:$E$180,ANNOUNCEMENTS!$J$2:$J$180,0,0)),1,
IF(EXACT(K$1,
_xlfn.XLOOKUP($B46,ANNOUNCEMENTS!$L$2:$L$180,ANNOUNCEMENTS!$J$2:$J$180,0,0)),1,
IF(EXACT(K$1,
_xlfn.XLOOKUP($B46,ANNOUNCEMENTS!$M$2:$M$180,ANNOUNCEMENTS!$J$2:$J$180,0,0)),1,
IF(EXACT(K$1,
_xlfn.XLOOKUP($B46,ANNOUNCEMENTS!$N$2:$N$180,ANNOUNCEMENTS!$J$2:$J$180,0,0)),1,0))))</f>
        <v>1</v>
      </c>
      <c r="L46">
        <f>IF(EXACT(L$1,
_xlfn.XLOOKUP($B46,ANNOUNCEMENTS!$E$2:$E$180,ANNOUNCEMENTS!$J$2:$J$180,0,0)),1,
IF(EXACT(L$1,
_xlfn.XLOOKUP($B46,ANNOUNCEMENTS!$L$2:$L$180,ANNOUNCEMENTS!$J$2:$J$180,0,0)),1,
IF(EXACT(L$1,
_xlfn.XLOOKUP($B46,ANNOUNCEMENTS!$M$2:$M$180,ANNOUNCEMENTS!$J$2:$J$180,0,0)),1,
IF(EXACT(L$1,
_xlfn.XLOOKUP($B46,ANNOUNCEMENTS!$N$2:$N$180,ANNOUNCEMENTS!$J$2:$J$180,0,0)),1,0))))</f>
        <v>0</v>
      </c>
      <c r="M46">
        <f t="shared" si="4"/>
        <v>1</v>
      </c>
      <c r="N46" t="b">
        <v>0</v>
      </c>
      <c r="O46" s="284">
        <f t="shared" si="5"/>
        <v>22</v>
      </c>
    </row>
    <row r="47" spans="1:19" x14ac:dyDescent="0.35">
      <c r="A47">
        <f t="shared" si="2"/>
        <v>46</v>
      </c>
      <c r="B47" t="s">
        <v>823</v>
      </c>
      <c r="C47" t="s">
        <v>516</v>
      </c>
      <c r="D47">
        <v>0</v>
      </c>
      <c r="E47" s="107">
        <v>0</v>
      </c>
      <c r="F47">
        <v>0</v>
      </c>
      <c r="G47" t="str">
        <f>CBIMPORT!S47</f>
        <v>www.asda.com/</v>
      </c>
      <c r="H47">
        <f>IF(EXACT(H$1,
_xlfn.XLOOKUP($B47,ANNOUNCEMENTS!$E$2:$E$180,ANNOUNCEMENTS!$J$2:$J$180,0,0)),1,
IF(EXACT(H$1,
_xlfn.XLOOKUP($B47,ANNOUNCEMENTS!$L$2:$L$180,ANNOUNCEMENTS!$J$2:$J$180,0,0)),1,
IF(EXACT(H$1,
_xlfn.XLOOKUP($B47,ANNOUNCEMENTS!$M$2:$M$180,ANNOUNCEMENTS!$J$2:$J$180,0,0)),1,
IF(EXACT(H$1,
_xlfn.XLOOKUP($B47,ANNOUNCEMENTS!$N$2:$N$180,ANNOUNCEMENTS!$J$2:$J$180,0,0)),1,0))))</f>
        <v>0</v>
      </c>
      <c r="I47">
        <f>IF(EXACT(I$1,
_xlfn.XLOOKUP($B47,ANNOUNCEMENTS!$E$2:$E$180,ANNOUNCEMENTS!$J$2:$J$180,0,0)),1,
IF(EXACT(I$1,
_xlfn.XLOOKUP($B47,ANNOUNCEMENTS!$L$2:$L$180,ANNOUNCEMENTS!$J$2:$J$180,0,0)),1,
IF(EXACT(I$1,
_xlfn.XLOOKUP($B47,ANNOUNCEMENTS!$M$2:$M$180,ANNOUNCEMENTS!$J$2:$J$180,0,0)),1,
IF(EXACT(I$1,
_xlfn.XLOOKUP($B47,ANNOUNCEMENTS!$N$2:$N$180,ANNOUNCEMENTS!$J$2:$J$180,0,0)),1,0))))</f>
        <v>0</v>
      </c>
      <c r="J47">
        <f>IF(EXACT(J$1,
_xlfn.XLOOKUP($B47,ANNOUNCEMENTS!$E$2:$E$180,ANNOUNCEMENTS!$J$2:$J$180,0,0)),1,
IF(EXACT(J$1,
_xlfn.XLOOKUP($B47,ANNOUNCEMENTS!$L$2:$L$180,ANNOUNCEMENTS!$J$2:$J$180,0,0)),1,
IF(EXACT(J$1,
_xlfn.XLOOKUP($B47,ANNOUNCEMENTS!$M$2:$M$180,ANNOUNCEMENTS!$J$2:$J$180,0,0)),1,
IF(EXACT(J$1,
_xlfn.XLOOKUP($B47,ANNOUNCEMENTS!$N$2:$N$180,ANNOUNCEMENTS!$J$2:$J$180,0,0)),1,0))))</f>
        <v>0</v>
      </c>
      <c r="K47">
        <f>IF(EXACT(K$1,
_xlfn.XLOOKUP($B47,ANNOUNCEMENTS!$E$2:$E$180,ANNOUNCEMENTS!$J$2:$J$180,0,0)),1,
IF(EXACT(K$1,
_xlfn.XLOOKUP($B47,ANNOUNCEMENTS!$L$2:$L$180,ANNOUNCEMENTS!$J$2:$J$180,0,0)),1,
IF(EXACT(K$1,
_xlfn.XLOOKUP($B47,ANNOUNCEMENTS!$M$2:$M$180,ANNOUNCEMENTS!$J$2:$J$180,0,0)),1,
IF(EXACT(K$1,
_xlfn.XLOOKUP($B47,ANNOUNCEMENTS!$N$2:$N$180,ANNOUNCEMENTS!$J$2:$J$180,0,0)),1,0))))</f>
        <v>1</v>
      </c>
      <c r="L47">
        <f>IF(EXACT(L$1,
_xlfn.XLOOKUP($B47,ANNOUNCEMENTS!$E$2:$E$180,ANNOUNCEMENTS!$J$2:$J$180,0,0)),1,
IF(EXACT(L$1,
_xlfn.XLOOKUP($B47,ANNOUNCEMENTS!$L$2:$L$180,ANNOUNCEMENTS!$J$2:$J$180,0,0)),1,
IF(EXACT(L$1,
_xlfn.XLOOKUP($B47,ANNOUNCEMENTS!$M$2:$M$180,ANNOUNCEMENTS!$J$2:$J$180,0,0)),1,
IF(EXACT(L$1,
_xlfn.XLOOKUP($B47,ANNOUNCEMENTS!$N$2:$N$180,ANNOUNCEMENTS!$J$2:$J$180,0,0)),1,0))))</f>
        <v>0</v>
      </c>
      <c r="M47">
        <f t="shared" si="4"/>
        <v>1</v>
      </c>
      <c r="N47" t="b">
        <v>0</v>
      </c>
      <c r="O47" s="284">
        <f t="shared" si="5"/>
        <v>20</v>
      </c>
    </row>
    <row r="48" spans="1:19" x14ac:dyDescent="0.35">
      <c r="A48">
        <f t="shared" si="2"/>
        <v>47</v>
      </c>
      <c r="B48" t="s">
        <v>819</v>
      </c>
      <c r="C48" t="s">
        <v>820</v>
      </c>
      <c r="D48">
        <v>0</v>
      </c>
      <c r="E48" s="107">
        <v>0</v>
      </c>
      <c r="F48">
        <v>0</v>
      </c>
      <c r="G48" t="str">
        <f>CBIMPORT!S48</f>
        <v>www.avis.com</v>
      </c>
      <c r="H48">
        <f>IF(EXACT(H$1,
_xlfn.XLOOKUP($B48,ANNOUNCEMENTS!$E$2:$E$180,ANNOUNCEMENTS!$J$2:$J$180,0,0)),1,
IF(EXACT(H$1,
_xlfn.XLOOKUP($B48,ANNOUNCEMENTS!$L$2:$L$180,ANNOUNCEMENTS!$J$2:$J$180,0,0)),1,
IF(EXACT(H$1,
_xlfn.XLOOKUP($B48,ANNOUNCEMENTS!$M$2:$M$180,ANNOUNCEMENTS!$J$2:$J$180,0,0)),1,
IF(EXACT(H$1,
_xlfn.XLOOKUP($B48,ANNOUNCEMENTS!$N$2:$N$180,ANNOUNCEMENTS!$J$2:$J$180,0,0)),1,0))))</f>
        <v>0</v>
      </c>
      <c r="I48">
        <f>IF(EXACT(I$1,
_xlfn.XLOOKUP($B48,ANNOUNCEMENTS!$E$2:$E$180,ANNOUNCEMENTS!$J$2:$J$180,0,0)),1,
IF(EXACT(I$1,
_xlfn.XLOOKUP($B48,ANNOUNCEMENTS!$L$2:$L$180,ANNOUNCEMENTS!$J$2:$J$180,0,0)),1,
IF(EXACT(I$1,
_xlfn.XLOOKUP($B48,ANNOUNCEMENTS!$M$2:$M$180,ANNOUNCEMENTS!$J$2:$J$180,0,0)),1,
IF(EXACT(I$1,
_xlfn.XLOOKUP($B48,ANNOUNCEMENTS!$N$2:$N$180,ANNOUNCEMENTS!$J$2:$J$180,0,0)),1,0))))</f>
        <v>1</v>
      </c>
      <c r="J48">
        <f>IF(EXACT(J$1,
_xlfn.XLOOKUP($B48,ANNOUNCEMENTS!$E$2:$E$180,ANNOUNCEMENTS!$J$2:$J$180,0,0)),1,
IF(EXACT(J$1,
_xlfn.XLOOKUP($B48,ANNOUNCEMENTS!$L$2:$L$180,ANNOUNCEMENTS!$J$2:$J$180,0,0)),1,
IF(EXACT(J$1,
_xlfn.XLOOKUP($B48,ANNOUNCEMENTS!$M$2:$M$180,ANNOUNCEMENTS!$J$2:$J$180,0,0)),1,
IF(EXACT(J$1,
_xlfn.XLOOKUP($B48,ANNOUNCEMENTS!$N$2:$N$180,ANNOUNCEMENTS!$J$2:$J$180,0,0)),1,0))))</f>
        <v>0</v>
      </c>
      <c r="K48">
        <f>IF(EXACT(K$1,
_xlfn.XLOOKUP($B48,ANNOUNCEMENTS!$E$2:$E$180,ANNOUNCEMENTS!$J$2:$J$180,0,0)),1,
IF(EXACT(K$1,
_xlfn.XLOOKUP($B48,ANNOUNCEMENTS!$L$2:$L$180,ANNOUNCEMENTS!$J$2:$J$180,0,0)),1,
IF(EXACT(K$1,
_xlfn.XLOOKUP($B48,ANNOUNCEMENTS!$M$2:$M$180,ANNOUNCEMENTS!$J$2:$J$180,0,0)),1,
IF(EXACT(K$1,
_xlfn.XLOOKUP($B48,ANNOUNCEMENTS!$N$2:$N$180,ANNOUNCEMENTS!$J$2:$J$180,0,0)),1,0))))</f>
        <v>0</v>
      </c>
      <c r="L48">
        <f>IF(EXACT(L$1,
_xlfn.XLOOKUP($B48,ANNOUNCEMENTS!$E$2:$E$180,ANNOUNCEMENTS!$J$2:$J$180,0,0)),1,
IF(EXACT(L$1,
_xlfn.XLOOKUP($B48,ANNOUNCEMENTS!$L$2:$L$180,ANNOUNCEMENTS!$J$2:$J$180,0,0)),1,
IF(EXACT(L$1,
_xlfn.XLOOKUP($B48,ANNOUNCEMENTS!$M$2:$M$180,ANNOUNCEMENTS!$J$2:$J$180,0,0)),1,
IF(EXACT(L$1,
_xlfn.XLOOKUP($B48,ANNOUNCEMENTS!$N$2:$N$180,ANNOUNCEMENTS!$J$2:$J$180,0,0)),1,0))))</f>
        <v>0</v>
      </c>
      <c r="M48">
        <f t="shared" si="4"/>
        <v>1</v>
      </c>
      <c r="N48" t="b">
        <v>0</v>
      </c>
      <c r="O48" s="284">
        <f t="shared" si="5"/>
        <v>24</v>
      </c>
    </row>
    <row r="49" spans="1:15" x14ac:dyDescent="0.35">
      <c r="A49">
        <f t="shared" si="2"/>
        <v>48</v>
      </c>
      <c r="B49" t="s">
        <v>1952</v>
      </c>
      <c r="C49" t="s">
        <v>481</v>
      </c>
      <c r="D49">
        <v>0</v>
      </c>
      <c r="E49" s="107">
        <v>0</v>
      </c>
      <c r="F49">
        <v>0</v>
      </c>
      <c r="G49">
        <f>CBIMPORT!S49</f>
        <v>0</v>
      </c>
      <c r="H49">
        <f>IF(EXACT(H$1,
_xlfn.XLOOKUP($B49,ANNOUNCEMENTS!$E$2:$E$180,ANNOUNCEMENTS!$J$2:$J$180,0,0)),1,
IF(EXACT(H$1,
_xlfn.XLOOKUP($B49,ANNOUNCEMENTS!$L$2:$L$180,ANNOUNCEMENTS!$J$2:$J$180,0,0)),1,
IF(EXACT(H$1,
_xlfn.XLOOKUP($B49,ANNOUNCEMENTS!$M$2:$M$180,ANNOUNCEMENTS!$J$2:$J$180,0,0)),1,
IF(EXACT(H$1,
_xlfn.XLOOKUP($B49,ANNOUNCEMENTS!$N$2:$N$180,ANNOUNCEMENTS!$J$2:$J$180,0,0)),1,0))))</f>
        <v>1</v>
      </c>
      <c r="I49">
        <f>IF(EXACT(I$1,
_xlfn.XLOOKUP($B49,ANNOUNCEMENTS!$E$2:$E$180,ANNOUNCEMENTS!$J$2:$J$180,0,0)),1,
IF(EXACT(I$1,
_xlfn.XLOOKUP($B49,ANNOUNCEMENTS!$L$2:$L$180,ANNOUNCEMENTS!$J$2:$J$180,0,0)),1,
IF(EXACT(I$1,
_xlfn.XLOOKUP($B49,ANNOUNCEMENTS!$M$2:$M$180,ANNOUNCEMENTS!$J$2:$J$180,0,0)),1,
IF(EXACT(I$1,
_xlfn.XLOOKUP($B49,ANNOUNCEMENTS!$N$2:$N$180,ANNOUNCEMENTS!$J$2:$J$180,0,0)),1,0))))</f>
        <v>0</v>
      </c>
      <c r="J49">
        <f>IF(EXACT(J$1,
_xlfn.XLOOKUP($B49,ANNOUNCEMENTS!$E$2:$E$180,ANNOUNCEMENTS!$J$2:$J$180,0,0)),1,
IF(EXACT(J$1,
_xlfn.XLOOKUP($B49,ANNOUNCEMENTS!$L$2:$L$180,ANNOUNCEMENTS!$J$2:$J$180,0,0)),1,
IF(EXACT(J$1,
_xlfn.XLOOKUP($B49,ANNOUNCEMENTS!$M$2:$M$180,ANNOUNCEMENTS!$J$2:$J$180,0,0)),1,
IF(EXACT(J$1,
_xlfn.XLOOKUP($B49,ANNOUNCEMENTS!$N$2:$N$180,ANNOUNCEMENTS!$J$2:$J$180,0,0)),1,0))))</f>
        <v>0</v>
      </c>
      <c r="K49">
        <f>IF(EXACT(K$1,
_xlfn.XLOOKUP($B49,ANNOUNCEMENTS!$E$2:$E$180,ANNOUNCEMENTS!$J$2:$J$180,0,0)),1,
IF(EXACT(K$1,
_xlfn.XLOOKUP($B49,ANNOUNCEMENTS!$L$2:$L$180,ANNOUNCEMENTS!$J$2:$J$180,0,0)),1,
IF(EXACT(K$1,
_xlfn.XLOOKUP($B49,ANNOUNCEMENTS!$M$2:$M$180,ANNOUNCEMENTS!$J$2:$J$180,0,0)),1,
IF(EXACT(K$1,
_xlfn.XLOOKUP($B49,ANNOUNCEMENTS!$N$2:$N$180,ANNOUNCEMENTS!$J$2:$J$180,0,0)),1,0))))</f>
        <v>0</v>
      </c>
      <c r="L49">
        <f>IF(EXACT(L$1,
_xlfn.XLOOKUP($B49,ANNOUNCEMENTS!$E$2:$E$180,ANNOUNCEMENTS!$J$2:$J$180,0,0)),1,
IF(EXACT(L$1,
_xlfn.XLOOKUP($B49,ANNOUNCEMENTS!$L$2:$L$180,ANNOUNCEMENTS!$J$2:$J$180,0,0)),1,
IF(EXACT(L$1,
_xlfn.XLOOKUP($B49,ANNOUNCEMENTS!$M$2:$M$180,ANNOUNCEMENTS!$J$2:$J$180,0,0)),1,
IF(EXACT(L$1,
_xlfn.XLOOKUP($B49,ANNOUNCEMENTS!$N$2:$N$180,ANNOUNCEMENTS!$J$2:$J$180,0,0)),1,0))))</f>
        <v>0</v>
      </c>
      <c r="M49">
        <f t="shared" si="4"/>
        <v>1</v>
      </c>
      <c r="N49" t="b">
        <v>0</v>
      </c>
      <c r="O49" s="284">
        <f t="shared" si="5"/>
        <v>9</v>
      </c>
    </row>
    <row r="50" spans="1:15" x14ac:dyDescent="0.35">
      <c r="A50">
        <f t="shared" si="2"/>
        <v>49</v>
      </c>
      <c r="B50" t="s">
        <v>917</v>
      </c>
      <c r="C50" t="s">
        <v>398</v>
      </c>
      <c r="D50">
        <v>0</v>
      </c>
      <c r="E50" s="107">
        <v>0</v>
      </c>
      <c r="F50">
        <v>0</v>
      </c>
      <c r="G50" t="str">
        <f>CBIMPORT!S50</f>
        <v>www.bvg.de/en</v>
      </c>
      <c r="H50">
        <f>IF(EXACT(H$1,
_xlfn.XLOOKUP($B50,ANNOUNCEMENTS!$E$2:$E$180,ANNOUNCEMENTS!$J$2:$J$180,0,0)),1,
IF(EXACT(H$1,
_xlfn.XLOOKUP($B50,ANNOUNCEMENTS!$L$2:$L$180,ANNOUNCEMENTS!$J$2:$J$180,0,0)),1,
IF(EXACT(H$1,
_xlfn.XLOOKUP($B50,ANNOUNCEMENTS!$M$2:$M$180,ANNOUNCEMENTS!$J$2:$J$180,0,0)),1,
IF(EXACT(H$1,
_xlfn.XLOOKUP($B50,ANNOUNCEMENTS!$N$2:$N$180,ANNOUNCEMENTS!$J$2:$J$180,0,0)),1,0))))</f>
        <v>1</v>
      </c>
      <c r="I50">
        <f>IF(EXACT(I$1,
_xlfn.XLOOKUP($B50,ANNOUNCEMENTS!$E$2:$E$180,ANNOUNCEMENTS!$J$2:$J$180,0,0)),1,
IF(EXACT(I$1,
_xlfn.XLOOKUP($B50,ANNOUNCEMENTS!$L$2:$L$180,ANNOUNCEMENTS!$J$2:$J$180,0,0)),1,
IF(EXACT(I$1,
_xlfn.XLOOKUP($B50,ANNOUNCEMENTS!$M$2:$M$180,ANNOUNCEMENTS!$J$2:$J$180,0,0)),1,
IF(EXACT(I$1,
_xlfn.XLOOKUP($B50,ANNOUNCEMENTS!$N$2:$N$180,ANNOUNCEMENTS!$J$2:$J$180,0,0)),1,0))))</f>
        <v>0</v>
      </c>
      <c r="J50">
        <f>IF(EXACT(J$1,
_xlfn.XLOOKUP($B50,ANNOUNCEMENTS!$E$2:$E$180,ANNOUNCEMENTS!$J$2:$J$180,0,0)),1,
IF(EXACT(J$1,
_xlfn.XLOOKUP($B50,ANNOUNCEMENTS!$L$2:$L$180,ANNOUNCEMENTS!$J$2:$J$180,0,0)),1,
IF(EXACT(J$1,
_xlfn.XLOOKUP($B50,ANNOUNCEMENTS!$M$2:$M$180,ANNOUNCEMENTS!$J$2:$J$180,0,0)),1,
IF(EXACT(J$1,
_xlfn.XLOOKUP($B50,ANNOUNCEMENTS!$N$2:$N$180,ANNOUNCEMENTS!$J$2:$J$180,0,0)),1,0))))</f>
        <v>0</v>
      </c>
      <c r="K50">
        <f>IF(EXACT(K$1,
_xlfn.XLOOKUP($B50,ANNOUNCEMENTS!$E$2:$E$180,ANNOUNCEMENTS!$J$2:$J$180,0,0)),1,
IF(EXACT(K$1,
_xlfn.XLOOKUP($B50,ANNOUNCEMENTS!$L$2:$L$180,ANNOUNCEMENTS!$J$2:$J$180,0,0)),1,
IF(EXACT(K$1,
_xlfn.XLOOKUP($B50,ANNOUNCEMENTS!$M$2:$M$180,ANNOUNCEMENTS!$J$2:$J$180,0,0)),1,
IF(EXACT(K$1,
_xlfn.XLOOKUP($B50,ANNOUNCEMENTS!$N$2:$N$180,ANNOUNCEMENTS!$J$2:$J$180,0,0)),1,0))))</f>
        <v>0</v>
      </c>
      <c r="L50">
        <f>IF(EXACT(L$1,
_xlfn.XLOOKUP($B50,ANNOUNCEMENTS!$E$2:$E$180,ANNOUNCEMENTS!$J$2:$J$180,0,0)),1,
IF(EXACT(L$1,
_xlfn.XLOOKUP($B50,ANNOUNCEMENTS!$L$2:$L$180,ANNOUNCEMENTS!$J$2:$J$180,0,0)),1,
IF(EXACT(L$1,
_xlfn.XLOOKUP($B50,ANNOUNCEMENTS!$M$2:$M$180,ANNOUNCEMENTS!$J$2:$J$180,0,0)),1,
IF(EXACT(L$1,
_xlfn.XLOOKUP($B50,ANNOUNCEMENTS!$N$2:$N$180,ANNOUNCEMENTS!$J$2:$J$180,0,0)),1,0))))</f>
        <v>0</v>
      </c>
      <c r="M50">
        <f t="shared" si="4"/>
        <v>1</v>
      </c>
      <c r="N50" t="b">
        <v>0</v>
      </c>
      <c r="O50" s="284">
        <f t="shared" si="5"/>
        <v>13</v>
      </c>
    </row>
    <row r="51" spans="1:15" x14ac:dyDescent="0.35">
      <c r="A51">
        <f t="shared" si="2"/>
        <v>50</v>
      </c>
      <c r="B51" t="s">
        <v>1206</v>
      </c>
      <c r="C51" t="s">
        <v>330</v>
      </c>
      <c r="D51">
        <v>0</v>
      </c>
      <c r="E51" s="107">
        <v>0</v>
      </c>
      <c r="F51">
        <v>0</v>
      </c>
      <c r="G51" t="str">
        <f>CBIMPORT!S51</f>
        <v>https://navette-autonome.fr/en/equipment/</v>
      </c>
      <c r="H51">
        <f>IF(EXACT(H$1,
_xlfn.XLOOKUP($B51,ANNOUNCEMENTS!$E$2:$E$180,ANNOUNCEMENTS!$J$2:$J$180,0,0)),1,
IF(EXACT(H$1,
_xlfn.XLOOKUP($B51,ANNOUNCEMENTS!$L$2:$L$180,ANNOUNCEMENTS!$J$2:$J$180,0,0)),1,
IF(EXACT(H$1,
_xlfn.XLOOKUP($B51,ANNOUNCEMENTS!$M$2:$M$180,ANNOUNCEMENTS!$J$2:$J$180,0,0)),1,
IF(EXACT(H$1,
_xlfn.XLOOKUP($B51,ANNOUNCEMENTS!$N$2:$N$180,ANNOUNCEMENTS!$J$2:$J$180,0,0)),1,0))))</f>
        <v>1</v>
      </c>
      <c r="I51">
        <f>IF(EXACT(I$1,
_xlfn.XLOOKUP($B51,ANNOUNCEMENTS!$E$2:$E$180,ANNOUNCEMENTS!$J$2:$J$180,0,0)),1,
IF(EXACT(I$1,
_xlfn.XLOOKUP($B51,ANNOUNCEMENTS!$L$2:$L$180,ANNOUNCEMENTS!$J$2:$J$180,0,0)),1,
IF(EXACT(I$1,
_xlfn.XLOOKUP($B51,ANNOUNCEMENTS!$M$2:$M$180,ANNOUNCEMENTS!$J$2:$J$180,0,0)),1,
IF(EXACT(I$1,
_xlfn.XLOOKUP($B51,ANNOUNCEMENTS!$N$2:$N$180,ANNOUNCEMENTS!$J$2:$J$180,0,0)),1,0))))</f>
        <v>0</v>
      </c>
      <c r="J51">
        <f>IF(EXACT(J$1,
_xlfn.XLOOKUP($B51,ANNOUNCEMENTS!$E$2:$E$180,ANNOUNCEMENTS!$J$2:$J$180,0,0)),1,
IF(EXACT(J$1,
_xlfn.XLOOKUP($B51,ANNOUNCEMENTS!$L$2:$L$180,ANNOUNCEMENTS!$J$2:$J$180,0,0)),1,
IF(EXACT(J$1,
_xlfn.XLOOKUP($B51,ANNOUNCEMENTS!$M$2:$M$180,ANNOUNCEMENTS!$J$2:$J$180,0,0)),1,
IF(EXACT(J$1,
_xlfn.XLOOKUP($B51,ANNOUNCEMENTS!$N$2:$N$180,ANNOUNCEMENTS!$J$2:$J$180,0,0)),1,0))))</f>
        <v>0</v>
      </c>
      <c r="K51">
        <f>IF(EXACT(K$1,
_xlfn.XLOOKUP($B51,ANNOUNCEMENTS!$E$2:$E$180,ANNOUNCEMENTS!$J$2:$J$180,0,0)),1,
IF(EXACT(K$1,
_xlfn.XLOOKUP($B51,ANNOUNCEMENTS!$L$2:$L$180,ANNOUNCEMENTS!$J$2:$J$180,0,0)),1,
IF(EXACT(K$1,
_xlfn.XLOOKUP($B51,ANNOUNCEMENTS!$M$2:$M$180,ANNOUNCEMENTS!$J$2:$J$180,0,0)),1,
IF(EXACT(K$1,
_xlfn.XLOOKUP($B51,ANNOUNCEMENTS!$N$2:$N$180,ANNOUNCEMENTS!$J$2:$J$180,0,0)),1,0))))</f>
        <v>0</v>
      </c>
      <c r="L51">
        <f>IF(EXACT(L$1,
_xlfn.XLOOKUP($B51,ANNOUNCEMENTS!$E$2:$E$180,ANNOUNCEMENTS!$J$2:$J$180,0,0)),1,
IF(EXACT(L$1,
_xlfn.XLOOKUP($B51,ANNOUNCEMENTS!$L$2:$L$180,ANNOUNCEMENTS!$J$2:$J$180,0,0)),1,
IF(EXACT(L$1,
_xlfn.XLOOKUP($B51,ANNOUNCEMENTS!$M$2:$M$180,ANNOUNCEMENTS!$J$2:$J$180,0,0)),1,
IF(EXACT(L$1,
_xlfn.XLOOKUP($B51,ANNOUNCEMENTS!$N$2:$N$180,ANNOUNCEMENTS!$J$2:$J$180,0,0)),1,0))))</f>
        <v>0</v>
      </c>
      <c r="M51">
        <f t="shared" si="4"/>
        <v>1</v>
      </c>
      <c r="N51" t="b">
        <v>0</v>
      </c>
      <c r="O51" s="284">
        <f t="shared" si="5"/>
        <v>16</v>
      </c>
    </row>
    <row r="52" spans="1:15" x14ac:dyDescent="0.35">
      <c r="A52">
        <f t="shared" si="2"/>
        <v>51</v>
      </c>
      <c r="B52" t="s">
        <v>605</v>
      </c>
      <c r="C52" t="s">
        <v>606</v>
      </c>
      <c r="D52">
        <v>0</v>
      </c>
      <c r="E52" s="107">
        <v>158.053</v>
      </c>
      <c r="F52">
        <v>1</v>
      </c>
      <c r="G52" t="str">
        <f>CBIMPORT!S52</f>
        <v>www.beyondmeat.com</v>
      </c>
      <c r="H52">
        <f>IF(EXACT(H$1,
_xlfn.XLOOKUP($B52,ANNOUNCEMENTS!$E$2:$E$180,ANNOUNCEMENTS!$J$2:$J$180,0,0)),1,
IF(EXACT(H$1,
_xlfn.XLOOKUP($B52,ANNOUNCEMENTS!$L$2:$L$180,ANNOUNCEMENTS!$J$2:$J$180,0,0)),1,
IF(EXACT(H$1,
_xlfn.XLOOKUP($B52,ANNOUNCEMENTS!$M$2:$M$180,ANNOUNCEMENTS!$J$2:$J$180,0,0)),1,
IF(EXACT(H$1,
_xlfn.XLOOKUP($B52,ANNOUNCEMENTS!$N$2:$N$180,ANNOUNCEMENTS!$J$2:$J$180,0,0)),1,0))))</f>
        <v>0</v>
      </c>
      <c r="I52">
        <f>IF(EXACT(I$1,
_xlfn.XLOOKUP($B52,ANNOUNCEMENTS!$E$2:$E$180,ANNOUNCEMENTS!$J$2:$J$180,0,0)),1,
IF(EXACT(I$1,
_xlfn.XLOOKUP($B52,ANNOUNCEMENTS!$L$2:$L$180,ANNOUNCEMENTS!$J$2:$J$180,0,0)),1,
IF(EXACT(I$1,
_xlfn.XLOOKUP($B52,ANNOUNCEMENTS!$M$2:$M$180,ANNOUNCEMENTS!$J$2:$J$180,0,0)),1,
IF(EXACT(I$1,
_xlfn.XLOOKUP($B52,ANNOUNCEMENTS!$N$2:$N$180,ANNOUNCEMENTS!$J$2:$J$180,0,0)),1,0))))</f>
        <v>0</v>
      </c>
      <c r="J52">
        <f>IF(EXACT(J$1,
_xlfn.XLOOKUP($B52,ANNOUNCEMENTS!$E$2:$E$180,ANNOUNCEMENTS!$J$2:$J$180,0,0)),1,
IF(EXACT(J$1,
_xlfn.XLOOKUP($B52,ANNOUNCEMENTS!$L$2:$L$180,ANNOUNCEMENTS!$J$2:$J$180,0,0)),1,
IF(EXACT(J$1,
_xlfn.XLOOKUP($B52,ANNOUNCEMENTS!$M$2:$M$180,ANNOUNCEMENTS!$J$2:$J$180,0,0)),1,
IF(EXACT(J$1,
_xlfn.XLOOKUP($B52,ANNOUNCEMENTS!$N$2:$N$180,ANNOUNCEMENTS!$J$2:$J$180,0,0)),1,0))))</f>
        <v>1</v>
      </c>
      <c r="K52">
        <f>IF(EXACT(K$1,
_xlfn.XLOOKUP($B52,ANNOUNCEMENTS!$E$2:$E$180,ANNOUNCEMENTS!$J$2:$J$180,0,0)),1,
IF(EXACT(K$1,
_xlfn.XLOOKUP($B52,ANNOUNCEMENTS!$L$2:$L$180,ANNOUNCEMENTS!$J$2:$J$180,0,0)),1,
IF(EXACT(K$1,
_xlfn.XLOOKUP($B52,ANNOUNCEMENTS!$M$2:$M$180,ANNOUNCEMENTS!$J$2:$J$180,0,0)),1,
IF(EXACT(K$1,
_xlfn.XLOOKUP($B52,ANNOUNCEMENTS!$N$2:$N$180,ANNOUNCEMENTS!$J$2:$J$180,0,0)),1,0))))</f>
        <v>0</v>
      </c>
      <c r="L52">
        <f>IF(EXACT(L$1,
_xlfn.XLOOKUP($B52,ANNOUNCEMENTS!$E$2:$E$180,ANNOUNCEMENTS!$J$2:$J$180,0,0)),1,
IF(EXACT(L$1,
_xlfn.XLOOKUP($B52,ANNOUNCEMENTS!$L$2:$L$180,ANNOUNCEMENTS!$J$2:$J$180,0,0)),1,
IF(EXACT(L$1,
_xlfn.XLOOKUP($B52,ANNOUNCEMENTS!$M$2:$M$180,ANNOUNCEMENTS!$J$2:$J$180,0,0)),1,
IF(EXACT(L$1,
_xlfn.XLOOKUP($B52,ANNOUNCEMENTS!$N$2:$N$180,ANNOUNCEMENTS!$J$2:$J$180,0,0)),1,0))))</f>
        <v>0</v>
      </c>
      <c r="M52">
        <f t="shared" si="4"/>
        <v>1</v>
      </c>
      <c r="N52" t="b">
        <v>0</v>
      </c>
      <c r="O52" s="284">
        <f t="shared" si="5"/>
        <v>19</v>
      </c>
    </row>
    <row r="53" spans="1:15" x14ac:dyDescent="0.35">
      <c r="A53">
        <f t="shared" si="2"/>
        <v>52</v>
      </c>
      <c r="B53" t="s">
        <v>497</v>
      </c>
      <c r="C53" t="s">
        <v>481</v>
      </c>
      <c r="D53">
        <v>0</v>
      </c>
      <c r="E53" s="107">
        <v>0</v>
      </c>
      <c r="F53">
        <v>0</v>
      </c>
      <c r="G53" t="str">
        <f>CBIMPORT!S53</f>
        <v>www.bosch.com</v>
      </c>
      <c r="H53">
        <f>IF(EXACT(H$1,
_xlfn.XLOOKUP($B53,ANNOUNCEMENTS!$E$2:$E$180,ANNOUNCEMENTS!$J$2:$J$180,0,0)),1,
IF(EXACT(H$1,
_xlfn.XLOOKUP($B53,ANNOUNCEMENTS!$L$2:$L$180,ANNOUNCEMENTS!$J$2:$J$180,0,0)),1,
IF(EXACT(H$1,
_xlfn.XLOOKUP($B53,ANNOUNCEMENTS!$M$2:$M$180,ANNOUNCEMENTS!$J$2:$J$180,0,0)),1,
IF(EXACT(H$1,
_xlfn.XLOOKUP($B53,ANNOUNCEMENTS!$N$2:$N$180,ANNOUNCEMENTS!$J$2:$J$180,0,0)),1,0))))</f>
        <v>1</v>
      </c>
      <c r="I53">
        <f>IF(EXACT(I$1,
_xlfn.XLOOKUP($B53,ANNOUNCEMENTS!$E$2:$E$180,ANNOUNCEMENTS!$J$2:$J$180,0,0)),1,
IF(EXACT(I$1,
_xlfn.XLOOKUP($B53,ANNOUNCEMENTS!$L$2:$L$180,ANNOUNCEMENTS!$J$2:$J$180,0,0)),1,
IF(EXACT(I$1,
_xlfn.XLOOKUP($B53,ANNOUNCEMENTS!$M$2:$M$180,ANNOUNCEMENTS!$J$2:$J$180,0,0)),1,
IF(EXACT(I$1,
_xlfn.XLOOKUP($B53,ANNOUNCEMENTS!$N$2:$N$180,ANNOUNCEMENTS!$J$2:$J$180,0,0)),1,0))))</f>
        <v>0</v>
      </c>
      <c r="J53">
        <f>IF(EXACT(J$1,
_xlfn.XLOOKUP($B53,ANNOUNCEMENTS!$E$2:$E$180,ANNOUNCEMENTS!$J$2:$J$180,0,0)),1,
IF(EXACT(J$1,
_xlfn.XLOOKUP($B53,ANNOUNCEMENTS!$L$2:$L$180,ANNOUNCEMENTS!$J$2:$J$180,0,0)),1,
IF(EXACT(J$1,
_xlfn.XLOOKUP($B53,ANNOUNCEMENTS!$M$2:$M$180,ANNOUNCEMENTS!$J$2:$J$180,0,0)),1,
IF(EXACT(J$1,
_xlfn.XLOOKUP($B53,ANNOUNCEMENTS!$N$2:$N$180,ANNOUNCEMENTS!$J$2:$J$180,0,0)),1,0))))</f>
        <v>1</v>
      </c>
      <c r="K53">
        <f>IF(EXACT(K$1,
_xlfn.XLOOKUP($B53,ANNOUNCEMENTS!$E$2:$E$180,ANNOUNCEMENTS!$J$2:$J$180,0,0)),1,
IF(EXACT(K$1,
_xlfn.XLOOKUP($B53,ANNOUNCEMENTS!$L$2:$L$180,ANNOUNCEMENTS!$J$2:$J$180,0,0)),1,
IF(EXACT(K$1,
_xlfn.XLOOKUP($B53,ANNOUNCEMENTS!$M$2:$M$180,ANNOUNCEMENTS!$J$2:$J$180,0,0)),1,
IF(EXACT(K$1,
_xlfn.XLOOKUP($B53,ANNOUNCEMENTS!$N$2:$N$180,ANNOUNCEMENTS!$J$2:$J$180,0,0)),1,0))))</f>
        <v>0</v>
      </c>
      <c r="L53">
        <f>IF(EXACT(L$1,
_xlfn.XLOOKUP($B53,ANNOUNCEMENTS!$E$2:$E$180,ANNOUNCEMENTS!$J$2:$J$180,0,0)),1,
IF(EXACT(L$1,
_xlfn.XLOOKUP($B53,ANNOUNCEMENTS!$L$2:$L$180,ANNOUNCEMENTS!$J$2:$J$180,0,0)),1,
IF(EXACT(L$1,
_xlfn.XLOOKUP($B53,ANNOUNCEMENTS!$M$2:$M$180,ANNOUNCEMENTS!$J$2:$J$180,0,0)),1,
IF(EXACT(L$1,
_xlfn.XLOOKUP($B53,ANNOUNCEMENTS!$N$2:$N$180,ANNOUNCEMENTS!$J$2:$J$180,0,0)),1,0))))</f>
        <v>0</v>
      </c>
      <c r="M53">
        <f t="shared" si="4"/>
        <v>2</v>
      </c>
      <c r="N53" t="b">
        <v>0</v>
      </c>
      <c r="O53" s="284">
        <f t="shared" si="5"/>
        <v>9</v>
      </c>
    </row>
    <row r="54" spans="1:15" x14ac:dyDescent="0.35">
      <c r="A54">
        <f t="shared" si="2"/>
        <v>53</v>
      </c>
      <c r="B54" t="s">
        <v>924</v>
      </c>
      <c r="C54" t="s">
        <v>925</v>
      </c>
      <c r="D54">
        <v>0</v>
      </c>
      <c r="E54" s="107">
        <v>16.8</v>
      </c>
      <c r="F54">
        <v>0</v>
      </c>
      <c r="G54" t="str">
        <f>CBIMPORT!S54</f>
        <v>www.bu.edu/</v>
      </c>
      <c r="H54">
        <f>IF(EXACT(H$1,
_xlfn.XLOOKUP($B54,ANNOUNCEMENTS!$E$2:$E$180,ANNOUNCEMENTS!$J$2:$J$180,0,0)),1,
IF(EXACT(H$1,
_xlfn.XLOOKUP($B54,ANNOUNCEMENTS!$L$2:$L$180,ANNOUNCEMENTS!$J$2:$J$180,0,0)),1,
IF(EXACT(H$1,
_xlfn.XLOOKUP($B54,ANNOUNCEMENTS!$M$2:$M$180,ANNOUNCEMENTS!$J$2:$J$180,0,0)),1,
IF(EXACT(H$1,
_xlfn.XLOOKUP($B54,ANNOUNCEMENTS!$N$2:$N$180,ANNOUNCEMENTS!$J$2:$J$180,0,0)),1,0))))</f>
        <v>0</v>
      </c>
      <c r="I54">
        <f>IF(EXACT(I$1,
_xlfn.XLOOKUP($B54,ANNOUNCEMENTS!$E$2:$E$180,ANNOUNCEMENTS!$J$2:$J$180,0,0)),1,
IF(EXACT(I$1,
_xlfn.XLOOKUP($B54,ANNOUNCEMENTS!$L$2:$L$180,ANNOUNCEMENTS!$J$2:$J$180,0,0)),1,
IF(EXACT(I$1,
_xlfn.XLOOKUP($B54,ANNOUNCEMENTS!$M$2:$M$180,ANNOUNCEMENTS!$J$2:$J$180,0,0)),1,
IF(EXACT(I$1,
_xlfn.XLOOKUP($B54,ANNOUNCEMENTS!$N$2:$N$180,ANNOUNCEMENTS!$J$2:$J$180,0,0)),1,0))))</f>
        <v>1</v>
      </c>
      <c r="J54">
        <f>IF(EXACT(J$1,
_xlfn.XLOOKUP($B54,ANNOUNCEMENTS!$E$2:$E$180,ANNOUNCEMENTS!$J$2:$J$180,0,0)),1,
IF(EXACT(J$1,
_xlfn.XLOOKUP($B54,ANNOUNCEMENTS!$L$2:$L$180,ANNOUNCEMENTS!$J$2:$J$180,0,0)),1,
IF(EXACT(J$1,
_xlfn.XLOOKUP($B54,ANNOUNCEMENTS!$M$2:$M$180,ANNOUNCEMENTS!$J$2:$J$180,0,0)),1,
IF(EXACT(J$1,
_xlfn.XLOOKUP($B54,ANNOUNCEMENTS!$N$2:$N$180,ANNOUNCEMENTS!$J$2:$J$180,0,0)),1,0))))</f>
        <v>0</v>
      </c>
      <c r="K54">
        <f>IF(EXACT(K$1,
_xlfn.XLOOKUP($B54,ANNOUNCEMENTS!$E$2:$E$180,ANNOUNCEMENTS!$J$2:$J$180,0,0)),1,
IF(EXACT(K$1,
_xlfn.XLOOKUP($B54,ANNOUNCEMENTS!$L$2:$L$180,ANNOUNCEMENTS!$J$2:$J$180,0,0)),1,
IF(EXACT(K$1,
_xlfn.XLOOKUP($B54,ANNOUNCEMENTS!$M$2:$M$180,ANNOUNCEMENTS!$J$2:$J$180,0,0)),1,
IF(EXACT(K$1,
_xlfn.XLOOKUP($B54,ANNOUNCEMENTS!$N$2:$N$180,ANNOUNCEMENTS!$J$2:$J$180,0,0)),1,0))))</f>
        <v>0</v>
      </c>
      <c r="L54">
        <f>IF(EXACT(L$1,
_xlfn.XLOOKUP($B54,ANNOUNCEMENTS!$E$2:$E$180,ANNOUNCEMENTS!$J$2:$J$180,0,0)),1,
IF(EXACT(L$1,
_xlfn.XLOOKUP($B54,ANNOUNCEMENTS!$L$2:$L$180,ANNOUNCEMENTS!$J$2:$J$180,0,0)),1,
IF(EXACT(L$1,
_xlfn.XLOOKUP($B54,ANNOUNCEMENTS!$M$2:$M$180,ANNOUNCEMENTS!$J$2:$J$180,0,0)),1,
IF(EXACT(L$1,
_xlfn.XLOOKUP($B54,ANNOUNCEMENTS!$N$2:$N$180,ANNOUNCEMENTS!$J$2:$J$180,0,0)),1,0))))</f>
        <v>0</v>
      </c>
      <c r="M54">
        <f t="shared" si="4"/>
        <v>1</v>
      </c>
      <c r="N54" t="b">
        <v>0</v>
      </c>
      <c r="O54" s="284">
        <f t="shared" si="5"/>
        <v>25</v>
      </c>
    </row>
    <row r="55" spans="1:15" x14ac:dyDescent="0.35">
      <c r="A55">
        <f t="shared" si="2"/>
        <v>54</v>
      </c>
      <c r="B55" t="s">
        <v>512</v>
      </c>
      <c r="C55" t="s">
        <v>481</v>
      </c>
      <c r="D55">
        <v>0</v>
      </c>
      <c r="E55" s="107">
        <v>0</v>
      </c>
      <c r="F55">
        <v>1</v>
      </c>
      <c r="G55" t="str">
        <f>CBIMPORT!S55</f>
        <v>www.bridgestone.com</v>
      </c>
      <c r="H55">
        <f>IF(EXACT(H$1,
_xlfn.XLOOKUP($B55,ANNOUNCEMENTS!$E$2:$E$180,ANNOUNCEMENTS!$J$2:$J$180,0,0)),1,
IF(EXACT(H$1,
_xlfn.XLOOKUP($B55,ANNOUNCEMENTS!$L$2:$L$180,ANNOUNCEMENTS!$J$2:$J$180,0,0)),1,
IF(EXACT(H$1,
_xlfn.XLOOKUP($B55,ANNOUNCEMENTS!$M$2:$M$180,ANNOUNCEMENTS!$J$2:$J$180,0,0)),1,
IF(EXACT(H$1,
_xlfn.XLOOKUP($B55,ANNOUNCEMENTS!$N$2:$N$180,ANNOUNCEMENTS!$J$2:$J$180,0,0)),1,0))))</f>
        <v>0</v>
      </c>
      <c r="I55" s="283">
        <v>1</v>
      </c>
      <c r="J55">
        <f>IF(EXACT(J$1,
_xlfn.XLOOKUP($B55,ANNOUNCEMENTS!$E$2:$E$180,ANNOUNCEMENTS!$J$2:$J$180,0,0)),1,
IF(EXACT(J$1,
_xlfn.XLOOKUP($B55,ANNOUNCEMENTS!$L$2:$L$180,ANNOUNCEMENTS!$J$2:$J$180,0,0)),1,
IF(EXACT(J$1,
_xlfn.XLOOKUP($B55,ANNOUNCEMENTS!$M$2:$M$180,ANNOUNCEMENTS!$J$2:$J$180,0,0)),1,
IF(EXACT(J$1,
_xlfn.XLOOKUP($B55,ANNOUNCEMENTS!$N$2:$N$180,ANNOUNCEMENTS!$J$2:$J$180,0,0)),1,0))))</f>
        <v>1</v>
      </c>
      <c r="K55">
        <f>IF(EXACT(K$1,
_xlfn.XLOOKUP($B55,ANNOUNCEMENTS!$E$2:$E$180,ANNOUNCEMENTS!$J$2:$J$180,0,0)),1,
IF(EXACT(K$1,
_xlfn.XLOOKUP($B55,ANNOUNCEMENTS!$L$2:$L$180,ANNOUNCEMENTS!$J$2:$J$180,0,0)),1,
IF(EXACT(K$1,
_xlfn.XLOOKUP($B55,ANNOUNCEMENTS!$M$2:$M$180,ANNOUNCEMENTS!$J$2:$J$180,0,0)),1,
IF(EXACT(K$1,
_xlfn.XLOOKUP($B55,ANNOUNCEMENTS!$N$2:$N$180,ANNOUNCEMENTS!$J$2:$J$180,0,0)),1,0))))</f>
        <v>0</v>
      </c>
      <c r="L55">
        <f>IF(EXACT(L$1,
_xlfn.XLOOKUP($B55,ANNOUNCEMENTS!$E$2:$E$180,ANNOUNCEMENTS!$J$2:$J$180,0,0)),1,
IF(EXACT(L$1,
_xlfn.XLOOKUP($B55,ANNOUNCEMENTS!$L$2:$L$180,ANNOUNCEMENTS!$J$2:$J$180,0,0)),1,
IF(EXACT(L$1,
_xlfn.XLOOKUP($B55,ANNOUNCEMENTS!$M$2:$M$180,ANNOUNCEMENTS!$J$2:$J$180,0,0)),1,
IF(EXACT(L$1,
_xlfn.XLOOKUP($B55,ANNOUNCEMENTS!$N$2:$N$180,ANNOUNCEMENTS!$J$2:$J$180,0,0)),1,0))))</f>
        <v>0</v>
      </c>
      <c r="M55">
        <f t="shared" si="4"/>
        <v>2</v>
      </c>
      <c r="N55" t="b">
        <v>0</v>
      </c>
      <c r="O55" s="284">
        <f t="shared" si="5"/>
        <v>9</v>
      </c>
    </row>
    <row r="56" spans="1:15" x14ac:dyDescent="0.35">
      <c r="A56">
        <f t="shared" si="2"/>
        <v>55</v>
      </c>
      <c r="B56" t="s">
        <v>1958</v>
      </c>
      <c r="C56" t="s">
        <v>537</v>
      </c>
      <c r="D56">
        <v>0</v>
      </c>
      <c r="E56" s="107">
        <v>0</v>
      </c>
      <c r="F56">
        <v>0</v>
      </c>
      <c r="G56" t="str">
        <f>CBIMPORT!S56</f>
        <v>https://www.chargepoint.com/de-de/</v>
      </c>
      <c r="H56">
        <f>IF(EXACT(H$1,
_xlfn.XLOOKUP($B56,ANNOUNCEMENTS!$E$2:$E$180,ANNOUNCEMENTS!$J$2:$J$180,0,0)),1,
IF(EXACT(H$1,
_xlfn.XLOOKUP($B56,ANNOUNCEMENTS!$L$2:$L$180,ANNOUNCEMENTS!$J$2:$J$180,0,0)),1,
IF(EXACT(H$1,
_xlfn.XLOOKUP($B56,ANNOUNCEMENTS!$M$2:$M$180,ANNOUNCEMENTS!$J$2:$J$180,0,0)),1,
IF(EXACT(H$1,
_xlfn.XLOOKUP($B56,ANNOUNCEMENTS!$N$2:$N$180,ANNOUNCEMENTS!$J$2:$J$180,0,0)),1,0))))</f>
        <v>0</v>
      </c>
      <c r="I56">
        <f>IF(EXACT(I$1,
_xlfn.XLOOKUP($B56,ANNOUNCEMENTS!$E$2:$E$180,ANNOUNCEMENTS!$J$2:$J$180,0,0)),1,
IF(EXACT(I$1,
_xlfn.XLOOKUP($B56,ANNOUNCEMENTS!$L$2:$L$180,ANNOUNCEMENTS!$J$2:$J$180,0,0)),1,
IF(EXACT(I$1,
_xlfn.XLOOKUP($B56,ANNOUNCEMENTS!$M$2:$M$180,ANNOUNCEMENTS!$J$2:$J$180,0,0)),1,
IF(EXACT(I$1,
_xlfn.XLOOKUP($B56,ANNOUNCEMENTS!$N$2:$N$180,ANNOUNCEMENTS!$J$2:$J$180,0,0)),1,0))))</f>
        <v>0</v>
      </c>
      <c r="J56">
        <f>IF(EXACT(J$1,
_xlfn.XLOOKUP($B56,ANNOUNCEMENTS!$E$2:$E$180,ANNOUNCEMENTS!$J$2:$J$180,0,0)),1,
IF(EXACT(J$1,
_xlfn.XLOOKUP($B56,ANNOUNCEMENTS!$L$2:$L$180,ANNOUNCEMENTS!$J$2:$J$180,0,0)),1,
IF(EXACT(J$1,
_xlfn.XLOOKUP($B56,ANNOUNCEMENTS!$M$2:$M$180,ANNOUNCEMENTS!$J$2:$J$180,0,0)),1,
IF(EXACT(J$1,
_xlfn.XLOOKUP($B56,ANNOUNCEMENTS!$N$2:$N$180,ANNOUNCEMENTS!$J$2:$J$180,0,0)),1,0))))</f>
        <v>1</v>
      </c>
      <c r="K56">
        <f>IF(EXACT(K$1,
_xlfn.XLOOKUP($B56,ANNOUNCEMENTS!$E$2:$E$180,ANNOUNCEMENTS!$J$2:$J$180,0,0)),1,
IF(EXACT(K$1,
_xlfn.XLOOKUP($B56,ANNOUNCEMENTS!$L$2:$L$180,ANNOUNCEMENTS!$J$2:$J$180,0,0)),1,
IF(EXACT(K$1,
_xlfn.XLOOKUP($B56,ANNOUNCEMENTS!$M$2:$M$180,ANNOUNCEMENTS!$J$2:$J$180,0,0)),1,
IF(EXACT(K$1,
_xlfn.XLOOKUP($B56,ANNOUNCEMENTS!$N$2:$N$180,ANNOUNCEMENTS!$J$2:$J$180,0,0)),1,0))))</f>
        <v>0</v>
      </c>
      <c r="L56">
        <f>IF(EXACT(L$1,
_xlfn.XLOOKUP($B56,ANNOUNCEMENTS!$E$2:$E$180,ANNOUNCEMENTS!$J$2:$J$180,0,0)),1,
IF(EXACT(L$1,
_xlfn.XLOOKUP($B56,ANNOUNCEMENTS!$L$2:$L$180,ANNOUNCEMENTS!$J$2:$J$180,0,0)),1,
IF(EXACT(L$1,
_xlfn.XLOOKUP($B56,ANNOUNCEMENTS!$M$2:$M$180,ANNOUNCEMENTS!$J$2:$J$180,0,0)),1,
IF(EXACT(L$1,
_xlfn.XLOOKUP($B56,ANNOUNCEMENTS!$N$2:$N$180,ANNOUNCEMENTS!$J$2:$J$180,0,0)),1,0))))</f>
        <v>0</v>
      </c>
      <c r="M56">
        <f t="shared" si="4"/>
        <v>1</v>
      </c>
      <c r="N56" t="b">
        <v>0</v>
      </c>
      <c r="O56" s="284">
        <f t="shared" si="5"/>
        <v>28</v>
      </c>
    </row>
    <row r="57" spans="1:15" x14ac:dyDescent="0.35">
      <c r="A57">
        <f t="shared" si="2"/>
        <v>56</v>
      </c>
      <c r="B57" t="s">
        <v>1956</v>
      </c>
      <c r="C57" t="s">
        <v>606</v>
      </c>
      <c r="D57">
        <v>0</v>
      </c>
      <c r="E57" s="107">
        <v>0</v>
      </c>
      <c r="F57">
        <v>1</v>
      </c>
      <c r="G57" t="str">
        <f>CBIMPORT!S57</f>
        <v>www.cocacolaep.com/</v>
      </c>
      <c r="H57">
        <f>IF(EXACT(H$1,
_xlfn.XLOOKUP($B57,ANNOUNCEMENTS!$E$2:$E$180,ANNOUNCEMENTS!$J$2:$J$180,0,0)),1,
IF(EXACT(H$1,
_xlfn.XLOOKUP($B57,ANNOUNCEMENTS!$L$2:$L$180,ANNOUNCEMENTS!$J$2:$J$180,0,0)),1,
IF(EXACT(H$1,
_xlfn.XLOOKUP($B57,ANNOUNCEMENTS!$M$2:$M$180,ANNOUNCEMENTS!$J$2:$J$180,0,0)),1,
IF(EXACT(H$1,
_xlfn.XLOOKUP($B57,ANNOUNCEMENTS!$N$2:$N$180,ANNOUNCEMENTS!$J$2:$J$180,0,0)),1,0))))</f>
        <v>0</v>
      </c>
      <c r="I57">
        <f>IF(EXACT(I$1,
_xlfn.XLOOKUP($B57,ANNOUNCEMENTS!$E$2:$E$180,ANNOUNCEMENTS!$J$2:$J$180,0,0)),1,
IF(EXACT(I$1,
_xlfn.XLOOKUP($B57,ANNOUNCEMENTS!$L$2:$L$180,ANNOUNCEMENTS!$J$2:$J$180,0,0)),1,
IF(EXACT(I$1,
_xlfn.XLOOKUP($B57,ANNOUNCEMENTS!$M$2:$M$180,ANNOUNCEMENTS!$J$2:$J$180,0,0)),1,
IF(EXACT(I$1,
_xlfn.XLOOKUP($B57,ANNOUNCEMENTS!$N$2:$N$180,ANNOUNCEMENTS!$J$2:$J$180,0,0)),1,0))))</f>
        <v>0</v>
      </c>
      <c r="J57">
        <f>IF(EXACT(J$1,
_xlfn.XLOOKUP($B57,ANNOUNCEMENTS!$E$2:$E$180,ANNOUNCEMENTS!$J$2:$J$180,0,0)),1,
IF(EXACT(J$1,
_xlfn.XLOOKUP($B57,ANNOUNCEMENTS!$L$2:$L$180,ANNOUNCEMENTS!$J$2:$J$180,0,0)),1,
IF(EXACT(J$1,
_xlfn.XLOOKUP($B57,ANNOUNCEMENTS!$M$2:$M$180,ANNOUNCEMENTS!$J$2:$J$180,0,0)),1,
IF(EXACT(J$1,
_xlfn.XLOOKUP($B57,ANNOUNCEMENTS!$N$2:$N$180,ANNOUNCEMENTS!$J$2:$J$180,0,0)),1,0))))</f>
        <v>1</v>
      </c>
      <c r="K57">
        <f>IF(EXACT(K$1,
_xlfn.XLOOKUP($B57,ANNOUNCEMENTS!$E$2:$E$180,ANNOUNCEMENTS!$J$2:$J$180,0,0)),1,
IF(EXACT(K$1,
_xlfn.XLOOKUP($B57,ANNOUNCEMENTS!$L$2:$L$180,ANNOUNCEMENTS!$J$2:$J$180,0,0)),1,
IF(EXACT(K$1,
_xlfn.XLOOKUP($B57,ANNOUNCEMENTS!$M$2:$M$180,ANNOUNCEMENTS!$J$2:$J$180,0,0)),1,
IF(EXACT(K$1,
_xlfn.XLOOKUP($B57,ANNOUNCEMENTS!$N$2:$N$180,ANNOUNCEMENTS!$J$2:$J$180,0,0)),1,0))))</f>
        <v>0</v>
      </c>
      <c r="L57">
        <f>IF(EXACT(L$1,
_xlfn.XLOOKUP($B57,ANNOUNCEMENTS!$E$2:$E$180,ANNOUNCEMENTS!$J$2:$J$180,0,0)),1,
IF(EXACT(L$1,
_xlfn.XLOOKUP($B57,ANNOUNCEMENTS!$L$2:$L$180,ANNOUNCEMENTS!$J$2:$J$180,0,0)),1,
IF(EXACT(L$1,
_xlfn.XLOOKUP($B57,ANNOUNCEMENTS!$M$2:$M$180,ANNOUNCEMENTS!$J$2:$J$180,0,0)),1,
IF(EXACT(L$1,
_xlfn.XLOOKUP($B57,ANNOUNCEMENTS!$N$2:$N$180,ANNOUNCEMENTS!$J$2:$J$180,0,0)),1,0))))</f>
        <v>0</v>
      </c>
      <c r="M57">
        <f t="shared" si="4"/>
        <v>1</v>
      </c>
      <c r="N57" t="b">
        <v>0</v>
      </c>
      <c r="O57" s="284">
        <f t="shared" si="5"/>
        <v>19</v>
      </c>
    </row>
    <row r="58" spans="1:15" x14ac:dyDescent="0.35">
      <c r="A58">
        <f t="shared" si="2"/>
        <v>57</v>
      </c>
      <c r="B58" t="s">
        <v>515</v>
      </c>
      <c r="C58" t="s">
        <v>481</v>
      </c>
      <c r="D58">
        <v>0</v>
      </c>
      <c r="E58" s="107">
        <v>0</v>
      </c>
      <c r="F58">
        <v>1</v>
      </c>
      <c r="G58" t="str">
        <f>CBIMPORT!S58</f>
        <v>www.continental.com</v>
      </c>
      <c r="H58">
        <v>1</v>
      </c>
      <c r="I58">
        <f>IF(EXACT(I$1,
_xlfn.XLOOKUP($B58,ANNOUNCEMENTS!$E$2:$E$180,ANNOUNCEMENTS!$J$2:$J$180,0,0)),1,
IF(EXACT(I$1,
_xlfn.XLOOKUP($B58,ANNOUNCEMENTS!$L$2:$L$180,ANNOUNCEMENTS!$J$2:$J$180,0,0)),1,
IF(EXACT(I$1,
_xlfn.XLOOKUP($B58,ANNOUNCEMENTS!$M$2:$M$180,ANNOUNCEMENTS!$J$2:$J$180,0,0)),1,
IF(EXACT(I$1,
_xlfn.XLOOKUP($B58,ANNOUNCEMENTS!$N$2:$N$180,ANNOUNCEMENTS!$J$2:$J$180,0,0)),1,0))))</f>
        <v>0</v>
      </c>
      <c r="J58">
        <f>IF(EXACT(J$1,
_xlfn.XLOOKUP($B58,ANNOUNCEMENTS!$E$2:$E$180,ANNOUNCEMENTS!$J$2:$J$180,0,0)),1,
IF(EXACT(J$1,
_xlfn.XLOOKUP($B58,ANNOUNCEMENTS!$L$2:$L$180,ANNOUNCEMENTS!$J$2:$J$180,0,0)),1,
IF(EXACT(J$1,
_xlfn.XLOOKUP($B58,ANNOUNCEMENTS!$M$2:$M$180,ANNOUNCEMENTS!$J$2:$J$180,0,0)),1,
IF(EXACT(J$1,
_xlfn.XLOOKUP($B58,ANNOUNCEMENTS!$N$2:$N$180,ANNOUNCEMENTS!$J$2:$J$180,0,0)),1,0))))</f>
        <v>1</v>
      </c>
      <c r="K58">
        <f>IF(EXACT(K$1,
_xlfn.XLOOKUP($B58,ANNOUNCEMENTS!$E$2:$E$180,ANNOUNCEMENTS!$J$2:$J$180,0,0)),1,
IF(EXACT(K$1,
_xlfn.XLOOKUP($B58,ANNOUNCEMENTS!$L$2:$L$180,ANNOUNCEMENTS!$J$2:$J$180,0,0)),1,
IF(EXACT(K$1,
_xlfn.XLOOKUP($B58,ANNOUNCEMENTS!$M$2:$M$180,ANNOUNCEMENTS!$J$2:$J$180,0,0)),1,
IF(EXACT(K$1,
_xlfn.XLOOKUP($B58,ANNOUNCEMENTS!$N$2:$N$180,ANNOUNCEMENTS!$J$2:$J$180,0,0)),1,0))))</f>
        <v>0</v>
      </c>
      <c r="L58">
        <f>IF(EXACT(L$1,
_xlfn.XLOOKUP($B58,ANNOUNCEMENTS!$E$2:$E$180,ANNOUNCEMENTS!$J$2:$J$180,0,0)),1,
IF(EXACT(L$1,
_xlfn.XLOOKUP($B58,ANNOUNCEMENTS!$L$2:$L$180,ANNOUNCEMENTS!$J$2:$J$180,0,0)),1,
IF(EXACT(L$1,
_xlfn.XLOOKUP($B58,ANNOUNCEMENTS!$M$2:$M$180,ANNOUNCEMENTS!$J$2:$J$180,0,0)),1,
IF(EXACT(L$1,
_xlfn.XLOOKUP($B58,ANNOUNCEMENTS!$N$2:$N$180,ANNOUNCEMENTS!$J$2:$J$180,0,0)),1,0))))</f>
        <v>0</v>
      </c>
      <c r="M58">
        <f t="shared" si="4"/>
        <v>2</v>
      </c>
      <c r="N58" t="b">
        <v>0</v>
      </c>
      <c r="O58" s="284">
        <f t="shared" si="5"/>
        <v>9</v>
      </c>
    </row>
    <row r="59" spans="1:15" x14ac:dyDescent="0.35">
      <c r="A59">
        <f t="shared" si="2"/>
        <v>58</v>
      </c>
      <c r="B59" t="s">
        <v>913</v>
      </c>
      <c r="C59" t="s">
        <v>902</v>
      </c>
      <c r="D59">
        <v>0</v>
      </c>
      <c r="E59" s="107">
        <v>28.9</v>
      </c>
      <c r="F59">
        <v>0</v>
      </c>
      <c r="G59" t="str">
        <f>CBIMPORT!S59</f>
        <v>www.ccta.net/</v>
      </c>
      <c r="H59">
        <f>IF(EXACT(H$1,
_xlfn.XLOOKUP($B59,ANNOUNCEMENTS!$E$2:$E$180,ANNOUNCEMENTS!$J$2:$J$180,0,0)),1,
IF(EXACT(H$1,
_xlfn.XLOOKUP($B59,ANNOUNCEMENTS!$L$2:$L$180,ANNOUNCEMENTS!$J$2:$J$180,0,0)),1,
IF(EXACT(H$1,
_xlfn.XLOOKUP($B59,ANNOUNCEMENTS!$M$2:$M$180,ANNOUNCEMENTS!$J$2:$J$180,0,0)),1,
IF(EXACT(H$1,
_xlfn.XLOOKUP($B59,ANNOUNCEMENTS!$N$2:$N$180,ANNOUNCEMENTS!$J$2:$J$180,0,0)),1,0))))</f>
        <v>1</v>
      </c>
      <c r="I59">
        <f>IF(EXACT(I$1,
_xlfn.XLOOKUP($B59,ANNOUNCEMENTS!$E$2:$E$180,ANNOUNCEMENTS!$J$2:$J$180,0,0)),1,
IF(EXACT(I$1,
_xlfn.XLOOKUP($B59,ANNOUNCEMENTS!$L$2:$L$180,ANNOUNCEMENTS!$J$2:$J$180,0,0)),1,
IF(EXACT(I$1,
_xlfn.XLOOKUP($B59,ANNOUNCEMENTS!$M$2:$M$180,ANNOUNCEMENTS!$J$2:$J$180,0,0)),1,
IF(EXACT(I$1,
_xlfn.XLOOKUP($B59,ANNOUNCEMENTS!$N$2:$N$180,ANNOUNCEMENTS!$J$2:$J$180,0,0)),1,0))))</f>
        <v>0</v>
      </c>
      <c r="J59">
        <f>IF(EXACT(J$1,
_xlfn.XLOOKUP($B59,ANNOUNCEMENTS!$E$2:$E$180,ANNOUNCEMENTS!$J$2:$J$180,0,0)),1,
IF(EXACT(J$1,
_xlfn.XLOOKUP($B59,ANNOUNCEMENTS!$L$2:$L$180,ANNOUNCEMENTS!$J$2:$J$180,0,0)),1,
IF(EXACT(J$1,
_xlfn.XLOOKUP($B59,ANNOUNCEMENTS!$M$2:$M$180,ANNOUNCEMENTS!$J$2:$J$180,0,0)),1,
IF(EXACT(J$1,
_xlfn.XLOOKUP($B59,ANNOUNCEMENTS!$N$2:$N$180,ANNOUNCEMENTS!$J$2:$J$180,0,0)),1,0))))</f>
        <v>0</v>
      </c>
      <c r="K59">
        <f>IF(EXACT(K$1,
_xlfn.XLOOKUP($B59,ANNOUNCEMENTS!$E$2:$E$180,ANNOUNCEMENTS!$J$2:$J$180,0,0)),1,
IF(EXACT(K$1,
_xlfn.XLOOKUP($B59,ANNOUNCEMENTS!$L$2:$L$180,ANNOUNCEMENTS!$J$2:$J$180,0,0)),1,
IF(EXACT(K$1,
_xlfn.XLOOKUP($B59,ANNOUNCEMENTS!$M$2:$M$180,ANNOUNCEMENTS!$J$2:$J$180,0,0)),1,
IF(EXACT(K$1,
_xlfn.XLOOKUP($B59,ANNOUNCEMENTS!$N$2:$N$180,ANNOUNCEMENTS!$J$2:$J$180,0,0)),1,0))))</f>
        <v>0</v>
      </c>
      <c r="L59">
        <f>IF(EXACT(L$1,
_xlfn.XLOOKUP($B59,ANNOUNCEMENTS!$E$2:$E$180,ANNOUNCEMENTS!$J$2:$J$180,0,0)),1,
IF(EXACT(L$1,
_xlfn.XLOOKUP($B59,ANNOUNCEMENTS!$L$2:$L$180,ANNOUNCEMENTS!$J$2:$J$180,0,0)),1,
IF(EXACT(L$1,
_xlfn.XLOOKUP($B59,ANNOUNCEMENTS!$M$2:$M$180,ANNOUNCEMENTS!$J$2:$J$180,0,0)),1,
IF(EXACT(L$1,
_xlfn.XLOOKUP($B59,ANNOUNCEMENTS!$N$2:$N$180,ANNOUNCEMENTS!$J$2:$J$180,0,0)),1,0))))</f>
        <v>0</v>
      </c>
      <c r="M59">
        <f t="shared" si="4"/>
        <v>1</v>
      </c>
      <c r="N59" t="b">
        <v>0</v>
      </c>
      <c r="O59" s="284">
        <f t="shared" si="5"/>
        <v>14</v>
      </c>
    </row>
    <row r="60" spans="1:15" x14ac:dyDescent="0.35">
      <c r="A60">
        <f t="shared" si="2"/>
        <v>59</v>
      </c>
      <c r="B60" t="s">
        <v>684</v>
      </c>
      <c r="C60" t="s">
        <v>306</v>
      </c>
      <c r="D60">
        <v>0</v>
      </c>
      <c r="E60" s="107">
        <v>0</v>
      </c>
      <c r="F60">
        <v>0</v>
      </c>
      <c r="G60" t="str">
        <f>CBIMPORT!S60</f>
        <v>www.covenantlogistics.com/</v>
      </c>
      <c r="H60">
        <f>IF(EXACT(H$1,
_xlfn.XLOOKUP($B60,ANNOUNCEMENTS!$E$2:$E$180,ANNOUNCEMENTS!$J$2:$J$180,0,0)),1,
IF(EXACT(H$1,
_xlfn.XLOOKUP($B60,ANNOUNCEMENTS!$L$2:$L$180,ANNOUNCEMENTS!$J$2:$J$180,0,0)),1,
IF(EXACT(H$1,
_xlfn.XLOOKUP($B60,ANNOUNCEMENTS!$M$2:$M$180,ANNOUNCEMENTS!$J$2:$J$180,0,0)),1,
IF(EXACT(H$1,
_xlfn.XLOOKUP($B60,ANNOUNCEMENTS!$N$2:$N$180,ANNOUNCEMENTS!$J$2:$J$180,0,0)),1,0))))</f>
        <v>0</v>
      </c>
      <c r="I60">
        <f>IF(EXACT(I$1,
_xlfn.XLOOKUP($B60,ANNOUNCEMENTS!$E$2:$E$180,ANNOUNCEMENTS!$J$2:$J$180,0,0)),1,
IF(EXACT(I$1,
_xlfn.XLOOKUP($B60,ANNOUNCEMENTS!$L$2:$L$180,ANNOUNCEMENTS!$J$2:$J$180,0,0)),1,
IF(EXACT(I$1,
_xlfn.XLOOKUP($B60,ANNOUNCEMENTS!$M$2:$M$180,ANNOUNCEMENTS!$J$2:$J$180,0,0)),1,
IF(EXACT(I$1,
_xlfn.XLOOKUP($B60,ANNOUNCEMENTS!$N$2:$N$180,ANNOUNCEMENTS!$J$2:$J$180,0,0)),1,0))))</f>
        <v>0</v>
      </c>
      <c r="J60">
        <f>IF(EXACT(J$1,
_xlfn.XLOOKUP($B60,ANNOUNCEMENTS!$E$2:$E$180,ANNOUNCEMENTS!$J$2:$J$180,0,0)),1,
IF(EXACT(J$1,
_xlfn.XLOOKUP($B60,ANNOUNCEMENTS!$L$2:$L$180,ANNOUNCEMENTS!$J$2:$J$180,0,0)),1,
IF(EXACT(J$1,
_xlfn.XLOOKUP($B60,ANNOUNCEMENTS!$M$2:$M$180,ANNOUNCEMENTS!$J$2:$J$180,0,0)),1,
IF(EXACT(J$1,
_xlfn.XLOOKUP($B60,ANNOUNCEMENTS!$N$2:$N$180,ANNOUNCEMENTS!$J$2:$J$180,0,0)),1,0))))</f>
        <v>1</v>
      </c>
      <c r="K60">
        <f>IF(EXACT(K$1,
_xlfn.XLOOKUP($B60,ANNOUNCEMENTS!$E$2:$E$180,ANNOUNCEMENTS!$J$2:$J$180,0,0)),1,
IF(EXACT(K$1,
_xlfn.XLOOKUP($B60,ANNOUNCEMENTS!$L$2:$L$180,ANNOUNCEMENTS!$J$2:$J$180,0,0)),1,
IF(EXACT(K$1,
_xlfn.XLOOKUP($B60,ANNOUNCEMENTS!$M$2:$M$180,ANNOUNCEMENTS!$J$2:$J$180,0,0)),1,
IF(EXACT(K$1,
_xlfn.XLOOKUP($B60,ANNOUNCEMENTS!$N$2:$N$180,ANNOUNCEMENTS!$J$2:$J$180,0,0)),1,0))))</f>
        <v>0</v>
      </c>
      <c r="L60">
        <f>IF(EXACT(L$1,
_xlfn.XLOOKUP($B60,ANNOUNCEMENTS!$E$2:$E$180,ANNOUNCEMENTS!$J$2:$J$180,0,0)),1,
IF(EXACT(L$1,
_xlfn.XLOOKUP($B60,ANNOUNCEMENTS!$L$2:$L$180,ANNOUNCEMENTS!$J$2:$J$180,0,0)),1,
IF(EXACT(L$1,
_xlfn.XLOOKUP($B60,ANNOUNCEMENTS!$M$2:$M$180,ANNOUNCEMENTS!$J$2:$J$180,0,0)),1,
IF(EXACT(L$1,
_xlfn.XLOOKUP($B60,ANNOUNCEMENTS!$N$2:$N$180,ANNOUNCEMENTS!$J$2:$J$180,0,0)),1,0))))</f>
        <v>0</v>
      </c>
      <c r="M60">
        <f t="shared" si="4"/>
        <v>1</v>
      </c>
      <c r="N60" t="b">
        <v>0</v>
      </c>
      <c r="O60" s="284">
        <f t="shared" si="5"/>
        <v>22</v>
      </c>
    </row>
    <row r="61" spans="1:15" x14ac:dyDescent="0.35">
      <c r="A61">
        <f t="shared" si="2"/>
        <v>60</v>
      </c>
      <c r="B61" t="s">
        <v>480</v>
      </c>
      <c r="C61" t="s">
        <v>481</v>
      </c>
      <c r="D61">
        <v>0</v>
      </c>
      <c r="E61" s="107">
        <v>5.2625000000000002</v>
      </c>
      <c r="F61">
        <v>1</v>
      </c>
      <c r="G61" t="str">
        <f>CBIMPORT!S61</f>
        <v>www.cummins.com</v>
      </c>
      <c r="H61">
        <f>IF(EXACT(H$1,
_xlfn.XLOOKUP($B61,ANNOUNCEMENTS!$E$2:$E$180,ANNOUNCEMENTS!$J$2:$J$180,0,0)),1,
IF(EXACT(H$1,
_xlfn.XLOOKUP($B61,ANNOUNCEMENTS!$L$2:$L$180,ANNOUNCEMENTS!$J$2:$J$180,0,0)),1,
IF(EXACT(H$1,
_xlfn.XLOOKUP($B61,ANNOUNCEMENTS!$M$2:$M$180,ANNOUNCEMENTS!$J$2:$J$180,0,0)),1,
IF(EXACT(H$1,
_xlfn.XLOOKUP($B61,ANNOUNCEMENTS!$N$2:$N$180,ANNOUNCEMENTS!$J$2:$J$180,0,0)),1,0))))</f>
        <v>0</v>
      </c>
      <c r="I61">
        <f>IF(EXACT(I$1,
_xlfn.XLOOKUP($B61,ANNOUNCEMENTS!$E$2:$E$180,ANNOUNCEMENTS!$J$2:$J$180,0,0)),1,
IF(EXACT(I$1,
_xlfn.XLOOKUP($B61,ANNOUNCEMENTS!$L$2:$L$180,ANNOUNCEMENTS!$J$2:$J$180,0,0)),1,
IF(EXACT(I$1,
_xlfn.XLOOKUP($B61,ANNOUNCEMENTS!$M$2:$M$180,ANNOUNCEMENTS!$J$2:$J$180,0,0)),1,
IF(EXACT(I$1,
_xlfn.XLOOKUP($B61,ANNOUNCEMENTS!$N$2:$N$180,ANNOUNCEMENTS!$J$2:$J$180,0,0)),1,0))))</f>
        <v>0</v>
      </c>
      <c r="J61">
        <f>IF(EXACT(J$1,
_xlfn.XLOOKUP($B61,ANNOUNCEMENTS!$E$2:$E$180,ANNOUNCEMENTS!$J$2:$J$180,0,0)),1,
IF(EXACT(J$1,
_xlfn.XLOOKUP($B61,ANNOUNCEMENTS!$L$2:$L$180,ANNOUNCEMENTS!$J$2:$J$180,0,0)),1,
IF(EXACT(J$1,
_xlfn.XLOOKUP($B61,ANNOUNCEMENTS!$M$2:$M$180,ANNOUNCEMENTS!$J$2:$J$180,0,0)),1,
IF(EXACT(J$1,
_xlfn.XLOOKUP($B61,ANNOUNCEMENTS!$N$2:$N$180,ANNOUNCEMENTS!$J$2:$J$180,0,0)),1,0))))</f>
        <v>1</v>
      </c>
      <c r="K61">
        <f>IF(EXACT(K$1,
_xlfn.XLOOKUP($B61,ANNOUNCEMENTS!$E$2:$E$180,ANNOUNCEMENTS!$J$2:$J$180,0,0)),1,
IF(EXACT(K$1,
_xlfn.XLOOKUP($B61,ANNOUNCEMENTS!$L$2:$L$180,ANNOUNCEMENTS!$J$2:$J$180,0,0)),1,
IF(EXACT(K$1,
_xlfn.XLOOKUP($B61,ANNOUNCEMENTS!$M$2:$M$180,ANNOUNCEMENTS!$J$2:$J$180,0,0)),1,
IF(EXACT(K$1,
_xlfn.XLOOKUP($B61,ANNOUNCEMENTS!$N$2:$N$180,ANNOUNCEMENTS!$J$2:$J$180,0,0)),1,0))))</f>
        <v>0</v>
      </c>
      <c r="L61">
        <f>IF(EXACT(L$1,
_xlfn.XLOOKUP($B61,ANNOUNCEMENTS!$E$2:$E$180,ANNOUNCEMENTS!$J$2:$J$180,0,0)),1,
IF(EXACT(L$1,
_xlfn.XLOOKUP($B61,ANNOUNCEMENTS!$L$2:$L$180,ANNOUNCEMENTS!$J$2:$J$180,0,0)),1,
IF(EXACT(L$1,
_xlfn.XLOOKUP($B61,ANNOUNCEMENTS!$M$2:$M$180,ANNOUNCEMENTS!$J$2:$J$180,0,0)),1,
IF(EXACT(L$1,
_xlfn.XLOOKUP($B61,ANNOUNCEMENTS!$N$2:$N$180,ANNOUNCEMENTS!$J$2:$J$180,0,0)),1,0))))</f>
        <v>0</v>
      </c>
      <c r="M61">
        <f t="shared" si="4"/>
        <v>1</v>
      </c>
      <c r="N61" t="b">
        <v>0</v>
      </c>
      <c r="O61" s="284">
        <f t="shared" si="5"/>
        <v>9</v>
      </c>
    </row>
    <row r="62" spans="1:15" x14ac:dyDescent="0.35">
      <c r="A62">
        <f t="shared" si="2"/>
        <v>61</v>
      </c>
      <c r="B62" t="s">
        <v>783</v>
      </c>
      <c r="C62" t="s">
        <v>784</v>
      </c>
      <c r="D62">
        <v>0</v>
      </c>
      <c r="E62" s="107">
        <v>0</v>
      </c>
      <c r="F62">
        <v>0</v>
      </c>
      <c r="G62" t="str">
        <f>CBIMPORT!S62</f>
        <v>www.daimlertruck.com/</v>
      </c>
      <c r="H62">
        <f>IF(EXACT(H$1,
_xlfn.XLOOKUP($B62,ANNOUNCEMENTS!$E$2:$E$180,ANNOUNCEMENTS!$J$2:$J$180,0,0)),1,
IF(EXACT(H$1,
_xlfn.XLOOKUP($B62,ANNOUNCEMENTS!$L$2:$L$180,ANNOUNCEMENTS!$J$2:$J$180,0,0)),1,
IF(EXACT(H$1,
_xlfn.XLOOKUP($B62,ANNOUNCEMENTS!$M$2:$M$180,ANNOUNCEMENTS!$J$2:$J$180,0,0)),1,
IF(EXACT(H$1,
_xlfn.XLOOKUP($B62,ANNOUNCEMENTS!$N$2:$N$180,ANNOUNCEMENTS!$J$2:$J$180,0,0)),1,0))))</f>
        <v>0</v>
      </c>
      <c r="I62">
        <f>IF(EXACT(I$1,
_xlfn.XLOOKUP($B62,ANNOUNCEMENTS!$E$2:$E$180,ANNOUNCEMENTS!$J$2:$J$180,0,0)),1,
IF(EXACT(I$1,
_xlfn.XLOOKUP($B62,ANNOUNCEMENTS!$L$2:$L$180,ANNOUNCEMENTS!$J$2:$J$180,0,0)),1,
IF(EXACT(I$1,
_xlfn.XLOOKUP($B62,ANNOUNCEMENTS!$M$2:$M$180,ANNOUNCEMENTS!$J$2:$J$180,0,0)),1,
IF(EXACT(I$1,
_xlfn.XLOOKUP($B62,ANNOUNCEMENTS!$N$2:$N$180,ANNOUNCEMENTS!$J$2:$J$180,0,0)),1,0))))</f>
        <v>0</v>
      </c>
      <c r="J62">
        <f>IF(EXACT(J$1,
_xlfn.XLOOKUP($B62,ANNOUNCEMENTS!$E$2:$E$180,ANNOUNCEMENTS!$J$2:$J$180,0,0)),1,
IF(EXACT(J$1,
_xlfn.XLOOKUP($B62,ANNOUNCEMENTS!$L$2:$L$180,ANNOUNCEMENTS!$J$2:$J$180,0,0)),1,
IF(EXACT(J$1,
_xlfn.XLOOKUP($B62,ANNOUNCEMENTS!$M$2:$M$180,ANNOUNCEMENTS!$J$2:$J$180,0,0)),1,
IF(EXACT(J$1,
_xlfn.XLOOKUP($B62,ANNOUNCEMENTS!$N$2:$N$180,ANNOUNCEMENTS!$J$2:$J$180,0,0)),1,0))))</f>
        <v>1</v>
      </c>
      <c r="K62">
        <f>IF(EXACT(K$1,
_xlfn.XLOOKUP($B62,ANNOUNCEMENTS!$E$2:$E$180,ANNOUNCEMENTS!$J$2:$J$180,0,0)),1,
IF(EXACT(K$1,
_xlfn.XLOOKUP($B62,ANNOUNCEMENTS!$L$2:$L$180,ANNOUNCEMENTS!$J$2:$J$180,0,0)),1,
IF(EXACT(K$1,
_xlfn.XLOOKUP($B62,ANNOUNCEMENTS!$M$2:$M$180,ANNOUNCEMENTS!$J$2:$J$180,0,0)),1,
IF(EXACT(K$1,
_xlfn.XLOOKUP($B62,ANNOUNCEMENTS!$N$2:$N$180,ANNOUNCEMENTS!$J$2:$J$180,0,0)),1,0))))</f>
        <v>0</v>
      </c>
      <c r="L62">
        <f>IF(EXACT(L$1,
_xlfn.XLOOKUP($B62,ANNOUNCEMENTS!$E$2:$E$180,ANNOUNCEMENTS!$J$2:$J$180,0,0)),1,
IF(EXACT(L$1,
_xlfn.XLOOKUP($B62,ANNOUNCEMENTS!$L$2:$L$180,ANNOUNCEMENTS!$J$2:$J$180,0,0)),1,
IF(EXACT(L$1,
_xlfn.XLOOKUP($B62,ANNOUNCEMENTS!$M$2:$M$180,ANNOUNCEMENTS!$J$2:$J$180,0,0)),1,
IF(EXACT(L$1,
_xlfn.XLOOKUP($B62,ANNOUNCEMENTS!$N$2:$N$180,ANNOUNCEMENTS!$J$2:$J$180,0,0)),1,0))))</f>
        <v>0</v>
      </c>
      <c r="M62">
        <f t="shared" si="4"/>
        <v>1</v>
      </c>
      <c r="N62" t="b">
        <v>0</v>
      </c>
      <c r="O62" s="284">
        <f t="shared" si="5"/>
        <v>12</v>
      </c>
    </row>
    <row r="63" spans="1:15" x14ac:dyDescent="0.35">
      <c r="A63">
        <f t="shared" si="2"/>
        <v>62</v>
      </c>
      <c r="B63" t="s">
        <v>907</v>
      </c>
      <c r="C63" t="s">
        <v>398</v>
      </c>
      <c r="D63">
        <v>0</v>
      </c>
      <c r="E63" s="107">
        <v>0</v>
      </c>
      <c r="F63">
        <v>0</v>
      </c>
      <c r="G63" t="str">
        <f>CBIMPORT!S63</f>
        <v>https://www.dbregio.de/</v>
      </c>
      <c r="H63">
        <f>IF(EXACT(H$1,
_xlfn.XLOOKUP($B63,ANNOUNCEMENTS!$E$2:$E$180,ANNOUNCEMENTS!$J$2:$J$180,0,0)),1,
IF(EXACT(H$1,
_xlfn.XLOOKUP($B63,ANNOUNCEMENTS!$L$2:$L$180,ANNOUNCEMENTS!$J$2:$J$180,0,0)),1,
IF(EXACT(H$1,
_xlfn.XLOOKUP($B63,ANNOUNCEMENTS!$M$2:$M$180,ANNOUNCEMENTS!$J$2:$J$180,0,0)),1,
IF(EXACT(H$1,
_xlfn.XLOOKUP($B63,ANNOUNCEMENTS!$N$2:$N$180,ANNOUNCEMENTS!$J$2:$J$180,0,0)),1,0))))</f>
        <v>1</v>
      </c>
      <c r="I63">
        <f>IF(EXACT(I$1,
_xlfn.XLOOKUP($B63,ANNOUNCEMENTS!$E$2:$E$180,ANNOUNCEMENTS!$J$2:$J$180,0,0)),1,
IF(EXACT(I$1,
_xlfn.XLOOKUP($B63,ANNOUNCEMENTS!$L$2:$L$180,ANNOUNCEMENTS!$J$2:$J$180,0,0)),1,
IF(EXACT(I$1,
_xlfn.XLOOKUP($B63,ANNOUNCEMENTS!$M$2:$M$180,ANNOUNCEMENTS!$J$2:$J$180,0,0)),1,
IF(EXACT(I$1,
_xlfn.XLOOKUP($B63,ANNOUNCEMENTS!$N$2:$N$180,ANNOUNCEMENTS!$J$2:$J$180,0,0)),1,0))))</f>
        <v>0</v>
      </c>
      <c r="J63">
        <f>IF(EXACT(J$1,
_xlfn.XLOOKUP($B63,ANNOUNCEMENTS!$E$2:$E$180,ANNOUNCEMENTS!$J$2:$J$180,0,0)),1,
IF(EXACT(J$1,
_xlfn.XLOOKUP($B63,ANNOUNCEMENTS!$L$2:$L$180,ANNOUNCEMENTS!$J$2:$J$180,0,0)),1,
IF(EXACT(J$1,
_xlfn.XLOOKUP($B63,ANNOUNCEMENTS!$M$2:$M$180,ANNOUNCEMENTS!$J$2:$J$180,0,0)),1,
IF(EXACT(J$1,
_xlfn.XLOOKUP($B63,ANNOUNCEMENTS!$N$2:$N$180,ANNOUNCEMENTS!$J$2:$J$180,0,0)),1,0))))</f>
        <v>0</v>
      </c>
      <c r="K63">
        <f>IF(EXACT(K$1,
_xlfn.XLOOKUP($B63,ANNOUNCEMENTS!$E$2:$E$180,ANNOUNCEMENTS!$J$2:$J$180,0,0)),1,
IF(EXACT(K$1,
_xlfn.XLOOKUP($B63,ANNOUNCEMENTS!$L$2:$L$180,ANNOUNCEMENTS!$J$2:$J$180,0,0)),1,
IF(EXACT(K$1,
_xlfn.XLOOKUP($B63,ANNOUNCEMENTS!$M$2:$M$180,ANNOUNCEMENTS!$J$2:$J$180,0,0)),1,
IF(EXACT(K$1,
_xlfn.XLOOKUP($B63,ANNOUNCEMENTS!$N$2:$N$180,ANNOUNCEMENTS!$J$2:$J$180,0,0)),1,0))))</f>
        <v>0</v>
      </c>
      <c r="L63">
        <f>IF(EXACT(L$1,
_xlfn.XLOOKUP($B63,ANNOUNCEMENTS!$E$2:$E$180,ANNOUNCEMENTS!$J$2:$J$180,0,0)),1,
IF(EXACT(L$1,
_xlfn.XLOOKUP($B63,ANNOUNCEMENTS!$L$2:$L$180,ANNOUNCEMENTS!$J$2:$J$180,0,0)),1,
IF(EXACT(L$1,
_xlfn.XLOOKUP($B63,ANNOUNCEMENTS!$M$2:$M$180,ANNOUNCEMENTS!$J$2:$J$180,0,0)),1,
IF(EXACT(L$1,
_xlfn.XLOOKUP($B63,ANNOUNCEMENTS!$N$2:$N$180,ANNOUNCEMENTS!$J$2:$J$180,0,0)),1,0))))</f>
        <v>0</v>
      </c>
      <c r="M63">
        <f t="shared" si="4"/>
        <v>1</v>
      </c>
      <c r="N63" t="b">
        <v>0</v>
      </c>
      <c r="O63" s="284">
        <f t="shared" si="5"/>
        <v>13</v>
      </c>
    </row>
    <row r="64" spans="1:15" x14ac:dyDescent="0.35">
      <c r="A64">
        <f t="shared" si="2"/>
        <v>63</v>
      </c>
      <c r="B64" t="s">
        <v>486</v>
      </c>
      <c r="C64" t="s">
        <v>481</v>
      </c>
      <c r="D64">
        <v>0</v>
      </c>
      <c r="E64" s="107">
        <v>0</v>
      </c>
      <c r="F64">
        <v>1</v>
      </c>
      <c r="G64" t="str">
        <f>CBIMPORT!S64</f>
        <v>www.delphi.com</v>
      </c>
      <c r="H64">
        <f>IF(EXACT(H$1,
_xlfn.XLOOKUP($B64,ANNOUNCEMENTS!$E$2:$E$180,ANNOUNCEMENTS!$J$2:$J$180,0,0)),1,
IF(EXACT(H$1,
_xlfn.XLOOKUP($B64,ANNOUNCEMENTS!$L$2:$L$180,ANNOUNCEMENTS!$J$2:$J$180,0,0)),1,
IF(EXACT(H$1,
_xlfn.XLOOKUP($B64,ANNOUNCEMENTS!$M$2:$M$180,ANNOUNCEMENTS!$J$2:$J$180,0,0)),1,
IF(EXACT(H$1,
_xlfn.XLOOKUP($B64,ANNOUNCEMENTS!$N$2:$N$180,ANNOUNCEMENTS!$J$2:$J$180,0,0)),1,0))))</f>
        <v>1</v>
      </c>
      <c r="I64">
        <f>IF(EXACT(I$1,
_xlfn.XLOOKUP($B64,ANNOUNCEMENTS!$E$2:$E$180,ANNOUNCEMENTS!$J$2:$J$180,0,0)),1,
IF(EXACT(I$1,
_xlfn.XLOOKUP($B64,ANNOUNCEMENTS!$L$2:$L$180,ANNOUNCEMENTS!$J$2:$J$180,0,0)),1,
IF(EXACT(I$1,
_xlfn.XLOOKUP($B64,ANNOUNCEMENTS!$M$2:$M$180,ANNOUNCEMENTS!$J$2:$J$180,0,0)),1,
IF(EXACT(I$1,
_xlfn.XLOOKUP($B64,ANNOUNCEMENTS!$N$2:$N$180,ANNOUNCEMENTS!$J$2:$J$180,0,0)),1,0))))</f>
        <v>0</v>
      </c>
      <c r="J64">
        <f>IF(EXACT(J$1,
_xlfn.XLOOKUP($B64,ANNOUNCEMENTS!$E$2:$E$180,ANNOUNCEMENTS!$J$2:$J$180,0,0)),1,
IF(EXACT(J$1,
_xlfn.XLOOKUP($B64,ANNOUNCEMENTS!$L$2:$L$180,ANNOUNCEMENTS!$J$2:$J$180,0,0)),1,
IF(EXACT(J$1,
_xlfn.XLOOKUP($B64,ANNOUNCEMENTS!$M$2:$M$180,ANNOUNCEMENTS!$J$2:$J$180,0,0)),1,
IF(EXACT(J$1,
_xlfn.XLOOKUP($B64,ANNOUNCEMENTS!$N$2:$N$180,ANNOUNCEMENTS!$J$2:$J$180,0,0)),1,0))))</f>
        <v>0</v>
      </c>
      <c r="K64">
        <f>IF(EXACT(K$1,
_xlfn.XLOOKUP($B64,ANNOUNCEMENTS!$E$2:$E$180,ANNOUNCEMENTS!$J$2:$J$180,0,0)),1,
IF(EXACT(K$1,
_xlfn.XLOOKUP($B64,ANNOUNCEMENTS!$L$2:$L$180,ANNOUNCEMENTS!$J$2:$J$180,0,0)),1,
IF(EXACT(K$1,
_xlfn.XLOOKUP($B64,ANNOUNCEMENTS!$M$2:$M$180,ANNOUNCEMENTS!$J$2:$J$180,0,0)),1,
IF(EXACT(K$1,
_xlfn.XLOOKUP($B64,ANNOUNCEMENTS!$N$2:$N$180,ANNOUNCEMENTS!$J$2:$J$180,0,0)),1,0))))</f>
        <v>0</v>
      </c>
      <c r="L64">
        <f>IF(EXACT(L$1,
_xlfn.XLOOKUP($B64,ANNOUNCEMENTS!$E$2:$E$180,ANNOUNCEMENTS!$J$2:$J$180,0,0)),1,
IF(EXACT(L$1,
_xlfn.XLOOKUP($B64,ANNOUNCEMENTS!$L$2:$L$180,ANNOUNCEMENTS!$J$2:$J$180,0,0)),1,
IF(EXACT(L$1,
_xlfn.XLOOKUP($B64,ANNOUNCEMENTS!$M$2:$M$180,ANNOUNCEMENTS!$J$2:$J$180,0,0)),1,
IF(EXACT(L$1,
_xlfn.XLOOKUP($B64,ANNOUNCEMENTS!$N$2:$N$180,ANNOUNCEMENTS!$J$2:$J$180,0,0)),1,0))))</f>
        <v>0</v>
      </c>
      <c r="M64">
        <f t="shared" si="4"/>
        <v>1</v>
      </c>
      <c r="N64" t="b">
        <v>0</v>
      </c>
      <c r="O64" s="284">
        <f t="shared" si="5"/>
        <v>9</v>
      </c>
    </row>
    <row r="65" spans="1:15" x14ac:dyDescent="0.35">
      <c r="A65">
        <f t="shared" si="2"/>
        <v>64</v>
      </c>
      <c r="B65" t="s">
        <v>459</v>
      </c>
      <c r="C65" t="s">
        <v>274</v>
      </c>
      <c r="D65">
        <v>0</v>
      </c>
      <c r="E65" s="107">
        <v>3.58</v>
      </c>
      <c r="F65">
        <v>0</v>
      </c>
      <c r="G65" t="str">
        <f>CBIMPORT!S65</f>
        <v>en.derq.com</v>
      </c>
      <c r="H65">
        <f>IF(EXACT(H$1,
_xlfn.XLOOKUP($B65,ANNOUNCEMENTS!$E$2:$E$180,ANNOUNCEMENTS!$J$2:$J$180,0,0)),1,
IF(EXACT(H$1,
_xlfn.XLOOKUP($B65,ANNOUNCEMENTS!$L$2:$L$180,ANNOUNCEMENTS!$J$2:$J$180,0,0)),1,
IF(EXACT(H$1,
_xlfn.XLOOKUP($B65,ANNOUNCEMENTS!$M$2:$M$180,ANNOUNCEMENTS!$J$2:$J$180,0,0)),1,
IF(EXACT(H$1,
_xlfn.XLOOKUP($B65,ANNOUNCEMENTS!$N$2:$N$180,ANNOUNCEMENTS!$J$2:$J$180,0,0)),1,0))))</f>
        <v>0</v>
      </c>
      <c r="I65">
        <f>IF(EXACT(I$1,
_xlfn.XLOOKUP($B65,ANNOUNCEMENTS!$E$2:$E$180,ANNOUNCEMENTS!$J$2:$J$180,0,0)),1,
IF(EXACT(I$1,
_xlfn.XLOOKUP($B65,ANNOUNCEMENTS!$L$2:$L$180,ANNOUNCEMENTS!$J$2:$J$180,0,0)),1,
IF(EXACT(I$1,
_xlfn.XLOOKUP($B65,ANNOUNCEMENTS!$M$2:$M$180,ANNOUNCEMENTS!$J$2:$J$180,0,0)),1,
IF(EXACT(I$1,
_xlfn.XLOOKUP($B65,ANNOUNCEMENTS!$N$2:$N$180,ANNOUNCEMENTS!$J$2:$J$180,0,0)),1,0))))</f>
        <v>1</v>
      </c>
      <c r="J65">
        <f>IF(EXACT(J$1,
_xlfn.XLOOKUP($B65,ANNOUNCEMENTS!$E$2:$E$180,ANNOUNCEMENTS!$J$2:$J$180,0,0)),1,
IF(EXACT(J$1,
_xlfn.XLOOKUP($B65,ANNOUNCEMENTS!$L$2:$L$180,ANNOUNCEMENTS!$J$2:$J$180,0,0)),1,
IF(EXACT(J$1,
_xlfn.XLOOKUP($B65,ANNOUNCEMENTS!$M$2:$M$180,ANNOUNCEMENTS!$J$2:$J$180,0,0)),1,
IF(EXACT(J$1,
_xlfn.XLOOKUP($B65,ANNOUNCEMENTS!$N$2:$N$180,ANNOUNCEMENTS!$J$2:$J$180,0,0)),1,0))))</f>
        <v>0</v>
      </c>
      <c r="K65">
        <f>IF(EXACT(K$1,
_xlfn.XLOOKUP($B65,ANNOUNCEMENTS!$E$2:$E$180,ANNOUNCEMENTS!$J$2:$J$180,0,0)),1,
IF(EXACT(K$1,
_xlfn.XLOOKUP($B65,ANNOUNCEMENTS!$L$2:$L$180,ANNOUNCEMENTS!$J$2:$J$180,0,0)),1,
IF(EXACT(K$1,
_xlfn.XLOOKUP($B65,ANNOUNCEMENTS!$M$2:$M$180,ANNOUNCEMENTS!$J$2:$J$180,0,0)),1,
IF(EXACT(K$1,
_xlfn.XLOOKUP($B65,ANNOUNCEMENTS!$N$2:$N$180,ANNOUNCEMENTS!$J$2:$J$180,0,0)),1,0))))</f>
        <v>0</v>
      </c>
      <c r="L65">
        <f>IF(EXACT(L$1,
_xlfn.XLOOKUP($B65,ANNOUNCEMENTS!$E$2:$E$180,ANNOUNCEMENTS!$J$2:$J$180,0,0)),1,
IF(EXACT(L$1,
_xlfn.XLOOKUP($B65,ANNOUNCEMENTS!$L$2:$L$180,ANNOUNCEMENTS!$J$2:$J$180,0,0)),1,
IF(EXACT(L$1,
_xlfn.XLOOKUP($B65,ANNOUNCEMENTS!$M$2:$M$180,ANNOUNCEMENTS!$J$2:$J$180,0,0)),1,
IF(EXACT(L$1,
_xlfn.XLOOKUP($B65,ANNOUNCEMENTS!$N$2:$N$180,ANNOUNCEMENTS!$J$2:$J$180,0,0)),1,0))))</f>
        <v>0</v>
      </c>
      <c r="M65">
        <f t="shared" si="4"/>
        <v>1</v>
      </c>
      <c r="N65" t="b">
        <v>0</v>
      </c>
      <c r="O65" s="284">
        <f t="shared" si="5"/>
        <v>6</v>
      </c>
    </row>
    <row r="66" spans="1:15" x14ac:dyDescent="0.35">
      <c r="A66">
        <f t="shared" si="2"/>
        <v>65</v>
      </c>
      <c r="B66" t="s">
        <v>888</v>
      </c>
      <c r="C66" t="s">
        <v>398</v>
      </c>
      <c r="D66">
        <v>0</v>
      </c>
      <c r="E66" s="107">
        <v>0</v>
      </c>
      <c r="F66">
        <v>0</v>
      </c>
      <c r="G66" t="str">
        <f>CBIMPORT!S66</f>
        <v>www.bahn.de</v>
      </c>
      <c r="H66">
        <f>IF(EXACT(H$1,
_xlfn.XLOOKUP($B66,ANNOUNCEMENTS!$E$2:$E$180,ANNOUNCEMENTS!$J$2:$J$180,0,0)),1,
IF(EXACT(H$1,
_xlfn.XLOOKUP($B66,ANNOUNCEMENTS!$L$2:$L$180,ANNOUNCEMENTS!$J$2:$J$180,0,0)),1,
IF(EXACT(H$1,
_xlfn.XLOOKUP($B66,ANNOUNCEMENTS!$M$2:$M$180,ANNOUNCEMENTS!$J$2:$J$180,0,0)),1,
IF(EXACT(H$1,
_xlfn.XLOOKUP($B66,ANNOUNCEMENTS!$N$2:$N$180,ANNOUNCEMENTS!$J$2:$J$180,0,0)),1,0))))</f>
        <v>1</v>
      </c>
      <c r="I66">
        <f>IF(EXACT(I$1,
_xlfn.XLOOKUP($B66,ANNOUNCEMENTS!$E$2:$E$180,ANNOUNCEMENTS!$J$2:$J$180,0,0)),1,
IF(EXACT(I$1,
_xlfn.XLOOKUP($B66,ANNOUNCEMENTS!$L$2:$L$180,ANNOUNCEMENTS!$J$2:$J$180,0,0)),1,
IF(EXACT(I$1,
_xlfn.XLOOKUP($B66,ANNOUNCEMENTS!$M$2:$M$180,ANNOUNCEMENTS!$J$2:$J$180,0,0)),1,
IF(EXACT(I$1,
_xlfn.XLOOKUP($B66,ANNOUNCEMENTS!$N$2:$N$180,ANNOUNCEMENTS!$J$2:$J$180,0,0)),1,0))))</f>
        <v>0</v>
      </c>
      <c r="J66">
        <f>IF(EXACT(J$1,
_xlfn.XLOOKUP($B66,ANNOUNCEMENTS!$E$2:$E$180,ANNOUNCEMENTS!$J$2:$J$180,0,0)),1,
IF(EXACT(J$1,
_xlfn.XLOOKUP($B66,ANNOUNCEMENTS!$L$2:$L$180,ANNOUNCEMENTS!$J$2:$J$180,0,0)),1,
IF(EXACT(J$1,
_xlfn.XLOOKUP($B66,ANNOUNCEMENTS!$M$2:$M$180,ANNOUNCEMENTS!$J$2:$J$180,0,0)),1,
IF(EXACT(J$1,
_xlfn.XLOOKUP($B66,ANNOUNCEMENTS!$N$2:$N$180,ANNOUNCEMENTS!$J$2:$J$180,0,0)),1,0))))</f>
        <v>0</v>
      </c>
      <c r="K66">
        <f>IF(EXACT(K$1,
_xlfn.XLOOKUP($B66,ANNOUNCEMENTS!$E$2:$E$180,ANNOUNCEMENTS!$J$2:$J$180,0,0)),1,
IF(EXACT(K$1,
_xlfn.XLOOKUP($B66,ANNOUNCEMENTS!$L$2:$L$180,ANNOUNCEMENTS!$J$2:$J$180,0,0)),1,
IF(EXACT(K$1,
_xlfn.XLOOKUP($B66,ANNOUNCEMENTS!$M$2:$M$180,ANNOUNCEMENTS!$J$2:$J$180,0,0)),1,
IF(EXACT(K$1,
_xlfn.XLOOKUP($B66,ANNOUNCEMENTS!$N$2:$N$180,ANNOUNCEMENTS!$J$2:$J$180,0,0)),1,0))))</f>
        <v>0</v>
      </c>
      <c r="L66">
        <f>IF(EXACT(L$1,
_xlfn.XLOOKUP($B66,ANNOUNCEMENTS!$E$2:$E$180,ANNOUNCEMENTS!$J$2:$J$180,0,0)),1,
IF(EXACT(L$1,
_xlfn.XLOOKUP($B66,ANNOUNCEMENTS!$L$2:$L$180,ANNOUNCEMENTS!$J$2:$J$180,0,0)),1,
IF(EXACT(L$1,
_xlfn.XLOOKUP($B66,ANNOUNCEMENTS!$M$2:$M$180,ANNOUNCEMENTS!$J$2:$J$180,0,0)),1,
IF(EXACT(L$1,
_xlfn.XLOOKUP($B66,ANNOUNCEMENTS!$N$2:$N$180,ANNOUNCEMENTS!$J$2:$J$180,0,0)),1,0))))</f>
        <v>0</v>
      </c>
      <c r="M66">
        <f t="shared" si="4"/>
        <v>1</v>
      </c>
      <c r="N66" t="b">
        <v>0</v>
      </c>
      <c r="O66" s="284">
        <f t="shared" si="5"/>
        <v>13</v>
      </c>
    </row>
    <row r="67" spans="1:15" x14ac:dyDescent="0.35">
      <c r="A67">
        <f t="shared" si="2"/>
        <v>66</v>
      </c>
      <c r="B67" t="s">
        <v>686</v>
      </c>
      <c r="C67" t="s">
        <v>306</v>
      </c>
      <c r="D67">
        <v>0</v>
      </c>
      <c r="E67" s="107">
        <v>0</v>
      </c>
      <c r="F67">
        <v>0</v>
      </c>
      <c r="G67" t="str">
        <f>CBIMPORT!S67</f>
        <v>www.dhl.com</v>
      </c>
      <c r="H67">
        <f>IF(EXACT(H$1,
_xlfn.XLOOKUP($B67,ANNOUNCEMENTS!$E$2:$E$180,ANNOUNCEMENTS!$J$2:$J$180,0,0)),1,
IF(EXACT(H$1,
_xlfn.XLOOKUP($B67,ANNOUNCEMENTS!$L$2:$L$180,ANNOUNCEMENTS!$J$2:$J$180,0,0)),1,
IF(EXACT(H$1,
_xlfn.XLOOKUP($B67,ANNOUNCEMENTS!$M$2:$M$180,ANNOUNCEMENTS!$J$2:$J$180,0,0)),1,
IF(EXACT(H$1,
_xlfn.XLOOKUP($B67,ANNOUNCEMENTS!$N$2:$N$180,ANNOUNCEMENTS!$J$2:$J$180,0,0)),1,0))))</f>
        <v>0</v>
      </c>
      <c r="I67">
        <f>IF(EXACT(I$1,
_xlfn.XLOOKUP($B67,ANNOUNCEMENTS!$E$2:$E$180,ANNOUNCEMENTS!$J$2:$J$180,0,0)),1,
IF(EXACT(I$1,
_xlfn.XLOOKUP($B67,ANNOUNCEMENTS!$L$2:$L$180,ANNOUNCEMENTS!$J$2:$J$180,0,0)),1,
IF(EXACT(I$1,
_xlfn.XLOOKUP($B67,ANNOUNCEMENTS!$M$2:$M$180,ANNOUNCEMENTS!$J$2:$J$180,0,0)),1,
IF(EXACT(I$1,
_xlfn.XLOOKUP($B67,ANNOUNCEMENTS!$N$2:$N$180,ANNOUNCEMENTS!$J$2:$J$180,0,0)),1,0))))</f>
        <v>0</v>
      </c>
      <c r="J67">
        <f>IF(EXACT(J$1,
_xlfn.XLOOKUP($B67,ANNOUNCEMENTS!$E$2:$E$180,ANNOUNCEMENTS!$J$2:$J$180,0,0)),1,
IF(EXACT(J$1,
_xlfn.XLOOKUP($B67,ANNOUNCEMENTS!$L$2:$L$180,ANNOUNCEMENTS!$J$2:$J$180,0,0)),1,
IF(EXACT(J$1,
_xlfn.XLOOKUP($B67,ANNOUNCEMENTS!$M$2:$M$180,ANNOUNCEMENTS!$J$2:$J$180,0,0)),1,
IF(EXACT(J$1,
_xlfn.XLOOKUP($B67,ANNOUNCEMENTS!$N$2:$N$180,ANNOUNCEMENTS!$J$2:$J$180,0,0)),1,0))))</f>
        <v>1</v>
      </c>
      <c r="K67">
        <f>IF(EXACT(K$1,
_xlfn.XLOOKUP($B67,ANNOUNCEMENTS!$E$2:$E$180,ANNOUNCEMENTS!$J$2:$J$180,0,0)),1,
IF(EXACT(K$1,
_xlfn.XLOOKUP($B67,ANNOUNCEMENTS!$L$2:$L$180,ANNOUNCEMENTS!$J$2:$J$180,0,0)),1,
IF(EXACT(K$1,
_xlfn.XLOOKUP($B67,ANNOUNCEMENTS!$M$2:$M$180,ANNOUNCEMENTS!$J$2:$J$180,0,0)),1,
IF(EXACT(K$1,
_xlfn.XLOOKUP($B67,ANNOUNCEMENTS!$N$2:$N$180,ANNOUNCEMENTS!$J$2:$J$180,0,0)),1,0))))</f>
        <v>0</v>
      </c>
      <c r="L67">
        <f>IF(EXACT(L$1,
_xlfn.XLOOKUP($B67,ANNOUNCEMENTS!$E$2:$E$180,ANNOUNCEMENTS!$J$2:$J$180,0,0)),1,
IF(EXACT(L$1,
_xlfn.XLOOKUP($B67,ANNOUNCEMENTS!$L$2:$L$180,ANNOUNCEMENTS!$J$2:$J$180,0,0)),1,
IF(EXACT(L$1,
_xlfn.XLOOKUP($B67,ANNOUNCEMENTS!$M$2:$M$180,ANNOUNCEMENTS!$J$2:$J$180,0,0)),1,
IF(EXACT(L$1,
_xlfn.XLOOKUP($B67,ANNOUNCEMENTS!$N$2:$N$180,ANNOUNCEMENTS!$J$2:$J$180,0,0)),1,0))))</f>
        <v>0</v>
      </c>
      <c r="M67">
        <f t="shared" ref="M67:M129" si="6">SUM(H67:L67)</f>
        <v>1</v>
      </c>
      <c r="N67" t="b">
        <v>0</v>
      </c>
      <c r="O67" s="284">
        <f t="shared" si="5"/>
        <v>22</v>
      </c>
    </row>
    <row r="68" spans="1:15" x14ac:dyDescent="0.35">
      <c r="A68">
        <f t="shared" ref="A68:A131" si="7">A67+1</f>
        <v>67</v>
      </c>
      <c r="B68" t="s">
        <v>1970</v>
      </c>
      <c r="C68" t="s">
        <v>537</v>
      </c>
      <c r="D68">
        <v>0</v>
      </c>
      <c r="E68" s="107">
        <v>0</v>
      </c>
      <c r="F68">
        <v>0</v>
      </c>
      <c r="G68" t="str">
        <f>CBIMPORT!S68</f>
        <v>https://echargersystem.com/</v>
      </c>
      <c r="H68">
        <f>IF(EXACT(H$1,
_xlfn.XLOOKUP($B68,ANNOUNCEMENTS!$E$2:$E$180,ANNOUNCEMENTS!$J$2:$J$180,0,0)),1,
IF(EXACT(H$1,
_xlfn.XLOOKUP($B68,ANNOUNCEMENTS!$L$2:$L$180,ANNOUNCEMENTS!$J$2:$J$180,0,0)),1,
IF(EXACT(H$1,
_xlfn.XLOOKUP($B68,ANNOUNCEMENTS!$M$2:$M$180,ANNOUNCEMENTS!$J$2:$J$180,0,0)),1,
IF(EXACT(H$1,
_xlfn.XLOOKUP($B68,ANNOUNCEMENTS!$N$2:$N$180,ANNOUNCEMENTS!$J$2:$J$180,0,0)),1,0))))</f>
        <v>1</v>
      </c>
      <c r="I68">
        <f>IF(EXACT(I$1,
_xlfn.XLOOKUP($B68,ANNOUNCEMENTS!$E$2:$E$180,ANNOUNCEMENTS!$J$2:$J$180,0,0)),1,
IF(EXACT(I$1,
_xlfn.XLOOKUP($B68,ANNOUNCEMENTS!$L$2:$L$180,ANNOUNCEMENTS!$J$2:$J$180,0,0)),1,
IF(EXACT(I$1,
_xlfn.XLOOKUP($B68,ANNOUNCEMENTS!$M$2:$M$180,ANNOUNCEMENTS!$J$2:$J$180,0,0)),1,
IF(EXACT(I$1,
_xlfn.XLOOKUP($B68,ANNOUNCEMENTS!$N$2:$N$180,ANNOUNCEMENTS!$J$2:$J$180,0,0)),1,0))))</f>
        <v>0</v>
      </c>
      <c r="J68">
        <f>IF(EXACT(J$1,
_xlfn.XLOOKUP($B68,ANNOUNCEMENTS!$E$2:$E$180,ANNOUNCEMENTS!$J$2:$J$180,0,0)),1,
IF(EXACT(J$1,
_xlfn.XLOOKUP($B68,ANNOUNCEMENTS!$L$2:$L$180,ANNOUNCEMENTS!$J$2:$J$180,0,0)),1,
IF(EXACT(J$1,
_xlfn.XLOOKUP($B68,ANNOUNCEMENTS!$M$2:$M$180,ANNOUNCEMENTS!$J$2:$J$180,0,0)),1,
IF(EXACT(J$1,
_xlfn.XLOOKUP($B68,ANNOUNCEMENTS!$N$2:$N$180,ANNOUNCEMENTS!$J$2:$J$180,0,0)),1,0))))</f>
        <v>0</v>
      </c>
      <c r="K68">
        <f>IF(EXACT(K$1,
_xlfn.XLOOKUP($B68,ANNOUNCEMENTS!$E$2:$E$180,ANNOUNCEMENTS!$J$2:$J$180,0,0)),1,
IF(EXACT(K$1,
_xlfn.XLOOKUP($B68,ANNOUNCEMENTS!$L$2:$L$180,ANNOUNCEMENTS!$J$2:$J$180,0,0)),1,
IF(EXACT(K$1,
_xlfn.XLOOKUP($B68,ANNOUNCEMENTS!$M$2:$M$180,ANNOUNCEMENTS!$J$2:$J$180,0,0)),1,
IF(EXACT(K$1,
_xlfn.XLOOKUP($B68,ANNOUNCEMENTS!$N$2:$N$180,ANNOUNCEMENTS!$J$2:$J$180,0,0)),1,0))))</f>
        <v>0</v>
      </c>
      <c r="L68">
        <f>IF(EXACT(L$1,
_xlfn.XLOOKUP($B68,ANNOUNCEMENTS!$E$2:$E$180,ANNOUNCEMENTS!$J$2:$J$180,0,0)),1,
IF(EXACT(L$1,
_xlfn.XLOOKUP($B68,ANNOUNCEMENTS!$L$2:$L$180,ANNOUNCEMENTS!$J$2:$J$180,0,0)),1,
IF(EXACT(L$1,
_xlfn.XLOOKUP($B68,ANNOUNCEMENTS!$M$2:$M$180,ANNOUNCEMENTS!$J$2:$J$180,0,0)),1,
IF(EXACT(L$1,
_xlfn.XLOOKUP($B68,ANNOUNCEMENTS!$N$2:$N$180,ANNOUNCEMENTS!$J$2:$J$180,0,0)),1,0))))</f>
        <v>0</v>
      </c>
      <c r="M68">
        <f t="shared" si="6"/>
        <v>1</v>
      </c>
      <c r="N68" t="b">
        <v>0</v>
      </c>
      <c r="O68" s="284">
        <f t="shared" si="5"/>
        <v>28</v>
      </c>
    </row>
    <row r="69" spans="1:15" x14ac:dyDescent="0.35">
      <c r="A69">
        <f t="shared" si="7"/>
        <v>68</v>
      </c>
      <c r="B69" t="s">
        <v>489</v>
      </c>
      <c r="C69" t="s">
        <v>490</v>
      </c>
      <c r="D69">
        <v>0</v>
      </c>
      <c r="E69" s="107">
        <v>168.47380899999999</v>
      </c>
      <c r="F69">
        <v>1</v>
      </c>
      <c r="G69" t="str">
        <f>CBIMPORT!S69</f>
        <v>e-go-mobile.com/en/</v>
      </c>
      <c r="H69">
        <f>IF(EXACT(H$1,
_xlfn.XLOOKUP($B69,ANNOUNCEMENTS!$E$2:$E$180,ANNOUNCEMENTS!$J$2:$J$180,0,0)),1,
IF(EXACT(H$1,
_xlfn.XLOOKUP($B69,ANNOUNCEMENTS!$L$2:$L$180,ANNOUNCEMENTS!$J$2:$J$180,0,0)),1,
IF(EXACT(H$1,
_xlfn.XLOOKUP($B69,ANNOUNCEMENTS!$M$2:$M$180,ANNOUNCEMENTS!$J$2:$J$180,0,0)),1,
IF(EXACT(H$1,
_xlfn.XLOOKUP($B69,ANNOUNCEMENTS!$N$2:$N$180,ANNOUNCEMENTS!$J$2:$J$180,0,0)),1,0))))</f>
        <v>1</v>
      </c>
      <c r="I69">
        <f>IF(EXACT(I$1,
_xlfn.XLOOKUP($B69,ANNOUNCEMENTS!$E$2:$E$180,ANNOUNCEMENTS!$J$2:$J$180,0,0)),1,
IF(EXACT(I$1,
_xlfn.XLOOKUP($B69,ANNOUNCEMENTS!$L$2:$L$180,ANNOUNCEMENTS!$J$2:$J$180,0,0)),1,
IF(EXACT(I$1,
_xlfn.XLOOKUP($B69,ANNOUNCEMENTS!$M$2:$M$180,ANNOUNCEMENTS!$J$2:$J$180,0,0)),1,
IF(EXACT(I$1,
_xlfn.XLOOKUP($B69,ANNOUNCEMENTS!$N$2:$N$180,ANNOUNCEMENTS!$J$2:$J$180,0,0)),1,0))))</f>
        <v>0</v>
      </c>
      <c r="J69">
        <f>IF(EXACT(J$1,
_xlfn.XLOOKUP($B69,ANNOUNCEMENTS!$E$2:$E$180,ANNOUNCEMENTS!$J$2:$J$180,0,0)),1,
IF(EXACT(J$1,
_xlfn.XLOOKUP($B69,ANNOUNCEMENTS!$L$2:$L$180,ANNOUNCEMENTS!$J$2:$J$180,0,0)),1,
IF(EXACT(J$1,
_xlfn.XLOOKUP($B69,ANNOUNCEMENTS!$M$2:$M$180,ANNOUNCEMENTS!$J$2:$J$180,0,0)),1,
IF(EXACT(J$1,
_xlfn.XLOOKUP($B69,ANNOUNCEMENTS!$N$2:$N$180,ANNOUNCEMENTS!$J$2:$J$180,0,0)),1,0))))</f>
        <v>0</v>
      </c>
      <c r="K69">
        <f>IF(EXACT(K$1,
_xlfn.XLOOKUP($B69,ANNOUNCEMENTS!$E$2:$E$180,ANNOUNCEMENTS!$J$2:$J$180,0,0)),1,
IF(EXACT(K$1,
_xlfn.XLOOKUP($B69,ANNOUNCEMENTS!$L$2:$L$180,ANNOUNCEMENTS!$J$2:$J$180,0,0)),1,
IF(EXACT(K$1,
_xlfn.XLOOKUP($B69,ANNOUNCEMENTS!$M$2:$M$180,ANNOUNCEMENTS!$J$2:$J$180,0,0)),1,
IF(EXACT(K$1,
_xlfn.XLOOKUP($B69,ANNOUNCEMENTS!$N$2:$N$180,ANNOUNCEMENTS!$J$2:$J$180,0,0)),1,0))))</f>
        <v>0</v>
      </c>
      <c r="L69">
        <f>IF(EXACT(L$1,
_xlfn.XLOOKUP($B69,ANNOUNCEMENTS!$E$2:$E$180,ANNOUNCEMENTS!$J$2:$J$180,0,0)),1,
IF(EXACT(L$1,
_xlfn.XLOOKUP($B69,ANNOUNCEMENTS!$L$2:$L$180,ANNOUNCEMENTS!$J$2:$J$180,0,0)),1,
IF(EXACT(L$1,
_xlfn.XLOOKUP($B69,ANNOUNCEMENTS!$M$2:$M$180,ANNOUNCEMENTS!$J$2:$J$180,0,0)),1,
IF(EXACT(L$1,
_xlfn.XLOOKUP($B69,ANNOUNCEMENTS!$N$2:$N$180,ANNOUNCEMENTS!$J$2:$J$180,0,0)),1,0))))</f>
        <v>0</v>
      </c>
      <c r="M69">
        <f t="shared" si="6"/>
        <v>1</v>
      </c>
      <c r="N69" t="b">
        <v>0</v>
      </c>
      <c r="O69" s="284">
        <f t="shared" si="5"/>
        <v>11</v>
      </c>
    </row>
    <row r="70" spans="1:15" x14ac:dyDescent="0.35">
      <c r="A70">
        <f t="shared" si="7"/>
        <v>69</v>
      </c>
      <c r="B70" t="s">
        <v>1961</v>
      </c>
      <c r="C70" t="s">
        <v>481</v>
      </c>
      <c r="D70">
        <v>0</v>
      </c>
      <c r="E70" s="107">
        <v>599.32388900000001</v>
      </c>
      <c r="F70">
        <v>1</v>
      </c>
      <c r="G70" t="str">
        <f>CBIMPORT!S70</f>
        <v>www.ecarxgroup.com</v>
      </c>
      <c r="H70">
        <f>IF(EXACT(H$1,
_xlfn.XLOOKUP($B70,ANNOUNCEMENTS!$E$2:$E$180,ANNOUNCEMENTS!$J$2:$J$180,0,0)),1,
IF(EXACT(H$1,
_xlfn.XLOOKUP($B70,ANNOUNCEMENTS!$L$2:$L$180,ANNOUNCEMENTS!$J$2:$J$180,0,0)),1,
IF(EXACT(H$1,
_xlfn.XLOOKUP($B70,ANNOUNCEMENTS!$M$2:$M$180,ANNOUNCEMENTS!$J$2:$J$180,0,0)),1,
IF(EXACT(H$1,
_xlfn.XLOOKUP($B70,ANNOUNCEMENTS!$N$2:$N$180,ANNOUNCEMENTS!$J$2:$J$180,0,0)),1,0))))</f>
        <v>0</v>
      </c>
      <c r="I70">
        <f>IF(EXACT(I$1,
_xlfn.XLOOKUP($B70,ANNOUNCEMENTS!$E$2:$E$180,ANNOUNCEMENTS!$J$2:$J$180,0,0)),1,
IF(EXACT(I$1,
_xlfn.XLOOKUP($B70,ANNOUNCEMENTS!$L$2:$L$180,ANNOUNCEMENTS!$J$2:$J$180,0,0)),1,
IF(EXACT(I$1,
_xlfn.XLOOKUP($B70,ANNOUNCEMENTS!$M$2:$M$180,ANNOUNCEMENTS!$J$2:$J$180,0,0)),1,
IF(EXACT(I$1,
_xlfn.XLOOKUP($B70,ANNOUNCEMENTS!$N$2:$N$180,ANNOUNCEMENTS!$J$2:$J$180,0,0)),1,0))))</f>
        <v>0</v>
      </c>
      <c r="J70">
        <f>IF(EXACT(J$1,
_xlfn.XLOOKUP($B70,ANNOUNCEMENTS!$E$2:$E$180,ANNOUNCEMENTS!$J$2:$J$180,0,0)),1,
IF(EXACT(J$1,
_xlfn.XLOOKUP($B70,ANNOUNCEMENTS!$L$2:$L$180,ANNOUNCEMENTS!$J$2:$J$180,0,0)),1,
IF(EXACT(J$1,
_xlfn.XLOOKUP($B70,ANNOUNCEMENTS!$M$2:$M$180,ANNOUNCEMENTS!$J$2:$J$180,0,0)),1,
IF(EXACT(J$1,
_xlfn.XLOOKUP($B70,ANNOUNCEMENTS!$N$2:$N$180,ANNOUNCEMENTS!$J$2:$J$180,0,0)),1,0))))</f>
        <v>0</v>
      </c>
      <c r="K70">
        <f>IF(EXACT(K$1,
_xlfn.XLOOKUP($B70,ANNOUNCEMENTS!$E$2:$E$180,ANNOUNCEMENTS!$J$2:$J$180,0,0)),1,
IF(EXACT(K$1,
_xlfn.XLOOKUP($B70,ANNOUNCEMENTS!$L$2:$L$180,ANNOUNCEMENTS!$J$2:$J$180,0,0)),1,
IF(EXACT(K$1,
_xlfn.XLOOKUP($B70,ANNOUNCEMENTS!$M$2:$M$180,ANNOUNCEMENTS!$J$2:$J$180,0,0)),1,
IF(EXACT(K$1,
_xlfn.XLOOKUP($B70,ANNOUNCEMENTS!$N$2:$N$180,ANNOUNCEMENTS!$J$2:$J$180,0,0)),1,0))))</f>
        <v>0</v>
      </c>
      <c r="L70">
        <f>IF(EXACT(L$1,
_xlfn.XLOOKUP($B70,ANNOUNCEMENTS!$E$2:$E$180,ANNOUNCEMENTS!$J$2:$J$180,0,0)),1,
IF(EXACT(L$1,
_xlfn.XLOOKUP($B70,ANNOUNCEMENTS!$L$2:$L$180,ANNOUNCEMENTS!$J$2:$J$180,0,0)),1,
IF(EXACT(L$1,
_xlfn.XLOOKUP($B70,ANNOUNCEMENTS!$M$2:$M$180,ANNOUNCEMENTS!$J$2:$J$180,0,0)),1,
IF(EXACT(L$1,
_xlfn.XLOOKUP($B70,ANNOUNCEMENTS!$N$2:$N$180,ANNOUNCEMENTS!$J$2:$J$180,0,0)),1,0))))</f>
        <v>1</v>
      </c>
      <c r="M70">
        <f t="shared" si="6"/>
        <v>1</v>
      </c>
      <c r="N70" t="b">
        <v>0</v>
      </c>
      <c r="O70" s="284">
        <f t="shared" si="5"/>
        <v>9</v>
      </c>
    </row>
    <row r="71" spans="1:15" x14ac:dyDescent="0.35">
      <c r="A71">
        <f t="shared" si="7"/>
        <v>70</v>
      </c>
      <c r="B71" t="s">
        <v>554</v>
      </c>
      <c r="C71" t="s">
        <v>555</v>
      </c>
      <c r="D71">
        <v>0</v>
      </c>
      <c r="E71" s="107">
        <v>1070.0000000000002</v>
      </c>
      <c r="F71">
        <v>1</v>
      </c>
      <c r="G71" t="str">
        <f>CBIMPORT!S71</f>
        <v>www.electroluxappliances.com</v>
      </c>
      <c r="H71">
        <f>IF(EXACT(H$1,
_xlfn.XLOOKUP($B71,ANNOUNCEMENTS!$E$2:$E$180,ANNOUNCEMENTS!$J$2:$J$180,0,0)),1,
IF(EXACT(H$1,
_xlfn.XLOOKUP($B71,ANNOUNCEMENTS!$L$2:$L$180,ANNOUNCEMENTS!$J$2:$J$180,0,0)),1,
IF(EXACT(H$1,
_xlfn.XLOOKUP($B71,ANNOUNCEMENTS!$M$2:$M$180,ANNOUNCEMENTS!$J$2:$J$180,0,0)),1,
IF(EXACT(H$1,
_xlfn.XLOOKUP($B71,ANNOUNCEMENTS!$N$2:$N$180,ANNOUNCEMENTS!$J$2:$J$180,0,0)),1,0))))</f>
        <v>0</v>
      </c>
      <c r="I71">
        <f>IF(EXACT(I$1,
_xlfn.XLOOKUP($B71,ANNOUNCEMENTS!$E$2:$E$180,ANNOUNCEMENTS!$J$2:$J$180,0,0)),1,
IF(EXACT(I$1,
_xlfn.XLOOKUP($B71,ANNOUNCEMENTS!$L$2:$L$180,ANNOUNCEMENTS!$J$2:$J$180,0,0)),1,
IF(EXACT(I$1,
_xlfn.XLOOKUP($B71,ANNOUNCEMENTS!$M$2:$M$180,ANNOUNCEMENTS!$J$2:$J$180,0,0)),1,
IF(EXACT(I$1,
_xlfn.XLOOKUP($B71,ANNOUNCEMENTS!$N$2:$N$180,ANNOUNCEMENTS!$J$2:$J$180,0,0)),1,0))))</f>
        <v>0</v>
      </c>
      <c r="J71">
        <f>IF(EXACT(J$1,
_xlfn.XLOOKUP($B71,ANNOUNCEMENTS!$E$2:$E$180,ANNOUNCEMENTS!$J$2:$J$180,0,0)),1,
IF(EXACT(J$1,
_xlfn.XLOOKUP($B71,ANNOUNCEMENTS!$L$2:$L$180,ANNOUNCEMENTS!$J$2:$J$180,0,0)),1,
IF(EXACT(J$1,
_xlfn.XLOOKUP($B71,ANNOUNCEMENTS!$M$2:$M$180,ANNOUNCEMENTS!$J$2:$J$180,0,0)),1,
IF(EXACT(J$1,
_xlfn.XLOOKUP($B71,ANNOUNCEMENTS!$N$2:$N$180,ANNOUNCEMENTS!$J$2:$J$180,0,0)),1,0))))</f>
        <v>1</v>
      </c>
      <c r="K71">
        <f>IF(EXACT(K$1,
_xlfn.XLOOKUP($B71,ANNOUNCEMENTS!$E$2:$E$180,ANNOUNCEMENTS!$J$2:$J$180,0,0)),1,
IF(EXACT(K$1,
_xlfn.XLOOKUP($B71,ANNOUNCEMENTS!$L$2:$L$180,ANNOUNCEMENTS!$J$2:$J$180,0,0)),1,
IF(EXACT(K$1,
_xlfn.XLOOKUP($B71,ANNOUNCEMENTS!$M$2:$M$180,ANNOUNCEMENTS!$J$2:$J$180,0,0)),1,
IF(EXACT(K$1,
_xlfn.XLOOKUP($B71,ANNOUNCEMENTS!$N$2:$N$180,ANNOUNCEMENTS!$J$2:$J$180,0,0)),1,0))))</f>
        <v>0</v>
      </c>
      <c r="L71">
        <f>IF(EXACT(L$1,
_xlfn.XLOOKUP($B71,ANNOUNCEMENTS!$E$2:$E$180,ANNOUNCEMENTS!$J$2:$J$180,0,0)),1,
IF(EXACT(L$1,
_xlfn.XLOOKUP($B71,ANNOUNCEMENTS!$L$2:$L$180,ANNOUNCEMENTS!$J$2:$J$180,0,0)),1,
IF(EXACT(L$1,
_xlfn.XLOOKUP($B71,ANNOUNCEMENTS!$M$2:$M$180,ANNOUNCEMENTS!$J$2:$J$180,0,0)),1,
IF(EXACT(L$1,
_xlfn.XLOOKUP($B71,ANNOUNCEMENTS!$N$2:$N$180,ANNOUNCEMENTS!$J$2:$J$180,0,0)),1,0))))</f>
        <v>0</v>
      </c>
      <c r="M71">
        <f t="shared" si="6"/>
        <v>1</v>
      </c>
      <c r="N71" t="b">
        <v>0</v>
      </c>
      <c r="O71" s="284">
        <f t="shared" si="5"/>
        <v>21</v>
      </c>
    </row>
    <row r="72" spans="1:15" x14ac:dyDescent="0.35">
      <c r="A72">
        <f t="shared" si="7"/>
        <v>71</v>
      </c>
      <c r="B72" t="s">
        <v>652</v>
      </c>
      <c r="C72" t="s">
        <v>653</v>
      </c>
      <c r="D72">
        <v>0</v>
      </c>
      <c r="E72" s="107">
        <v>1208.3871059999999</v>
      </c>
      <c r="F72">
        <v>1</v>
      </c>
      <c r="G72" t="str">
        <f>CBIMPORT!S72</f>
        <v>www.ericsson.com</v>
      </c>
      <c r="H72">
        <f>IF(EXACT(H$1,
_xlfn.XLOOKUP($B72,ANNOUNCEMENTS!$E$2:$E$180,ANNOUNCEMENTS!$J$2:$J$180,0,0)),1,
IF(EXACT(H$1,
_xlfn.XLOOKUP($B72,ANNOUNCEMENTS!$L$2:$L$180,ANNOUNCEMENTS!$J$2:$J$180,0,0)),1,
IF(EXACT(H$1,
_xlfn.XLOOKUP($B72,ANNOUNCEMENTS!$M$2:$M$180,ANNOUNCEMENTS!$J$2:$J$180,0,0)),1,
IF(EXACT(H$1,
_xlfn.XLOOKUP($B72,ANNOUNCEMENTS!$N$2:$N$180,ANNOUNCEMENTS!$J$2:$J$180,0,0)),1,0))))</f>
        <v>0</v>
      </c>
      <c r="I72">
        <f>IF(EXACT(I$1,
_xlfn.XLOOKUP($B72,ANNOUNCEMENTS!$E$2:$E$180,ANNOUNCEMENTS!$J$2:$J$180,0,0)),1,
IF(EXACT(I$1,
_xlfn.XLOOKUP($B72,ANNOUNCEMENTS!$L$2:$L$180,ANNOUNCEMENTS!$J$2:$J$180,0,0)),1,
IF(EXACT(I$1,
_xlfn.XLOOKUP($B72,ANNOUNCEMENTS!$M$2:$M$180,ANNOUNCEMENTS!$J$2:$J$180,0,0)),1,
IF(EXACT(I$1,
_xlfn.XLOOKUP($B72,ANNOUNCEMENTS!$N$2:$N$180,ANNOUNCEMENTS!$J$2:$J$180,0,0)),1,0))))</f>
        <v>0</v>
      </c>
      <c r="J72">
        <f>IF(EXACT(J$1,
_xlfn.XLOOKUP($B72,ANNOUNCEMENTS!$E$2:$E$180,ANNOUNCEMENTS!$J$2:$J$180,0,0)),1,
IF(EXACT(J$1,
_xlfn.XLOOKUP($B72,ANNOUNCEMENTS!$L$2:$L$180,ANNOUNCEMENTS!$J$2:$J$180,0,0)),1,
IF(EXACT(J$1,
_xlfn.XLOOKUP($B72,ANNOUNCEMENTS!$M$2:$M$180,ANNOUNCEMENTS!$J$2:$J$180,0,0)),1,
IF(EXACT(J$1,
_xlfn.XLOOKUP($B72,ANNOUNCEMENTS!$N$2:$N$180,ANNOUNCEMENTS!$J$2:$J$180,0,0)),1,0))))</f>
        <v>1</v>
      </c>
      <c r="K72">
        <f>IF(EXACT(K$1,
_xlfn.XLOOKUP($B72,ANNOUNCEMENTS!$E$2:$E$180,ANNOUNCEMENTS!$J$2:$J$180,0,0)),1,
IF(EXACT(K$1,
_xlfn.XLOOKUP($B72,ANNOUNCEMENTS!$L$2:$L$180,ANNOUNCEMENTS!$J$2:$J$180,0,0)),1,
IF(EXACT(K$1,
_xlfn.XLOOKUP($B72,ANNOUNCEMENTS!$M$2:$M$180,ANNOUNCEMENTS!$J$2:$J$180,0,0)),1,
IF(EXACT(K$1,
_xlfn.XLOOKUP($B72,ANNOUNCEMENTS!$N$2:$N$180,ANNOUNCEMENTS!$J$2:$J$180,0,0)),1,0))))</f>
        <v>0</v>
      </c>
      <c r="L72">
        <f>IF(EXACT(L$1,
_xlfn.XLOOKUP($B72,ANNOUNCEMENTS!$E$2:$E$180,ANNOUNCEMENTS!$J$2:$J$180,0,0)),1,
IF(EXACT(L$1,
_xlfn.XLOOKUP($B72,ANNOUNCEMENTS!$L$2:$L$180,ANNOUNCEMENTS!$J$2:$J$180,0,0)),1,
IF(EXACT(L$1,
_xlfn.XLOOKUP($B72,ANNOUNCEMENTS!$M$2:$M$180,ANNOUNCEMENTS!$J$2:$J$180,0,0)),1,
IF(EXACT(L$1,
_xlfn.XLOOKUP($B72,ANNOUNCEMENTS!$N$2:$N$180,ANNOUNCEMENTS!$J$2:$J$180,0,0)),1,0))))</f>
        <v>0</v>
      </c>
      <c r="M72">
        <f t="shared" si="6"/>
        <v>1</v>
      </c>
      <c r="N72" t="b">
        <v>0</v>
      </c>
      <c r="O72" s="284">
        <f t="shared" si="5"/>
        <v>10</v>
      </c>
    </row>
    <row r="73" spans="1:15" x14ac:dyDescent="0.35">
      <c r="A73">
        <f t="shared" si="7"/>
        <v>72</v>
      </c>
      <c r="B73" t="s">
        <v>523</v>
      </c>
      <c r="C73" t="s">
        <v>288</v>
      </c>
      <c r="D73">
        <v>0</v>
      </c>
      <c r="E73" s="107">
        <v>10.7</v>
      </c>
      <c r="F73">
        <v>0</v>
      </c>
      <c r="G73" t="str">
        <f>CBIMPORT!S73</f>
        <v>www.eversum.com</v>
      </c>
      <c r="H73">
        <f>IF(EXACT(H$1,
_xlfn.XLOOKUP($B73,ANNOUNCEMENTS!$E$2:$E$180,ANNOUNCEMENTS!$J$2:$J$180,0,0)),1,
IF(EXACT(H$1,
_xlfn.XLOOKUP($B73,ANNOUNCEMENTS!$L$2:$L$180,ANNOUNCEMENTS!$J$2:$J$180,0,0)),1,
IF(EXACT(H$1,
_xlfn.XLOOKUP($B73,ANNOUNCEMENTS!$M$2:$M$180,ANNOUNCEMENTS!$J$2:$J$180,0,0)),1,
IF(EXACT(H$1,
_xlfn.XLOOKUP($B73,ANNOUNCEMENTS!$N$2:$N$180,ANNOUNCEMENTS!$J$2:$J$180,0,0)),1,0))))</f>
        <v>1</v>
      </c>
      <c r="I73">
        <f>IF(EXACT(I$1,
_xlfn.XLOOKUP($B73,ANNOUNCEMENTS!$E$2:$E$180,ANNOUNCEMENTS!$J$2:$J$180,0,0)),1,
IF(EXACT(I$1,
_xlfn.XLOOKUP($B73,ANNOUNCEMENTS!$L$2:$L$180,ANNOUNCEMENTS!$J$2:$J$180,0,0)),1,
IF(EXACT(I$1,
_xlfn.XLOOKUP($B73,ANNOUNCEMENTS!$M$2:$M$180,ANNOUNCEMENTS!$J$2:$J$180,0,0)),1,
IF(EXACT(I$1,
_xlfn.XLOOKUP($B73,ANNOUNCEMENTS!$N$2:$N$180,ANNOUNCEMENTS!$J$2:$J$180,0,0)),1,0))))</f>
        <v>0</v>
      </c>
      <c r="J73">
        <f>IF(EXACT(J$1,
_xlfn.XLOOKUP($B73,ANNOUNCEMENTS!$E$2:$E$180,ANNOUNCEMENTS!$J$2:$J$180,0,0)),1,
IF(EXACT(J$1,
_xlfn.XLOOKUP($B73,ANNOUNCEMENTS!$L$2:$L$180,ANNOUNCEMENTS!$J$2:$J$180,0,0)),1,
IF(EXACT(J$1,
_xlfn.XLOOKUP($B73,ANNOUNCEMENTS!$M$2:$M$180,ANNOUNCEMENTS!$J$2:$J$180,0,0)),1,
IF(EXACT(J$1,
_xlfn.XLOOKUP($B73,ANNOUNCEMENTS!$N$2:$N$180,ANNOUNCEMENTS!$J$2:$J$180,0,0)),1,0))))</f>
        <v>0</v>
      </c>
      <c r="K73">
        <f>IF(EXACT(K$1,
_xlfn.XLOOKUP($B73,ANNOUNCEMENTS!$E$2:$E$180,ANNOUNCEMENTS!$J$2:$J$180,0,0)),1,
IF(EXACT(K$1,
_xlfn.XLOOKUP($B73,ANNOUNCEMENTS!$L$2:$L$180,ANNOUNCEMENTS!$J$2:$J$180,0,0)),1,
IF(EXACT(K$1,
_xlfn.XLOOKUP($B73,ANNOUNCEMENTS!$M$2:$M$180,ANNOUNCEMENTS!$J$2:$J$180,0,0)),1,
IF(EXACT(K$1,
_xlfn.XLOOKUP($B73,ANNOUNCEMENTS!$N$2:$N$180,ANNOUNCEMENTS!$J$2:$J$180,0,0)),1,0))))</f>
        <v>0</v>
      </c>
      <c r="L73">
        <f>IF(EXACT(L$1,
_xlfn.XLOOKUP($B73,ANNOUNCEMENTS!$E$2:$E$180,ANNOUNCEMENTS!$J$2:$J$180,0,0)),1,
IF(EXACT(L$1,
_xlfn.XLOOKUP($B73,ANNOUNCEMENTS!$L$2:$L$180,ANNOUNCEMENTS!$J$2:$J$180,0,0)),1,
IF(EXACT(L$1,
_xlfn.XLOOKUP($B73,ANNOUNCEMENTS!$M$2:$M$180,ANNOUNCEMENTS!$J$2:$J$180,0,0)),1,
IF(EXACT(L$1,
_xlfn.XLOOKUP($B73,ANNOUNCEMENTS!$N$2:$N$180,ANNOUNCEMENTS!$J$2:$J$180,0,0)),1,0))))</f>
        <v>0</v>
      </c>
      <c r="M73">
        <f t="shared" si="6"/>
        <v>1</v>
      </c>
      <c r="N73" t="b">
        <v>0</v>
      </c>
      <c r="O73" s="284">
        <f t="shared" ref="O73:O104" si="8">VLOOKUP(C73,$P$2:$Q$42,2,FALSE)</f>
        <v>4</v>
      </c>
    </row>
    <row r="74" spans="1:15" x14ac:dyDescent="0.35">
      <c r="A74">
        <f t="shared" si="7"/>
        <v>73</v>
      </c>
      <c r="B74" t="s">
        <v>448</v>
      </c>
      <c r="C74" t="s">
        <v>449</v>
      </c>
      <c r="D74">
        <v>0</v>
      </c>
      <c r="E74" s="107">
        <v>34.444467000000003</v>
      </c>
      <c r="F74">
        <v>0</v>
      </c>
      <c r="G74" t="str">
        <f>CBIMPORT!S74</f>
        <v>www.farmsteadapp.com</v>
      </c>
      <c r="H74">
        <f>IF(EXACT(H$1,
_xlfn.XLOOKUP($B74,ANNOUNCEMENTS!$E$2:$E$180,ANNOUNCEMENTS!$J$2:$J$180,0,0)),1,
IF(EXACT(H$1,
_xlfn.XLOOKUP($B74,ANNOUNCEMENTS!$L$2:$L$180,ANNOUNCEMENTS!$J$2:$J$180,0,0)),1,
IF(EXACT(H$1,
_xlfn.XLOOKUP($B74,ANNOUNCEMENTS!$M$2:$M$180,ANNOUNCEMENTS!$J$2:$J$180,0,0)),1,
IF(EXACT(H$1,
_xlfn.XLOOKUP($B74,ANNOUNCEMENTS!$N$2:$N$180,ANNOUNCEMENTS!$J$2:$J$180,0,0)),1,0))))</f>
        <v>0</v>
      </c>
      <c r="I74">
        <f>IF(EXACT(I$1,
_xlfn.XLOOKUP($B74,ANNOUNCEMENTS!$E$2:$E$180,ANNOUNCEMENTS!$J$2:$J$180,0,0)),1,
IF(EXACT(I$1,
_xlfn.XLOOKUP($B74,ANNOUNCEMENTS!$L$2:$L$180,ANNOUNCEMENTS!$J$2:$J$180,0,0)),1,
IF(EXACT(I$1,
_xlfn.XLOOKUP($B74,ANNOUNCEMENTS!$M$2:$M$180,ANNOUNCEMENTS!$J$2:$J$180,0,0)),1,
IF(EXACT(I$1,
_xlfn.XLOOKUP($B74,ANNOUNCEMENTS!$N$2:$N$180,ANNOUNCEMENTS!$J$2:$J$180,0,0)),1,0))))</f>
        <v>0</v>
      </c>
      <c r="J74">
        <f>IF(EXACT(J$1,
_xlfn.XLOOKUP($B74,ANNOUNCEMENTS!$E$2:$E$180,ANNOUNCEMENTS!$J$2:$J$180,0,0)),1,
IF(EXACT(J$1,
_xlfn.XLOOKUP($B74,ANNOUNCEMENTS!$L$2:$L$180,ANNOUNCEMENTS!$J$2:$J$180,0,0)),1,
IF(EXACT(J$1,
_xlfn.XLOOKUP($B74,ANNOUNCEMENTS!$M$2:$M$180,ANNOUNCEMENTS!$J$2:$J$180,0,0)),1,
IF(EXACT(J$1,
_xlfn.XLOOKUP($B74,ANNOUNCEMENTS!$N$2:$N$180,ANNOUNCEMENTS!$J$2:$J$180,0,0)),1,0))))</f>
        <v>0</v>
      </c>
      <c r="K74">
        <f>IF(EXACT(K$1,
_xlfn.XLOOKUP($B74,ANNOUNCEMENTS!$E$2:$E$180,ANNOUNCEMENTS!$J$2:$J$180,0,0)),1,
IF(EXACT(K$1,
_xlfn.XLOOKUP($B74,ANNOUNCEMENTS!$L$2:$L$180,ANNOUNCEMENTS!$J$2:$J$180,0,0)),1,
IF(EXACT(K$1,
_xlfn.XLOOKUP($B74,ANNOUNCEMENTS!$M$2:$M$180,ANNOUNCEMENTS!$J$2:$J$180,0,0)),1,
IF(EXACT(K$1,
_xlfn.XLOOKUP($B74,ANNOUNCEMENTS!$N$2:$N$180,ANNOUNCEMENTS!$J$2:$J$180,0,0)),1,0))))</f>
        <v>1</v>
      </c>
      <c r="L74">
        <f>IF(EXACT(L$1,
_xlfn.XLOOKUP($B74,ANNOUNCEMENTS!$E$2:$E$180,ANNOUNCEMENTS!$J$2:$J$180,0,0)),1,
IF(EXACT(L$1,
_xlfn.XLOOKUP($B74,ANNOUNCEMENTS!$L$2:$L$180,ANNOUNCEMENTS!$J$2:$J$180,0,0)),1,
IF(EXACT(L$1,
_xlfn.XLOOKUP($B74,ANNOUNCEMENTS!$M$2:$M$180,ANNOUNCEMENTS!$J$2:$J$180,0,0)),1,
IF(EXACT(L$1,
_xlfn.XLOOKUP($B74,ANNOUNCEMENTS!$N$2:$N$180,ANNOUNCEMENTS!$J$2:$J$180,0,0)),1,0))))</f>
        <v>0</v>
      </c>
      <c r="M74">
        <f t="shared" si="6"/>
        <v>1</v>
      </c>
      <c r="N74" t="b">
        <v>0</v>
      </c>
      <c r="O74" s="284">
        <f t="shared" si="8"/>
        <v>23</v>
      </c>
    </row>
    <row r="75" spans="1:15" x14ac:dyDescent="0.35">
      <c r="A75">
        <f t="shared" si="7"/>
        <v>74</v>
      </c>
      <c r="B75" t="s">
        <v>1962</v>
      </c>
      <c r="C75" t="s">
        <v>490</v>
      </c>
      <c r="D75">
        <v>0</v>
      </c>
      <c r="E75" s="107">
        <v>0</v>
      </c>
      <c r="F75">
        <v>1</v>
      </c>
      <c r="G75" t="str">
        <f>CBIMPORT!S75</f>
        <v>www.faw.com/</v>
      </c>
      <c r="H75">
        <f>IF(EXACT(H$1,
_xlfn.XLOOKUP($B75,ANNOUNCEMENTS!$E$2:$E$180,ANNOUNCEMENTS!$J$2:$J$180,0,0)),1,
IF(EXACT(H$1,
_xlfn.XLOOKUP($B75,ANNOUNCEMENTS!$L$2:$L$180,ANNOUNCEMENTS!$J$2:$J$180,0,0)),1,
IF(EXACT(H$1,
_xlfn.XLOOKUP($B75,ANNOUNCEMENTS!$M$2:$M$180,ANNOUNCEMENTS!$J$2:$J$180,0,0)),1,
IF(EXACT(H$1,
_xlfn.XLOOKUP($B75,ANNOUNCEMENTS!$N$2:$N$180,ANNOUNCEMENTS!$J$2:$J$180,0,0)),1,0))))</f>
        <v>0</v>
      </c>
      <c r="I75">
        <f>IF(EXACT(I$1,
_xlfn.XLOOKUP($B75,ANNOUNCEMENTS!$E$2:$E$180,ANNOUNCEMENTS!$J$2:$J$180,0,0)),1,
IF(EXACT(I$1,
_xlfn.XLOOKUP($B75,ANNOUNCEMENTS!$L$2:$L$180,ANNOUNCEMENTS!$J$2:$J$180,0,0)),1,
IF(EXACT(I$1,
_xlfn.XLOOKUP($B75,ANNOUNCEMENTS!$M$2:$M$180,ANNOUNCEMENTS!$J$2:$J$180,0,0)),1,
IF(EXACT(I$1,
_xlfn.XLOOKUP($B75,ANNOUNCEMENTS!$N$2:$N$180,ANNOUNCEMENTS!$J$2:$J$180,0,0)),1,0))))</f>
        <v>0</v>
      </c>
      <c r="J75">
        <f>IF(EXACT(J$1,
_xlfn.XLOOKUP($B75,ANNOUNCEMENTS!$E$2:$E$180,ANNOUNCEMENTS!$J$2:$J$180,0,0)),1,
IF(EXACT(J$1,
_xlfn.XLOOKUP($B75,ANNOUNCEMENTS!$L$2:$L$180,ANNOUNCEMENTS!$J$2:$J$180,0,0)),1,
IF(EXACT(J$1,
_xlfn.XLOOKUP($B75,ANNOUNCEMENTS!$M$2:$M$180,ANNOUNCEMENTS!$J$2:$J$180,0,0)),1,
IF(EXACT(J$1,
_xlfn.XLOOKUP($B75,ANNOUNCEMENTS!$N$2:$N$180,ANNOUNCEMENTS!$J$2:$J$180,0,0)),1,0))))</f>
        <v>0</v>
      </c>
      <c r="K75">
        <f>IF(EXACT(K$1,
_xlfn.XLOOKUP($B75,ANNOUNCEMENTS!$E$2:$E$180,ANNOUNCEMENTS!$J$2:$J$180,0,0)),1,
IF(EXACT(K$1,
_xlfn.XLOOKUP($B75,ANNOUNCEMENTS!$L$2:$L$180,ANNOUNCEMENTS!$J$2:$J$180,0,0)),1,
IF(EXACT(K$1,
_xlfn.XLOOKUP($B75,ANNOUNCEMENTS!$M$2:$M$180,ANNOUNCEMENTS!$J$2:$J$180,0,0)),1,
IF(EXACT(K$1,
_xlfn.XLOOKUP($B75,ANNOUNCEMENTS!$N$2:$N$180,ANNOUNCEMENTS!$J$2:$J$180,0,0)),1,0))))</f>
        <v>0</v>
      </c>
      <c r="L75">
        <f>IF(EXACT(L$1,
_xlfn.XLOOKUP($B75,ANNOUNCEMENTS!$E$2:$E$180,ANNOUNCEMENTS!$J$2:$J$180,0,0)),1,
IF(EXACT(L$1,
_xlfn.XLOOKUP($B75,ANNOUNCEMENTS!$L$2:$L$180,ANNOUNCEMENTS!$J$2:$J$180,0,0)),1,
IF(EXACT(L$1,
_xlfn.XLOOKUP($B75,ANNOUNCEMENTS!$M$2:$M$180,ANNOUNCEMENTS!$J$2:$J$180,0,0)),1,
IF(EXACT(L$1,
_xlfn.XLOOKUP($B75,ANNOUNCEMENTS!$N$2:$N$180,ANNOUNCEMENTS!$J$2:$J$180,0,0)),1,0))))</f>
        <v>1</v>
      </c>
      <c r="M75">
        <f t="shared" si="6"/>
        <v>1</v>
      </c>
      <c r="N75" t="b">
        <v>0</v>
      </c>
      <c r="O75" s="284">
        <f t="shared" si="8"/>
        <v>11</v>
      </c>
    </row>
    <row r="76" spans="1:15" x14ac:dyDescent="0.35">
      <c r="A76">
        <f t="shared" si="7"/>
        <v>75</v>
      </c>
      <c r="B76" t="s">
        <v>745</v>
      </c>
      <c r="C76" t="s">
        <v>490</v>
      </c>
      <c r="D76">
        <v>0</v>
      </c>
      <c r="E76" s="107">
        <v>0</v>
      </c>
      <c r="F76">
        <v>0</v>
      </c>
      <c r="G76" t="str">
        <f>CBIMPORT!S76</f>
        <v>www.fcagroup.com/</v>
      </c>
      <c r="H76">
        <f>IF(EXACT(H$1,
_xlfn.XLOOKUP($B76,ANNOUNCEMENTS!$E$2:$E$180,ANNOUNCEMENTS!$J$2:$J$180,0,0)),1,
IF(EXACT(H$1,
_xlfn.XLOOKUP($B76,ANNOUNCEMENTS!$L$2:$L$180,ANNOUNCEMENTS!$J$2:$J$180,0,0)),1,
IF(EXACT(H$1,
_xlfn.XLOOKUP($B76,ANNOUNCEMENTS!$M$2:$M$180,ANNOUNCEMENTS!$J$2:$J$180,0,0)),1,
IF(EXACT(H$1,
_xlfn.XLOOKUP($B76,ANNOUNCEMENTS!$N$2:$N$180,ANNOUNCEMENTS!$J$2:$J$180,0,0)),1,0))))</f>
        <v>0</v>
      </c>
      <c r="I76">
        <f>IF(EXACT(I$1,
_xlfn.XLOOKUP($B76,ANNOUNCEMENTS!$E$2:$E$180,ANNOUNCEMENTS!$J$2:$J$180,0,0)),1,
IF(EXACT(I$1,
_xlfn.XLOOKUP($B76,ANNOUNCEMENTS!$L$2:$L$180,ANNOUNCEMENTS!$J$2:$J$180,0,0)),1,
IF(EXACT(I$1,
_xlfn.XLOOKUP($B76,ANNOUNCEMENTS!$M$2:$M$180,ANNOUNCEMENTS!$J$2:$J$180,0,0)),1,
IF(EXACT(I$1,
_xlfn.XLOOKUP($B76,ANNOUNCEMENTS!$N$2:$N$180,ANNOUNCEMENTS!$J$2:$J$180,0,0)),1,0))))</f>
        <v>1</v>
      </c>
      <c r="J76">
        <f>IF(EXACT(J$1,
_xlfn.XLOOKUP($B76,ANNOUNCEMENTS!$E$2:$E$180,ANNOUNCEMENTS!$J$2:$J$180,0,0)),1,
IF(EXACT(J$1,
_xlfn.XLOOKUP($B76,ANNOUNCEMENTS!$L$2:$L$180,ANNOUNCEMENTS!$J$2:$J$180,0,0)),1,
IF(EXACT(J$1,
_xlfn.XLOOKUP($B76,ANNOUNCEMENTS!$M$2:$M$180,ANNOUNCEMENTS!$J$2:$J$180,0,0)),1,
IF(EXACT(J$1,
_xlfn.XLOOKUP($B76,ANNOUNCEMENTS!$N$2:$N$180,ANNOUNCEMENTS!$J$2:$J$180,0,0)),1,0))))</f>
        <v>0</v>
      </c>
      <c r="K76">
        <f>IF(EXACT(K$1,
_xlfn.XLOOKUP($B76,ANNOUNCEMENTS!$E$2:$E$180,ANNOUNCEMENTS!$J$2:$J$180,0,0)),1,
IF(EXACT(K$1,
_xlfn.XLOOKUP($B76,ANNOUNCEMENTS!$L$2:$L$180,ANNOUNCEMENTS!$J$2:$J$180,0,0)),1,
IF(EXACT(K$1,
_xlfn.XLOOKUP($B76,ANNOUNCEMENTS!$M$2:$M$180,ANNOUNCEMENTS!$J$2:$J$180,0,0)),1,
IF(EXACT(K$1,
_xlfn.XLOOKUP($B76,ANNOUNCEMENTS!$N$2:$N$180,ANNOUNCEMENTS!$J$2:$J$180,0,0)),1,0))))</f>
        <v>0</v>
      </c>
      <c r="L76">
        <f>IF(EXACT(L$1,
_xlfn.XLOOKUP($B76,ANNOUNCEMENTS!$E$2:$E$180,ANNOUNCEMENTS!$J$2:$J$180,0,0)),1,
IF(EXACT(L$1,
_xlfn.XLOOKUP($B76,ANNOUNCEMENTS!$L$2:$L$180,ANNOUNCEMENTS!$J$2:$J$180,0,0)),1,
IF(EXACT(L$1,
_xlfn.XLOOKUP($B76,ANNOUNCEMENTS!$M$2:$M$180,ANNOUNCEMENTS!$J$2:$J$180,0,0)),1,
IF(EXACT(L$1,
_xlfn.XLOOKUP($B76,ANNOUNCEMENTS!$N$2:$N$180,ANNOUNCEMENTS!$J$2:$J$180,0,0)),1,0))))</f>
        <v>0</v>
      </c>
      <c r="M76">
        <f t="shared" si="6"/>
        <v>1</v>
      </c>
      <c r="N76" t="b">
        <v>0</v>
      </c>
      <c r="O76" s="284">
        <f t="shared" si="8"/>
        <v>11</v>
      </c>
    </row>
    <row r="77" spans="1:15" x14ac:dyDescent="0.35">
      <c r="A77">
        <f t="shared" si="7"/>
        <v>76</v>
      </c>
      <c r="B77" t="s">
        <v>560</v>
      </c>
      <c r="C77" t="s">
        <v>555</v>
      </c>
      <c r="D77">
        <v>0</v>
      </c>
      <c r="E77" s="107">
        <v>0</v>
      </c>
      <c r="F77">
        <v>0</v>
      </c>
      <c r="G77" t="str">
        <f>CBIMPORT!S77</f>
        <v>www.geappliances.com/</v>
      </c>
      <c r="H77">
        <f>IF(EXACT(H$1,
_xlfn.XLOOKUP($B77,ANNOUNCEMENTS!$E$2:$E$180,ANNOUNCEMENTS!$J$2:$J$180,0,0)),1,
IF(EXACT(H$1,
_xlfn.XLOOKUP($B77,ANNOUNCEMENTS!$L$2:$L$180,ANNOUNCEMENTS!$J$2:$J$180,0,0)),1,
IF(EXACT(H$1,
_xlfn.XLOOKUP($B77,ANNOUNCEMENTS!$M$2:$M$180,ANNOUNCEMENTS!$J$2:$J$180,0,0)),1,
IF(EXACT(H$1,
_xlfn.XLOOKUP($B77,ANNOUNCEMENTS!$N$2:$N$180,ANNOUNCEMENTS!$J$2:$J$180,0,0)),1,0))))</f>
        <v>0</v>
      </c>
      <c r="I77">
        <f>IF(EXACT(I$1,
_xlfn.XLOOKUP($B77,ANNOUNCEMENTS!$E$2:$E$180,ANNOUNCEMENTS!$J$2:$J$180,0,0)),1,
IF(EXACT(I$1,
_xlfn.XLOOKUP($B77,ANNOUNCEMENTS!$L$2:$L$180,ANNOUNCEMENTS!$J$2:$J$180,0,0)),1,
IF(EXACT(I$1,
_xlfn.XLOOKUP($B77,ANNOUNCEMENTS!$M$2:$M$180,ANNOUNCEMENTS!$J$2:$J$180,0,0)),1,
IF(EXACT(I$1,
_xlfn.XLOOKUP($B77,ANNOUNCEMENTS!$N$2:$N$180,ANNOUNCEMENTS!$J$2:$J$180,0,0)),1,0))))</f>
        <v>0</v>
      </c>
      <c r="J77">
        <f>IF(EXACT(J$1,
_xlfn.XLOOKUP($B77,ANNOUNCEMENTS!$E$2:$E$180,ANNOUNCEMENTS!$J$2:$J$180,0,0)),1,
IF(EXACT(J$1,
_xlfn.XLOOKUP($B77,ANNOUNCEMENTS!$L$2:$L$180,ANNOUNCEMENTS!$J$2:$J$180,0,0)),1,
IF(EXACT(J$1,
_xlfn.XLOOKUP($B77,ANNOUNCEMENTS!$M$2:$M$180,ANNOUNCEMENTS!$J$2:$J$180,0,0)),1,
IF(EXACT(J$1,
_xlfn.XLOOKUP($B77,ANNOUNCEMENTS!$N$2:$N$180,ANNOUNCEMENTS!$J$2:$J$180,0,0)),1,0))))</f>
        <v>1</v>
      </c>
      <c r="K77">
        <f>IF(EXACT(K$1,
_xlfn.XLOOKUP($B77,ANNOUNCEMENTS!$E$2:$E$180,ANNOUNCEMENTS!$J$2:$J$180,0,0)),1,
IF(EXACT(K$1,
_xlfn.XLOOKUP($B77,ANNOUNCEMENTS!$L$2:$L$180,ANNOUNCEMENTS!$J$2:$J$180,0,0)),1,
IF(EXACT(K$1,
_xlfn.XLOOKUP($B77,ANNOUNCEMENTS!$M$2:$M$180,ANNOUNCEMENTS!$J$2:$J$180,0,0)),1,
IF(EXACT(K$1,
_xlfn.XLOOKUP($B77,ANNOUNCEMENTS!$N$2:$N$180,ANNOUNCEMENTS!$J$2:$J$180,0,0)),1,0))))</f>
        <v>0</v>
      </c>
      <c r="L77">
        <f>IF(EXACT(L$1,
_xlfn.XLOOKUP($B77,ANNOUNCEMENTS!$E$2:$E$180,ANNOUNCEMENTS!$J$2:$J$180,0,0)),1,
IF(EXACT(L$1,
_xlfn.XLOOKUP($B77,ANNOUNCEMENTS!$L$2:$L$180,ANNOUNCEMENTS!$J$2:$J$180,0,0)),1,
IF(EXACT(L$1,
_xlfn.XLOOKUP($B77,ANNOUNCEMENTS!$M$2:$M$180,ANNOUNCEMENTS!$J$2:$J$180,0,0)),1,
IF(EXACT(L$1,
_xlfn.XLOOKUP($B77,ANNOUNCEMENTS!$N$2:$N$180,ANNOUNCEMENTS!$J$2:$J$180,0,0)),1,0))))</f>
        <v>0</v>
      </c>
      <c r="M77">
        <f t="shared" si="6"/>
        <v>1</v>
      </c>
      <c r="N77" t="b">
        <v>0</v>
      </c>
      <c r="O77" s="284">
        <f t="shared" si="8"/>
        <v>21</v>
      </c>
    </row>
    <row r="78" spans="1:15" x14ac:dyDescent="0.35">
      <c r="A78">
        <f t="shared" si="7"/>
        <v>77</v>
      </c>
      <c r="B78" t="s">
        <v>748</v>
      </c>
      <c r="C78" t="s">
        <v>490</v>
      </c>
      <c r="D78">
        <v>0</v>
      </c>
      <c r="E78" s="107">
        <v>0</v>
      </c>
      <c r="F78">
        <v>0</v>
      </c>
      <c r="G78" t="str">
        <f>CBIMPORT!S78</f>
        <v>www.zgh.com</v>
      </c>
      <c r="H78">
        <f>IF(EXACT(H$1,
_xlfn.XLOOKUP($B78,ANNOUNCEMENTS!$E$2:$E$180,ANNOUNCEMENTS!$J$2:$J$180,0,0)),1,
IF(EXACT(H$1,
_xlfn.XLOOKUP($B78,ANNOUNCEMENTS!$L$2:$L$180,ANNOUNCEMENTS!$J$2:$J$180,0,0)),1,
IF(EXACT(H$1,
_xlfn.XLOOKUP($B78,ANNOUNCEMENTS!$M$2:$M$180,ANNOUNCEMENTS!$J$2:$J$180,0,0)),1,
IF(EXACT(H$1,
_xlfn.XLOOKUP($B78,ANNOUNCEMENTS!$N$2:$N$180,ANNOUNCEMENTS!$J$2:$J$180,0,0)),1,0))))</f>
        <v>0</v>
      </c>
      <c r="I78">
        <f>IF(EXACT(I$1,
_xlfn.XLOOKUP($B78,ANNOUNCEMENTS!$E$2:$E$180,ANNOUNCEMENTS!$J$2:$J$180,0,0)),1,
IF(EXACT(I$1,
_xlfn.XLOOKUP($B78,ANNOUNCEMENTS!$L$2:$L$180,ANNOUNCEMENTS!$J$2:$J$180,0,0)),1,
IF(EXACT(I$1,
_xlfn.XLOOKUP($B78,ANNOUNCEMENTS!$M$2:$M$180,ANNOUNCEMENTS!$J$2:$J$180,0,0)),1,
IF(EXACT(I$1,
_xlfn.XLOOKUP($B78,ANNOUNCEMENTS!$N$2:$N$180,ANNOUNCEMENTS!$J$2:$J$180,0,0)),1,0))))</f>
        <v>0</v>
      </c>
      <c r="J78">
        <f>IF(EXACT(J$1,
_xlfn.XLOOKUP($B78,ANNOUNCEMENTS!$E$2:$E$180,ANNOUNCEMENTS!$J$2:$J$180,0,0)),1,
IF(EXACT(J$1,
_xlfn.XLOOKUP($B78,ANNOUNCEMENTS!$L$2:$L$180,ANNOUNCEMENTS!$J$2:$J$180,0,0)),1,
IF(EXACT(J$1,
_xlfn.XLOOKUP($B78,ANNOUNCEMENTS!$M$2:$M$180,ANNOUNCEMENTS!$J$2:$J$180,0,0)),1,
IF(EXACT(J$1,
_xlfn.XLOOKUP($B78,ANNOUNCEMENTS!$N$2:$N$180,ANNOUNCEMENTS!$J$2:$J$180,0,0)),1,0))))</f>
        <v>0</v>
      </c>
      <c r="K78">
        <f>IF(EXACT(K$1,
_xlfn.XLOOKUP($B78,ANNOUNCEMENTS!$E$2:$E$180,ANNOUNCEMENTS!$J$2:$J$180,0,0)),1,
IF(EXACT(K$1,
_xlfn.XLOOKUP($B78,ANNOUNCEMENTS!$L$2:$L$180,ANNOUNCEMENTS!$J$2:$J$180,0,0)),1,
IF(EXACT(K$1,
_xlfn.XLOOKUP($B78,ANNOUNCEMENTS!$M$2:$M$180,ANNOUNCEMENTS!$J$2:$J$180,0,0)),1,
IF(EXACT(K$1,
_xlfn.XLOOKUP($B78,ANNOUNCEMENTS!$N$2:$N$180,ANNOUNCEMENTS!$J$2:$J$180,0,0)),1,0))))</f>
        <v>0</v>
      </c>
      <c r="L78">
        <f>IF(EXACT(L$1,
_xlfn.XLOOKUP($B78,ANNOUNCEMENTS!$E$2:$E$180,ANNOUNCEMENTS!$J$2:$J$180,0,0)),1,
IF(EXACT(L$1,
_xlfn.XLOOKUP($B78,ANNOUNCEMENTS!$L$2:$L$180,ANNOUNCEMENTS!$J$2:$J$180,0,0)),1,
IF(EXACT(L$1,
_xlfn.XLOOKUP($B78,ANNOUNCEMENTS!$M$2:$M$180,ANNOUNCEMENTS!$J$2:$J$180,0,0)),1,
IF(EXACT(L$1,
_xlfn.XLOOKUP($B78,ANNOUNCEMENTS!$N$2:$N$180,ANNOUNCEMENTS!$J$2:$J$180,0,0)),1,0))))</f>
        <v>1</v>
      </c>
      <c r="M78">
        <f t="shared" si="6"/>
        <v>1</v>
      </c>
      <c r="N78" t="b">
        <v>0</v>
      </c>
      <c r="O78" s="284">
        <f t="shared" si="8"/>
        <v>11</v>
      </c>
    </row>
    <row r="79" spans="1:15" x14ac:dyDescent="0.35">
      <c r="A79">
        <f t="shared" si="7"/>
        <v>78</v>
      </c>
      <c r="B79" t="s">
        <v>587</v>
      </c>
      <c r="C79" t="s">
        <v>490</v>
      </c>
      <c r="D79">
        <v>0</v>
      </c>
      <c r="E79" s="107">
        <v>6000.5053129999997</v>
      </c>
      <c r="F79">
        <v>1</v>
      </c>
      <c r="G79" t="str">
        <f>CBIMPORT!S79</f>
        <v>www.gm.com</v>
      </c>
      <c r="H79">
        <f>IF(EXACT(H$1,
_xlfn.XLOOKUP($B79,ANNOUNCEMENTS!$E$2:$E$180,ANNOUNCEMENTS!$J$2:$J$180,0,0)),1,
IF(EXACT(H$1,
_xlfn.XLOOKUP($B79,ANNOUNCEMENTS!$L$2:$L$180,ANNOUNCEMENTS!$J$2:$J$180,0,0)),1,
IF(EXACT(H$1,
_xlfn.XLOOKUP($B79,ANNOUNCEMENTS!$M$2:$M$180,ANNOUNCEMENTS!$J$2:$J$180,0,0)),1,
IF(EXACT(H$1,
_xlfn.XLOOKUP($B79,ANNOUNCEMENTS!$N$2:$N$180,ANNOUNCEMENTS!$J$2:$J$180,0,0)),1,0))))</f>
        <v>1</v>
      </c>
      <c r="I79">
        <f>IF(EXACT(I$1,
_xlfn.XLOOKUP($B79,ANNOUNCEMENTS!$E$2:$E$180,ANNOUNCEMENTS!$J$2:$J$180,0,0)),1,
IF(EXACT(I$1,
_xlfn.XLOOKUP($B79,ANNOUNCEMENTS!$L$2:$L$180,ANNOUNCEMENTS!$J$2:$J$180,0,0)),1,
IF(EXACT(I$1,
_xlfn.XLOOKUP($B79,ANNOUNCEMENTS!$M$2:$M$180,ANNOUNCEMENTS!$J$2:$J$180,0,0)),1,
IF(EXACT(I$1,
_xlfn.XLOOKUP($B79,ANNOUNCEMENTS!$N$2:$N$180,ANNOUNCEMENTS!$J$2:$J$180,0,0)),1,0))))</f>
        <v>0</v>
      </c>
      <c r="J79">
        <f>IF(EXACT(J$1,
_xlfn.XLOOKUP($B79,ANNOUNCEMENTS!$E$2:$E$180,ANNOUNCEMENTS!$J$2:$J$180,0,0)),1,
IF(EXACT(J$1,
_xlfn.XLOOKUP($B79,ANNOUNCEMENTS!$L$2:$L$180,ANNOUNCEMENTS!$J$2:$J$180,0,0)),1,
IF(EXACT(J$1,
_xlfn.XLOOKUP($B79,ANNOUNCEMENTS!$M$2:$M$180,ANNOUNCEMENTS!$J$2:$J$180,0,0)),1,
IF(EXACT(J$1,
_xlfn.XLOOKUP($B79,ANNOUNCEMENTS!$N$2:$N$180,ANNOUNCEMENTS!$J$2:$J$180,0,0)),1,0))))</f>
        <v>0</v>
      </c>
      <c r="K79">
        <f>IF(EXACT(K$1,
_xlfn.XLOOKUP($B79,ANNOUNCEMENTS!$E$2:$E$180,ANNOUNCEMENTS!$J$2:$J$180,0,0)),1,
IF(EXACT(K$1,
_xlfn.XLOOKUP($B79,ANNOUNCEMENTS!$L$2:$L$180,ANNOUNCEMENTS!$J$2:$J$180,0,0)),1,
IF(EXACT(K$1,
_xlfn.XLOOKUP($B79,ANNOUNCEMENTS!$M$2:$M$180,ANNOUNCEMENTS!$J$2:$J$180,0,0)),1,
IF(EXACT(K$1,
_xlfn.XLOOKUP($B79,ANNOUNCEMENTS!$N$2:$N$180,ANNOUNCEMENTS!$J$2:$J$180,0,0)),1,0))))</f>
        <v>0</v>
      </c>
      <c r="L79">
        <f>IF(EXACT(L$1,
_xlfn.XLOOKUP($B79,ANNOUNCEMENTS!$E$2:$E$180,ANNOUNCEMENTS!$J$2:$J$180,0,0)),1,
IF(EXACT(L$1,
_xlfn.XLOOKUP($B79,ANNOUNCEMENTS!$L$2:$L$180,ANNOUNCEMENTS!$J$2:$J$180,0,0)),1,
IF(EXACT(L$1,
_xlfn.XLOOKUP($B79,ANNOUNCEMENTS!$M$2:$M$180,ANNOUNCEMENTS!$J$2:$J$180,0,0)),1,
IF(EXACT(L$1,
_xlfn.XLOOKUP($B79,ANNOUNCEMENTS!$N$2:$N$180,ANNOUNCEMENTS!$J$2:$J$180,0,0)),1,0))))</f>
        <v>0</v>
      </c>
      <c r="M79">
        <f t="shared" si="6"/>
        <v>1</v>
      </c>
      <c r="N79" t="b">
        <v>0</v>
      </c>
      <c r="O79" s="284">
        <f t="shared" si="8"/>
        <v>11</v>
      </c>
    </row>
    <row r="80" spans="1:15" x14ac:dyDescent="0.35">
      <c r="A80">
        <f t="shared" si="7"/>
        <v>79</v>
      </c>
      <c r="B80" t="s">
        <v>1954</v>
      </c>
      <c r="C80" t="s">
        <v>588</v>
      </c>
      <c r="D80">
        <v>0</v>
      </c>
      <c r="E80" s="107">
        <v>0</v>
      </c>
      <c r="F80">
        <v>0</v>
      </c>
      <c r="G80" t="str">
        <f>CBIMPORT!S80</f>
        <v>globalfinancegroup.com/</v>
      </c>
      <c r="H80">
        <f>IF(EXACT(H$1,
_xlfn.XLOOKUP($B80,ANNOUNCEMENTS!$E$2:$E$180,ANNOUNCEMENTS!$J$2:$J$180,0,0)),1,
IF(EXACT(H$1,
_xlfn.XLOOKUP($B80,ANNOUNCEMENTS!$L$2:$L$180,ANNOUNCEMENTS!$J$2:$J$180,0,0)),1,
IF(EXACT(H$1,
_xlfn.XLOOKUP($B80,ANNOUNCEMENTS!$M$2:$M$180,ANNOUNCEMENTS!$J$2:$J$180,0,0)),1,
IF(EXACT(H$1,
_xlfn.XLOOKUP($B80,ANNOUNCEMENTS!$N$2:$N$180,ANNOUNCEMENTS!$J$2:$J$180,0,0)),1,0))))</f>
        <v>0</v>
      </c>
      <c r="I80">
        <f>IF(EXACT(I$1,
_xlfn.XLOOKUP($B80,ANNOUNCEMENTS!$E$2:$E$180,ANNOUNCEMENTS!$J$2:$J$180,0,0)),1,
IF(EXACT(I$1,
_xlfn.XLOOKUP($B80,ANNOUNCEMENTS!$L$2:$L$180,ANNOUNCEMENTS!$J$2:$J$180,0,0)),1,
IF(EXACT(I$1,
_xlfn.XLOOKUP($B80,ANNOUNCEMENTS!$M$2:$M$180,ANNOUNCEMENTS!$J$2:$J$180,0,0)),1,
IF(EXACT(I$1,
_xlfn.XLOOKUP($B80,ANNOUNCEMENTS!$N$2:$N$180,ANNOUNCEMENTS!$J$2:$J$180,0,0)),1,0))))</f>
        <v>1</v>
      </c>
      <c r="J80">
        <f>IF(EXACT(J$1,
_xlfn.XLOOKUP($B80,ANNOUNCEMENTS!$E$2:$E$180,ANNOUNCEMENTS!$J$2:$J$180,0,0)),1,
IF(EXACT(J$1,
_xlfn.XLOOKUP($B80,ANNOUNCEMENTS!$L$2:$L$180,ANNOUNCEMENTS!$J$2:$J$180,0,0)),1,
IF(EXACT(J$1,
_xlfn.XLOOKUP($B80,ANNOUNCEMENTS!$M$2:$M$180,ANNOUNCEMENTS!$J$2:$J$180,0,0)),1,
IF(EXACT(J$1,
_xlfn.XLOOKUP($B80,ANNOUNCEMENTS!$N$2:$N$180,ANNOUNCEMENTS!$J$2:$J$180,0,0)),1,0))))</f>
        <v>0</v>
      </c>
      <c r="K80">
        <f>IF(EXACT(K$1,
_xlfn.XLOOKUP($B80,ANNOUNCEMENTS!$E$2:$E$180,ANNOUNCEMENTS!$J$2:$J$180,0,0)),1,
IF(EXACT(K$1,
_xlfn.XLOOKUP($B80,ANNOUNCEMENTS!$L$2:$L$180,ANNOUNCEMENTS!$J$2:$J$180,0,0)),1,
IF(EXACT(K$1,
_xlfn.XLOOKUP($B80,ANNOUNCEMENTS!$M$2:$M$180,ANNOUNCEMENTS!$J$2:$J$180,0,0)),1,
IF(EXACT(K$1,
_xlfn.XLOOKUP($B80,ANNOUNCEMENTS!$N$2:$N$180,ANNOUNCEMENTS!$J$2:$J$180,0,0)),1,0))))</f>
        <v>0</v>
      </c>
      <c r="L80">
        <f>IF(EXACT(L$1,
_xlfn.XLOOKUP($B80,ANNOUNCEMENTS!$E$2:$E$180,ANNOUNCEMENTS!$J$2:$J$180,0,0)),1,
IF(EXACT(L$1,
_xlfn.XLOOKUP($B80,ANNOUNCEMENTS!$L$2:$L$180,ANNOUNCEMENTS!$J$2:$J$180,0,0)),1,
IF(EXACT(L$1,
_xlfn.XLOOKUP($B80,ANNOUNCEMENTS!$M$2:$M$180,ANNOUNCEMENTS!$J$2:$J$180,0,0)),1,
IF(EXACT(L$1,
_xlfn.XLOOKUP($B80,ANNOUNCEMENTS!$N$2:$N$180,ANNOUNCEMENTS!$J$2:$J$180,0,0)),1,0))))</f>
        <v>0</v>
      </c>
      <c r="M80">
        <f t="shared" si="6"/>
        <v>1</v>
      </c>
      <c r="N80" t="b">
        <v>0</v>
      </c>
      <c r="O80" s="284">
        <f t="shared" si="8"/>
        <v>38</v>
      </c>
    </row>
    <row r="81" spans="1:15" x14ac:dyDescent="0.35">
      <c r="A81">
        <f t="shared" si="7"/>
        <v>80</v>
      </c>
      <c r="B81" t="s">
        <v>519</v>
      </c>
      <c r="C81" t="s">
        <v>520</v>
      </c>
      <c r="D81">
        <v>0</v>
      </c>
      <c r="E81" s="107">
        <v>25.68</v>
      </c>
      <c r="F81">
        <v>0</v>
      </c>
      <c r="G81" t="str">
        <f>CBIMPORT!S81</f>
        <v>goggo.network/</v>
      </c>
      <c r="H81">
        <f>IF(EXACT(H$1,
_xlfn.XLOOKUP($B81,ANNOUNCEMENTS!$E$2:$E$180,ANNOUNCEMENTS!$J$2:$J$180,0,0)),1,
IF(EXACT(H$1,
_xlfn.XLOOKUP($B81,ANNOUNCEMENTS!$L$2:$L$180,ANNOUNCEMENTS!$J$2:$J$180,0,0)),1,
IF(EXACT(H$1,
_xlfn.XLOOKUP($B81,ANNOUNCEMENTS!$M$2:$M$180,ANNOUNCEMENTS!$J$2:$J$180,0,0)),1,
IF(EXACT(H$1,
_xlfn.XLOOKUP($B81,ANNOUNCEMENTS!$N$2:$N$180,ANNOUNCEMENTS!$J$2:$J$180,0,0)),1,0))))</f>
        <v>0</v>
      </c>
      <c r="I81">
        <f>IF(EXACT(I$1,
_xlfn.XLOOKUP($B81,ANNOUNCEMENTS!$E$2:$E$180,ANNOUNCEMENTS!$J$2:$J$180,0,0)),1,
IF(EXACT(I$1,
_xlfn.XLOOKUP($B81,ANNOUNCEMENTS!$L$2:$L$180,ANNOUNCEMENTS!$J$2:$J$180,0,0)),1,
IF(EXACT(I$1,
_xlfn.XLOOKUP($B81,ANNOUNCEMENTS!$M$2:$M$180,ANNOUNCEMENTS!$J$2:$J$180,0,0)),1,
IF(EXACT(I$1,
_xlfn.XLOOKUP($B81,ANNOUNCEMENTS!$N$2:$N$180,ANNOUNCEMENTS!$J$2:$J$180,0,0)),1,0))))</f>
        <v>0</v>
      </c>
      <c r="J81">
        <f>IF(EXACT(J$1,
_xlfn.XLOOKUP($B81,ANNOUNCEMENTS!$E$2:$E$180,ANNOUNCEMENTS!$J$2:$J$180,0,0)),1,
IF(EXACT(J$1,
_xlfn.XLOOKUP($B81,ANNOUNCEMENTS!$L$2:$L$180,ANNOUNCEMENTS!$J$2:$J$180,0,0)),1,
IF(EXACT(J$1,
_xlfn.XLOOKUP($B81,ANNOUNCEMENTS!$M$2:$M$180,ANNOUNCEMENTS!$J$2:$J$180,0,0)),1,
IF(EXACT(J$1,
_xlfn.XLOOKUP($B81,ANNOUNCEMENTS!$N$2:$N$180,ANNOUNCEMENTS!$J$2:$J$180,0,0)),1,0))))</f>
        <v>0</v>
      </c>
      <c r="K81">
        <f>IF(EXACT(K$1,
_xlfn.XLOOKUP($B81,ANNOUNCEMENTS!$E$2:$E$180,ANNOUNCEMENTS!$J$2:$J$180,0,0)),1,
IF(EXACT(K$1,
_xlfn.XLOOKUP($B81,ANNOUNCEMENTS!$L$2:$L$180,ANNOUNCEMENTS!$J$2:$J$180,0,0)),1,
IF(EXACT(K$1,
_xlfn.XLOOKUP($B81,ANNOUNCEMENTS!$M$2:$M$180,ANNOUNCEMENTS!$J$2:$J$180,0,0)),1,
IF(EXACT(K$1,
_xlfn.XLOOKUP($B81,ANNOUNCEMENTS!$N$2:$N$180,ANNOUNCEMENTS!$J$2:$J$180,0,0)),1,0))))</f>
        <v>1</v>
      </c>
      <c r="L81">
        <f>IF(EXACT(L$1,
_xlfn.XLOOKUP($B81,ANNOUNCEMENTS!$E$2:$E$180,ANNOUNCEMENTS!$J$2:$J$180,0,0)),1,
IF(EXACT(L$1,
_xlfn.XLOOKUP($B81,ANNOUNCEMENTS!$L$2:$L$180,ANNOUNCEMENTS!$J$2:$J$180,0,0)),1,
IF(EXACT(L$1,
_xlfn.XLOOKUP($B81,ANNOUNCEMENTS!$M$2:$M$180,ANNOUNCEMENTS!$J$2:$J$180,0,0)),1,
IF(EXACT(L$1,
_xlfn.XLOOKUP($B81,ANNOUNCEMENTS!$N$2:$N$180,ANNOUNCEMENTS!$J$2:$J$180,0,0)),1,0))))</f>
        <v>0</v>
      </c>
      <c r="M81">
        <f t="shared" si="6"/>
        <v>1</v>
      </c>
      <c r="N81" t="b">
        <v>0</v>
      </c>
      <c r="O81" s="284">
        <f t="shared" si="8"/>
        <v>37</v>
      </c>
    </row>
    <row r="82" spans="1:15" x14ac:dyDescent="0.35">
      <c r="A82">
        <f t="shared" si="7"/>
        <v>81</v>
      </c>
      <c r="B82" t="s">
        <v>507</v>
      </c>
      <c r="C82" t="s">
        <v>481</v>
      </c>
      <c r="D82">
        <v>0</v>
      </c>
      <c r="E82" s="107">
        <v>0</v>
      </c>
      <c r="F82">
        <v>0</v>
      </c>
      <c r="G82" t="str">
        <f>CBIMPORT!S82</f>
        <v>www.goodyear.eu</v>
      </c>
      <c r="H82">
        <f>IF(EXACT(H$1,
_xlfn.XLOOKUP($B82,ANNOUNCEMENTS!$E$2:$E$180,ANNOUNCEMENTS!$J$2:$J$180,0,0)),1,
IF(EXACT(H$1,
_xlfn.XLOOKUP($B82,ANNOUNCEMENTS!$L$2:$L$180,ANNOUNCEMENTS!$J$2:$J$180,0,0)),1,
IF(EXACT(H$1,
_xlfn.XLOOKUP($B82,ANNOUNCEMENTS!$M$2:$M$180,ANNOUNCEMENTS!$J$2:$J$180,0,0)),1,
IF(EXACT(H$1,
_xlfn.XLOOKUP($B82,ANNOUNCEMENTS!$N$2:$N$180,ANNOUNCEMENTS!$J$2:$J$180,0,0)),1,0))))</f>
        <v>0</v>
      </c>
      <c r="I82">
        <f>IF(EXACT(I$1,
_xlfn.XLOOKUP($B82,ANNOUNCEMENTS!$E$2:$E$180,ANNOUNCEMENTS!$J$2:$J$180,0,0)),1,
IF(EXACT(I$1,
_xlfn.XLOOKUP($B82,ANNOUNCEMENTS!$L$2:$L$180,ANNOUNCEMENTS!$J$2:$J$180,0,0)),1,
IF(EXACT(I$1,
_xlfn.XLOOKUP($B82,ANNOUNCEMENTS!$M$2:$M$180,ANNOUNCEMENTS!$J$2:$J$180,0,0)),1,
IF(EXACT(I$1,
_xlfn.XLOOKUP($B82,ANNOUNCEMENTS!$N$2:$N$180,ANNOUNCEMENTS!$J$2:$J$180,0,0)),1,0))))</f>
        <v>0</v>
      </c>
      <c r="J82">
        <f>IF(EXACT(J$1,
_xlfn.XLOOKUP($B82,ANNOUNCEMENTS!$E$2:$E$180,ANNOUNCEMENTS!$J$2:$J$180,0,0)),1,
IF(EXACT(J$1,
_xlfn.XLOOKUP($B82,ANNOUNCEMENTS!$L$2:$L$180,ANNOUNCEMENTS!$J$2:$J$180,0,0)),1,
IF(EXACT(J$1,
_xlfn.XLOOKUP($B82,ANNOUNCEMENTS!$M$2:$M$180,ANNOUNCEMENTS!$J$2:$J$180,0,0)),1,
IF(EXACT(J$1,
_xlfn.XLOOKUP($B82,ANNOUNCEMENTS!$N$2:$N$180,ANNOUNCEMENTS!$J$2:$J$180,0,0)),1,0))))</f>
        <v>1</v>
      </c>
      <c r="K82">
        <f>IF(EXACT(K$1,
_xlfn.XLOOKUP($B82,ANNOUNCEMENTS!$E$2:$E$180,ANNOUNCEMENTS!$J$2:$J$180,0,0)),1,
IF(EXACT(K$1,
_xlfn.XLOOKUP($B82,ANNOUNCEMENTS!$L$2:$L$180,ANNOUNCEMENTS!$J$2:$J$180,0,0)),1,
IF(EXACT(K$1,
_xlfn.XLOOKUP($B82,ANNOUNCEMENTS!$M$2:$M$180,ANNOUNCEMENTS!$J$2:$J$180,0,0)),1,
IF(EXACT(K$1,
_xlfn.XLOOKUP($B82,ANNOUNCEMENTS!$N$2:$N$180,ANNOUNCEMENTS!$J$2:$J$180,0,0)),1,0))))</f>
        <v>0</v>
      </c>
      <c r="L82">
        <f>IF(EXACT(L$1,
_xlfn.XLOOKUP($B82,ANNOUNCEMENTS!$E$2:$E$180,ANNOUNCEMENTS!$J$2:$J$180,0,0)),1,
IF(EXACT(L$1,
_xlfn.XLOOKUP($B82,ANNOUNCEMENTS!$L$2:$L$180,ANNOUNCEMENTS!$J$2:$J$180,0,0)),1,
IF(EXACT(L$1,
_xlfn.XLOOKUP($B82,ANNOUNCEMENTS!$M$2:$M$180,ANNOUNCEMENTS!$J$2:$J$180,0,0)),1,
IF(EXACT(L$1,
_xlfn.XLOOKUP($B82,ANNOUNCEMENTS!$N$2:$N$180,ANNOUNCEMENTS!$J$2:$J$180,0,0)),1,0))))</f>
        <v>0</v>
      </c>
      <c r="M82">
        <f t="shared" si="6"/>
        <v>1</v>
      </c>
      <c r="N82" t="b">
        <v>0</v>
      </c>
      <c r="O82" s="284">
        <f t="shared" si="8"/>
        <v>9</v>
      </c>
    </row>
    <row r="83" spans="1:15" x14ac:dyDescent="0.35">
      <c r="A83">
        <f t="shared" si="7"/>
        <v>82</v>
      </c>
      <c r="B83" t="s">
        <v>1989</v>
      </c>
      <c r="C83" t="s">
        <v>784</v>
      </c>
      <c r="D83">
        <v>0</v>
      </c>
      <c r="E83" s="107">
        <v>8.0015000000000003E-2</v>
      </c>
      <c r="F83">
        <v>1</v>
      </c>
      <c r="G83" t="str">
        <f>CBIMPORT!S83</f>
        <v>www.greenpowerbus.com/</v>
      </c>
      <c r="H83">
        <f>IF(EXACT(H$1,
_xlfn.XLOOKUP($B83,ANNOUNCEMENTS!$E$2:$E$180,ANNOUNCEMENTS!$J$2:$J$180,0,0)),1,
IF(EXACT(H$1,
_xlfn.XLOOKUP($B83,ANNOUNCEMENTS!$L$2:$L$180,ANNOUNCEMENTS!$J$2:$J$180,0,0)),1,
IF(EXACT(H$1,
_xlfn.XLOOKUP($B83,ANNOUNCEMENTS!$M$2:$M$180,ANNOUNCEMENTS!$J$2:$J$180,0,0)),1,
IF(EXACT(H$1,
_xlfn.XLOOKUP($B83,ANNOUNCEMENTS!$N$2:$N$180,ANNOUNCEMENTS!$J$2:$J$180,0,0)),1,0))))</f>
        <v>1</v>
      </c>
      <c r="I83">
        <f>IF(EXACT(I$1,
_xlfn.XLOOKUP($B83,ANNOUNCEMENTS!$E$2:$E$180,ANNOUNCEMENTS!$J$2:$J$180,0,0)),1,
IF(EXACT(I$1,
_xlfn.XLOOKUP($B83,ANNOUNCEMENTS!$L$2:$L$180,ANNOUNCEMENTS!$J$2:$J$180,0,0)),1,
IF(EXACT(I$1,
_xlfn.XLOOKUP($B83,ANNOUNCEMENTS!$M$2:$M$180,ANNOUNCEMENTS!$J$2:$J$180,0,0)),1,
IF(EXACT(I$1,
_xlfn.XLOOKUP($B83,ANNOUNCEMENTS!$N$2:$N$180,ANNOUNCEMENTS!$J$2:$J$180,0,0)),1,0))))</f>
        <v>0</v>
      </c>
      <c r="J83">
        <f>IF(EXACT(J$1,
_xlfn.XLOOKUP($B83,ANNOUNCEMENTS!$E$2:$E$180,ANNOUNCEMENTS!$J$2:$J$180,0,0)),1,
IF(EXACT(J$1,
_xlfn.XLOOKUP($B83,ANNOUNCEMENTS!$L$2:$L$180,ANNOUNCEMENTS!$J$2:$J$180,0,0)),1,
IF(EXACT(J$1,
_xlfn.XLOOKUP($B83,ANNOUNCEMENTS!$M$2:$M$180,ANNOUNCEMENTS!$J$2:$J$180,0,0)),1,
IF(EXACT(J$1,
_xlfn.XLOOKUP($B83,ANNOUNCEMENTS!$N$2:$N$180,ANNOUNCEMENTS!$J$2:$J$180,0,0)),1,0))))</f>
        <v>0</v>
      </c>
      <c r="K83">
        <f>IF(EXACT(K$1,
_xlfn.XLOOKUP($B83,ANNOUNCEMENTS!$E$2:$E$180,ANNOUNCEMENTS!$J$2:$J$180,0,0)),1,
IF(EXACT(K$1,
_xlfn.XLOOKUP($B83,ANNOUNCEMENTS!$L$2:$L$180,ANNOUNCEMENTS!$J$2:$J$180,0,0)),1,
IF(EXACT(K$1,
_xlfn.XLOOKUP($B83,ANNOUNCEMENTS!$M$2:$M$180,ANNOUNCEMENTS!$J$2:$J$180,0,0)),1,
IF(EXACT(K$1,
_xlfn.XLOOKUP($B83,ANNOUNCEMENTS!$N$2:$N$180,ANNOUNCEMENTS!$J$2:$J$180,0,0)),1,0))))</f>
        <v>0</v>
      </c>
      <c r="L83">
        <f>IF(EXACT(L$1,
_xlfn.XLOOKUP($B83,ANNOUNCEMENTS!$E$2:$E$180,ANNOUNCEMENTS!$J$2:$J$180,0,0)),1,
IF(EXACT(L$1,
_xlfn.XLOOKUP($B83,ANNOUNCEMENTS!$L$2:$L$180,ANNOUNCEMENTS!$J$2:$J$180,0,0)),1,
IF(EXACT(L$1,
_xlfn.XLOOKUP($B83,ANNOUNCEMENTS!$M$2:$M$180,ANNOUNCEMENTS!$J$2:$J$180,0,0)),1,
IF(EXACT(L$1,
_xlfn.XLOOKUP($B83,ANNOUNCEMENTS!$N$2:$N$180,ANNOUNCEMENTS!$J$2:$J$180,0,0)),1,0))))</f>
        <v>0</v>
      </c>
      <c r="M83">
        <f t="shared" si="6"/>
        <v>1</v>
      </c>
      <c r="N83" t="b">
        <v>0</v>
      </c>
      <c r="O83" s="284">
        <f t="shared" si="8"/>
        <v>12</v>
      </c>
    </row>
    <row r="84" spans="1:15" x14ac:dyDescent="0.35">
      <c r="A84">
        <f t="shared" si="7"/>
        <v>83</v>
      </c>
      <c r="B84" t="s">
        <v>574</v>
      </c>
      <c r="C84" t="s">
        <v>449</v>
      </c>
      <c r="D84">
        <v>0</v>
      </c>
      <c r="E84" s="107">
        <v>284.10000000000002</v>
      </c>
      <c r="F84">
        <v>1</v>
      </c>
      <c r="G84" t="str">
        <f>CBIMPORT!S84</f>
        <v>www.grubhub.com</v>
      </c>
      <c r="H84">
        <f>IF(EXACT(H$1,
_xlfn.XLOOKUP($B84,ANNOUNCEMENTS!$E$2:$E$180,ANNOUNCEMENTS!$J$2:$J$180,0,0)),1,
IF(EXACT(H$1,
_xlfn.XLOOKUP($B84,ANNOUNCEMENTS!$L$2:$L$180,ANNOUNCEMENTS!$J$2:$J$180,0,0)),1,
IF(EXACT(H$1,
_xlfn.XLOOKUP($B84,ANNOUNCEMENTS!$M$2:$M$180,ANNOUNCEMENTS!$J$2:$J$180,0,0)),1,
IF(EXACT(H$1,
_xlfn.XLOOKUP($B84,ANNOUNCEMENTS!$N$2:$N$180,ANNOUNCEMENTS!$J$2:$J$180,0,0)),1,0))))</f>
        <v>0</v>
      </c>
      <c r="I84">
        <f>IF(EXACT(I$1,
_xlfn.XLOOKUP($B84,ANNOUNCEMENTS!$E$2:$E$180,ANNOUNCEMENTS!$J$2:$J$180,0,0)),1,
IF(EXACT(I$1,
_xlfn.XLOOKUP($B84,ANNOUNCEMENTS!$L$2:$L$180,ANNOUNCEMENTS!$J$2:$J$180,0,0)),1,
IF(EXACT(I$1,
_xlfn.XLOOKUP($B84,ANNOUNCEMENTS!$M$2:$M$180,ANNOUNCEMENTS!$J$2:$J$180,0,0)),1,
IF(EXACT(I$1,
_xlfn.XLOOKUP($B84,ANNOUNCEMENTS!$N$2:$N$180,ANNOUNCEMENTS!$J$2:$J$180,0,0)),1,0))))</f>
        <v>0</v>
      </c>
      <c r="J84">
        <f>IF(EXACT(J$1,
_xlfn.XLOOKUP($B84,ANNOUNCEMENTS!$E$2:$E$180,ANNOUNCEMENTS!$J$2:$J$180,0,0)),1,
IF(EXACT(J$1,
_xlfn.XLOOKUP($B84,ANNOUNCEMENTS!$L$2:$L$180,ANNOUNCEMENTS!$J$2:$J$180,0,0)),1,
IF(EXACT(J$1,
_xlfn.XLOOKUP($B84,ANNOUNCEMENTS!$M$2:$M$180,ANNOUNCEMENTS!$J$2:$J$180,0,0)),1,
IF(EXACT(J$1,
_xlfn.XLOOKUP($B84,ANNOUNCEMENTS!$N$2:$N$180,ANNOUNCEMENTS!$J$2:$J$180,0,0)),1,0))))</f>
        <v>0</v>
      </c>
      <c r="K84">
        <f>IF(EXACT(K$1,
_xlfn.XLOOKUP($B84,ANNOUNCEMENTS!$E$2:$E$180,ANNOUNCEMENTS!$J$2:$J$180,0,0)),1,
IF(EXACT(K$1,
_xlfn.XLOOKUP($B84,ANNOUNCEMENTS!$L$2:$L$180,ANNOUNCEMENTS!$J$2:$J$180,0,0)),1,
IF(EXACT(K$1,
_xlfn.XLOOKUP($B84,ANNOUNCEMENTS!$M$2:$M$180,ANNOUNCEMENTS!$J$2:$J$180,0,0)),1,
IF(EXACT(K$1,
_xlfn.XLOOKUP($B84,ANNOUNCEMENTS!$N$2:$N$180,ANNOUNCEMENTS!$J$2:$J$180,0,0)),1,0))))</f>
        <v>1</v>
      </c>
      <c r="L84">
        <f>IF(EXACT(L$1,
_xlfn.XLOOKUP($B84,ANNOUNCEMENTS!$E$2:$E$180,ANNOUNCEMENTS!$J$2:$J$180,0,0)),1,
IF(EXACT(L$1,
_xlfn.XLOOKUP($B84,ANNOUNCEMENTS!$L$2:$L$180,ANNOUNCEMENTS!$J$2:$J$180,0,0)),1,
IF(EXACT(L$1,
_xlfn.XLOOKUP($B84,ANNOUNCEMENTS!$M$2:$M$180,ANNOUNCEMENTS!$J$2:$J$180,0,0)),1,
IF(EXACT(L$1,
_xlfn.XLOOKUP($B84,ANNOUNCEMENTS!$N$2:$N$180,ANNOUNCEMENTS!$J$2:$J$180,0,0)),1,0))))</f>
        <v>0</v>
      </c>
      <c r="M84">
        <f t="shared" si="6"/>
        <v>1</v>
      </c>
      <c r="N84" t="b">
        <v>0</v>
      </c>
      <c r="O84" s="284">
        <f t="shared" si="8"/>
        <v>23</v>
      </c>
    </row>
    <row r="85" spans="1:15" x14ac:dyDescent="0.35">
      <c r="A85">
        <f t="shared" si="7"/>
        <v>84</v>
      </c>
      <c r="B85" t="s">
        <v>454</v>
      </c>
      <c r="C85" t="s">
        <v>330</v>
      </c>
      <c r="D85">
        <v>0</v>
      </c>
      <c r="E85" s="107">
        <v>2</v>
      </c>
      <c r="F85">
        <v>0</v>
      </c>
      <c r="G85" t="str">
        <f>CBIMPORT!S85</f>
        <v>guident.co</v>
      </c>
      <c r="H85">
        <f>IF(EXACT(H$1,
_xlfn.XLOOKUP($B85,ANNOUNCEMENTS!$E$2:$E$180,ANNOUNCEMENTS!$J$2:$J$180,0,0)),1,
IF(EXACT(H$1,
_xlfn.XLOOKUP($B85,ANNOUNCEMENTS!$L$2:$L$180,ANNOUNCEMENTS!$J$2:$J$180,0,0)),1,
IF(EXACT(H$1,
_xlfn.XLOOKUP($B85,ANNOUNCEMENTS!$M$2:$M$180,ANNOUNCEMENTS!$J$2:$J$180,0,0)),1,
IF(EXACT(H$1,
_xlfn.XLOOKUP($B85,ANNOUNCEMENTS!$N$2:$N$180,ANNOUNCEMENTS!$J$2:$J$180,0,0)),1,0))))</f>
        <v>1</v>
      </c>
      <c r="I85">
        <f>IF(EXACT(I$1,
_xlfn.XLOOKUP($B85,ANNOUNCEMENTS!$E$2:$E$180,ANNOUNCEMENTS!$J$2:$J$180,0,0)),1,
IF(EXACT(I$1,
_xlfn.XLOOKUP($B85,ANNOUNCEMENTS!$L$2:$L$180,ANNOUNCEMENTS!$J$2:$J$180,0,0)),1,
IF(EXACT(I$1,
_xlfn.XLOOKUP($B85,ANNOUNCEMENTS!$M$2:$M$180,ANNOUNCEMENTS!$J$2:$J$180,0,0)),1,
IF(EXACT(I$1,
_xlfn.XLOOKUP($B85,ANNOUNCEMENTS!$N$2:$N$180,ANNOUNCEMENTS!$J$2:$J$180,0,0)),1,0))))</f>
        <v>0</v>
      </c>
      <c r="J85">
        <f>IF(EXACT(J$1,
_xlfn.XLOOKUP($B85,ANNOUNCEMENTS!$E$2:$E$180,ANNOUNCEMENTS!$J$2:$J$180,0,0)),1,
IF(EXACT(J$1,
_xlfn.XLOOKUP($B85,ANNOUNCEMENTS!$L$2:$L$180,ANNOUNCEMENTS!$J$2:$J$180,0,0)),1,
IF(EXACT(J$1,
_xlfn.XLOOKUP($B85,ANNOUNCEMENTS!$M$2:$M$180,ANNOUNCEMENTS!$J$2:$J$180,0,0)),1,
IF(EXACT(J$1,
_xlfn.XLOOKUP($B85,ANNOUNCEMENTS!$N$2:$N$180,ANNOUNCEMENTS!$J$2:$J$180,0,0)),1,0))))</f>
        <v>0</v>
      </c>
      <c r="K85">
        <f>IF(EXACT(K$1,
_xlfn.XLOOKUP($B85,ANNOUNCEMENTS!$E$2:$E$180,ANNOUNCEMENTS!$J$2:$J$180,0,0)),1,
IF(EXACT(K$1,
_xlfn.XLOOKUP($B85,ANNOUNCEMENTS!$L$2:$L$180,ANNOUNCEMENTS!$J$2:$J$180,0,0)),1,
IF(EXACT(K$1,
_xlfn.XLOOKUP($B85,ANNOUNCEMENTS!$M$2:$M$180,ANNOUNCEMENTS!$J$2:$J$180,0,0)),1,
IF(EXACT(K$1,
_xlfn.XLOOKUP($B85,ANNOUNCEMENTS!$N$2:$N$180,ANNOUNCEMENTS!$J$2:$J$180,0,0)),1,0))))</f>
        <v>0</v>
      </c>
      <c r="L85">
        <f>IF(EXACT(L$1,
_xlfn.XLOOKUP($B85,ANNOUNCEMENTS!$E$2:$E$180,ANNOUNCEMENTS!$J$2:$J$180,0,0)),1,
IF(EXACT(L$1,
_xlfn.XLOOKUP($B85,ANNOUNCEMENTS!$L$2:$L$180,ANNOUNCEMENTS!$J$2:$J$180,0,0)),1,
IF(EXACT(L$1,
_xlfn.XLOOKUP($B85,ANNOUNCEMENTS!$M$2:$M$180,ANNOUNCEMENTS!$J$2:$J$180,0,0)),1,
IF(EXACT(L$1,
_xlfn.XLOOKUP($B85,ANNOUNCEMENTS!$N$2:$N$180,ANNOUNCEMENTS!$J$2:$J$180,0,0)),1,0))))</f>
        <v>0</v>
      </c>
      <c r="M85">
        <f t="shared" si="6"/>
        <v>1</v>
      </c>
      <c r="N85" t="b">
        <v>0</v>
      </c>
      <c r="O85" s="284">
        <f t="shared" si="8"/>
        <v>16</v>
      </c>
    </row>
    <row r="86" spans="1:15" x14ac:dyDescent="0.35">
      <c r="A86">
        <f t="shared" si="7"/>
        <v>85</v>
      </c>
      <c r="B86" t="s">
        <v>825</v>
      </c>
      <c r="C86" t="s">
        <v>516</v>
      </c>
      <c r="D86">
        <v>0</v>
      </c>
      <c r="E86" s="107">
        <v>0</v>
      </c>
      <c r="F86">
        <v>0</v>
      </c>
      <c r="G86" t="str">
        <f>CBIMPORT!S86</f>
        <v>careers.heb.com/</v>
      </c>
      <c r="H86">
        <f>IF(EXACT(H$1,
_xlfn.XLOOKUP($B86,ANNOUNCEMENTS!$E$2:$E$180,ANNOUNCEMENTS!$J$2:$J$180,0,0)),1,
IF(EXACT(H$1,
_xlfn.XLOOKUP($B86,ANNOUNCEMENTS!$L$2:$L$180,ANNOUNCEMENTS!$J$2:$J$180,0,0)),1,
IF(EXACT(H$1,
_xlfn.XLOOKUP($B86,ANNOUNCEMENTS!$M$2:$M$180,ANNOUNCEMENTS!$J$2:$J$180,0,0)),1,
IF(EXACT(H$1,
_xlfn.XLOOKUP($B86,ANNOUNCEMENTS!$N$2:$N$180,ANNOUNCEMENTS!$J$2:$J$180,0,0)),1,0))))</f>
        <v>0</v>
      </c>
      <c r="I86">
        <f>IF(EXACT(I$1,
_xlfn.XLOOKUP($B86,ANNOUNCEMENTS!$E$2:$E$180,ANNOUNCEMENTS!$J$2:$J$180,0,0)),1,
IF(EXACT(I$1,
_xlfn.XLOOKUP($B86,ANNOUNCEMENTS!$L$2:$L$180,ANNOUNCEMENTS!$J$2:$J$180,0,0)),1,
IF(EXACT(I$1,
_xlfn.XLOOKUP($B86,ANNOUNCEMENTS!$M$2:$M$180,ANNOUNCEMENTS!$J$2:$J$180,0,0)),1,
IF(EXACT(I$1,
_xlfn.XLOOKUP($B86,ANNOUNCEMENTS!$N$2:$N$180,ANNOUNCEMENTS!$J$2:$J$180,0,0)),1,0))))</f>
        <v>0</v>
      </c>
      <c r="J86">
        <f>IF(EXACT(J$1,
_xlfn.XLOOKUP($B86,ANNOUNCEMENTS!$E$2:$E$180,ANNOUNCEMENTS!$J$2:$J$180,0,0)),1,
IF(EXACT(J$1,
_xlfn.XLOOKUP($B86,ANNOUNCEMENTS!$L$2:$L$180,ANNOUNCEMENTS!$J$2:$J$180,0,0)),1,
IF(EXACT(J$1,
_xlfn.XLOOKUP($B86,ANNOUNCEMENTS!$M$2:$M$180,ANNOUNCEMENTS!$J$2:$J$180,0,0)),1,
IF(EXACT(J$1,
_xlfn.XLOOKUP($B86,ANNOUNCEMENTS!$N$2:$N$180,ANNOUNCEMENTS!$J$2:$J$180,0,0)),1,0))))</f>
        <v>0</v>
      </c>
      <c r="K86">
        <f>IF(EXACT(K$1,
_xlfn.XLOOKUP($B86,ANNOUNCEMENTS!$E$2:$E$180,ANNOUNCEMENTS!$J$2:$J$180,0,0)),1,
IF(EXACT(K$1,
_xlfn.XLOOKUP($B86,ANNOUNCEMENTS!$L$2:$L$180,ANNOUNCEMENTS!$J$2:$J$180,0,0)),1,
IF(EXACT(K$1,
_xlfn.XLOOKUP($B86,ANNOUNCEMENTS!$M$2:$M$180,ANNOUNCEMENTS!$J$2:$J$180,0,0)),1,
IF(EXACT(K$1,
_xlfn.XLOOKUP($B86,ANNOUNCEMENTS!$N$2:$N$180,ANNOUNCEMENTS!$J$2:$J$180,0,0)),1,0))))</f>
        <v>1</v>
      </c>
      <c r="L86">
        <f>IF(EXACT(L$1,
_xlfn.XLOOKUP($B86,ANNOUNCEMENTS!$E$2:$E$180,ANNOUNCEMENTS!$J$2:$J$180,0,0)),1,
IF(EXACT(L$1,
_xlfn.XLOOKUP($B86,ANNOUNCEMENTS!$L$2:$L$180,ANNOUNCEMENTS!$J$2:$J$180,0,0)),1,
IF(EXACT(L$1,
_xlfn.XLOOKUP($B86,ANNOUNCEMENTS!$M$2:$M$180,ANNOUNCEMENTS!$J$2:$J$180,0,0)),1,
IF(EXACT(L$1,
_xlfn.XLOOKUP($B86,ANNOUNCEMENTS!$N$2:$N$180,ANNOUNCEMENTS!$J$2:$J$180,0,0)),1,0))))</f>
        <v>0</v>
      </c>
      <c r="M86">
        <f t="shared" si="6"/>
        <v>1</v>
      </c>
      <c r="N86" t="b">
        <v>0</v>
      </c>
      <c r="O86" s="284">
        <f t="shared" si="8"/>
        <v>20</v>
      </c>
    </row>
    <row r="87" spans="1:15" x14ac:dyDescent="0.35">
      <c r="A87">
        <f t="shared" si="7"/>
        <v>86</v>
      </c>
      <c r="B87" t="s">
        <v>692</v>
      </c>
      <c r="C87" t="s">
        <v>306</v>
      </c>
      <c r="D87">
        <v>0</v>
      </c>
      <c r="E87" s="107">
        <v>0</v>
      </c>
      <c r="F87">
        <v>0</v>
      </c>
      <c r="G87" t="str">
        <f>CBIMPORT!S87</f>
        <v>hegelmann.lt/</v>
      </c>
      <c r="H87">
        <f>IF(EXACT(H$1,
_xlfn.XLOOKUP($B87,ANNOUNCEMENTS!$E$2:$E$180,ANNOUNCEMENTS!$J$2:$J$180,0,0)),1,
IF(EXACT(H$1,
_xlfn.XLOOKUP($B87,ANNOUNCEMENTS!$L$2:$L$180,ANNOUNCEMENTS!$J$2:$J$180,0,0)),1,
IF(EXACT(H$1,
_xlfn.XLOOKUP($B87,ANNOUNCEMENTS!$M$2:$M$180,ANNOUNCEMENTS!$J$2:$J$180,0,0)),1,
IF(EXACT(H$1,
_xlfn.XLOOKUP($B87,ANNOUNCEMENTS!$N$2:$N$180,ANNOUNCEMENTS!$J$2:$J$180,0,0)),1,0))))</f>
        <v>0</v>
      </c>
      <c r="I87">
        <f>IF(EXACT(I$1,
_xlfn.XLOOKUP($B87,ANNOUNCEMENTS!$E$2:$E$180,ANNOUNCEMENTS!$J$2:$J$180,0,0)),1,
IF(EXACT(I$1,
_xlfn.XLOOKUP($B87,ANNOUNCEMENTS!$L$2:$L$180,ANNOUNCEMENTS!$J$2:$J$180,0,0)),1,
IF(EXACT(I$1,
_xlfn.XLOOKUP($B87,ANNOUNCEMENTS!$M$2:$M$180,ANNOUNCEMENTS!$J$2:$J$180,0,0)),1,
IF(EXACT(I$1,
_xlfn.XLOOKUP($B87,ANNOUNCEMENTS!$N$2:$N$180,ANNOUNCEMENTS!$J$2:$J$180,0,0)),1,0))))</f>
        <v>0</v>
      </c>
      <c r="J87">
        <f>IF(EXACT(J$1,
_xlfn.XLOOKUP($B87,ANNOUNCEMENTS!$E$2:$E$180,ANNOUNCEMENTS!$J$2:$J$180,0,0)),1,
IF(EXACT(J$1,
_xlfn.XLOOKUP($B87,ANNOUNCEMENTS!$L$2:$L$180,ANNOUNCEMENTS!$J$2:$J$180,0,0)),1,
IF(EXACT(J$1,
_xlfn.XLOOKUP($B87,ANNOUNCEMENTS!$M$2:$M$180,ANNOUNCEMENTS!$J$2:$J$180,0,0)),1,
IF(EXACT(J$1,
_xlfn.XLOOKUP($B87,ANNOUNCEMENTS!$N$2:$N$180,ANNOUNCEMENTS!$J$2:$J$180,0,0)),1,0))))</f>
        <v>1</v>
      </c>
      <c r="K87">
        <f>IF(EXACT(K$1,
_xlfn.XLOOKUP($B87,ANNOUNCEMENTS!$E$2:$E$180,ANNOUNCEMENTS!$J$2:$J$180,0,0)),1,
IF(EXACT(K$1,
_xlfn.XLOOKUP($B87,ANNOUNCEMENTS!$L$2:$L$180,ANNOUNCEMENTS!$J$2:$J$180,0,0)),1,
IF(EXACT(K$1,
_xlfn.XLOOKUP($B87,ANNOUNCEMENTS!$M$2:$M$180,ANNOUNCEMENTS!$J$2:$J$180,0,0)),1,
IF(EXACT(K$1,
_xlfn.XLOOKUP($B87,ANNOUNCEMENTS!$N$2:$N$180,ANNOUNCEMENTS!$J$2:$J$180,0,0)),1,0))))</f>
        <v>0</v>
      </c>
      <c r="L87">
        <f>IF(EXACT(L$1,
_xlfn.XLOOKUP($B87,ANNOUNCEMENTS!$E$2:$E$180,ANNOUNCEMENTS!$J$2:$J$180,0,0)),1,
IF(EXACT(L$1,
_xlfn.XLOOKUP($B87,ANNOUNCEMENTS!$L$2:$L$180,ANNOUNCEMENTS!$J$2:$J$180,0,0)),1,
IF(EXACT(L$1,
_xlfn.XLOOKUP($B87,ANNOUNCEMENTS!$M$2:$M$180,ANNOUNCEMENTS!$J$2:$J$180,0,0)),1,
IF(EXACT(L$1,
_xlfn.XLOOKUP($B87,ANNOUNCEMENTS!$N$2:$N$180,ANNOUNCEMENTS!$J$2:$J$180,0,0)),1,0))))</f>
        <v>0</v>
      </c>
      <c r="M87">
        <f t="shared" si="6"/>
        <v>1</v>
      </c>
      <c r="N87" t="b">
        <v>0</v>
      </c>
      <c r="O87" s="284">
        <f t="shared" si="8"/>
        <v>22</v>
      </c>
    </row>
    <row r="88" spans="1:15" x14ac:dyDescent="0.35">
      <c r="A88">
        <f t="shared" si="7"/>
        <v>87</v>
      </c>
      <c r="B88" t="s">
        <v>695</v>
      </c>
      <c r="C88" t="s">
        <v>306</v>
      </c>
      <c r="D88">
        <v>0</v>
      </c>
      <c r="E88" s="107">
        <v>0</v>
      </c>
      <c r="F88">
        <v>0</v>
      </c>
      <c r="G88" t="str">
        <f>CBIMPORT!S88</f>
        <v>hirschbach.com</v>
      </c>
      <c r="H88">
        <f>IF(EXACT(H$1,
_xlfn.XLOOKUP($B88,ANNOUNCEMENTS!$E$2:$E$180,ANNOUNCEMENTS!$J$2:$J$180,0,0)),1,
IF(EXACT(H$1,
_xlfn.XLOOKUP($B88,ANNOUNCEMENTS!$L$2:$L$180,ANNOUNCEMENTS!$J$2:$J$180,0,0)),1,
IF(EXACT(H$1,
_xlfn.XLOOKUP($B88,ANNOUNCEMENTS!$M$2:$M$180,ANNOUNCEMENTS!$J$2:$J$180,0,0)),1,
IF(EXACT(H$1,
_xlfn.XLOOKUP($B88,ANNOUNCEMENTS!$N$2:$N$180,ANNOUNCEMENTS!$J$2:$J$180,0,0)),1,0))))</f>
        <v>0</v>
      </c>
      <c r="I88">
        <f>IF(EXACT(I$1,
_xlfn.XLOOKUP($B88,ANNOUNCEMENTS!$E$2:$E$180,ANNOUNCEMENTS!$J$2:$J$180,0,0)),1,
IF(EXACT(I$1,
_xlfn.XLOOKUP($B88,ANNOUNCEMENTS!$L$2:$L$180,ANNOUNCEMENTS!$J$2:$J$180,0,0)),1,
IF(EXACT(I$1,
_xlfn.XLOOKUP($B88,ANNOUNCEMENTS!$M$2:$M$180,ANNOUNCEMENTS!$J$2:$J$180,0,0)),1,
IF(EXACT(I$1,
_xlfn.XLOOKUP($B88,ANNOUNCEMENTS!$N$2:$N$180,ANNOUNCEMENTS!$J$2:$J$180,0,0)),1,0))))</f>
        <v>0</v>
      </c>
      <c r="J88">
        <f>IF(EXACT(J$1,
_xlfn.XLOOKUP($B88,ANNOUNCEMENTS!$E$2:$E$180,ANNOUNCEMENTS!$J$2:$J$180,0,0)),1,
IF(EXACT(J$1,
_xlfn.XLOOKUP($B88,ANNOUNCEMENTS!$L$2:$L$180,ANNOUNCEMENTS!$J$2:$J$180,0,0)),1,
IF(EXACT(J$1,
_xlfn.XLOOKUP($B88,ANNOUNCEMENTS!$M$2:$M$180,ANNOUNCEMENTS!$J$2:$J$180,0,0)),1,
IF(EXACT(J$1,
_xlfn.XLOOKUP($B88,ANNOUNCEMENTS!$N$2:$N$180,ANNOUNCEMENTS!$J$2:$J$180,0,0)),1,0))))</f>
        <v>1</v>
      </c>
      <c r="K88">
        <f>IF(EXACT(K$1,
_xlfn.XLOOKUP($B88,ANNOUNCEMENTS!$E$2:$E$180,ANNOUNCEMENTS!$J$2:$J$180,0,0)),1,
IF(EXACT(K$1,
_xlfn.XLOOKUP($B88,ANNOUNCEMENTS!$L$2:$L$180,ANNOUNCEMENTS!$J$2:$J$180,0,0)),1,
IF(EXACT(K$1,
_xlfn.XLOOKUP($B88,ANNOUNCEMENTS!$M$2:$M$180,ANNOUNCEMENTS!$J$2:$J$180,0,0)),1,
IF(EXACT(K$1,
_xlfn.XLOOKUP($B88,ANNOUNCEMENTS!$N$2:$N$180,ANNOUNCEMENTS!$J$2:$J$180,0,0)),1,0))))</f>
        <v>0</v>
      </c>
      <c r="L88">
        <f>IF(EXACT(L$1,
_xlfn.XLOOKUP($B88,ANNOUNCEMENTS!$E$2:$E$180,ANNOUNCEMENTS!$J$2:$J$180,0,0)),1,
IF(EXACT(L$1,
_xlfn.XLOOKUP($B88,ANNOUNCEMENTS!$L$2:$L$180,ANNOUNCEMENTS!$J$2:$J$180,0,0)),1,
IF(EXACT(L$1,
_xlfn.XLOOKUP($B88,ANNOUNCEMENTS!$M$2:$M$180,ANNOUNCEMENTS!$J$2:$J$180,0,0)),1,
IF(EXACT(L$1,
_xlfn.XLOOKUP($B88,ANNOUNCEMENTS!$N$2:$N$180,ANNOUNCEMENTS!$J$2:$J$180,0,0)),1,0))))</f>
        <v>0</v>
      </c>
      <c r="M88">
        <f t="shared" si="6"/>
        <v>1</v>
      </c>
      <c r="N88" t="b">
        <v>0</v>
      </c>
      <c r="O88" s="284">
        <f t="shared" si="8"/>
        <v>22</v>
      </c>
    </row>
    <row r="89" spans="1:15" x14ac:dyDescent="0.35">
      <c r="A89">
        <f t="shared" si="7"/>
        <v>88</v>
      </c>
      <c r="B89" t="s">
        <v>1965</v>
      </c>
      <c r="C89" t="s">
        <v>398</v>
      </c>
      <c r="D89">
        <v>0</v>
      </c>
      <c r="E89" s="107">
        <v>0</v>
      </c>
      <c r="F89">
        <v>0</v>
      </c>
      <c r="G89" t="str">
        <f>CBIMPORT!S89</f>
        <v>www.hochbahn.de</v>
      </c>
      <c r="H89">
        <f>IF(EXACT(H$1,
_xlfn.XLOOKUP($B89,ANNOUNCEMENTS!$E$2:$E$180,ANNOUNCEMENTS!$J$2:$J$180,0,0)),1,
IF(EXACT(H$1,
_xlfn.XLOOKUP($B89,ANNOUNCEMENTS!$L$2:$L$180,ANNOUNCEMENTS!$J$2:$J$180,0,0)),1,
IF(EXACT(H$1,
_xlfn.XLOOKUP($B89,ANNOUNCEMENTS!$M$2:$M$180,ANNOUNCEMENTS!$J$2:$J$180,0,0)),1,
IF(EXACT(H$1,
_xlfn.XLOOKUP($B89,ANNOUNCEMENTS!$N$2:$N$180,ANNOUNCEMENTS!$J$2:$J$180,0,0)),1,0))))</f>
        <v>1</v>
      </c>
      <c r="I89">
        <f>IF(EXACT(I$1,
_xlfn.XLOOKUP($B89,ANNOUNCEMENTS!$E$2:$E$180,ANNOUNCEMENTS!$J$2:$J$180,0,0)),1,
IF(EXACT(I$1,
_xlfn.XLOOKUP($B89,ANNOUNCEMENTS!$L$2:$L$180,ANNOUNCEMENTS!$J$2:$J$180,0,0)),1,
IF(EXACT(I$1,
_xlfn.XLOOKUP($B89,ANNOUNCEMENTS!$M$2:$M$180,ANNOUNCEMENTS!$J$2:$J$180,0,0)),1,
IF(EXACT(I$1,
_xlfn.XLOOKUP($B89,ANNOUNCEMENTS!$N$2:$N$180,ANNOUNCEMENTS!$J$2:$J$180,0,0)),1,0))))</f>
        <v>0</v>
      </c>
      <c r="J89">
        <f>IF(EXACT(J$1,
_xlfn.XLOOKUP($B89,ANNOUNCEMENTS!$E$2:$E$180,ANNOUNCEMENTS!$J$2:$J$180,0,0)),1,
IF(EXACT(J$1,
_xlfn.XLOOKUP($B89,ANNOUNCEMENTS!$L$2:$L$180,ANNOUNCEMENTS!$J$2:$J$180,0,0)),1,
IF(EXACT(J$1,
_xlfn.XLOOKUP($B89,ANNOUNCEMENTS!$M$2:$M$180,ANNOUNCEMENTS!$J$2:$J$180,0,0)),1,
IF(EXACT(J$1,
_xlfn.XLOOKUP($B89,ANNOUNCEMENTS!$N$2:$N$180,ANNOUNCEMENTS!$J$2:$J$180,0,0)),1,0))))</f>
        <v>0</v>
      </c>
      <c r="K89">
        <f>IF(EXACT(K$1,
_xlfn.XLOOKUP($B89,ANNOUNCEMENTS!$E$2:$E$180,ANNOUNCEMENTS!$J$2:$J$180,0,0)),1,
IF(EXACT(K$1,
_xlfn.XLOOKUP($B89,ANNOUNCEMENTS!$L$2:$L$180,ANNOUNCEMENTS!$J$2:$J$180,0,0)),1,
IF(EXACT(K$1,
_xlfn.XLOOKUP($B89,ANNOUNCEMENTS!$M$2:$M$180,ANNOUNCEMENTS!$J$2:$J$180,0,0)),1,
IF(EXACT(K$1,
_xlfn.XLOOKUP($B89,ANNOUNCEMENTS!$N$2:$N$180,ANNOUNCEMENTS!$J$2:$J$180,0,0)),1,0))))</f>
        <v>0</v>
      </c>
      <c r="L89">
        <f>IF(EXACT(L$1,
_xlfn.XLOOKUP($B89,ANNOUNCEMENTS!$E$2:$E$180,ANNOUNCEMENTS!$J$2:$J$180,0,0)),1,
IF(EXACT(L$1,
_xlfn.XLOOKUP($B89,ANNOUNCEMENTS!$L$2:$L$180,ANNOUNCEMENTS!$J$2:$J$180,0,0)),1,
IF(EXACT(L$1,
_xlfn.XLOOKUP($B89,ANNOUNCEMENTS!$M$2:$M$180,ANNOUNCEMENTS!$J$2:$J$180,0,0)),1,
IF(EXACT(L$1,
_xlfn.XLOOKUP($B89,ANNOUNCEMENTS!$N$2:$N$180,ANNOUNCEMENTS!$J$2:$J$180,0,0)),1,0))))</f>
        <v>0</v>
      </c>
      <c r="M89">
        <f t="shared" si="6"/>
        <v>1</v>
      </c>
      <c r="N89" t="b">
        <v>0</v>
      </c>
      <c r="O89" s="284">
        <f t="shared" si="8"/>
        <v>13</v>
      </c>
    </row>
    <row r="90" spans="1:15" x14ac:dyDescent="0.35">
      <c r="A90">
        <f t="shared" si="7"/>
        <v>89</v>
      </c>
      <c r="B90" t="s">
        <v>527</v>
      </c>
      <c r="C90" t="s">
        <v>288</v>
      </c>
      <c r="D90">
        <v>0</v>
      </c>
      <c r="E90" s="107">
        <v>2200.3000019999999</v>
      </c>
      <c r="F90">
        <v>0</v>
      </c>
      <c r="G90" t="str">
        <f>CBIMPORT!S90</f>
        <v>horizon.cc/</v>
      </c>
      <c r="H90">
        <f>IF(EXACT(H$1,
_xlfn.XLOOKUP($B90,ANNOUNCEMENTS!$E$2:$E$180,ANNOUNCEMENTS!$J$2:$J$180,0,0)),1,
IF(EXACT(H$1,
_xlfn.XLOOKUP($B90,ANNOUNCEMENTS!$L$2:$L$180,ANNOUNCEMENTS!$J$2:$J$180,0,0)),1,
IF(EXACT(H$1,
_xlfn.XLOOKUP($B90,ANNOUNCEMENTS!$M$2:$M$180,ANNOUNCEMENTS!$J$2:$J$180,0,0)),1,
IF(EXACT(H$1,
_xlfn.XLOOKUP($B90,ANNOUNCEMENTS!$N$2:$N$180,ANNOUNCEMENTS!$J$2:$J$180,0,0)),1,0))))</f>
        <v>0</v>
      </c>
      <c r="I90">
        <f>IF(EXACT(I$1,
_xlfn.XLOOKUP($B90,ANNOUNCEMENTS!$E$2:$E$180,ANNOUNCEMENTS!$J$2:$J$180,0,0)),1,
IF(EXACT(I$1,
_xlfn.XLOOKUP($B90,ANNOUNCEMENTS!$L$2:$L$180,ANNOUNCEMENTS!$J$2:$J$180,0,0)),1,
IF(EXACT(I$1,
_xlfn.XLOOKUP($B90,ANNOUNCEMENTS!$M$2:$M$180,ANNOUNCEMENTS!$J$2:$J$180,0,0)),1,
IF(EXACT(I$1,
_xlfn.XLOOKUP($B90,ANNOUNCEMENTS!$N$2:$N$180,ANNOUNCEMENTS!$J$2:$J$180,0,0)),1,0))))</f>
        <v>1</v>
      </c>
      <c r="J90">
        <f>IF(EXACT(J$1,
_xlfn.XLOOKUP($B90,ANNOUNCEMENTS!$E$2:$E$180,ANNOUNCEMENTS!$J$2:$J$180,0,0)),1,
IF(EXACT(J$1,
_xlfn.XLOOKUP($B90,ANNOUNCEMENTS!$L$2:$L$180,ANNOUNCEMENTS!$J$2:$J$180,0,0)),1,
IF(EXACT(J$1,
_xlfn.XLOOKUP($B90,ANNOUNCEMENTS!$M$2:$M$180,ANNOUNCEMENTS!$J$2:$J$180,0,0)),1,
IF(EXACT(J$1,
_xlfn.XLOOKUP($B90,ANNOUNCEMENTS!$N$2:$N$180,ANNOUNCEMENTS!$J$2:$J$180,0,0)),1,0))))</f>
        <v>0</v>
      </c>
      <c r="K90">
        <f>IF(EXACT(K$1,
_xlfn.XLOOKUP($B90,ANNOUNCEMENTS!$E$2:$E$180,ANNOUNCEMENTS!$J$2:$J$180,0,0)),1,
IF(EXACT(K$1,
_xlfn.XLOOKUP($B90,ANNOUNCEMENTS!$L$2:$L$180,ANNOUNCEMENTS!$J$2:$J$180,0,0)),1,
IF(EXACT(K$1,
_xlfn.XLOOKUP($B90,ANNOUNCEMENTS!$M$2:$M$180,ANNOUNCEMENTS!$J$2:$J$180,0,0)),1,
IF(EXACT(K$1,
_xlfn.XLOOKUP($B90,ANNOUNCEMENTS!$N$2:$N$180,ANNOUNCEMENTS!$J$2:$J$180,0,0)),1,0))))</f>
        <v>0</v>
      </c>
      <c r="L90">
        <f>IF(EXACT(L$1,
_xlfn.XLOOKUP($B90,ANNOUNCEMENTS!$E$2:$E$180,ANNOUNCEMENTS!$J$2:$J$180,0,0)),1,
IF(EXACT(L$1,
_xlfn.XLOOKUP($B90,ANNOUNCEMENTS!$L$2:$L$180,ANNOUNCEMENTS!$J$2:$J$180,0,0)),1,
IF(EXACT(L$1,
_xlfn.XLOOKUP($B90,ANNOUNCEMENTS!$M$2:$M$180,ANNOUNCEMENTS!$J$2:$J$180,0,0)),1,
IF(EXACT(L$1,
_xlfn.XLOOKUP($B90,ANNOUNCEMENTS!$N$2:$N$180,ANNOUNCEMENTS!$J$2:$J$180,0,0)),1,0))))</f>
        <v>0</v>
      </c>
      <c r="M90">
        <f t="shared" si="6"/>
        <v>1</v>
      </c>
      <c r="N90" t="b">
        <v>0</v>
      </c>
      <c r="O90" s="284">
        <f t="shared" si="8"/>
        <v>4</v>
      </c>
    </row>
    <row r="91" spans="1:15" x14ac:dyDescent="0.35">
      <c r="A91">
        <f t="shared" si="7"/>
        <v>90</v>
      </c>
      <c r="B91" t="s">
        <v>1967</v>
      </c>
      <c r="C91" t="s">
        <v>330</v>
      </c>
      <c r="D91">
        <v>0</v>
      </c>
      <c r="E91" s="107">
        <v>0</v>
      </c>
      <c r="F91">
        <v>0</v>
      </c>
      <c r="G91" t="str">
        <f>CBIMPORT!S91</f>
        <v>www.ion.ae</v>
      </c>
      <c r="H91">
        <f>IF(EXACT(H$1,
_xlfn.XLOOKUP($B91,ANNOUNCEMENTS!$E$2:$E$180,ANNOUNCEMENTS!$J$2:$J$180,0,0)),1,
IF(EXACT(H$1,
_xlfn.XLOOKUP($B91,ANNOUNCEMENTS!$L$2:$L$180,ANNOUNCEMENTS!$J$2:$J$180,0,0)),1,
IF(EXACT(H$1,
_xlfn.XLOOKUP($B91,ANNOUNCEMENTS!$M$2:$M$180,ANNOUNCEMENTS!$J$2:$J$180,0,0)),1,
IF(EXACT(H$1,
_xlfn.XLOOKUP($B91,ANNOUNCEMENTS!$N$2:$N$180,ANNOUNCEMENTS!$J$2:$J$180,0,0)),1,0))))</f>
        <v>1</v>
      </c>
      <c r="I91">
        <f>IF(EXACT(I$1,
_xlfn.XLOOKUP($B91,ANNOUNCEMENTS!$E$2:$E$180,ANNOUNCEMENTS!$J$2:$J$180,0,0)),1,
IF(EXACT(I$1,
_xlfn.XLOOKUP($B91,ANNOUNCEMENTS!$L$2:$L$180,ANNOUNCEMENTS!$J$2:$J$180,0,0)),1,
IF(EXACT(I$1,
_xlfn.XLOOKUP($B91,ANNOUNCEMENTS!$M$2:$M$180,ANNOUNCEMENTS!$J$2:$J$180,0,0)),1,
IF(EXACT(I$1,
_xlfn.XLOOKUP($B91,ANNOUNCEMENTS!$N$2:$N$180,ANNOUNCEMENTS!$J$2:$J$180,0,0)),1,0))))</f>
        <v>0</v>
      </c>
      <c r="J91">
        <f>IF(EXACT(J$1,
_xlfn.XLOOKUP($B91,ANNOUNCEMENTS!$E$2:$E$180,ANNOUNCEMENTS!$J$2:$J$180,0,0)),1,
IF(EXACT(J$1,
_xlfn.XLOOKUP($B91,ANNOUNCEMENTS!$L$2:$L$180,ANNOUNCEMENTS!$J$2:$J$180,0,0)),1,
IF(EXACT(J$1,
_xlfn.XLOOKUP($B91,ANNOUNCEMENTS!$M$2:$M$180,ANNOUNCEMENTS!$J$2:$J$180,0,0)),1,
IF(EXACT(J$1,
_xlfn.XLOOKUP($B91,ANNOUNCEMENTS!$N$2:$N$180,ANNOUNCEMENTS!$J$2:$J$180,0,0)),1,0))))</f>
        <v>0</v>
      </c>
      <c r="K91">
        <f>IF(EXACT(K$1,
_xlfn.XLOOKUP($B91,ANNOUNCEMENTS!$E$2:$E$180,ANNOUNCEMENTS!$J$2:$J$180,0,0)),1,
IF(EXACT(K$1,
_xlfn.XLOOKUP($B91,ANNOUNCEMENTS!$L$2:$L$180,ANNOUNCEMENTS!$J$2:$J$180,0,0)),1,
IF(EXACT(K$1,
_xlfn.XLOOKUP($B91,ANNOUNCEMENTS!$M$2:$M$180,ANNOUNCEMENTS!$J$2:$J$180,0,0)),1,
IF(EXACT(K$1,
_xlfn.XLOOKUP($B91,ANNOUNCEMENTS!$N$2:$N$180,ANNOUNCEMENTS!$J$2:$J$180,0,0)),1,0))))</f>
        <v>0</v>
      </c>
      <c r="L91">
        <f>IF(EXACT(L$1,
_xlfn.XLOOKUP($B91,ANNOUNCEMENTS!$E$2:$E$180,ANNOUNCEMENTS!$J$2:$J$180,0,0)),1,
IF(EXACT(L$1,
_xlfn.XLOOKUP($B91,ANNOUNCEMENTS!$L$2:$L$180,ANNOUNCEMENTS!$J$2:$J$180,0,0)),1,
IF(EXACT(L$1,
_xlfn.XLOOKUP($B91,ANNOUNCEMENTS!$M$2:$M$180,ANNOUNCEMENTS!$J$2:$J$180,0,0)),1,
IF(EXACT(L$1,
_xlfn.XLOOKUP($B91,ANNOUNCEMENTS!$N$2:$N$180,ANNOUNCEMENTS!$J$2:$J$180,0,0)),1,0))))</f>
        <v>0</v>
      </c>
      <c r="M91">
        <f t="shared" si="6"/>
        <v>1</v>
      </c>
      <c r="N91" t="b">
        <v>0</v>
      </c>
      <c r="O91" s="284">
        <f t="shared" si="8"/>
        <v>16</v>
      </c>
    </row>
    <row r="92" spans="1:15" x14ac:dyDescent="0.35">
      <c r="A92">
        <f t="shared" si="7"/>
        <v>91</v>
      </c>
      <c r="B92" t="s">
        <v>1959</v>
      </c>
      <c r="C92" t="s">
        <v>784</v>
      </c>
      <c r="D92">
        <v>0</v>
      </c>
      <c r="E92" s="107">
        <v>0</v>
      </c>
      <c r="F92">
        <v>0</v>
      </c>
      <c r="G92" t="str">
        <f>CBIMPORT!S92</f>
        <v>isuzucv.com</v>
      </c>
      <c r="H92">
        <f>IF(EXACT(H$1,
_xlfn.XLOOKUP($B92,ANNOUNCEMENTS!$E$2:$E$180,ANNOUNCEMENTS!$J$2:$J$180,0,0)),1,
IF(EXACT(H$1,
_xlfn.XLOOKUP($B92,ANNOUNCEMENTS!$L$2:$L$180,ANNOUNCEMENTS!$J$2:$J$180,0,0)),1,
IF(EXACT(H$1,
_xlfn.XLOOKUP($B92,ANNOUNCEMENTS!$M$2:$M$180,ANNOUNCEMENTS!$J$2:$J$180,0,0)),1,
IF(EXACT(H$1,
_xlfn.XLOOKUP($B92,ANNOUNCEMENTS!$N$2:$N$180,ANNOUNCEMENTS!$J$2:$J$180,0,0)),1,0))))</f>
        <v>0</v>
      </c>
      <c r="I92">
        <f>IF(EXACT(I$1,
_xlfn.XLOOKUP($B92,ANNOUNCEMENTS!$E$2:$E$180,ANNOUNCEMENTS!$J$2:$J$180,0,0)),1,
IF(EXACT(I$1,
_xlfn.XLOOKUP($B92,ANNOUNCEMENTS!$L$2:$L$180,ANNOUNCEMENTS!$J$2:$J$180,0,0)),1,
IF(EXACT(I$1,
_xlfn.XLOOKUP($B92,ANNOUNCEMENTS!$M$2:$M$180,ANNOUNCEMENTS!$J$2:$J$180,0,0)),1,
IF(EXACT(I$1,
_xlfn.XLOOKUP($B92,ANNOUNCEMENTS!$N$2:$N$180,ANNOUNCEMENTS!$J$2:$J$180,0,0)),1,0))))</f>
        <v>0</v>
      </c>
      <c r="J92">
        <f>IF(EXACT(J$1,
_xlfn.XLOOKUP($B92,ANNOUNCEMENTS!$E$2:$E$180,ANNOUNCEMENTS!$J$2:$J$180,0,0)),1,
IF(EXACT(J$1,
_xlfn.XLOOKUP($B92,ANNOUNCEMENTS!$L$2:$L$180,ANNOUNCEMENTS!$J$2:$J$180,0,0)),1,
IF(EXACT(J$1,
_xlfn.XLOOKUP($B92,ANNOUNCEMENTS!$M$2:$M$180,ANNOUNCEMENTS!$J$2:$J$180,0,0)),1,
IF(EXACT(J$1,
_xlfn.XLOOKUP($B92,ANNOUNCEMENTS!$N$2:$N$180,ANNOUNCEMENTS!$J$2:$J$180,0,0)),1,0))))</f>
        <v>1</v>
      </c>
      <c r="K92">
        <f>IF(EXACT(K$1,
_xlfn.XLOOKUP($B92,ANNOUNCEMENTS!$E$2:$E$180,ANNOUNCEMENTS!$J$2:$J$180,0,0)),1,
IF(EXACT(K$1,
_xlfn.XLOOKUP($B92,ANNOUNCEMENTS!$L$2:$L$180,ANNOUNCEMENTS!$J$2:$J$180,0,0)),1,
IF(EXACT(K$1,
_xlfn.XLOOKUP($B92,ANNOUNCEMENTS!$M$2:$M$180,ANNOUNCEMENTS!$J$2:$J$180,0,0)),1,
IF(EXACT(K$1,
_xlfn.XLOOKUP($B92,ANNOUNCEMENTS!$N$2:$N$180,ANNOUNCEMENTS!$J$2:$J$180,0,0)),1,0))))</f>
        <v>0</v>
      </c>
      <c r="L92">
        <f>IF(EXACT(L$1,
_xlfn.XLOOKUP($B92,ANNOUNCEMENTS!$E$2:$E$180,ANNOUNCEMENTS!$J$2:$J$180,0,0)),1,
IF(EXACT(L$1,
_xlfn.XLOOKUP($B92,ANNOUNCEMENTS!$L$2:$L$180,ANNOUNCEMENTS!$J$2:$J$180,0,0)),1,
IF(EXACT(L$1,
_xlfn.XLOOKUP($B92,ANNOUNCEMENTS!$M$2:$M$180,ANNOUNCEMENTS!$J$2:$J$180,0,0)),1,
IF(EXACT(L$1,
_xlfn.XLOOKUP($B92,ANNOUNCEMENTS!$N$2:$N$180,ANNOUNCEMENTS!$J$2:$J$180,0,0)),1,0))))</f>
        <v>0</v>
      </c>
      <c r="M92">
        <f t="shared" si="6"/>
        <v>1</v>
      </c>
      <c r="N92" t="b">
        <v>0</v>
      </c>
      <c r="O92" s="284">
        <f t="shared" si="8"/>
        <v>12</v>
      </c>
    </row>
    <row r="93" spans="1:15" x14ac:dyDescent="0.35">
      <c r="A93">
        <f t="shared" si="7"/>
        <v>92</v>
      </c>
      <c r="B93" t="s">
        <v>1973</v>
      </c>
      <c r="C93" t="s">
        <v>784</v>
      </c>
      <c r="D93">
        <v>0</v>
      </c>
      <c r="E93" s="107">
        <v>0</v>
      </c>
      <c r="F93">
        <v>0</v>
      </c>
      <c r="G93" t="str">
        <f>CBIMPORT!S93</f>
        <v>www.iveco.com</v>
      </c>
      <c r="H93">
        <f>IF(EXACT(H$1,
_xlfn.XLOOKUP($B93,ANNOUNCEMENTS!$E$2:$E$180,ANNOUNCEMENTS!$J$2:$J$180,0,0)),1,
IF(EXACT(H$1,
_xlfn.XLOOKUP($B93,ANNOUNCEMENTS!$L$2:$L$180,ANNOUNCEMENTS!$J$2:$J$180,0,0)),1,
IF(EXACT(H$1,
_xlfn.XLOOKUP($B93,ANNOUNCEMENTS!$M$2:$M$180,ANNOUNCEMENTS!$J$2:$J$180,0,0)),1,
IF(EXACT(H$1,
_xlfn.XLOOKUP($B93,ANNOUNCEMENTS!$N$2:$N$180,ANNOUNCEMENTS!$J$2:$J$180,0,0)),1,0))))</f>
        <v>0</v>
      </c>
      <c r="I93">
        <f>IF(EXACT(I$1,
_xlfn.XLOOKUP($B93,ANNOUNCEMENTS!$E$2:$E$180,ANNOUNCEMENTS!$J$2:$J$180,0,0)),1,
IF(EXACT(I$1,
_xlfn.XLOOKUP($B93,ANNOUNCEMENTS!$L$2:$L$180,ANNOUNCEMENTS!$J$2:$J$180,0,0)),1,
IF(EXACT(I$1,
_xlfn.XLOOKUP($B93,ANNOUNCEMENTS!$M$2:$M$180,ANNOUNCEMENTS!$J$2:$J$180,0,0)),1,
IF(EXACT(I$1,
_xlfn.XLOOKUP($B93,ANNOUNCEMENTS!$N$2:$N$180,ANNOUNCEMENTS!$J$2:$J$180,0,0)),1,0))))</f>
        <v>0</v>
      </c>
      <c r="J93">
        <f>IF(EXACT(J$1,
_xlfn.XLOOKUP($B93,ANNOUNCEMENTS!$E$2:$E$180,ANNOUNCEMENTS!$J$2:$J$180,0,0)),1,
IF(EXACT(J$1,
_xlfn.XLOOKUP($B93,ANNOUNCEMENTS!$L$2:$L$180,ANNOUNCEMENTS!$J$2:$J$180,0,0)),1,
IF(EXACT(J$1,
_xlfn.XLOOKUP($B93,ANNOUNCEMENTS!$M$2:$M$180,ANNOUNCEMENTS!$J$2:$J$180,0,0)),1,
IF(EXACT(J$1,
_xlfn.XLOOKUP($B93,ANNOUNCEMENTS!$N$2:$N$180,ANNOUNCEMENTS!$J$2:$J$180,0,0)),1,0))))</f>
        <v>1</v>
      </c>
      <c r="K93">
        <f>IF(EXACT(K$1,
_xlfn.XLOOKUP($B93,ANNOUNCEMENTS!$E$2:$E$180,ANNOUNCEMENTS!$J$2:$J$180,0,0)),1,
IF(EXACT(K$1,
_xlfn.XLOOKUP($B93,ANNOUNCEMENTS!$L$2:$L$180,ANNOUNCEMENTS!$J$2:$J$180,0,0)),1,
IF(EXACT(K$1,
_xlfn.XLOOKUP($B93,ANNOUNCEMENTS!$M$2:$M$180,ANNOUNCEMENTS!$J$2:$J$180,0,0)),1,
IF(EXACT(K$1,
_xlfn.XLOOKUP($B93,ANNOUNCEMENTS!$N$2:$N$180,ANNOUNCEMENTS!$J$2:$J$180,0,0)),1,0))))</f>
        <v>0</v>
      </c>
      <c r="L93">
        <f>IF(EXACT(L$1,
_xlfn.XLOOKUP($B93,ANNOUNCEMENTS!$E$2:$E$180,ANNOUNCEMENTS!$J$2:$J$180,0,0)),1,
IF(EXACT(L$1,
_xlfn.XLOOKUP($B93,ANNOUNCEMENTS!$L$2:$L$180,ANNOUNCEMENTS!$J$2:$J$180,0,0)),1,
IF(EXACT(L$1,
_xlfn.XLOOKUP($B93,ANNOUNCEMENTS!$M$2:$M$180,ANNOUNCEMENTS!$J$2:$J$180,0,0)),1,
IF(EXACT(L$1,
_xlfn.XLOOKUP($B93,ANNOUNCEMENTS!$N$2:$N$180,ANNOUNCEMENTS!$J$2:$J$180,0,0)),1,0))))</f>
        <v>0</v>
      </c>
      <c r="M93">
        <f t="shared" si="6"/>
        <v>1</v>
      </c>
      <c r="N93" t="b">
        <v>0</v>
      </c>
      <c r="O93" s="284">
        <f t="shared" si="8"/>
        <v>12</v>
      </c>
    </row>
    <row r="94" spans="1:15" x14ac:dyDescent="0.35">
      <c r="A94">
        <f t="shared" si="7"/>
        <v>93</v>
      </c>
      <c r="B94" t="s">
        <v>1983</v>
      </c>
      <c r="C94" t="s">
        <v>902</v>
      </c>
      <c r="D94">
        <v>0</v>
      </c>
      <c r="E94" s="107">
        <v>0</v>
      </c>
      <c r="F94">
        <v>0</v>
      </c>
      <c r="G94" t="str">
        <f>CBIMPORT!S94</f>
        <v>www.jtafla.com/</v>
      </c>
      <c r="H94">
        <f>IF(EXACT(H$1,
_xlfn.XLOOKUP($B94,ANNOUNCEMENTS!$E$2:$E$180,ANNOUNCEMENTS!$J$2:$J$180,0,0)),1,
IF(EXACT(H$1,
_xlfn.XLOOKUP($B94,ANNOUNCEMENTS!$L$2:$L$180,ANNOUNCEMENTS!$J$2:$J$180,0,0)),1,
IF(EXACT(H$1,
_xlfn.XLOOKUP($B94,ANNOUNCEMENTS!$M$2:$M$180,ANNOUNCEMENTS!$J$2:$J$180,0,0)),1,
IF(EXACT(H$1,
_xlfn.XLOOKUP($B94,ANNOUNCEMENTS!$N$2:$N$180,ANNOUNCEMENTS!$J$2:$J$180,0,0)),1,0))))</f>
        <v>1</v>
      </c>
      <c r="I94">
        <f>IF(EXACT(I$1,
_xlfn.XLOOKUP($B94,ANNOUNCEMENTS!$E$2:$E$180,ANNOUNCEMENTS!$J$2:$J$180,0,0)),1,
IF(EXACT(I$1,
_xlfn.XLOOKUP($B94,ANNOUNCEMENTS!$L$2:$L$180,ANNOUNCEMENTS!$J$2:$J$180,0,0)),1,
IF(EXACT(I$1,
_xlfn.XLOOKUP($B94,ANNOUNCEMENTS!$M$2:$M$180,ANNOUNCEMENTS!$J$2:$J$180,0,0)),1,
IF(EXACT(I$1,
_xlfn.XLOOKUP($B94,ANNOUNCEMENTS!$N$2:$N$180,ANNOUNCEMENTS!$J$2:$J$180,0,0)),1,0))))</f>
        <v>0</v>
      </c>
      <c r="J94">
        <f>IF(EXACT(J$1,
_xlfn.XLOOKUP($B94,ANNOUNCEMENTS!$E$2:$E$180,ANNOUNCEMENTS!$J$2:$J$180,0,0)),1,
IF(EXACT(J$1,
_xlfn.XLOOKUP($B94,ANNOUNCEMENTS!$L$2:$L$180,ANNOUNCEMENTS!$J$2:$J$180,0,0)),1,
IF(EXACT(J$1,
_xlfn.XLOOKUP($B94,ANNOUNCEMENTS!$M$2:$M$180,ANNOUNCEMENTS!$J$2:$J$180,0,0)),1,
IF(EXACT(J$1,
_xlfn.XLOOKUP($B94,ANNOUNCEMENTS!$N$2:$N$180,ANNOUNCEMENTS!$J$2:$J$180,0,0)),1,0))))</f>
        <v>0</v>
      </c>
      <c r="K94">
        <f>IF(EXACT(K$1,
_xlfn.XLOOKUP($B94,ANNOUNCEMENTS!$E$2:$E$180,ANNOUNCEMENTS!$J$2:$J$180,0,0)),1,
IF(EXACT(K$1,
_xlfn.XLOOKUP($B94,ANNOUNCEMENTS!$L$2:$L$180,ANNOUNCEMENTS!$J$2:$J$180,0,0)),1,
IF(EXACT(K$1,
_xlfn.XLOOKUP($B94,ANNOUNCEMENTS!$M$2:$M$180,ANNOUNCEMENTS!$J$2:$J$180,0,0)),1,
IF(EXACT(K$1,
_xlfn.XLOOKUP($B94,ANNOUNCEMENTS!$N$2:$N$180,ANNOUNCEMENTS!$J$2:$J$180,0,0)),1,0))))</f>
        <v>0</v>
      </c>
      <c r="L94">
        <f>IF(EXACT(L$1,
_xlfn.XLOOKUP($B94,ANNOUNCEMENTS!$E$2:$E$180,ANNOUNCEMENTS!$J$2:$J$180,0,0)),1,
IF(EXACT(L$1,
_xlfn.XLOOKUP($B94,ANNOUNCEMENTS!$L$2:$L$180,ANNOUNCEMENTS!$J$2:$J$180,0,0)),1,
IF(EXACT(L$1,
_xlfn.XLOOKUP($B94,ANNOUNCEMENTS!$M$2:$M$180,ANNOUNCEMENTS!$J$2:$J$180,0,0)),1,
IF(EXACT(L$1,
_xlfn.XLOOKUP($B94,ANNOUNCEMENTS!$N$2:$N$180,ANNOUNCEMENTS!$J$2:$J$180,0,0)),1,0))))</f>
        <v>0</v>
      </c>
      <c r="M94">
        <f t="shared" si="6"/>
        <v>1</v>
      </c>
      <c r="N94" t="b">
        <v>0</v>
      </c>
      <c r="O94" s="284">
        <f t="shared" si="8"/>
        <v>14</v>
      </c>
    </row>
    <row r="95" spans="1:15" x14ac:dyDescent="0.35">
      <c r="A95">
        <f t="shared" si="7"/>
        <v>94</v>
      </c>
      <c r="B95" t="s">
        <v>853</v>
      </c>
      <c r="C95" t="s">
        <v>852</v>
      </c>
      <c r="D95">
        <v>0</v>
      </c>
      <c r="E95" s="107">
        <v>72.296446000000003</v>
      </c>
      <c r="F95">
        <v>1</v>
      </c>
      <c r="G95" t="str">
        <f>CBIMPORT!S95</f>
        <v>www.kalrayinc.com/</v>
      </c>
      <c r="H95">
        <f>IF(EXACT(H$1,
_xlfn.XLOOKUP($B95,ANNOUNCEMENTS!$E$2:$E$180,ANNOUNCEMENTS!$J$2:$J$180,0,0)),1,
IF(EXACT(H$1,
_xlfn.XLOOKUP($B95,ANNOUNCEMENTS!$L$2:$L$180,ANNOUNCEMENTS!$J$2:$J$180,0,0)),1,
IF(EXACT(H$1,
_xlfn.XLOOKUP($B95,ANNOUNCEMENTS!$M$2:$M$180,ANNOUNCEMENTS!$J$2:$J$180,0,0)),1,
IF(EXACT(H$1,
_xlfn.XLOOKUP($B95,ANNOUNCEMENTS!$N$2:$N$180,ANNOUNCEMENTS!$J$2:$J$180,0,0)),1,0))))</f>
        <v>1</v>
      </c>
      <c r="I95">
        <f>IF(EXACT(I$1,
_xlfn.XLOOKUP($B95,ANNOUNCEMENTS!$E$2:$E$180,ANNOUNCEMENTS!$J$2:$J$180,0,0)),1,
IF(EXACT(I$1,
_xlfn.XLOOKUP($B95,ANNOUNCEMENTS!$L$2:$L$180,ANNOUNCEMENTS!$J$2:$J$180,0,0)),1,
IF(EXACT(I$1,
_xlfn.XLOOKUP($B95,ANNOUNCEMENTS!$M$2:$M$180,ANNOUNCEMENTS!$J$2:$J$180,0,0)),1,
IF(EXACT(I$1,
_xlfn.XLOOKUP($B95,ANNOUNCEMENTS!$N$2:$N$180,ANNOUNCEMENTS!$J$2:$J$180,0,0)),1,0))))</f>
        <v>0</v>
      </c>
      <c r="J95">
        <f>IF(EXACT(J$1,
_xlfn.XLOOKUP($B95,ANNOUNCEMENTS!$E$2:$E$180,ANNOUNCEMENTS!$J$2:$J$180,0,0)),1,
IF(EXACT(J$1,
_xlfn.XLOOKUP($B95,ANNOUNCEMENTS!$L$2:$L$180,ANNOUNCEMENTS!$J$2:$J$180,0,0)),1,
IF(EXACT(J$1,
_xlfn.XLOOKUP($B95,ANNOUNCEMENTS!$M$2:$M$180,ANNOUNCEMENTS!$J$2:$J$180,0,0)),1,
IF(EXACT(J$1,
_xlfn.XLOOKUP($B95,ANNOUNCEMENTS!$N$2:$N$180,ANNOUNCEMENTS!$J$2:$J$180,0,0)),1,0))))</f>
        <v>0</v>
      </c>
      <c r="K95">
        <f>IF(EXACT(K$1,
_xlfn.XLOOKUP($B95,ANNOUNCEMENTS!$E$2:$E$180,ANNOUNCEMENTS!$J$2:$J$180,0,0)),1,
IF(EXACT(K$1,
_xlfn.XLOOKUP($B95,ANNOUNCEMENTS!$L$2:$L$180,ANNOUNCEMENTS!$J$2:$J$180,0,0)),1,
IF(EXACT(K$1,
_xlfn.XLOOKUP($B95,ANNOUNCEMENTS!$M$2:$M$180,ANNOUNCEMENTS!$J$2:$J$180,0,0)),1,
IF(EXACT(K$1,
_xlfn.XLOOKUP($B95,ANNOUNCEMENTS!$N$2:$N$180,ANNOUNCEMENTS!$J$2:$J$180,0,0)),1,0))))</f>
        <v>0</v>
      </c>
      <c r="L95">
        <f>IF(EXACT(L$1,
_xlfn.XLOOKUP($B95,ANNOUNCEMENTS!$E$2:$E$180,ANNOUNCEMENTS!$J$2:$J$180,0,0)),1,
IF(EXACT(L$1,
_xlfn.XLOOKUP($B95,ANNOUNCEMENTS!$L$2:$L$180,ANNOUNCEMENTS!$J$2:$J$180,0,0)),1,
IF(EXACT(L$1,
_xlfn.XLOOKUP($B95,ANNOUNCEMENTS!$M$2:$M$180,ANNOUNCEMENTS!$J$2:$J$180,0,0)),1,
IF(EXACT(L$1,
_xlfn.XLOOKUP($B95,ANNOUNCEMENTS!$N$2:$N$180,ANNOUNCEMENTS!$J$2:$J$180,0,0)),1,0))))</f>
        <v>0</v>
      </c>
      <c r="M95">
        <f t="shared" si="6"/>
        <v>1</v>
      </c>
      <c r="N95" t="b">
        <v>0</v>
      </c>
      <c r="O95" s="284">
        <f t="shared" si="8"/>
        <v>3</v>
      </c>
    </row>
    <row r="96" spans="1:15" x14ac:dyDescent="0.35">
      <c r="A96">
        <f t="shared" si="7"/>
        <v>95</v>
      </c>
      <c r="B96" t="s">
        <v>593</v>
      </c>
      <c r="C96" t="s">
        <v>588</v>
      </c>
      <c r="D96">
        <v>0</v>
      </c>
      <c r="E96" s="107">
        <v>0</v>
      </c>
      <c r="F96">
        <v>0</v>
      </c>
      <c r="G96" t="str">
        <f>CBIMPORT!S96</f>
        <v>kineofinance.com</v>
      </c>
      <c r="H96">
        <f>IF(EXACT(H$1,
_xlfn.XLOOKUP($B96,ANNOUNCEMENTS!$E$2:$E$180,ANNOUNCEMENTS!$J$2:$J$180,0,0)),1,
IF(EXACT(H$1,
_xlfn.XLOOKUP($B96,ANNOUNCEMENTS!$L$2:$L$180,ANNOUNCEMENTS!$J$2:$J$180,0,0)),1,
IF(EXACT(H$1,
_xlfn.XLOOKUP($B96,ANNOUNCEMENTS!$M$2:$M$180,ANNOUNCEMENTS!$J$2:$J$180,0,0)),1,
IF(EXACT(H$1,
_xlfn.XLOOKUP($B96,ANNOUNCEMENTS!$N$2:$N$180,ANNOUNCEMENTS!$J$2:$J$180,0,0)),1,0))))</f>
        <v>0</v>
      </c>
      <c r="I96">
        <f>IF(EXACT(I$1,
_xlfn.XLOOKUP($B96,ANNOUNCEMENTS!$E$2:$E$180,ANNOUNCEMENTS!$J$2:$J$180,0,0)),1,
IF(EXACT(I$1,
_xlfn.XLOOKUP($B96,ANNOUNCEMENTS!$L$2:$L$180,ANNOUNCEMENTS!$J$2:$J$180,0,0)),1,
IF(EXACT(I$1,
_xlfn.XLOOKUP($B96,ANNOUNCEMENTS!$M$2:$M$180,ANNOUNCEMENTS!$J$2:$J$180,0,0)),1,
IF(EXACT(I$1,
_xlfn.XLOOKUP($B96,ANNOUNCEMENTS!$N$2:$N$180,ANNOUNCEMENTS!$J$2:$J$180,0,0)),1,0))))</f>
        <v>0</v>
      </c>
      <c r="J96">
        <f>IF(EXACT(J$1,
_xlfn.XLOOKUP($B96,ANNOUNCEMENTS!$E$2:$E$180,ANNOUNCEMENTS!$J$2:$J$180,0,0)),1,
IF(EXACT(J$1,
_xlfn.XLOOKUP($B96,ANNOUNCEMENTS!$L$2:$L$180,ANNOUNCEMENTS!$J$2:$J$180,0,0)),1,
IF(EXACT(J$1,
_xlfn.XLOOKUP($B96,ANNOUNCEMENTS!$M$2:$M$180,ANNOUNCEMENTS!$J$2:$J$180,0,0)),1,
IF(EXACT(J$1,
_xlfn.XLOOKUP($B96,ANNOUNCEMENTS!$N$2:$N$180,ANNOUNCEMENTS!$J$2:$J$180,0,0)),1,0))))</f>
        <v>0</v>
      </c>
      <c r="K96">
        <f>IF(EXACT(K$1,
_xlfn.XLOOKUP($B96,ANNOUNCEMENTS!$E$2:$E$180,ANNOUNCEMENTS!$J$2:$J$180,0,0)),1,
IF(EXACT(K$1,
_xlfn.XLOOKUP($B96,ANNOUNCEMENTS!$L$2:$L$180,ANNOUNCEMENTS!$J$2:$J$180,0,0)),1,
IF(EXACT(K$1,
_xlfn.XLOOKUP($B96,ANNOUNCEMENTS!$M$2:$M$180,ANNOUNCEMENTS!$J$2:$J$180,0,0)),1,
IF(EXACT(K$1,
_xlfn.XLOOKUP($B96,ANNOUNCEMENTS!$N$2:$N$180,ANNOUNCEMENTS!$J$2:$J$180,0,0)),1,0))))</f>
        <v>1</v>
      </c>
      <c r="L96">
        <f>IF(EXACT(L$1,
_xlfn.XLOOKUP($B96,ANNOUNCEMENTS!$E$2:$E$180,ANNOUNCEMENTS!$J$2:$J$180,0,0)),1,
IF(EXACT(L$1,
_xlfn.XLOOKUP($B96,ANNOUNCEMENTS!$L$2:$L$180,ANNOUNCEMENTS!$J$2:$J$180,0,0)),1,
IF(EXACT(L$1,
_xlfn.XLOOKUP($B96,ANNOUNCEMENTS!$M$2:$M$180,ANNOUNCEMENTS!$J$2:$J$180,0,0)),1,
IF(EXACT(L$1,
_xlfn.XLOOKUP($B96,ANNOUNCEMENTS!$N$2:$N$180,ANNOUNCEMENTS!$J$2:$J$180,0,0)),1,0))))</f>
        <v>0</v>
      </c>
      <c r="M96">
        <f t="shared" si="6"/>
        <v>1</v>
      </c>
      <c r="N96" t="b">
        <v>0</v>
      </c>
      <c r="O96" s="284">
        <f t="shared" si="8"/>
        <v>38</v>
      </c>
    </row>
    <row r="97" spans="1:15" x14ac:dyDescent="0.35">
      <c r="A97">
        <f t="shared" si="7"/>
        <v>96</v>
      </c>
      <c r="B97" t="s">
        <v>829</v>
      </c>
      <c r="C97" t="s">
        <v>516</v>
      </c>
      <c r="D97">
        <v>0</v>
      </c>
      <c r="E97" s="107">
        <v>550</v>
      </c>
      <c r="F97">
        <v>1</v>
      </c>
      <c r="G97" t="str">
        <f>CBIMPORT!S97</f>
        <v>www.kroger.com</v>
      </c>
      <c r="H97">
        <f>IF(EXACT(H$1,
_xlfn.XLOOKUP($B97,ANNOUNCEMENTS!$E$2:$E$180,ANNOUNCEMENTS!$J$2:$J$180,0,0)),1,
IF(EXACT(H$1,
_xlfn.XLOOKUP($B97,ANNOUNCEMENTS!$L$2:$L$180,ANNOUNCEMENTS!$J$2:$J$180,0,0)),1,
IF(EXACT(H$1,
_xlfn.XLOOKUP($B97,ANNOUNCEMENTS!$M$2:$M$180,ANNOUNCEMENTS!$J$2:$J$180,0,0)),1,
IF(EXACT(H$1,
_xlfn.XLOOKUP($B97,ANNOUNCEMENTS!$N$2:$N$180,ANNOUNCEMENTS!$J$2:$J$180,0,0)),1,0))))</f>
        <v>0</v>
      </c>
      <c r="I97">
        <f>IF(EXACT(I$1,
_xlfn.XLOOKUP($B97,ANNOUNCEMENTS!$E$2:$E$180,ANNOUNCEMENTS!$J$2:$J$180,0,0)),1,
IF(EXACT(I$1,
_xlfn.XLOOKUP($B97,ANNOUNCEMENTS!$L$2:$L$180,ANNOUNCEMENTS!$J$2:$J$180,0,0)),1,
IF(EXACT(I$1,
_xlfn.XLOOKUP($B97,ANNOUNCEMENTS!$M$2:$M$180,ANNOUNCEMENTS!$J$2:$J$180,0,0)),1,
IF(EXACT(I$1,
_xlfn.XLOOKUP($B97,ANNOUNCEMENTS!$N$2:$N$180,ANNOUNCEMENTS!$J$2:$J$180,0,0)),1,0))))</f>
        <v>0</v>
      </c>
      <c r="J97">
        <f>IF(EXACT(J$1,
_xlfn.XLOOKUP($B97,ANNOUNCEMENTS!$E$2:$E$180,ANNOUNCEMENTS!$J$2:$J$180,0,0)),1,
IF(EXACT(J$1,
_xlfn.XLOOKUP($B97,ANNOUNCEMENTS!$L$2:$L$180,ANNOUNCEMENTS!$J$2:$J$180,0,0)),1,
IF(EXACT(J$1,
_xlfn.XLOOKUP($B97,ANNOUNCEMENTS!$M$2:$M$180,ANNOUNCEMENTS!$J$2:$J$180,0,0)),1,
IF(EXACT(J$1,
_xlfn.XLOOKUP($B97,ANNOUNCEMENTS!$N$2:$N$180,ANNOUNCEMENTS!$J$2:$J$180,0,0)),1,0))))</f>
        <v>1</v>
      </c>
      <c r="K97">
        <f>IF(EXACT(K$1,
_xlfn.XLOOKUP($B97,ANNOUNCEMENTS!$E$2:$E$180,ANNOUNCEMENTS!$J$2:$J$180,0,0)),1,
IF(EXACT(K$1,
_xlfn.XLOOKUP($B97,ANNOUNCEMENTS!$L$2:$L$180,ANNOUNCEMENTS!$J$2:$J$180,0,0)),1,
IF(EXACT(K$1,
_xlfn.XLOOKUP($B97,ANNOUNCEMENTS!$M$2:$M$180,ANNOUNCEMENTS!$J$2:$J$180,0,0)),1,
IF(EXACT(K$1,
_xlfn.XLOOKUP($B97,ANNOUNCEMENTS!$N$2:$N$180,ANNOUNCEMENTS!$J$2:$J$180,0,0)),1,0))))</f>
        <v>0</v>
      </c>
      <c r="L97">
        <f>IF(EXACT(L$1,
_xlfn.XLOOKUP($B97,ANNOUNCEMENTS!$E$2:$E$180,ANNOUNCEMENTS!$J$2:$J$180,0,0)),1,
IF(EXACT(L$1,
_xlfn.XLOOKUP($B97,ANNOUNCEMENTS!$L$2:$L$180,ANNOUNCEMENTS!$J$2:$J$180,0,0)),1,
IF(EXACT(L$1,
_xlfn.XLOOKUP($B97,ANNOUNCEMENTS!$M$2:$M$180,ANNOUNCEMENTS!$J$2:$J$180,0,0)),1,
IF(EXACT(L$1,
_xlfn.XLOOKUP($B97,ANNOUNCEMENTS!$N$2:$N$180,ANNOUNCEMENTS!$J$2:$J$180,0,0)),1,0))))</f>
        <v>0</v>
      </c>
      <c r="M97">
        <f t="shared" si="6"/>
        <v>1</v>
      </c>
      <c r="N97" t="b">
        <v>0</v>
      </c>
      <c r="O97" s="284">
        <f t="shared" si="8"/>
        <v>20</v>
      </c>
    </row>
    <row r="98" spans="1:15" x14ac:dyDescent="0.35">
      <c r="A98">
        <f t="shared" si="7"/>
        <v>97</v>
      </c>
      <c r="B98" t="s">
        <v>1976</v>
      </c>
      <c r="C98" t="s">
        <v>398</v>
      </c>
      <c r="D98">
        <v>0</v>
      </c>
      <c r="E98" s="107">
        <v>0</v>
      </c>
      <c r="F98">
        <v>0</v>
      </c>
      <c r="G98" t="str">
        <f>CBIMPORT!S98</f>
        <v>https://wheelsbus.com/</v>
      </c>
      <c r="H98">
        <f>IF(EXACT(H$1,
_xlfn.XLOOKUP($B98,ANNOUNCEMENTS!$E$2:$E$180,ANNOUNCEMENTS!$J$2:$J$180,0,0)),1,
IF(EXACT(H$1,
_xlfn.XLOOKUP($B98,ANNOUNCEMENTS!$L$2:$L$180,ANNOUNCEMENTS!$J$2:$J$180,0,0)),1,
IF(EXACT(H$1,
_xlfn.XLOOKUP($B98,ANNOUNCEMENTS!$M$2:$M$180,ANNOUNCEMENTS!$J$2:$J$180,0,0)),1,
IF(EXACT(H$1,
_xlfn.XLOOKUP($B98,ANNOUNCEMENTS!$N$2:$N$180,ANNOUNCEMENTS!$J$2:$J$180,0,0)),1,0))))</f>
        <v>1</v>
      </c>
      <c r="I98">
        <f>IF(EXACT(I$1,
_xlfn.XLOOKUP($B98,ANNOUNCEMENTS!$E$2:$E$180,ANNOUNCEMENTS!$J$2:$J$180,0,0)),1,
IF(EXACT(I$1,
_xlfn.XLOOKUP($B98,ANNOUNCEMENTS!$L$2:$L$180,ANNOUNCEMENTS!$J$2:$J$180,0,0)),1,
IF(EXACT(I$1,
_xlfn.XLOOKUP($B98,ANNOUNCEMENTS!$M$2:$M$180,ANNOUNCEMENTS!$J$2:$J$180,0,0)),1,
IF(EXACT(I$1,
_xlfn.XLOOKUP($B98,ANNOUNCEMENTS!$N$2:$N$180,ANNOUNCEMENTS!$J$2:$J$180,0,0)),1,0))))</f>
        <v>0</v>
      </c>
      <c r="J98">
        <f>IF(EXACT(J$1,
_xlfn.XLOOKUP($B98,ANNOUNCEMENTS!$E$2:$E$180,ANNOUNCEMENTS!$J$2:$J$180,0,0)),1,
IF(EXACT(J$1,
_xlfn.XLOOKUP($B98,ANNOUNCEMENTS!$L$2:$L$180,ANNOUNCEMENTS!$J$2:$J$180,0,0)),1,
IF(EXACT(J$1,
_xlfn.XLOOKUP($B98,ANNOUNCEMENTS!$M$2:$M$180,ANNOUNCEMENTS!$J$2:$J$180,0,0)),1,
IF(EXACT(J$1,
_xlfn.XLOOKUP($B98,ANNOUNCEMENTS!$N$2:$N$180,ANNOUNCEMENTS!$J$2:$J$180,0,0)),1,0))))</f>
        <v>0</v>
      </c>
      <c r="K98">
        <f>IF(EXACT(K$1,
_xlfn.XLOOKUP($B98,ANNOUNCEMENTS!$E$2:$E$180,ANNOUNCEMENTS!$J$2:$J$180,0,0)),1,
IF(EXACT(K$1,
_xlfn.XLOOKUP($B98,ANNOUNCEMENTS!$L$2:$L$180,ANNOUNCEMENTS!$J$2:$J$180,0,0)),1,
IF(EXACT(K$1,
_xlfn.XLOOKUP($B98,ANNOUNCEMENTS!$M$2:$M$180,ANNOUNCEMENTS!$J$2:$J$180,0,0)),1,
IF(EXACT(K$1,
_xlfn.XLOOKUP($B98,ANNOUNCEMENTS!$N$2:$N$180,ANNOUNCEMENTS!$J$2:$J$180,0,0)),1,0))))</f>
        <v>0</v>
      </c>
      <c r="L98">
        <f>IF(EXACT(L$1,
_xlfn.XLOOKUP($B98,ANNOUNCEMENTS!$E$2:$E$180,ANNOUNCEMENTS!$J$2:$J$180,0,0)),1,
IF(EXACT(L$1,
_xlfn.XLOOKUP($B98,ANNOUNCEMENTS!$L$2:$L$180,ANNOUNCEMENTS!$J$2:$J$180,0,0)),1,
IF(EXACT(L$1,
_xlfn.XLOOKUP($B98,ANNOUNCEMENTS!$M$2:$M$180,ANNOUNCEMENTS!$J$2:$J$180,0,0)),1,
IF(EXACT(L$1,
_xlfn.XLOOKUP($B98,ANNOUNCEMENTS!$N$2:$N$180,ANNOUNCEMENTS!$J$2:$J$180,0,0)),1,0))))</f>
        <v>0</v>
      </c>
      <c r="M98">
        <f t="shared" si="6"/>
        <v>1</v>
      </c>
      <c r="N98" t="b">
        <v>0</v>
      </c>
      <c r="O98" s="284">
        <f t="shared" si="8"/>
        <v>13</v>
      </c>
    </row>
    <row r="99" spans="1:15" x14ac:dyDescent="0.35">
      <c r="A99">
        <f t="shared" si="7"/>
        <v>98</v>
      </c>
      <c r="B99" t="s">
        <v>663</v>
      </c>
      <c r="C99" t="s">
        <v>660</v>
      </c>
      <c r="D99">
        <v>0</v>
      </c>
      <c r="E99" s="107">
        <v>0</v>
      </c>
      <c r="F99">
        <v>0</v>
      </c>
      <c r="G99" t="str">
        <f>CBIMPORT!S99</f>
        <v>www.libertymutualgroup.com</v>
      </c>
      <c r="H99">
        <f>IF(EXACT(H$1,
_xlfn.XLOOKUP($B99,ANNOUNCEMENTS!$E$2:$E$180,ANNOUNCEMENTS!$J$2:$J$180,0,0)),1,
IF(EXACT(H$1,
_xlfn.XLOOKUP($B99,ANNOUNCEMENTS!$L$2:$L$180,ANNOUNCEMENTS!$J$2:$J$180,0,0)),1,
IF(EXACT(H$1,
_xlfn.XLOOKUP($B99,ANNOUNCEMENTS!$M$2:$M$180,ANNOUNCEMENTS!$J$2:$J$180,0,0)),1,
IF(EXACT(H$1,
_xlfn.XLOOKUP($B99,ANNOUNCEMENTS!$N$2:$N$180,ANNOUNCEMENTS!$J$2:$J$180,0,0)),1,0))))</f>
        <v>0</v>
      </c>
      <c r="I99">
        <f>IF(EXACT(I$1,
_xlfn.XLOOKUP($B99,ANNOUNCEMENTS!$E$2:$E$180,ANNOUNCEMENTS!$J$2:$J$180,0,0)),1,
IF(EXACT(I$1,
_xlfn.XLOOKUP($B99,ANNOUNCEMENTS!$L$2:$L$180,ANNOUNCEMENTS!$J$2:$J$180,0,0)),1,
IF(EXACT(I$1,
_xlfn.XLOOKUP($B99,ANNOUNCEMENTS!$M$2:$M$180,ANNOUNCEMENTS!$J$2:$J$180,0,0)),1,
IF(EXACT(I$1,
_xlfn.XLOOKUP($B99,ANNOUNCEMENTS!$N$2:$N$180,ANNOUNCEMENTS!$J$2:$J$180,0,0)),1,0))))</f>
        <v>0</v>
      </c>
      <c r="J99">
        <f>IF(EXACT(J$1,
_xlfn.XLOOKUP($B99,ANNOUNCEMENTS!$E$2:$E$180,ANNOUNCEMENTS!$J$2:$J$180,0,0)),1,
IF(EXACT(J$1,
_xlfn.XLOOKUP($B99,ANNOUNCEMENTS!$L$2:$L$180,ANNOUNCEMENTS!$J$2:$J$180,0,0)),1,
IF(EXACT(J$1,
_xlfn.XLOOKUP($B99,ANNOUNCEMENTS!$M$2:$M$180,ANNOUNCEMENTS!$J$2:$J$180,0,0)),1,
IF(EXACT(J$1,
_xlfn.XLOOKUP($B99,ANNOUNCEMENTS!$N$2:$N$180,ANNOUNCEMENTS!$J$2:$J$180,0,0)),1,0))))</f>
        <v>1</v>
      </c>
      <c r="K99">
        <f>IF(EXACT(K$1,
_xlfn.XLOOKUP($B99,ANNOUNCEMENTS!$E$2:$E$180,ANNOUNCEMENTS!$J$2:$J$180,0,0)),1,
IF(EXACT(K$1,
_xlfn.XLOOKUP($B99,ANNOUNCEMENTS!$L$2:$L$180,ANNOUNCEMENTS!$J$2:$J$180,0,0)),1,
IF(EXACT(K$1,
_xlfn.XLOOKUP($B99,ANNOUNCEMENTS!$M$2:$M$180,ANNOUNCEMENTS!$J$2:$J$180,0,0)),1,
IF(EXACT(K$1,
_xlfn.XLOOKUP($B99,ANNOUNCEMENTS!$N$2:$N$180,ANNOUNCEMENTS!$J$2:$J$180,0,0)),1,0))))</f>
        <v>0</v>
      </c>
      <c r="L99">
        <f>IF(EXACT(L$1,
_xlfn.XLOOKUP($B99,ANNOUNCEMENTS!$E$2:$E$180,ANNOUNCEMENTS!$J$2:$J$180,0,0)),1,
IF(EXACT(L$1,
_xlfn.XLOOKUP($B99,ANNOUNCEMENTS!$L$2:$L$180,ANNOUNCEMENTS!$J$2:$J$180,0,0)),1,
IF(EXACT(L$1,
_xlfn.XLOOKUP($B99,ANNOUNCEMENTS!$M$2:$M$180,ANNOUNCEMENTS!$J$2:$J$180,0,0)),1,
IF(EXACT(L$1,
_xlfn.XLOOKUP($B99,ANNOUNCEMENTS!$N$2:$N$180,ANNOUNCEMENTS!$J$2:$J$180,0,0)),1,0))))</f>
        <v>0</v>
      </c>
      <c r="M99">
        <f t="shared" si="6"/>
        <v>1</v>
      </c>
      <c r="N99" t="b">
        <v>0</v>
      </c>
      <c r="O99" s="284">
        <f t="shared" si="8"/>
        <v>27</v>
      </c>
    </row>
    <row r="100" spans="1:15" x14ac:dyDescent="0.35">
      <c r="A100">
        <f t="shared" si="7"/>
        <v>99</v>
      </c>
      <c r="B100" t="s">
        <v>833</v>
      </c>
      <c r="C100" t="s">
        <v>516</v>
      </c>
      <c r="D100">
        <v>0</v>
      </c>
      <c r="E100" s="107">
        <v>0</v>
      </c>
      <c r="F100">
        <v>0</v>
      </c>
      <c r="G100" t="str">
        <f>CBIMPORT!S100</f>
        <v>www.lidl.de/</v>
      </c>
      <c r="H100">
        <f>IF(EXACT(H$1,
_xlfn.XLOOKUP($B100,ANNOUNCEMENTS!$E$2:$E$180,ANNOUNCEMENTS!$J$2:$J$180,0,0)),1,
IF(EXACT(H$1,
_xlfn.XLOOKUP($B100,ANNOUNCEMENTS!$L$2:$L$180,ANNOUNCEMENTS!$J$2:$J$180,0,0)),1,
IF(EXACT(H$1,
_xlfn.XLOOKUP($B100,ANNOUNCEMENTS!$M$2:$M$180,ANNOUNCEMENTS!$J$2:$J$180,0,0)),1,
IF(EXACT(H$1,
_xlfn.XLOOKUP($B100,ANNOUNCEMENTS!$N$2:$N$180,ANNOUNCEMENTS!$J$2:$J$180,0,0)),1,0))))</f>
        <v>0</v>
      </c>
      <c r="I100">
        <f>IF(EXACT(I$1,
_xlfn.XLOOKUP($B100,ANNOUNCEMENTS!$E$2:$E$180,ANNOUNCEMENTS!$J$2:$J$180,0,0)),1,
IF(EXACT(I$1,
_xlfn.XLOOKUP($B100,ANNOUNCEMENTS!$L$2:$L$180,ANNOUNCEMENTS!$J$2:$J$180,0,0)),1,
IF(EXACT(I$1,
_xlfn.XLOOKUP($B100,ANNOUNCEMENTS!$M$2:$M$180,ANNOUNCEMENTS!$J$2:$J$180,0,0)),1,
IF(EXACT(I$1,
_xlfn.XLOOKUP($B100,ANNOUNCEMENTS!$N$2:$N$180,ANNOUNCEMENTS!$J$2:$J$180,0,0)),1,0))))</f>
        <v>0</v>
      </c>
      <c r="J100">
        <f>IF(EXACT(J$1,
_xlfn.XLOOKUP($B100,ANNOUNCEMENTS!$E$2:$E$180,ANNOUNCEMENTS!$J$2:$J$180,0,0)),1,
IF(EXACT(J$1,
_xlfn.XLOOKUP($B100,ANNOUNCEMENTS!$L$2:$L$180,ANNOUNCEMENTS!$J$2:$J$180,0,0)),1,
IF(EXACT(J$1,
_xlfn.XLOOKUP($B100,ANNOUNCEMENTS!$M$2:$M$180,ANNOUNCEMENTS!$J$2:$J$180,0,0)),1,
IF(EXACT(J$1,
_xlfn.XLOOKUP($B100,ANNOUNCEMENTS!$N$2:$N$180,ANNOUNCEMENTS!$J$2:$J$180,0,0)),1,0))))</f>
        <v>1</v>
      </c>
      <c r="K100">
        <f>IF(EXACT(K$1,
_xlfn.XLOOKUP($B100,ANNOUNCEMENTS!$E$2:$E$180,ANNOUNCEMENTS!$J$2:$J$180,0,0)),1,
IF(EXACT(K$1,
_xlfn.XLOOKUP($B100,ANNOUNCEMENTS!$L$2:$L$180,ANNOUNCEMENTS!$J$2:$J$180,0,0)),1,
IF(EXACT(K$1,
_xlfn.XLOOKUP($B100,ANNOUNCEMENTS!$M$2:$M$180,ANNOUNCEMENTS!$J$2:$J$180,0,0)),1,
IF(EXACT(K$1,
_xlfn.XLOOKUP($B100,ANNOUNCEMENTS!$N$2:$N$180,ANNOUNCEMENTS!$J$2:$J$180,0,0)),1,0))))</f>
        <v>0</v>
      </c>
      <c r="L100">
        <f>IF(EXACT(L$1,
_xlfn.XLOOKUP($B100,ANNOUNCEMENTS!$E$2:$E$180,ANNOUNCEMENTS!$J$2:$J$180,0,0)),1,
IF(EXACT(L$1,
_xlfn.XLOOKUP($B100,ANNOUNCEMENTS!$L$2:$L$180,ANNOUNCEMENTS!$J$2:$J$180,0,0)),1,
IF(EXACT(L$1,
_xlfn.XLOOKUP($B100,ANNOUNCEMENTS!$M$2:$M$180,ANNOUNCEMENTS!$J$2:$J$180,0,0)),1,
IF(EXACT(L$1,
_xlfn.XLOOKUP($B100,ANNOUNCEMENTS!$N$2:$N$180,ANNOUNCEMENTS!$J$2:$J$180,0,0)),1,0))))</f>
        <v>0</v>
      </c>
      <c r="M100">
        <f t="shared" si="6"/>
        <v>1</v>
      </c>
      <c r="N100" t="b">
        <v>0</v>
      </c>
      <c r="O100" s="284">
        <f t="shared" si="8"/>
        <v>20</v>
      </c>
    </row>
    <row r="101" spans="1:15" x14ac:dyDescent="0.35">
      <c r="A101">
        <f t="shared" si="7"/>
        <v>100</v>
      </c>
      <c r="B101" t="s">
        <v>732</v>
      </c>
      <c r="C101" t="s">
        <v>319</v>
      </c>
      <c r="D101">
        <v>0</v>
      </c>
      <c r="E101" s="107">
        <v>14.555705</v>
      </c>
      <c r="F101">
        <v>0</v>
      </c>
      <c r="G101" t="str">
        <f>CBIMPORT!S101</f>
        <v>liftango.com/</v>
      </c>
      <c r="H101">
        <f>IF(EXACT(H$1,
_xlfn.XLOOKUP($B101,ANNOUNCEMENTS!$E$2:$E$180,ANNOUNCEMENTS!$J$2:$J$180,0,0)),1,
IF(EXACT(H$1,
_xlfn.XLOOKUP($B101,ANNOUNCEMENTS!$L$2:$L$180,ANNOUNCEMENTS!$J$2:$J$180,0,0)),1,
IF(EXACT(H$1,
_xlfn.XLOOKUP($B101,ANNOUNCEMENTS!$M$2:$M$180,ANNOUNCEMENTS!$J$2:$J$180,0,0)),1,
IF(EXACT(H$1,
_xlfn.XLOOKUP($B101,ANNOUNCEMENTS!$N$2:$N$180,ANNOUNCEMENTS!$J$2:$J$180,0,0)),1,0))))</f>
        <v>0</v>
      </c>
      <c r="I101">
        <f>IF(EXACT(I$1,
_xlfn.XLOOKUP($B101,ANNOUNCEMENTS!$E$2:$E$180,ANNOUNCEMENTS!$J$2:$J$180,0,0)),1,
IF(EXACT(I$1,
_xlfn.XLOOKUP($B101,ANNOUNCEMENTS!$L$2:$L$180,ANNOUNCEMENTS!$J$2:$J$180,0,0)),1,
IF(EXACT(I$1,
_xlfn.XLOOKUP($B101,ANNOUNCEMENTS!$M$2:$M$180,ANNOUNCEMENTS!$J$2:$J$180,0,0)),1,
IF(EXACT(I$1,
_xlfn.XLOOKUP($B101,ANNOUNCEMENTS!$N$2:$N$180,ANNOUNCEMENTS!$J$2:$J$180,0,0)),1,0))))</f>
        <v>1</v>
      </c>
      <c r="J101">
        <f>IF(EXACT(J$1,
_xlfn.XLOOKUP($B101,ANNOUNCEMENTS!$E$2:$E$180,ANNOUNCEMENTS!$J$2:$J$180,0,0)),1,
IF(EXACT(J$1,
_xlfn.XLOOKUP($B101,ANNOUNCEMENTS!$L$2:$L$180,ANNOUNCEMENTS!$J$2:$J$180,0,0)),1,
IF(EXACT(J$1,
_xlfn.XLOOKUP($B101,ANNOUNCEMENTS!$M$2:$M$180,ANNOUNCEMENTS!$J$2:$J$180,0,0)),1,
IF(EXACT(J$1,
_xlfn.XLOOKUP($B101,ANNOUNCEMENTS!$N$2:$N$180,ANNOUNCEMENTS!$J$2:$J$180,0,0)),1,0))))</f>
        <v>0</v>
      </c>
      <c r="K101">
        <f>IF(EXACT(K$1,
_xlfn.XLOOKUP($B101,ANNOUNCEMENTS!$E$2:$E$180,ANNOUNCEMENTS!$J$2:$J$180,0,0)),1,
IF(EXACT(K$1,
_xlfn.XLOOKUP($B101,ANNOUNCEMENTS!$L$2:$L$180,ANNOUNCEMENTS!$J$2:$J$180,0,0)),1,
IF(EXACT(K$1,
_xlfn.XLOOKUP($B101,ANNOUNCEMENTS!$M$2:$M$180,ANNOUNCEMENTS!$J$2:$J$180,0,0)),1,
IF(EXACT(K$1,
_xlfn.XLOOKUP($B101,ANNOUNCEMENTS!$N$2:$N$180,ANNOUNCEMENTS!$J$2:$J$180,0,0)),1,0))))</f>
        <v>0</v>
      </c>
      <c r="L101">
        <f>IF(EXACT(L$1,
_xlfn.XLOOKUP($B101,ANNOUNCEMENTS!$E$2:$E$180,ANNOUNCEMENTS!$J$2:$J$180,0,0)),1,
IF(EXACT(L$1,
_xlfn.XLOOKUP($B101,ANNOUNCEMENTS!$L$2:$L$180,ANNOUNCEMENTS!$J$2:$J$180,0,0)),1,
IF(EXACT(L$1,
_xlfn.XLOOKUP($B101,ANNOUNCEMENTS!$M$2:$M$180,ANNOUNCEMENTS!$J$2:$J$180,0,0)),1,
IF(EXACT(L$1,
_xlfn.XLOOKUP($B101,ANNOUNCEMENTS!$N$2:$N$180,ANNOUNCEMENTS!$J$2:$J$180,0,0)),1,0))))</f>
        <v>0</v>
      </c>
      <c r="M101">
        <f t="shared" si="6"/>
        <v>1</v>
      </c>
      <c r="N101" t="b">
        <v>0</v>
      </c>
      <c r="O101" s="284">
        <f t="shared" si="8"/>
        <v>17</v>
      </c>
    </row>
    <row r="102" spans="1:15" x14ac:dyDescent="0.35">
      <c r="A102">
        <f t="shared" si="7"/>
        <v>101</v>
      </c>
      <c r="B102" t="s">
        <v>582</v>
      </c>
      <c r="C102" t="s">
        <v>583</v>
      </c>
      <c r="D102">
        <v>0</v>
      </c>
      <c r="E102" s="107">
        <v>222.1</v>
      </c>
      <c r="F102">
        <v>1</v>
      </c>
      <c r="G102" t="str">
        <f>CBIMPORT!S102</f>
        <v>lightningemotors.com</v>
      </c>
      <c r="H102">
        <f>IF(EXACT(H$1,
_xlfn.XLOOKUP($B102,ANNOUNCEMENTS!$E$2:$E$180,ANNOUNCEMENTS!$J$2:$J$180,0,0)),1,
IF(EXACT(H$1,
_xlfn.XLOOKUP($B102,ANNOUNCEMENTS!$L$2:$L$180,ANNOUNCEMENTS!$J$2:$J$180,0,0)),1,
IF(EXACT(H$1,
_xlfn.XLOOKUP($B102,ANNOUNCEMENTS!$M$2:$M$180,ANNOUNCEMENTS!$J$2:$J$180,0,0)),1,
IF(EXACT(H$1,
_xlfn.XLOOKUP($B102,ANNOUNCEMENTS!$N$2:$N$180,ANNOUNCEMENTS!$J$2:$J$180,0,0)),1,0))))</f>
        <v>1</v>
      </c>
      <c r="I102">
        <f>IF(EXACT(I$1,
_xlfn.XLOOKUP($B102,ANNOUNCEMENTS!$E$2:$E$180,ANNOUNCEMENTS!$J$2:$J$180,0,0)),1,
IF(EXACT(I$1,
_xlfn.XLOOKUP($B102,ANNOUNCEMENTS!$L$2:$L$180,ANNOUNCEMENTS!$J$2:$J$180,0,0)),1,
IF(EXACT(I$1,
_xlfn.XLOOKUP($B102,ANNOUNCEMENTS!$M$2:$M$180,ANNOUNCEMENTS!$J$2:$J$180,0,0)),1,
IF(EXACT(I$1,
_xlfn.XLOOKUP($B102,ANNOUNCEMENTS!$N$2:$N$180,ANNOUNCEMENTS!$J$2:$J$180,0,0)),1,0))))</f>
        <v>0</v>
      </c>
      <c r="J102">
        <f>IF(EXACT(J$1,
_xlfn.XLOOKUP($B102,ANNOUNCEMENTS!$E$2:$E$180,ANNOUNCEMENTS!$J$2:$J$180,0,0)),1,
IF(EXACT(J$1,
_xlfn.XLOOKUP($B102,ANNOUNCEMENTS!$L$2:$L$180,ANNOUNCEMENTS!$J$2:$J$180,0,0)),1,
IF(EXACT(J$1,
_xlfn.XLOOKUP($B102,ANNOUNCEMENTS!$M$2:$M$180,ANNOUNCEMENTS!$J$2:$J$180,0,0)),1,
IF(EXACT(J$1,
_xlfn.XLOOKUP($B102,ANNOUNCEMENTS!$N$2:$N$180,ANNOUNCEMENTS!$J$2:$J$180,0,0)),1,0))))</f>
        <v>0</v>
      </c>
      <c r="K102">
        <f>IF(EXACT(K$1,
_xlfn.XLOOKUP($B102,ANNOUNCEMENTS!$E$2:$E$180,ANNOUNCEMENTS!$J$2:$J$180,0,0)),1,
IF(EXACT(K$1,
_xlfn.XLOOKUP($B102,ANNOUNCEMENTS!$L$2:$L$180,ANNOUNCEMENTS!$J$2:$J$180,0,0)),1,
IF(EXACT(K$1,
_xlfn.XLOOKUP($B102,ANNOUNCEMENTS!$M$2:$M$180,ANNOUNCEMENTS!$J$2:$J$180,0,0)),1,
IF(EXACT(K$1,
_xlfn.XLOOKUP($B102,ANNOUNCEMENTS!$N$2:$N$180,ANNOUNCEMENTS!$J$2:$J$180,0,0)),1,0))))</f>
        <v>0</v>
      </c>
      <c r="L102">
        <f>IF(EXACT(L$1,
_xlfn.XLOOKUP($B102,ANNOUNCEMENTS!$E$2:$E$180,ANNOUNCEMENTS!$J$2:$J$180,0,0)),1,
IF(EXACT(L$1,
_xlfn.XLOOKUP($B102,ANNOUNCEMENTS!$L$2:$L$180,ANNOUNCEMENTS!$J$2:$J$180,0,0)),1,
IF(EXACT(L$1,
_xlfn.XLOOKUP($B102,ANNOUNCEMENTS!$M$2:$M$180,ANNOUNCEMENTS!$J$2:$J$180,0,0)),1,
IF(EXACT(L$1,
_xlfn.XLOOKUP($B102,ANNOUNCEMENTS!$N$2:$N$180,ANNOUNCEMENTS!$J$2:$J$180,0,0)),1,0))))</f>
        <v>0</v>
      </c>
      <c r="M102">
        <f t="shared" si="6"/>
        <v>1</v>
      </c>
      <c r="N102" t="b">
        <v>0</v>
      </c>
      <c r="O102" s="284">
        <f t="shared" si="8"/>
        <v>36</v>
      </c>
    </row>
    <row r="103" spans="1:15" x14ac:dyDescent="0.35">
      <c r="A103">
        <f t="shared" si="7"/>
        <v>102</v>
      </c>
      <c r="B103" t="s">
        <v>697</v>
      </c>
      <c r="C103" t="s">
        <v>306</v>
      </c>
      <c r="D103">
        <v>0</v>
      </c>
      <c r="E103" s="107">
        <v>0</v>
      </c>
      <c r="F103">
        <v>0</v>
      </c>
      <c r="G103" t="str">
        <f>CBIMPORT!S103</f>
        <v>www.loadsmith.com/</v>
      </c>
      <c r="H103">
        <f>IF(EXACT(H$1,
_xlfn.XLOOKUP($B103,ANNOUNCEMENTS!$E$2:$E$180,ANNOUNCEMENTS!$J$2:$J$180,0,0)),1,
IF(EXACT(H$1,
_xlfn.XLOOKUP($B103,ANNOUNCEMENTS!$L$2:$L$180,ANNOUNCEMENTS!$J$2:$J$180,0,0)),1,
IF(EXACT(H$1,
_xlfn.XLOOKUP($B103,ANNOUNCEMENTS!$M$2:$M$180,ANNOUNCEMENTS!$J$2:$J$180,0,0)),1,
IF(EXACT(H$1,
_xlfn.XLOOKUP($B103,ANNOUNCEMENTS!$N$2:$N$180,ANNOUNCEMENTS!$J$2:$J$180,0,0)),1,0))))</f>
        <v>0</v>
      </c>
      <c r="I103">
        <f>IF(EXACT(I$1,
_xlfn.XLOOKUP($B103,ANNOUNCEMENTS!$E$2:$E$180,ANNOUNCEMENTS!$J$2:$J$180,0,0)),1,
IF(EXACT(I$1,
_xlfn.XLOOKUP($B103,ANNOUNCEMENTS!$L$2:$L$180,ANNOUNCEMENTS!$J$2:$J$180,0,0)),1,
IF(EXACT(I$1,
_xlfn.XLOOKUP($B103,ANNOUNCEMENTS!$M$2:$M$180,ANNOUNCEMENTS!$J$2:$J$180,0,0)),1,
IF(EXACT(I$1,
_xlfn.XLOOKUP($B103,ANNOUNCEMENTS!$N$2:$N$180,ANNOUNCEMENTS!$J$2:$J$180,0,0)),1,0))))</f>
        <v>0</v>
      </c>
      <c r="J103">
        <f>IF(EXACT(J$1,
_xlfn.XLOOKUP($B103,ANNOUNCEMENTS!$E$2:$E$180,ANNOUNCEMENTS!$J$2:$J$180,0,0)),1,
IF(EXACT(J$1,
_xlfn.XLOOKUP($B103,ANNOUNCEMENTS!$L$2:$L$180,ANNOUNCEMENTS!$J$2:$J$180,0,0)),1,
IF(EXACT(J$1,
_xlfn.XLOOKUP($B103,ANNOUNCEMENTS!$M$2:$M$180,ANNOUNCEMENTS!$J$2:$J$180,0,0)),1,
IF(EXACT(J$1,
_xlfn.XLOOKUP($B103,ANNOUNCEMENTS!$N$2:$N$180,ANNOUNCEMENTS!$J$2:$J$180,0,0)),1,0))))</f>
        <v>1</v>
      </c>
      <c r="K103">
        <f>IF(EXACT(K$1,
_xlfn.XLOOKUP($B103,ANNOUNCEMENTS!$E$2:$E$180,ANNOUNCEMENTS!$J$2:$J$180,0,0)),1,
IF(EXACT(K$1,
_xlfn.XLOOKUP($B103,ANNOUNCEMENTS!$L$2:$L$180,ANNOUNCEMENTS!$J$2:$J$180,0,0)),1,
IF(EXACT(K$1,
_xlfn.XLOOKUP($B103,ANNOUNCEMENTS!$M$2:$M$180,ANNOUNCEMENTS!$J$2:$J$180,0,0)),1,
IF(EXACT(K$1,
_xlfn.XLOOKUP($B103,ANNOUNCEMENTS!$N$2:$N$180,ANNOUNCEMENTS!$J$2:$J$180,0,0)),1,0))))</f>
        <v>0</v>
      </c>
      <c r="L103">
        <f>IF(EXACT(L$1,
_xlfn.XLOOKUP($B103,ANNOUNCEMENTS!$E$2:$E$180,ANNOUNCEMENTS!$J$2:$J$180,0,0)),1,
IF(EXACT(L$1,
_xlfn.XLOOKUP($B103,ANNOUNCEMENTS!$L$2:$L$180,ANNOUNCEMENTS!$J$2:$J$180,0,0)),1,
IF(EXACT(L$1,
_xlfn.XLOOKUP($B103,ANNOUNCEMENTS!$M$2:$M$180,ANNOUNCEMENTS!$J$2:$J$180,0,0)),1,
IF(EXACT(L$1,
_xlfn.XLOOKUP($B103,ANNOUNCEMENTS!$N$2:$N$180,ANNOUNCEMENTS!$J$2:$J$180,0,0)),1,0))))</f>
        <v>0</v>
      </c>
      <c r="M103">
        <f t="shared" si="6"/>
        <v>1</v>
      </c>
      <c r="N103" t="b">
        <v>0</v>
      </c>
      <c r="O103" s="284">
        <f t="shared" si="8"/>
        <v>22</v>
      </c>
    </row>
    <row r="104" spans="1:15" x14ac:dyDescent="0.35">
      <c r="A104">
        <f t="shared" si="7"/>
        <v>103</v>
      </c>
      <c r="B104" t="s">
        <v>863</v>
      </c>
      <c r="C104" t="s">
        <v>368</v>
      </c>
      <c r="D104">
        <v>0</v>
      </c>
      <c r="E104" s="107">
        <v>779.75</v>
      </c>
      <c r="F104">
        <v>1</v>
      </c>
      <c r="G104" t="str">
        <f>CBIMPORT!S104</f>
        <v>www.luminartech.com/</v>
      </c>
      <c r="H104">
        <f>IF(EXACT(H$1,
_xlfn.XLOOKUP($B104,ANNOUNCEMENTS!$E$2:$E$180,ANNOUNCEMENTS!$J$2:$J$180,0,0)),1,
IF(EXACT(H$1,
_xlfn.XLOOKUP($B104,ANNOUNCEMENTS!$L$2:$L$180,ANNOUNCEMENTS!$J$2:$J$180,0,0)),1,
IF(EXACT(H$1,
_xlfn.XLOOKUP($B104,ANNOUNCEMENTS!$M$2:$M$180,ANNOUNCEMENTS!$J$2:$J$180,0,0)),1,
IF(EXACT(H$1,
_xlfn.XLOOKUP($B104,ANNOUNCEMENTS!$N$2:$N$180,ANNOUNCEMENTS!$J$2:$J$180,0,0)),1,0))))</f>
        <v>0</v>
      </c>
      <c r="I104">
        <v>1</v>
      </c>
      <c r="J104">
        <f>IF(EXACT(J$1,
_xlfn.XLOOKUP($B104,ANNOUNCEMENTS!$E$2:$E$180,ANNOUNCEMENTS!$J$2:$J$180,0,0)),1,
IF(EXACT(J$1,
_xlfn.XLOOKUP($B104,ANNOUNCEMENTS!$L$2:$L$180,ANNOUNCEMENTS!$J$2:$J$180,0,0)),1,
IF(EXACT(J$1,
_xlfn.XLOOKUP($B104,ANNOUNCEMENTS!$M$2:$M$180,ANNOUNCEMENTS!$J$2:$J$180,0,0)),1,
IF(EXACT(J$1,
_xlfn.XLOOKUP($B104,ANNOUNCEMENTS!$N$2:$N$180,ANNOUNCEMENTS!$J$2:$J$180,0,0)),1,0))))</f>
        <v>1</v>
      </c>
      <c r="K104">
        <f>IF(EXACT(K$1,
_xlfn.XLOOKUP($B104,ANNOUNCEMENTS!$E$2:$E$180,ANNOUNCEMENTS!$J$2:$J$180,0,0)),1,
IF(EXACT(K$1,
_xlfn.XLOOKUP($B104,ANNOUNCEMENTS!$L$2:$L$180,ANNOUNCEMENTS!$J$2:$J$180,0,0)),1,
IF(EXACT(K$1,
_xlfn.XLOOKUP($B104,ANNOUNCEMENTS!$M$2:$M$180,ANNOUNCEMENTS!$J$2:$J$180,0,0)),1,
IF(EXACT(K$1,
_xlfn.XLOOKUP($B104,ANNOUNCEMENTS!$N$2:$N$180,ANNOUNCEMENTS!$J$2:$J$180,0,0)),1,0))))</f>
        <v>0</v>
      </c>
      <c r="L104">
        <f>IF(EXACT(L$1,
_xlfn.XLOOKUP($B104,ANNOUNCEMENTS!$E$2:$E$180,ANNOUNCEMENTS!$J$2:$J$180,0,0)),1,
IF(EXACT(L$1,
_xlfn.XLOOKUP($B104,ANNOUNCEMENTS!$L$2:$L$180,ANNOUNCEMENTS!$J$2:$J$180,0,0)),1,
IF(EXACT(L$1,
_xlfn.XLOOKUP($B104,ANNOUNCEMENTS!$M$2:$M$180,ANNOUNCEMENTS!$J$2:$J$180,0,0)),1,
IF(EXACT(L$1,
_xlfn.XLOOKUP($B104,ANNOUNCEMENTS!$N$2:$N$180,ANNOUNCEMENTS!$J$2:$J$180,0,0)),1,0))))</f>
        <v>0</v>
      </c>
      <c r="M104">
        <f t="shared" si="6"/>
        <v>2</v>
      </c>
      <c r="N104" t="b">
        <v>0</v>
      </c>
      <c r="O104" s="284">
        <f t="shared" si="8"/>
        <v>2</v>
      </c>
    </row>
    <row r="105" spans="1:15" x14ac:dyDescent="0.35">
      <c r="A105">
        <f t="shared" si="7"/>
        <v>104</v>
      </c>
      <c r="B105" t="s">
        <v>793</v>
      </c>
      <c r="C105" t="s">
        <v>784</v>
      </c>
      <c r="D105">
        <v>0</v>
      </c>
      <c r="E105" s="107">
        <v>0</v>
      </c>
      <c r="F105">
        <v>0</v>
      </c>
      <c r="G105" t="str">
        <f>CBIMPORT!S105</f>
        <v>www.mantruckandbus.com</v>
      </c>
      <c r="H105">
        <f>IF(EXACT(H$1,
_xlfn.XLOOKUP($B105,ANNOUNCEMENTS!$E$2:$E$180,ANNOUNCEMENTS!$J$2:$J$180,0,0)),1,
IF(EXACT(H$1,
_xlfn.XLOOKUP($B105,ANNOUNCEMENTS!$L$2:$L$180,ANNOUNCEMENTS!$J$2:$J$180,0,0)),1,
IF(EXACT(H$1,
_xlfn.XLOOKUP($B105,ANNOUNCEMENTS!$M$2:$M$180,ANNOUNCEMENTS!$J$2:$J$180,0,0)),1,
IF(EXACT(H$1,
_xlfn.XLOOKUP($B105,ANNOUNCEMENTS!$N$2:$N$180,ANNOUNCEMENTS!$J$2:$J$180,0,0)),1,0))))</f>
        <v>1</v>
      </c>
      <c r="I105">
        <f>IF(EXACT(I$1,
_xlfn.XLOOKUP($B105,ANNOUNCEMENTS!$E$2:$E$180,ANNOUNCEMENTS!$J$2:$J$180,0,0)),1,
IF(EXACT(I$1,
_xlfn.XLOOKUP($B105,ANNOUNCEMENTS!$L$2:$L$180,ANNOUNCEMENTS!$J$2:$J$180,0,0)),1,
IF(EXACT(I$1,
_xlfn.XLOOKUP($B105,ANNOUNCEMENTS!$M$2:$M$180,ANNOUNCEMENTS!$J$2:$J$180,0,0)),1,
IF(EXACT(I$1,
_xlfn.XLOOKUP($B105,ANNOUNCEMENTS!$N$2:$N$180,ANNOUNCEMENTS!$J$2:$J$180,0,0)),1,0))))</f>
        <v>0</v>
      </c>
      <c r="J105">
        <f>IF(EXACT(J$1,
_xlfn.XLOOKUP($B105,ANNOUNCEMENTS!$E$2:$E$180,ANNOUNCEMENTS!$J$2:$J$180,0,0)),1,
IF(EXACT(J$1,
_xlfn.XLOOKUP($B105,ANNOUNCEMENTS!$L$2:$L$180,ANNOUNCEMENTS!$J$2:$J$180,0,0)),1,
IF(EXACT(J$1,
_xlfn.XLOOKUP($B105,ANNOUNCEMENTS!$M$2:$M$180,ANNOUNCEMENTS!$J$2:$J$180,0,0)),1,
IF(EXACT(J$1,
_xlfn.XLOOKUP($B105,ANNOUNCEMENTS!$N$2:$N$180,ANNOUNCEMENTS!$J$2:$J$180,0,0)),1,0))))</f>
        <v>0</v>
      </c>
      <c r="K105">
        <f>IF(EXACT(K$1,
_xlfn.XLOOKUP($B105,ANNOUNCEMENTS!$E$2:$E$180,ANNOUNCEMENTS!$J$2:$J$180,0,0)),1,
IF(EXACT(K$1,
_xlfn.XLOOKUP($B105,ANNOUNCEMENTS!$L$2:$L$180,ANNOUNCEMENTS!$J$2:$J$180,0,0)),1,
IF(EXACT(K$1,
_xlfn.XLOOKUP($B105,ANNOUNCEMENTS!$M$2:$M$180,ANNOUNCEMENTS!$J$2:$J$180,0,0)),1,
IF(EXACT(K$1,
_xlfn.XLOOKUP($B105,ANNOUNCEMENTS!$N$2:$N$180,ANNOUNCEMENTS!$J$2:$J$180,0,0)),1,0))))</f>
        <v>0</v>
      </c>
      <c r="L105">
        <f>IF(EXACT(L$1,
_xlfn.XLOOKUP($B105,ANNOUNCEMENTS!$E$2:$E$180,ANNOUNCEMENTS!$J$2:$J$180,0,0)),1,
IF(EXACT(L$1,
_xlfn.XLOOKUP($B105,ANNOUNCEMENTS!$L$2:$L$180,ANNOUNCEMENTS!$J$2:$J$180,0,0)),1,
IF(EXACT(L$1,
_xlfn.XLOOKUP($B105,ANNOUNCEMENTS!$M$2:$M$180,ANNOUNCEMENTS!$J$2:$J$180,0,0)),1,
IF(EXACT(L$1,
_xlfn.XLOOKUP($B105,ANNOUNCEMENTS!$N$2:$N$180,ANNOUNCEMENTS!$J$2:$J$180,0,0)),1,0))))</f>
        <v>0</v>
      </c>
      <c r="M105">
        <f t="shared" si="6"/>
        <v>1</v>
      </c>
      <c r="N105" t="b">
        <v>0</v>
      </c>
      <c r="O105" s="284">
        <f t="shared" ref="O105:O136" si="9">VLOOKUP(C105,$P$2:$Q$42,2,FALSE)</f>
        <v>12</v>
      </c>
    </row>
    <row r="106" spans="1:15" x14ac:dyDescent="0.35">
      <c r="A106">
        <f t="shared" si="7"/>
        <v>105</v>
      </c>
      <c r="B106" t="s">
        <v>510</v>
      </c>
      <c r="C106" t="s">
        <v>481</v>
      </c>
      <c r="D106">
        <v>0</v>
      </c>
      <c r="E106" s="107">
        <v>0</v>
      </c>
      <c r="F106">
        <v>1</v>
      </c>
      <c r="G106" t="str">
        <f>CBIMPORT!S106</f>
        <v>www.michelin.com/</v>
      </c>
      <c r="H106">
        <f>IF(EXACT(H$1,
_xlfn.XLOOKUP($B106,ANNOUNCEMENTS!$E$2:$E$180,ANNOUNCEMENTS!$J$2:$J$180,0,0)),1,
IF(EXACT(H$1,
_xlfn.XLOOKUP($B106,ANNOUNCEMENTS!$L$2:$L$180,ANNOUNCEMENTS!$J$2:$J$180,0,0)),1,
IF(EXACT(H$1,
_xlfn.XLOOKUP($B106,ANNOUNCEMENTS!$M$2:$M$180,ANNOUNCEMENTS!$J$2:$J$180,0,0)),1,
IF(EXACT(H$1,
_xlfn.XLOOKUP($B106,ANNOUNCEMENTS!$N$2:$N$180,ANNOUNCEMENTS!$J$2:$J$180,0,0)),1,0))))</f>
        <v>1</v>
      </c>
      <c r="I106">
        <f>IF(EXACT(I$1,
_xlfn.XLOOKUP($B106,ANNOUNCEMENTS!$E$2:$E$180,ANNOUNCEMENTS!$J$2:$J$180,0,0)),1,
IF(EXACT(I$1,
_xlfn.XLOOKUP($B106,ANNOUNCEMENTS!$L$2:$L$180,ANNOUNCEMENTS!$J$2:$J$180,0,0)),1,
IF(EXACT(I$1,
_xlfn.XLOOKUP($B106,ANNOUNCEMENTS!$M$2:$M$180,ANNOUNCEMENTS!$J$2:$J$180,0,0)),1,
IF(EXACT(I$1,
_xlfn.XLOOKUP($B106,ANNOUNCEMENTS!$N$2:$N$180,ANNOUNCEMENTS!$J$2:$J$180,0,0)),1,0))))</f>
        <v>0</v>
      </c>
      <c r="J106">
        <f>IF(EXACT(J$1,
_xlfn.XLOOKUP($B106,ANNOUNCEMENTS!$E$2:$E$180,ANNOUNCEMENTS!$J$2:$J$180,0,0)),1,
IF(EXACT(J$1,
_xlfn.XLOOKUP($B106,ANNOUNCEMENTS!$L$2:$L$180,ANNOUNCEMENTS!$J$2:$J$180,0,0)),1,
IF(EXACT(J$1,
_xlfn.XLOOKUP($B106,ANNOUNCEMENTS!$M$2:$M$180,ANNOUNCEMENTS!$J$2:$J$180,0,0)),1,
IF(EXACT(J$1,
_xlfn.XLOOKUP($B106,ANNOUNCEMENTS!$N$2:$N$180,ANNOUNCEMENTS!$J$2:$J$180,0,0)),1,0))))</f>
        <v>0</v>
      </c>
      <c r="K106">
        <f>IF(EXACT(K$1,
_xlfn.XLOOKUP($B106,ANNOUNCEMENTS!$E$2:$E$180,ANNOUNCEMENTS!$J$2:$J$180,0,0)),1,
IF(EXACT(K$1,
_xlfn.XLOOKUP($B106,ANNOUNCEMENTS!$L$2:$L$180,ANNOUNCEMENTS!$J$2:$J$180,0,0)),1,
IF(EXACT(K$1,
_xlfn.XLOOKUP($B106,ANNOUNCEMENTS!$M$2:$M$180,ANNOUNCEMENTS!$J$2:$J$180,0,0)),1,
IF(EXACT(K$1,
_xlfn.XLOOKUP($B106,ANNOUNCEMENTS!$N$2:$N$180,ANNOUNCEMENTS!$J$2:$J$180,0,0)),1,0))))</f>
        <v>0</v>
      </c>
      <c r="L106">
        <f>IF(EXACT(L$1,
_xlfn.XLOOKUP($B106,ANNOUNCEMENTS!$E$2:$E$180,ANNOUNCEMENTS!$J$2:$J$180,0,0)),1,
IF(EXACT(L$1,
_xlfn.XLOOKUP($B106,ANNOUNCEMENTS!$L$2:$L$180,ANNOUNCEMENTS!$J$2:$J$180,0,0)),1,
IF(EXACT(L$1,
_xlfn.XLOOKUP($B106,ANNOUNCEMENTS!$M$2:$M$180,ANNOUNCEMENTS!$J$2:$J$180,0,0)),1,
IF(EXACT(L$1,
_xlfn.XLOOKUP($B106,ANNOUNCEMENTS!$N$2:$N$180,ANNOUNCEMENTS!$J$2:$J$180,0,0)),1,0))))</f>
        <v>0</v>
      </c>
      <c r="M106">
        <f t="shared" si="6"/>
        <v>1</v>
      </c>
      <c r="N106" t="b">
        <v>0</v>
      </c>
      <c r="O106" s="284">
        <f t="shared" si="9"/>
        <v>9</v>
      </c>
    </row>
    <row r="107" spans="1:15" x14ac:dyDescent="0.35">
      <c r="A107">
        <f t="shared" si="7"/>
        <v>106</v>
      </c>
      <c r="B107" t="s">
        <v>872</v>
      </c>
      <c r="C107" t="s">
        <v>1992</v>
      </c>
      <c r="D107">
        <v>0</v>
      </c>
      <c r="E107" s="107">
        <v>1</v>
      </c>
      <c r="F107">
        <v>1</v>
      </c>
      <c r="G107" t="str">
        <f>CBIMPORT!S107</f>
        <v>www.microsoft.com</v>
      </c>
      <c r="H107">
        <f>IF(EXACT(H$1,
_xlfn.XLOOKUP($B107,ANNOUNCEMENTS!$E$2:$E$180,ANNOUNCEMENTS!$J$2:$J$180,0,0)),1,
IF(EXACT(H$1,
_xlfn.XLOOKUP($B107,ANNOUNCEMENTS!$L$2:$L$180,ANNOUNCEMENTS!$J$2:$J$180,0,0)),1,
IF(EXACT(H$1,
_xlfn.XLOOKUP($B107,ANNOUNCEMENTS!$M$2:$M$180,ANNOUNCEMENTS!$J$2:$J$180,0,0)),1,
IF(EXACT(H$1,
_xlfn.XLOOKUP($B107,ANNOUNCEMENTS!$N$2:$N$180,ANNOUNCEMENTS!$J$2:$J$180,0,0)),1,0))))</f>
        <v>1</v>
      </c>
      <c r="I107">
        <f>IF(EXACT(I$1,
_xlfn.XLOOKUP($B107,ANNOUNCEMENTS!$E$2:$E$180,ANNOUNCEMENTS!$J$2:$J$180,0,0)),1,
IF(EXACT(I$1,
_xlfn.XLOOKUP($B107,ANNOUNCEMENTS!$L$2:$L$180,ANNOUNCEMENTS!$J$2:$J$180,0,0)),1,
IF(EXACT(I$1,
_xlfn.XLOOKUP($B107,ANNOUNCEMENTS!$M$2:$M$180,ANNOUNCEMENTS!$J$2:$J$180,0,0)),1,
IF(EXACT(I$1,
_xlfn.XLOOKUP($B107,ANNOUNCEMENTS!$N$2:$N$180,ANNOUNCEMENTS!$J$2:$J$180,0,0)),1,0))))</f>
        <v>1</v>
      </c>
      <c r="J107">
        <f>IF(EXACT(J$1,
_xlfn.XLOOKUP($B107,ANNOUNCEMENTS!$E$2:$E$180,ANNOUNCEMENTS!$J$2:$J$180,0,0)),1,
IF(EXACT(J$1,
_xlfn.XLOOKUP($B107,ANNOUNCEMENTS!$L$2:$L$180,ANNOUNCEMENTS!$J$2:$J$180,0,0)),1,
IF(EXACT(J$1,
_xlfn.XLOOKUP($B107,ANNOUNCEMENTS!$M$2:$M$180,ANNOUNCEMENTS!$J$2:$J$180,0,0)),1,
IF(EXACT(J$1,
_xlfn.XLOOKUP($B107,ANNOUNCEMENTS!$N$2:$N$180,ANNOUNCEMENTS!$J$2:$J$180,0,0)),1,0))))</f>
        <v>0</v>
      </c>
      <c r="K107">
        <f>IF(EXACT(K$1,
_xlfn.XLOOKUP($B107,ANNOUNCEMENTS!$E$2:$E$180,ANNOUNCEMENTS!$J$2:$J$180,0,0)),1,
IF(EXACT(K$1,
_xlfn.XLOOKUP($B107,ANNOUNCEMENTS!$L$2:$L$180,ANNOUNCEMENTS!$J$2:$J$180,0,0)),1,
IF(EXACT(K$1,
_xlfn.XLOOKUP($B107,ANNOUNCEMENTS!$M$2:$M$180,ANNOUNCEMENTS!$J$2:$J$180,0,0)),1,
IF(EXACT(K$1,
_xlfn.XLOOKUP($B107,ANNOUNCEMENTS!$N$2:$N$180,ANNOUNCEMENTS!$J$2:$J$180,0,0)),1,0))))</f>
        <v>0</v>
      </c>
      <c r="L107">
        <f>IF(EXACT(L$1,
_xlfn.XLOOKUP($B107,ANNOUNCEMENTS!$E$2:$E$180,ANNOUNCEMENTS!$J$2:$J$180,0,0)),1,
IF(EXACT(L$1,
_xlfn.XLOOKUP($B107,ANNOUNCEMENTS!$L$2:$L$180,ANNOUNCEMENTS!$J$2:$J$180,0,0)),1,
IF(EXACT(L$1,
_xlfn.XLOOKUP($B107,ANNOUNCEMENTS!$M$2:$M$180,ANNOUNCEMENTS!$J$2:$J$180,0,0)),1,
IF(EXACT(L$1,
_xlfn.XLOOKUP($B107,ANNOUNCEMENTS!$N$2:$N$180,ANNOUNCEMENTS!$J$2:$J$180,0,0)),1,0))))</f>
        <v>0</v>
      </c>
      <c r="M107">
        <f t="shared" si="6"/>
        <v>2</v>
      </c>
      <c r="N107" t="b">
        <v>0</v>
      </c>
      <c r="O107" s="284">
        <f t="shared" si="9"/>
        <v>7</v>
      </c>
    </row>
    <row r="108" spans="1:15" x14ac:dyDescent="0.35">
      <c r="A108">
        <f t="shared" si="7"/>
        <v>107</v>
      </c>
      <c r="B108" t="s">
        <v>1960</v>
      </c>
      <c r="C108" t="s">
        <v>473</v>
      </c>
      <c r="D108">
        <v>0</v>
      </c>
      <c r="E108" s="107">
        <v>0</v>
      </c>
      <c r="F108">
        <v>0</v>
      </c>
      <c r="G108" t="str">
        <f>CBIMPORT!S108</f>
        <v>https://www.mvg.de/ueber/mvg-projekte/bus/minga.html</v>
      </c>
      <c r="H108">
        <f>IF(EXACT(H$1,
_xlfn.XLOOKUP($B108,ANNOUNCEMENTS!$E$2:$E$180,ANNOUNCEMENTS!$J$2:$J$180,0,0)),1,
IF(EXACT(H$1,
_xlfn.XLOOKUP($B108,ANNOUNCEMENTS!$L$2:$L$180,ANNOUNCEMENTS!$J$2:$J$180,0,0)),1,
IF(EXACT(H$1,
_xlfn.XLOOKUP($B108,ANNOUNCEMENTS!$M$2:$M$180,ANNOUNCEMENTS!$J$2:$J$180,0,0)),1,
IF(EXACT(H$1,
_xlfn.XLOOKUP($B108,ANNOUNCEMENTS!$N$2:$N$180,ANNOUNCEMENTS!$J$2:$J$180,0,0)),1,0))))</f>
        <v>1</v>
      </c>
      <c r="I108">
        <f>IF(EXACT(I$1,
_xlfn.XLOOKUP($B108,ANNOUNCEMENTS!$E$2:$E$180,ANNOUNCEMENTS!$J$2:$J$180,0,0)),1,
IF(EXACT(I$1,
_xlfn.XLOOKUP($B108,ANNOUNCEMENTS!$L$2:$L$180,ANNOUNCEMENTS!$J$2:$J$180,0,0)),1,
IF(EXACT(I$1,
_xlfn.XLOOKUP($B108,ANNOUNCEMENTS!$M$2:$M$180,ANNOUNCEMENTS!$J$2:$J$180,0,0)),1,
IF(EXACT(I$1,
_xlfn.XLOOKUP($B108,ANNOUNCEMENTS!$N$2:$N$180,ANNOUNCEMENTS!$J$2:$J$180,0,0)),1,0))))</f>
        <v>0</v>
      </c>
      <c r="J108">
        <f>IF(EXACT(J$1,
_xlfn.XLOOKUP($B108,ANNOUNCEMENTS!$E$2:$E$180,ANNOUNCEMENTS!$J$2:$J$180,0,0)),1,
IF(EXACT(J$1,
_xlfn.XLOOKUP($B108,ANNOUNCEMENTS!$L$2:$L$180,ANNOUNCEMENTS!$J$2:$J$180,0,0)),1,
IF(EXACT(J$1,
_xlfn.XLOOKUP($B108,ANNOUNCEMENTS!$M$2:$M$180,ANNOUNCEMENTS!$J$2:$J$180,0,0)),1,
IF(EXACT(J$1,
_xlfn.XLOOKUP($B108,ANNOUNCEMENTS!$N$2:$N$180,ANNOUNCEMENTS!$J$2:$J$180,0,0)),1,0))))</f>
        <v>0</v>
      </c>
      <c r="K108">
        <f>IF(EXACT(K$1,
_xlfn.XLOOKUP($B108,ANNOUNCEMENTS!$E$2:$E$180,ANNOUNCEMENTS!$J$2:$J$180,0,0)),1,
IF(EXACT(K$1,
_xlfn.XLOOKUP($B108,ANNOUNCEMENTS!$L$2:$L$180,ANNOUNCEMENTS!$J$2:$J$180,0,0)),1,
IF(EXACT(K$1,
_xlfn.XLOOKUP($B108,ANNOUNCEMENTS!$M$2:$M$180,ANNOUNCEMENTS!$J$2:$J$180,0,0)),1,
IF(EXACT(K$1,
_xlfn.XLOOKUP($B108,ANNOUNCEMENTS!$N$2:$N$180,ANNOUNCEMENTS!$J$2:$J$180,0,0)),1,0))))</f>
        <v>0</v>
      </c>
      <c r="L108">
        <f>IF(EXACT(L$1,
_xlfn.XLOOKUP($B108,ANNOUNCEMENTS!$E$2:$E$180,ANNOUNCEMENTS!$J$2:$J$180,0,0)),1,
IF(EXACT(L$1,
_xlfn.XLOOKUP($B108,ANNOUNCEMENTS!$L$2:$L$180,ANNOUNCEMENTS!$J$2:$J$180,0,0)),1,
IF(EXACT(L$1,
_xlfn.XLOOKUP($B108,ANNOUNCEMENTS!$M$2:$M$180,ANNOUNCEMENTS!$J$2:$J$180,0,0)),1,
IF(EXACT(L$1,
_xlfn.XLOOKUP($B108,ANNOUNCEMENTS!$N$2:$N$180,ANNOUNCEMENTS!$J$2:$J$180,0,0)),1,0))))</f>
        <v>0</v>
      </c>
      <c r="M108">
        <f t="shared" si="6"/>
        <v>1</v>
      </c>
      <c r="N108" t="b">
        <v>0</v>
      </c>
      <c r="O108" s="284">
        <f t="shared" si="9"/>
        <v>26</v>
      </c>
    </row>
    <row r="109" spans="1:15" x14ac:dyDescent="0.35">
      <c r="A109">
        <f t="shared" si="7"/>
        <v>108</v>
      </c>
      <c r="B109" t="s">
        <v>1971</v>
      </c>
      <c r="C109" t="s">
        <v>398</v>
      </c>
      <c r="D109">
        <v>0</v>
      </c>
      <c r="E109" s="107">
        <v>0</v>
      </c>
      <c r="F109">
        <v>0</v>
      </c>
      <c r="G109" t="str">
        <f>CBIMPORT!S109</f>
        <v>https://www.dot.state.mn.us/</v>
      </c>
      <c r="H109">
        <f>IF(EXACT(H$1,
_xlfn.XLOOKUP($B109,ANNOUNCEMENTS!$E$2:$E$180,ANNOUNCEMENTS!$J$2:$J$180,0,0)),1,
IF(EXACT(H$1,
_xlfn.XLOOKUP($B109,ANNOUNCEMENTS!$L$2:$L$180,ANNOUNCEMENTS!$J$2:$J$180,0,0)),1,
IF(EXACT(H$1,
_xlfn.XLOOKUP($B109,ANNOUNCEMENTS!$M$2:$M$180,ANNOUNCEMENTS!$J$2:$J$180,0,0)),1,
IF(EXACT(H$1,
_xlfn.XLOOKUP($B109,ANNOUNCEMENTS!$N$2:$N$180,ANNOUNCEMENTS!$J$2:$J$180,0,0)),1,0))))</f>
        <v>0</v>
      </c>
      <c r="I109">
        <f>IF(EXACT(I$1,
_xlfn.XLOOKUP($B109,ANNOUNCEMENTS!$E$2:$E$180,ANNOUNCEMENTS!$J$2:$J$180,0,0)),1,
IF(EXACT(I$1,
_xlfn.XLOOKUP($B109,ANNOUNCEMENTS!$L$2:$L$180,ANNOUNCEMENTS!$J$2:$J$180,0,0)),1,
IF(EXACT(I$1,
_xlfn.XLOOKUP($B109,ANNOUNCEMENTS!$M$2:$M$180,ANNOUNCEMENTS!$J$2:$J$180,0,0)),1,
IF(EXACT(I$1,
_xlfn.XLOOKUP($B109,ANNOUNCEMENTS!$N$2:$N$180,ANNOUNCEMENTS!$J$2:$J$180,0,0)),1,0))))</f>
        <v>0</v>
      </c>
      <c r="J109">
        <f>IF(EXACT(J$1,
_xlfn.XLOOKUP($B109,ANNOUNCEMENTS!$E$2:$E$180,ANNOUNCEMENTS!$J$2:$J$180,0,0)),1,
IF(EXACT(J$1,
_xlfn.XLOOKUP($B109,ANNOUNCEMENTS!$L$2:$L$180,ANNOUNCEMENTS!$J$2:$J$180,0,0)),1,
IF(EXACT(J$1,
_xlfn.XLOOKUP($B109,ANNOUNCEMENTS!$M$2:$M$180,ANNOUNCEMENTS!$J$2:$J$180,0,0)),1,
IF(EXACT(J$1,
_xlfn.XLOOKUP($B109,ANNOUNCEMENTS!$N$2:$N$180,ANNOUNCEMENTS!$J$2:$J$180,0,0)),1,0))))</f>
        <v>1</v>
      </c>
      <c r="K109">
        <f>IF(EXACT(K$1,
_xlfn.XLOOKUP($B109,ANNOUNCEMENTS!$E$2:$E$180,ANNOUNCEMENTS!$J$2:$J$180,0,0)),1,
IF(EXACT(K$1,
_xlfn.XLOOKUP($B109,ANNOUNCEMENTS!$L$2:$L$180,ANNOUNCEMENTS!$J$2:$J$180,0,0)),1,
IF(EXACT(K$1,
_xlfn.XLOOKUP($B109,ANNOUNCEMENTS!$M$2:$M$180,ANNOUNCEMENTS!$J$2:$J$180,0,0)),1,
IF(EXACT(K$1,
_xlfn.XLOOKUP($B109,ANNOUNCEMENTS!$N$2:$N$180,ANNOUNCEMENTS!$J$2:$J$180,0,0)),1,0))))</f>
        <v>0</v>
      </c>
      <c r="L109">
        <f>IF(EXACT(L$1,
_xlfn.XLOOKUP($B109,ANNOUNCEMENTS!$E$2:$E$180,ANNOUNCEMENTS!$J$2:$J$180,0,0)),1,
IF(EXACT(L$1,
_xlfn.XLOOKUP($B109,ANNOUNCEMENTS!$L$2:$L$180,ANNOUNCEMENTS!$J$2:$J$180,0,0)),1,
IF(EXACT(L$1,
_xlfn.XLOOKUP($B109,ANNOUNCEMENTS!$M$2:$M$180,ANNOUNCEMENTS!$J$2:$J$180,0,0)),1,
IF(EXACT(L$1,
_xlfn.XLOOKUP($B109,ANNOUNCEMENTS!$N$2:$N$180,ANNOUNCEMENTS!$J$2:$J$180,0,0)),1,0))))</f>
        <v>0</v>
      </c>
      <c r="M109">
        <f t="shared" si="6"/>
        <v>1</v>
      </c>
      <c r="N109" t="b">
        <v>0</v>
      </c>
      <c r="O109" s="284">
        <f t="shared" si="9"/>
        <v>13</v>
      </c>
    </row>
    <row r="110" spans="1:15" x14ac:dyDescent="0.35">
      <c r="A110">
        <f t="shared" si="7"/>
        <v>109</v>
      </c>
      <c r="B110" t="s">
        <v>563</v>
      </c>
      <c r="C110" t="s">
        <v>564</v>
      </c>
      <c r="D110">
        <v>0</v>
      </c>
      <c r="E110" s="107">
        <v>22.515999999999998</v>
      </c>
      <c r="F110">
        <v>0</v>
      </c>
      <c r="G110" t="str">
        <f>CBIMPORT!S110</f>
        <v>www.missionsecure.com</v>
      </c>
      <c r="H110">
        <f>IF(EXACT(H$1,
_xlfn.XLOOKUP($B110,ANNOUNCEMENTS!$E$2:$E$180,ANNOUNCEMENTS!$J$2:$J$180,0,0)),1,
IF(EXACT(H$1,
_xlfn.XLOOKUP($B110,ANNOUNCEMENTS!$L$2:$L$180,ANNOUNCEMENTS!$J$2:$J$180,0,0)),1,
IF(EXACT(H$1,
_xlfn.XLOOKUP($B110,ANNOUNCEMENTS!$M$2:$M$180,ANNOUNCEMENTS!$J$2:$J$180,0,0)),1,
IF(EXACT(H$1,
_xlfn.XLOOKUP($B110,ANNOUNCEMENTS!$N$2:$N$180,ANNOUNCEMENTS!$J$2:$J$180,0,0)),1,0))))</f>
        <v>1</v>
      </c>
      <c r="I110">
        <f>IF(EXACT(I$1,
_xlfn.XLOOKUP($B110,ANNOUNCEMENTS!$E$2:$E$180,ANNOUNCEMENTS!$J$2:$J$180,0,0)),1,
IF(EXACT(I$1,
_xlfn.XLOOKUP($B110,ANNOUNCEMENTS!$L$2:$L$180,ANNOUNCEMENTS!$J$2:$J$180,0,0)),1,
IF(EXACT(I$1,
_xlfn.XLOOKUP($B110,ANNOUNCEMENTS!$M$2:$M$180,ANNOUNCEMENTS!$J$2:$J$180,0,0)),1,
IF(EXACT(I$1,
_xlfn.XLOOKUP($B110,ANNOUNCEMENTS!$N$2:$N$180,ANNOUNCEMENTS!$J$2:$J$180,0,0)),1,0))))</f>
        <v>0</v>
      </c>
      <c r="J110">
        <f>IF(EXACT(J$1,
_xlfn.XLOOKUP($B110,ANNOUNCEMENTS!$E$2:$E$180,ANNOUNCEMENTS!$J$2:$J$180,0,0)),1,
IF(EXACT(J$1,
_xlfn.XLOOKUP($B110,ANNOUNCEMENTS!$L$2:$L$180,ANNOUNCEMENTS!$J$2:$J$180,0,0)),1,
IF(EXACT(J$1,
_xlfn.XLOOKUP($B110,ANNOUNCEMENTS!$M$2:$M$180,ANNOUNCEMENTS!$J$2:$J$180,0,0)),1,
IF(EXACT(J$1,
_xlfn.XLOOKUP($B110,ANNOUNCEMENTS!$N$2:$N$180,ANNOUNCEMENTS!$J$2:$J$180,0,0)),1,0))))</f>
        <v>0</v>
      </c>
      <c r="K110">
        <f>IF(EXACT(K$1,
_xlfn.XLOOKUP($B110,ANNOUNCEMENTS!$E$2:$E$180,ANNOUNCEMENTS!$J$2:$J$180,0,0)),1,
IF(EXACT(K$1,
_xlfn.XLOOKUP($B110,ANNOUNCEMENTS!$L$2:$L$180,ANNOUNCEMENTS!$J$2:$J$180,0,0)),1,
IF(EXACT(K$1,
_xlfn.XLOOKUP($B110,ANNOUNCEMENTS!$M$2:$M$180,ANNOUNCEMENTS!$J$2:$J$180,0,0)),1,
IF(EXACT(K$1,
_xlfn.XLOOKUP($B110,ANNOUNCEMENTS!$N$2:$N$180,ANNOUNCEMENTS!$J$2:$J$180,0,0)),1,0))))</f>
        <v>0</v>
      </c>
      <c r="L110">
        <f>IF(EXACT(L$1,
_xlfn.XLOOKUP($B110,ANNOUNCEMENTS!$E$2:$E$180,ANNOUNCEMENTS!$J$2:$J$180,0,0)),1,
IF(EXACT(L$1,
_xlfn.XLOOKUP($B110,ANNOUNCEMENTS!$L$2:$L$180,ANNOUNCEMENTS!$J$2:$J$180,0,0)),1,
IF(EXACT(L$1,
_xlfn.XLOOKUP($B110,ANNOUNCEMENTS!$M$2:$M$180,ANNOUNCEMENTS!$J$2:$J$180,0,0)),1,
IF(EXACT(L$1,
_xlfn.XLOOKUP($B110,ANNOUNCEMENTS!$N$2:$N$180,ANNOUNCEMENTS!$J$2:$J$180,0,0)),1,0))))</f>
        <v>0</v>
      </c>
      <c r="M110">
        <f t="shared" si="6"/>
        <v>1</v>
      </c>
      <c r="N110" t="b">
        <v>0</v>
      </c>
      <c r="O110" s="284">
        <f t="shared" si="9"/>
        <v>8</v>
      </c>
    </row>
    <row r="111" spans="1:15" x14ac:dyDescent="0.35">
      <c r="A111">
        <f t="shared" si="7"/>
        <v>110</v>
      </c>
      <c r="B111" t="s">
        <v>467</v>
      </c>
      <c r="C111" t="s">
        <v>274</v>
      </c>
      <c r="D111">
        <v>0</v>
      </c>
      <c r="E111" s="107">
        <v>0</v>
      </c>
      <c r="F111">
        <v>0</v>
      </c>
      <c r="G111" t="str">
        <f>CBIMPORT!S111</f>
        <v>ctl.mit.edu</v>
      </c>
      <c r="H111">
        <f>IF(EXACT(H$1,
_xlfn.XLOOKUP($B111,ANNOUNCEMENTS!$E$2:$E$180,ANNOUNCEMENTS!$J$2:$J$180,0,0)),1,
IF(EXACT(H$1,
_xlfn.XLOOKUP($B111,ANNOUNCEMENTS!$L$2:$L$180,ANNOUNCEMENTS!$J$2:$J$180,0,0)),1,
IF(EXACT(H$1,
_xlfn.XLOOKUP($B111,ANNOUNCEMENTS!$M$2:$M$180,ANNOUNCEMENTS!$J$2:$J$180,0,0)),1,
IF(EXACT(H$1,
_xlfn.XLOOKUP($B111,ANNOUNCEMENTS!$N$2:$N$180,ANNOUNCEMENTS!$J$2:$J$180,0,0)),1,0))))</f>
        <v>0</v>
      </c>
      <c r="I111">
        <f>IF(EXACT(I$1,
_xlfn.XLOOKUP($B111,ANNOUNCEMENTS!$E$2:$E$180,ANNOUNCEMENTS!$J$2:$J$180,0,0)),1,
IF(EXACT(I$1,
_xlfn.XLOOKUP($B111,ANNOUNCEMENTS!$L$2:$L$180,ANNOUNCEMENTS!$J$2:$J$180,0,0)),1,
IF(EXACT(I$1,
_xlfn.XLOOKUP($B111,ANNOUNCEMENTS!$M$2:$M$180,ANNOUNCEMENTS!$J$2:$J$180,0,0)),1,
IF(EXACT(I$1,
_xlfn.XLOOKUP($B111,ANNOUNCEMENTS!$N$2:$N$180,ANNOUNCEMENTS!$J$2:$J$180,0,0)),1,0))))</f>
        <v>0</v>
      </c>
      <c r="J111">
        <f>IF(EXACT(J$1,
_xlfn.XLOOKUP($B111,ANNOUNCEMENTS!$E$2:$E$180,ANNOUNCEMENTS!$J$2:$J$180,0,0)),1,
IF(EXACT(J$1,
_xlfn.XLOOKUP($B111,ANNOUNCEMENTS!$L$2:$L$180,ANNOUNCEMENTS!$J$2:$J$180,0,0)),1,
IF(EXACT(J$1,
_xlfn.XLOOKUP($B111,ANNOUNCEMENTS!$M$2:$M$180,ANNOUNCEMENTS!$J$2:$J$180,0,0)),1,
IF(EXACT(J$1,
_xlfn.XLOOKUP($B111,ANNOUNCEMENTS!$N$2:$N$180,ANNOUNCEMENTS!$J$2:$J$180,0,0)),1,0))))</f>
        <v>1</v>
      </c>
      <c r="K111">
        <f>IF(EXACT(K$1,
_xlfn.XLOOKUP($B111,ANNOUNCEMENTS!$E$2:$E$180,ANNOUNCEMENTS!$J$2:$J$180,0,0)),1,
IF(EXACT(K$1,
_xlfn.XLOOKUP($B111,ANNOUNCEMENTS!$L$2:$L$180,ANNOUNCEMENTS!$J$2:$J$180,0,0)),1,
IF(EXACT(K$1,
_xlfn.XLOOKUP($B111,ANNOUNCEMENTS!$M$2:$M$180,ANNOUNCEMENTS!$J$2:$J$180,0,0)),1,
IF(EXACT(K$1,
_xlfn.XLOOKUP($B111,ANNOUNCEMENTS!$N$2:$N$180,ANNOUNCEMENTS!$J$2:$J$180,0,0)),1,0))))</f>
        <v>0</v>
      </c>
      <c r="L111">
        <f>IF(EXACT(L$1,
_xlfn.XLOOKUP($B111,ANNOUNCEMENTS!$E$2:$E$180,ANNOUNCEMENTS!$J$2:$J$180,0,0)),1,
IF(EXACT(L$1,
_xlfn.XLOOKUP($B111,ANNOUNCEMENTS!$L$2:$L$180,ANNOUNCEMENTS!$J$2:$J$180,0,0)),1,
IF(EXACT(L$1,
_xlfn.XLOOKUP($B111,ANNOUNCEMENTS!$M$2:$M$180,ANNOUNCEMENTS!$J$2:$J$180,0,0)),1,
IF(EXACT(L$1,
_xlfn.XLOOKUP($B111,ANNOUNCEMENTS!$N$2:$N$180,ANNOUNCEMENTS!$J$2:$J$180,0,0)),1,0))))</f>
        <v>0</v>
      </c>
      <c r="M111">
        <f t="shared" si="6"/>
        <v>1</v>
      </c>
      <c r="N111" t="b">
        <v>0</v>
      </c>
      <c r="O111" s="284">
        <f t="shared" si="9"/>
        <v>6</v>
      </c>
    </row>
    <row r="112" spans="1:15" x14ac:dyDescent="0.35">
      <c r="A112">
        <f t="shared" si="7"/>
        <v>111</v>
      </c>
      <c r="B112" t="s">
        <v>755</v>
      </c>
      <c r="C112" t="s">
        <v>490</v>
      </c>
      <c r="D112">
        <v>0</v>
      </c>
      <c r="E112" s="107">
        <v>0</v>
      </c>
      <c r="F112">
        <v>0</v>
      </c>
      <c r="G112" t="str">
        <f>CBIMPORT!S112</f>
        <v>www.mcmachinery.co.jp</v>
      </c>
      <c r="H112">
        <f>IF(EXACT(H$1,
_xlfn.XLOOKUP($B112,ANNOUNCEMENTS!$E$2:$E$180,ANNOUNCEMENTS!$J$2:$J$180,0,0)),1,
IF(EXACT(H$1,
_xlfn.XLOOKUP($B112,ANNOUNCEMENTS!$L$2:$L$180,ANNOUNCEMENTS!$J$2:$J$180,0,0)),1,
IF(EXACT(H$1,
_xlfn.XLOOKUP($B112,ANNOUNCEMENTS!$M$2:$M$180,ANNOUNCEMENTS!$J$2:$J$180,0,0)),1,
IF(EXACT(H$1,
_xlfn.XLOOKUP($B112,ANNOUNCEMENTS!$N$2:$N$180,ANNOUNCEMENTS!$J$2:$J$180,0,0)),1,0))))</f>
        <v>0</v>
      </c>
      <c r="I112">
        <f>IF(EXACT(I$1,
_xlfn.XLOOKUP($B112,ANNOUNCEMENTS!$E$2:$E$180,ANNOUNCEMENTS!$J$2:$J$180,0,0)),1,
IF(EXACT(I$1,
_xlfn.XLOOKUP($B112,ANNOUNCEMENTS!$L$2:$L$180,ANNOUNCEMENTS!$J$2:$J$180,0,0)),1,
IF(EXACT(I$1,
_xlfn.XLOOKUP($B112,ANNOUNCEMENTS!$M$2:$M$180,ANNOUNCEMENTS!$J$2:$J$180,0,0)),1,
IF(EXACT(I$1,
_xlfn.XLOOKUP($B112,ANNOUNCEMENTS!$N$2:$N$180,ANNOUNCEMENTS!$J$2:$J$180,0,0)),1,0))))</f>
        <v>0</v>
      </c>
      <c r="J112">
        <f>IF(EXACT(J$1,
_xlfn.XLOOKUP($B112,ANNOUNCEMENTS!$E$2:$E$180,ANNOUNCEMENTS!$J$2:$J$180,0,0)),1,
IF(EXACT(J$1,
_xlfn.XLOOKUP($B112,ANNOUNCEMENTS!$L$2:$L$180,ANNOUNCEMENTS!$J$2:$J$180,0,0)),1,
IF(EXACT(J$1,
_xlfn.XLOOKUP($B112,ANNOUNCEMENTS!$M$2:$M$180,ANNOUNCEMENTS!$J$2:$J$180,0,0)),1,
IF(EXACT(J$1,
_xlfn.XLOOKUP($B112,ANNOUNCEMENTS!$N$2:$N$180,ANNOUNCEMENTS!$J$2:$J$180,0,0)),1,0))))</f>
        <v>0</v>
      </c>
      <c r="K112">
        <f>IF(EXACT(K$1,
_xlfn.XLOOKUP($B112,ANNOUNCEMENTS!$E$2:$E$180,ANNOUNCEMENTS!$J$2:$J$180,0,0)),1,
IF(EXACT(K$1,
_xlfn.XLOOKUP($B112,ANNOUNCEMENTS!$L$2:$L$180,ANNOUNCEMENTS!$J$2:$J$180,0,0)),1,
IF(EXACT(K$1,
_xlfn.XLOOKUP($B112,ANNOUNCEMENTS!$M$2:$M$180,ANNOUNCEMENTS!$J$2:$J$180,0,0)),1,
IF(EXACT(K$1,
_xlfn.XLOOKUP($B112,ANNOUNCEMENTS!$N$2:$N$180,ANNOUNCEMENTS!$J$2:$J$180,0,0)),1,0))))</f>
        <v>1</v>
      </c>
      <c r="L112">
        <f>IF(EXACT(L$1,
_xlfn.XLOOKUP($B112,ANNOUNCEMENTS!$E$2:$E$180,ANNOUNCEMENTS!$J$2:$J$180,0,0)),1,
IF(EXACT(L$1,
_xlfn.XLOOKUP($B112,ANNOUNCEMENTS!$L$2:$L$180,ANNOUNCEMENTS!$J$2:$J$180,0,0)),1,
IF(EXACT(L$1,
_xlfn.XLOOKUP($B112,ANNOUNCEMENTS!$M$2:$M$180,ANNOUNCEMENTS!$J$2:$J$180,0,0)),1,
IF(EXACT(L$1,
_xlfn.XLOOKUP($B112,ANNOUNCEMENTS!$N$2:$N$180,ANNOUNCEMENTS!$J$2:$J$180,0,0)),1,0))))</f>
        <v>0</v>
      </c>
      <c r="M112">
        <f t="shared" si="6"/>
        <v>1</v>
      </c>
      <c r="N112" t="b">
        <v>0</v>
      </c>
      <c r="O112" s="284">
        <f t="shared" si="9"/>
        <v>11</v>
      </c>
    </row>
    <row r="113" spans="1:15" x14ac:dyDescent="0.35">
      <c r="A113">
        <f t="shared" si="7"/>
        <v>112</v>
      </c>
      <c r="B113" t="s">
        <v>740</v>
      </c>
      <c r="C113" t="s">
        <v>319</v>
      </c>
      <c r="D113">
        <v>0</v>
      </c>
      <c r="E113" s="107">
        <v>131.5</v>
      </c>
      <c r="F113">
        <v>0</v>
      </c>
      <c r="G113" t="str">
        <f>CBIMPORT!S113</f>
        <v>moovit.com</v>
      </c>
      <c r="H113">
        <f>IF(EXACT(H$1,
_xlfn.XLOOKUP($B113,ANNOUNCEMENTS!$E$2:$E$180,ANNOUNCEMENTS!$J$2:$J$180,0,0)),1,
IF(EXACT(H$1,
_xlfn.XLOOKUP($B113,ANNOUNCEMENTS!$L$2:$L$180,ANNOUNCEMENTS!$J$2:$J$180,0,0)),1,
IF(EXACT(H$1,
_xlfn.XLOOKUP($B113,ANNOUNCEMENTS!$M$2:$M$180,ANNOUNCEMENTS!$J$2:$J$180,0,0)),1,
IF(EXACT(H$1,
_xlfn.XLOOKUP($B113,ANNOUNCEMENTS!$N$2:$N$180,ANNOUNCEMENTS!$J$2:$J$180,0,0)),1,0))))</f>
        <v>0</v>
      </c>
      <c r="I113">
        <f>IF(EXACT(I$1,
_xlfn.XLOOKUP($B113,ANNOUNCEMENTS!$E$2:$E$180,ANNOUNCEMENTS!$J$2:$J$180,0,0)),1,
IF(EXACT(I$1,
_xlfn.XLOOKUP($B113,ANNOUNCEMENTS!$L$2:$L$180,ANNOUNCEMENTS!$J$2:$J$180,0,0)),1,
IF(EXACT(I$1,
_xlfn.XLOOKUP($B113,ANNOUNCEMENTS!$M$2:$M$180,ANNOUNCEMENTS!$J$2:$J$180,0,0)),1,
IF(EXACT(I$1,
_xlfn.XLOOKUP($B113,ANNOUNCEMENTS!$N$2:$N$180,ANNOUNCEMENTS!$J$2:$J$180,0,0)),1,0))))</f>
        <v>1</v>
      </c>
      <c r="J113">
        <f>IF(EXACT(J$1,
_xlfn.XLOOKUP($B113,ANNOUNCEMENTS!$E$2:$E$180,ANNOUNCEMENTS!$J$2:$J$180,0,0)),1,
IF(EXACT(J$1,
_xlfn.XLOOKUP($B113,ANNOUNCEMENTS!$L$2:$L$180,ANNOUNCEMENTS!$J$2:$J$180,0,0)),1,
IF(EXACT(J$1,
_xlfn.XLOOKUP($B113,ANNOUNCEMENTS!$M$2:$M$180,ANNOUNCEMENTS!$J$2:$J$180,0,0)),1,
IF(EXACT(J$1,
_xlfn.XLOOKUP($B113,ANNOUNCEMENTS!$N$2:$N$180,ANNOUNCEMENTS!$J$2:$J$180,0,0)),1,0))))</f>
        <v>0</v>
      </c>
      <c r="K113">
        <f>IF(EXACT(K$1,
_xlfn.XLOOKUP($B113,ANNOUNCEMENTS!$E$2:$E$180,ANNOUNCEMENTS!$J$2:$J$180,0,0)),1,
IF(EXACT(K$1,
_xlfn.XLOOKUP($B113,ANNOUNCEMENTS!$L$2:$L$180,ANNOUNCEMENTS!$J$2:$J$180,0,0)),1,
IF(EXACT(K$1,
_xlfn.XLOOKUP($B113,ANNOUNCEMENTS!$M$2:$M$180,ANNOUNCEMENTS!$J$2:$J$180,0,0)),1,
IF(EXACT(K$1,
_xlfn.XLOOKUP($B113,ANNOUNCEMENTS!$N$2:$N$180,ANNOUNCEMENTS!$J$2:$J$180,0,0)),1,0))))</f>
        <v>0</v>
      </c>
      <c r="L113">
        <f>IF(EXACT(L$1,
_xlfn.XLOOKUP($B113,ANNOUNCEMENTS!$E$2:$E$180,ANNOUNCEMENTS!$J$2:$J$180,0,0)),1,
IF(EXACT(L$1,
_xlfn.XLOOKUP($B113,ANNOUNCEMENTS!$L$2:$L$180,ANNOUNCEMENTS!$J$2:$J$180,0,0)),1,
IF(EXACT(L$1,
_xlfn.XLOOKUP($B113,ANNOUNCEMENTS!$M$2:$M$180,ANNOUNCEMENTS!$J$2:$J$180,0,0)),1,
IF(EXACT(L$1,
_xlfn.XLOOKUP($B113,ANNOUNCEMENTS!$N$2:$N$180,ANNOUNCEMENTS!$J$2:$J$180,0,0)),1,0))))</f>
        <v>0</v>
      </c>
      <c r="M113">
        <f t="shared" si="6"/>
        <v>1</v>
      </c>
      <c r="N113" t="b">
        <v>0</v>
      </c>
      <c r="O113" s="284">
        <f t="shared" si="9"/>
        <v>17</v>
      </c>
    </row>
    <row r="114" spans="1:15" x14ac:dyDescent="0.35">
      <c r="A114">
        <f t="shared" si="7"/>
        <v>113</v>
      </c>
      <c r="B114" t="s">
        <v>720</v>
      </c>
      <c r="C114" t="s">
        <v>1991</v>
      </c>
      <c r="D114">
        <v>0</v>
      </c>
      <c r="E114" s="107">
        <v>0</v>
      </c>
      <c r="F114">
        <v>0</v>
      </c>
      <c r="G114" t="str">
        <f>CBIMPORT!S114</f>
        <v>www.madd.org/</v>
      </c>
      <c r="H114">
        <f>IF(EXACT(H$1,
_xlfn.XLOOKUP($B114,ANNOUNCEMENTS!$E$2:$E$180,ANNOUNCEMENTS!$J$2:$J$180,0,0)),1,
IF(EXACT(H$1,
_xlfn.XLOOKUP($B114,ANNOUNCEMENTS!$L$2:$L$180,ANNOUNCEMENTS!$J$2:$J$180,0,0)),1,
IF(EXACT(H$1,
_xlfn.XLOOKUP($B114,ANNOUNCEMENTS!$M$2:$M$180,ANNOUNCEMENTS!$J$2:$J$180,0,0)),1,
IF(EXACT(H$1,
_xlfn.XLOOKUP($B114,ANNOUNCEMENTS!$N$2:$N$180,ANNOUNCEMENTS!$J$2:$J$180,0,0)),1,0))))</f>
        <v>0</v>
      </c>
      <c r="I114">
        <f>IF(EXACT(I$1,
_xlfn.XLOOKUP($B114,ANNOUNCEMENTS!$E$2:$E$180,ANNOUNCEMENTS!$J$2:$J$180,0,0)),1,
IF(EXACT(I$1,
_xlfn.XLOOKUP($B114,ANNOUNCEMENTS!$L$2:$L$180,ANNOUNCEMENTS!$J$2:$J$180,0,0)),1,
IF(EXACT(I$1,
_xlfn.XLOOKUP($B114,ANNOUNCEMENTS!$M$2:$M$180,ANNOUNCEMENTS!$J$2:$J$180,0,0)),1,
IF(EXACT(I$1,
_xlfn.XLOOKUP($B114,ANNOUNCEMENTS!$N$2:$N$180,ANNOUNCEMENTS!$J$2:$J$180,0,0)),1,0))))</f>
        <v>0</v>
      </c>
      <c r="J114">
        <f>IF(EXACT(J$1,
_xlfn.XLOOKUP($B114,ANNOUNCEMENTS!$E$2:$E$180,ANNOUNCEMENTS!$J$2:$J$180,0,0)),1,
IF(EXACT(J$1,
_xlfn.XLOOKUP($B114,ANNOUNCEMENTS!$L$2:$L$180,ANNOUNCEMENTS!$J$2:$J$180,0,0)),1,
IF(EXACT(J$1,
_xlfn.XLOOKUP($B114,ANNOUNCEMENTS!$M$2:$M$180,ANNOUNCEMENTS!$J$2:$J$180,0,0)),1,
IF(EXACT(J$1,
_xlfn.XLOOKUP($B114,ANNOUNCEMENTS!$N$2:$N$180,ANNOUNCEMENTS!$J$2:$J$180,0,0)),1,0))))</f>
        <v>0</v>
      </c>
      <c r="K114">
        <f>IF(EXACT(K$1,
_xlfn.XLOOKUP($B114,ANNOUNCEMENTS!$E$2:$E$180,ANNOUNCEMENTS!$J$2:$J$180,0,0)),1,
IF(EXACT(K$1,
_xlfn.XLOOKUP($B114,ANNOUNCEMENTS!$L$2:$L$180,ANNOUNCEMENTS!$J$2:$J$180,0,0)),1,
IF(EXACT(K$1,
_xlfn.XLOOKUP($B114,ANNOUNCEMENTS!$M$2:$M$180,ANNOUNCEMENTS!$J$2:$J$180,0,0)),1,
IF(EXACT(K$1,
_xlfn.XLOOKUP($B114,ANNOUNCEMENTS!$N$2:$N$180,ANNOUNCEMENTS!$J$2:$J$180,0,0)),1,0))))</f>
        <v>0</v>
      </c>
      <c r="L114">
        <f>IF(EXACT(L$1,
_xlfn.XLOOKUP($B114,ANNOUNCEMENTS!$E$2:$E$180,ANNOUNCEMENTS!$J$2:$J$180,0,0)),1,
IF(EXACT(L$1,
_xlfn.XLOOKUP($B114,ANNOUNCEMENTS!$L$2:$L$180,ANNOUNCEMENTS!$J$2:$J$180,0,0)),1,
IF(EXACT(L$1,
_xlfn.XLOOKUP($B114,ANNOUNCEMENTS!$M$2:$M$180,ANNOUNCEMENTS!$J$2:$J$180,0,0)),1,
IF(EXACT(L$1,
_xlfn.XLOOKUP($B114,ANNOUNCEMENTS!$N$2:$N$180,ANNOUNCEMENTS!$J$2:$J$180,0,0)),1,0))))</f>
        <v>1</v>
      </c>
      <c r="M114">
        <f t="shared" si="6"/>
        <v>1</v>
      </c>
      <c r="N114" t="b">
        <v>0</v>
      </c>
      <c r="O114" s="284">
        <f t="shared" si="9"/>
        <v>35</v>
      </c>
    </row>
    <row r="115" spans="1:15" x14ac:dyDescent="0.35">
      <c r="A115">
        <f t="shared" si="7"/>
        <v>114</v>
      </c>
      <c r="B115" t="s">
        <v>795</v>
      </c>
      <c r="C115" t="s">
        <v>784</v>
      </c>
      <c r="D115">
        <v>0</v>
      </c>
      <c r="E115" s="107">
        <v>256</v>
      </c>
      <c r="F115">
        <v>1</v>
      </c>
      <c r="G115" t="str">
        <f>CBIMPORT!S115</f>
        <v>www.navistar.com</v>
      </c>
      <c r="H115">
        <f>IF(EXACT(H$1,
_xlfn.XLOOKUP($B115,ANNOUNCEMENTS!$E$2:$E$180,ANNOUNCEMENTS!$J$2:$J$180,0,0)),1,
IF(EXACT(H$1,
_xlfn.XLOOKUP($B115,ANNOUNCEMENTS!$L$2:$L$180,ANNOUNCEMENTS!$J$2:$J$180,0,0)),1,
IF(EXACT(H$1,
_xlfn.XLOOKUP($B115,ANNOUNCEMENTS!$M$2:$M$180,ANNOUNCEMENTS!$J$2:$J$180,0,0)),1,
IF(EXACT(H$1,
_xlfn.XLOOKUP($B115,ANNOUNCEMENTS!$N$2:$N$180,ANNOUNCEMENTS!$J$2:$J$180,0,0)),1,0))))</f>
        <v>0</v>
      </c>
      <c r="I115">
        <f>IF(EXACT(I$1,
_xlfn.XLOOKUP($B115,ANNOUNCEMENTS!$E$2:$E$180,ANNOUNCEMENTS!$J$2:$J$180,0,0)),1,
IF(EXACT(I$1,
_xlfn.XLOOKUP($B115,ANNOUNCEMENTS!$L$2:$L$180,ANNOUNCEMENTS!$J$2:$J$180,0,0)),1,
IF(EXACT(I$1,
_xlfn.XLOOKUP($B115,ANNOUNCEMENTS!$M$2:$M$180,ANNOUNCEMENTS!$J$2:$J$180,0,0)),1,
IF(EXACT(I$1,
_xlfn.XLOOKUP($B115,ANNOUNCEMENTS!$N$2:$N$180,ANNOUNCEMENTS!$J$2:$J$180,0,0)),1,0))))</f>
        <v>0</v>
      </c>
      <c r="J115">
        <f>IF(EXACT(J$1,
_xlfn.XLOOKUP($B115,ANNOUNCEMENTS!$E$2:$E$180,ANNOUNCEMENTS!$J$2:$J$180,0,0)),1,
IF(EXACT(J$1,
_xlfn.XLOOKUP($B115,ANNOUNCEMENTS!$L$2:$L$180,ANNOUNCEMENTS!$J$2:$J$180,0,0)),1,
IF(EXACT(J$1,
_xlfn.XLOOKUP($B115,ANNOUNCEMENTS!$M$2:$M$180,ANNOUNCEMENTS!$J$2:$J$180,0,0)),1,
IF(EXACT(J$1,
_xlfn.XLOOKUP($B115,ANNOUNCEMENTS!$N$2:$N$180,ANNOUNCEMENTS!$J$2:$J$180,0,0)),1,0))))</f>
        <v>1</v>
      </c>
      <c r="K115">
        <f>IF(EXACT(K$1,
_xlfn.XLOOKUP($B115,ANNOUNCEMENTS!$E$2:$E$180,ANNOUNCEMENTS!$J$2:$J$180,0,0)),1,
IF(EXACT(K$1,
_xlfn.XLOOKUP($B115,ANNOUNCEMENTS!$L$2:$L$180,ANNOUNCEMENTS!$J$2:$J$180,0,0)),1,
IF(EXACT(K$1,
_xlfn.XLOOKUP($B115,ANNOUNCEMENTS!$M$2:$M$180,ANNOUNCEMENTS!$J$2:$J$180,0,0)),1,
IF(EXACT(K$1,
_xlfn.XLOOKUP($B115,ANNOUNCEMENTS!$N$2:$N$180,ANNOUNCEMENTS!$J$2:$J$180,0,0)),1,0))))</f>
        <v>0</v>
      </c>
      <c r="L115">
        <f>IF(EXACT(L$1,
_xlfn.XLOOKUP($B115,ANNOUNCEMENTS!$E$2:$E$180,ANNOUNCEMENTS!$J$2:$J$180,0,0)),1,
IF(EXACT(L$1,
_xlfn.XLOOKUP($B115,ANNOUNCEMENTS!$L$2:$L$180,ANNOUNCEMENTS!$J$2:$J$180,0,0)),1,
IF(EXACT(L$1,
_xlfn.XLOOKUP($B115,ANNOUNCEMENTS!$M$2:$M$180,ANNOUNCEMENTS!$J$2:$J$180,0,0)),1,
IF(EXACT(L$1,
_xlfn.XLOOKUP($B115,ANNOUNCEMENTS!$N$2:$N$180,ANNOUNCEMENTS!$J$2:$J$180,0,0)),1,0))))</f>
        <v>0</v>
      </c>
      <c r="M115">
        <f t="shared" si="6"/>
        <v>1</v>
      </c>
      <c r="N115" t="b">
        <v>0</v>
      </c>
      <c r="O115" s="284">
        <f t="shared" si="9"/>
        <v>12</v>
      </c>
    </row>
    <row r="116" spans="1:15" x14ac:dyDescent="0.35">
      <c r="A116">
        <f t="shared" si="7"/>
        <v>115</v>
      </c>
      <c r="B116" t="s">
        <v>866</v>
      </c>
      <c r="C116" t="s">
        <v>368</v>
      </c>
      <c r="D116">
        <v>0</v>
      </c>
      <c r="E116" s="107">
        <v>0</v>
      </c>
      <c r="F116">
        <v>0</v>
      </c>
      <c r="G116" t="str">
        <f>CBIMPORT!S116</f>
        <v>navtechradar.com/</v>
      </c>
      <c r="H116">
        <f>IF(EXACT(H$1,
_xlfn.XLOOKUP($B116,ANNOUNCEMENTS!$E$2:$E$180,ANNOUNCEMENTS!$J$2:$J$180,0,0)),1,
IF(EXACT(H$1,
_xlfn.XLOOKUP($B116,ANNOUNCEMENTS!$L$2:$L$180,ANNOUNCEMENTS!$J$2:$J$180,0,0)),1,
IF(EXACT(H$1,
_xlfn.XLOOKUP($B116,ANNOUNCEMENTS!$M$2:$M$180,ANNOUNCEMENTS!$J$2:$J$180,0,0)),1,
IF(EXACT(H$1,
_xlfn.XLOOKUP($B116,ANNOUNCEMENTS!$N$2:$N$180,ANNOUNCEMENTS!$J$2:$J$180,0,0)),1,0))))</f>
        <v>0</v>
      </c>
      <c r="I116">
        <f>IF(EXACT(I$1,
_xlfn.XLOOKUP($B116,ANNOUNCEMENTS!$E$2:$E$180,ANNOUNCEMENTS!$J$2:$J$180,0,0)),1,
IF(EXACT(I$1,
_xlfn.XLOOKUP($B116,ANNOUNCEMENTS!$L$2:$L$180,ANNOUNCEMENTS!$J$2:$J$180,0,0)),1,
IF(EXACT(I$1,
_xlfn.XLOOKUP($B116,ANNOUNCEMENTS!$M$2:$M$180,ANNOUNCEMENTS!$J$2:$J$180,0,0)),1,
IF(EXACT(I$1,
_xlfn.XLOOKUP($B116,ANNOUNCEMENTS!$N$2:$N$180,ANNOUNCEMENTS!$J$2:$J$180,0,0)),1,0))))</f>
        <v>0</v>
      </c>
      <c r="J116">
        <f>IF(EXACT(J$1,
_xlfn.XLOOKUP($B116,ANNOUNCEMENTS!$E$2:$E$180,ANNOUNCEMENTS!$J$2:$J$180,0,0)),1,
IF(EXACT(J$1,
_xlfn.XLOOKUP($B116,ANNOUNCEMENTS!$L$2:$L$180,ANNOUNCEMENTS!$J$2:$J$180,0,0)),1,
IF(EXACT(J$1,
_xlfn.XLOOKUP($B116,ANNOUNCEMENTS!$M$2:$M$180,ANNOUNCEMENTS!$J$2:$J$180,0,0)),1,
IF(EXACT(J$1,
_xlfn.XLOOKUP($B116,ANNOUNCEMENTS!$N$2:$N$180,ANNOUNCEMENTS!$J$2:$J$180,0,0)),1,0))))</f>
        <v>0</v>
      </c>
      <c r="K116">
        <f>IF(EXACT(K$1,
_xlfn.XLOOKUP($B116,ANNOUNCEMENTS!$E$2:$E$180,ANNOUNCEMENTS!$J$2:$J$180,0,0)),1,
IF(EXACT(K$1,
_xlfn.XLOOKUP($B116,ANNOUNCEMENTS!$L$2:$L$180,ANNOUNCEMENTS!$J$2:$J$180,0,0)),1,
IF(EXACT(K$1,
_xlfn.XLOOKUP($B116,ANNOUNCEMENTS!$M$2:$M$180,ANNOUNCEMENTS!$J$2:$J$180,0,0)),1,
IF(EXACT(K$1,
_xlfn.XLOOKUP($B116,ANNOUNCEMENTS!$N$2:$N$180,ANNOUNCEMENTS!$J$2:$J$180,0,0)),1,0))))</f>
        <v>0</v>
      </c>
      <c r="L116">
        <f>IF(EXACT(L$1,
_xlfn.XLOOKUP($B116,ANNOUNCEMENTS!$E$2:$E$180,ANNOUNCEMENTS!$J$2:$J$180,0,0)),1,
IF(EXACT(L$1,
_xlfn.XLOOKUP($B116,ANNOUNCEMENTS!$L$2:$L$180,ANNOUNCEMENTS!$J$2:$J$180,0,0)),1,
IF(EXACT(L$1,
_xlfn.XLOOKUP($B116,ANNOUNCEMENTS!$M$2:$M$180,ANNOUNCEMENTS!$J$2:$J$180,0,0)),1,
IF(EXACT(L$1,
_xlfn.XLOOKUP($B116,ANNOUNCEMENTS!$N$2:$N$180,ANNOUNCEMENTS!$J$2:$J$180,0,0)),1,0))))</f>
        <v>1</v>
      </c>
      <c r="M116">
        <f t="shared" si="6"/>
        <v>1</v>
      </c>
      <c r="N116" t="b">
        <v>0</v>
      </c>
      <c r="O116" s="284">
        <f t="shared" si="9"/>
        <v>2</v>
      </c>
    </row>
    <row r="117" spans="1:15" x14ac:dyDescent="0.35">
      <c r="A117">
        <f t="shared" si="7"/>
        <v>116</v>
      </c>
      <c r="B117" t="s">
        <v>1968</v>
      </c>
      <c r="C117" t="s">
        <v>784</v>
      </c>
      <c r="D117">
        <v>0</v>
      </c>
      <c r="E117" s="107">
        <v>0</v>
      </c>
      <c r="F117">
        <v>0</v>
      </c>
      <c r="G117" t="str">
        <f>CBIMPORT!S117</f>
        <v>http://www.nevs.com/</v>
      </c>
      <c r="H117">
        <f>IF(EXACT(H$1,
_xlfn.XLOOKUP($B117,ANNOUNCEMENTS!$E$2:$E$180,ANNOUNCEMENTS!$J$2:$J$180,0,0)),1,
IF(EXACT(H$1,
_xlfn.XLOOKUP($B117,ANNOUNCEMENTS!$L$2:$L$180,ANNOUNCEMENTS!$J$2:$J$180,0,0)),1,
IF(EXACT(H$1,
_xlfn.XLOOKUP($B117,ANNOUNCEMENTS!$M$2:$M$180,ANNOUNCEMENTS!$J$2:$J$180,0,0)),1,
IF(EXACT(H$1,
_xlfn.XLOOKUP($B117,ANNOUNCEMENTS!$N$2:$N$180,ANNOUNCEMENTS!$J$2:$J$180,0,0)),1,0))))</f>
        <v>1</v>
      </c>
      <c r="I117">
        <f>IF(EXACT(I$1,
_xlfn.XLOOKUP($B117,ANNOUNCEMENTS!$E$2:$E$180,ANNOUNCEMENTS!$J$2:$J$180,0,0)),1,
IF(EXACT(I$1,
_xlfn.XLOOKUP($B117,ANNOUNCEMENTS!$L$2:$L$180,ANNOUNCEMENTS!$J$2:$J$180,0,0)),1,
IF(EXACT(I$1,
_xlfn.XLOOKUP($B117,ANNOUNCEMENTS!$M$2:$M$180,ANNOUNCEMENTS!$J$2:$J$180,0,0)),1,
IF(EXACT(I$1,
_xlfn.XLOOKUP($B117,ANNOUNCEMENTS!$N$2:$N$180,ANNOUNCEMENTS!$J$2:$J$180,0,0)),1,0))))</f>
        <v>0</v>
      </c>
      <c r="J117">
        <f>IF(EXACT(J$1,
_xlfn.XLOOKUP($B117,ANNOUNCEMENTS!$E$2:$E$180,ANNOUNCEMENTS!$J$2:$J$180,0,0)),1,
IF(EXACT(J$1,
_xlfn.XLOOKUP($B117,ANNOUNCEMENTS!$L$2:$L$180,ANNOUNCEMENTS!$J$2:$J$180,0,0)),1,
IF(EXACT(J$1,
_xlfn.XLOOKUP($B117,ANNOUNCEMENTS!$M$2:$M$180,ANNOUNCEMENTS!$J$2:$J$180,0,0)),1,
IF(EXACT(J$1,
_xlfn.XLOOKUP($B117,ANNOUNCEMENTS!$N$2:$N$180,ANNOUNCEMENTS!$J$2:$J$180,0,0)),1,0))))</f>
        <v>0</v>
      </c>
      <c r="K117">
        <f>IF(EXACT(K$1,
_xlfn.XLOOKUP($B117,ANNOUNCEMENTS!$E$2:$E$180,ANNOUNCEMENTS!$J$2:$J$180,0,0)),1,
IF(EXACT(K$1,
_xlfn.XLOOKUP($B117,ANNOUNCEMENTS!$L$2:$L$180,ANNOUNCEMENTS!$J$2:$J$180,0,0)),1,
IF(EXACT(K$1,
_xlfn.XLOOKUP($B117,ANNOUNCEMENTS!$M$2:$M$180,ANNOUNCEMENTS!$J$2:$J$180,0,0)),1,
IF(EXACT(K$1,
_xlfn.XLOOKUP($B117,ANNOUNCEMENTS!$N$2:$N$180,ANNOUNCEMENTS!$J$2:$J$180,0,0)),1,0))))</f>
        <v>0</v>
      </c>
      <c r="L117">
        <f>IF(EXACT(L$1,
_xlfn.XLOOKUP($B117,ANNOUNCEMENTS!$E$2:$E$180,ANNOUNCEMENTS!$J$2:$J$180,0,0)),1,
IF(EXACT(L$1,
_xlfn.XLOOKUP($B117,ANNOUNCEMENTS!$L$2:$L$180,ANNOUNCEMENTS!$J$2:$J$180,0,0)),1,
IF(EXACT(L$1,
_xlfn.XLOOKUP($B117,ANNOUNCEMENTS!$M$2:$M$180,ANNOUNCEMENTS!$J$2:$J$180,0,0)),1,
IF(EXACT(L$1,
_xlfn.XLOOKUP($B117,ANNOUNCEMENTS!$N$2:$N$180,ANNOUNCEMENTS!$J$2:$J$180,0,0)),1,0))))</f>
        <v>0</v>
      </c>
      <c r="M117">
        <f t="shared" si="6"/>
        <v>1</v>
      </c>
      <c r="N117" t="b">
        <v>0</v>
      </c>
      <c r="O117" s="284">
        <f t="shared" si="9"/>
        <v>12</v>
      </c>
    </row>
    <row r="118" spans="1:15" x14ac:dyDescent="0.35">
      <c r="A118">
        <f t="shared" si="7"/>
        <v>117</v>
      </c>
      <c r="B118" t="s">
        <v>440</v>
      </c>
      <c r="C118" t="s">
        <v>436</v>
      </c>
      <c r="D118">
        <v>0</v>
      </c>
      <c r="E118" s="107">
        <v>4.0000000000000002E-4</v>
      </c>
      <c r="F118">
        <v>0</v>
      </c>
      <c r="G118" t="str">
        <f>CBIMPORT!S118</f>
        <v>www.nickelytics.com</v>
      </c>
      <c r="H118">
        <f>IF(EXACT(H$1,
_xlfn.XLOOKUP($B118,ANNOUNCEMENTS!$E$2:$E$180,ANNOUNCEMENTS!$J$2:$J$180,0,0)),1,
IF(EXACT(H$1,
_xlfn.XLOOKUP($B118,ANNOUNCEMENTS!$L$2:$L$180,ANNOUNCEMENTS!$J$2:$J$180,0,0)),1,
IF(EXACT(H$1,
_xlfn.XLOOKUP($B118,ANNOUNCEMENTS!$M$2:$M$180,ANNOUNCEMENTS!$J$2:$J$180,0,0)),1,
IF(EXACT(H$1,
_xlfn.XLOOKUP($B118,ANNOUNCEMENTS!$N$2:$N$180,ANNOUNCEMENTS!$J$2:$J$180,0,0)),1,0))))</f>
        <v>0</v>
      </c>
      <c r="I118">
        <f>IF(EXACT(I$1,
_xlfn.XLOOKUP($B118,ANNOUNCEMENTS!$E$2:$E$180,ANNOUNCEMENTS!$J$2:$J$180,0,0)),1,
IF(EXACT(I$1,
_xlfn.XLOOKUP($B118,ANNOUNCEMENTS!$L$2:$L$180,ANNOUNCEMENTS!$J$2:$J$180,0,0)),1,
IF(EXACT(I$1,
_xlfn.XLOOKUP($B118,ANNOUNCEMENTS!$M$2:$M$180,ANNOUNCEMENTS!$J$2:$J$180,0,0)),1,
IF(EXACT(I$1,
_xlfn.XLOOKUP($B118,ANNOUNCEMENTS!$N$2:$N$180,ANNOUNCEMENTS!$J$2:$J$180,0,0)),1,0))))</f>
        <v>0</v>
      </c>
      <c r="J118">
        <f>IF(EXACT(J$1,
_xlfn.XLOOKUP($B118,ANNOUNCEMENTS!$E$2:$E$180,ANNOUNCEMENTS!$J$2:$J$180,0,0)),1,
IF(EXACT(J$1,
_xlfn.XLOOKUP($B118,ANNOUNCEMENTS!$L$2:$L$180,ANNOUNCEMENTS!$J$2:$J$180,0,0)),1,
IF(EXACT(J$1,
_xlfn.XLOOKUP($B118,ANNOUNCEMENTS!$M$2:$M$180,ANNOUNCEMENTS!$J$2:$J$180,0,0)),1,
IF(EXACT(J$1,
_xlfn.XLOOKUP($B118,ANNOUNCEMENTS!$N$2:$N$180,ANNOUNCEMENTS!$J$2:$J$180,0,0)),1,0))))</f>
        <v>0</v>
      </c>
      <c r="K118">
        <f>IF(EXACT(K$1,
_xlfn.XLOOKUP($B118,ANNOUNCEMENTS!$E$2:$E$180,ANNOUNCEMENTS!$J$2:$J$180,0,0)),1,
IF(EXACT(K$1,
_xlfn.XLOOKUP($B118,ANNOUNCEMENTS!$L$2:$L$180,ANNOUNCEMENTS!$J$2:$J$180,0,0)),1,
IF(EXACT(K$1,
_xlfn.XLOOKUP($B118,ANNOUNCEMENTS!$M$2:$M$180,ANNOUNCEMENTS!$J$2:$J$180,0,0)),1,
IF(EXACT(K$1,
_xlfn.XLOOKUP($B118,ANNOUNCEMENTS!$N$2:$N$180,ANNOUNCEMENTS!$J$2:$J$180,0,0)),1,0))))</f>
        <v>1</v>
      </c>
      <c r="L118">
        <f>IF(EXACT(L$1,
_xlfn.XLOOKUP($B118,ANNOUNCEMENTS!$E$2:$E$180,ANNOUNCEMENTS!$J$2:$J$180,0,0)),1,
IF(EXACT(L$1,
_xlfn.XLOOKUP($B118,ANNOUNCEMENTS!$L$2:$L$180,ANNOUNCEMENTS!$J$2:$J$180,0,0)),1,
IF(EXACT(L$1,
_xlfn.XLOOKUP($B118,ANNOUNCEMENTS!$M$2:$M$180,ANNOUNCEMENTS!$J$2:$J$180,0,0)),1,
IF(EXACT(L$1,
_xlfn.XLOOKUP($B118,ANNOUNCEMENTS!$N$2:$N$180,ANNOUNCEMENTS!$J$2:$J$180,0,0)),1,0))))</f>
        <v>0</v>
      </c>
      <c r="M118">
        <f t="shared" si="6"/>
        <v>1</v>
      </c>
      <c r="N118" t="b">
        <v>0</v>
      </c>
      <c r="O118" s="284">
        <f t="shared" si="9"/>
        <v>34</v>
      </c>
    </row>
    <row r="119" spans="1:15" x14ac:dyDescent="0.35">
      <c r="A119">
        <f t="shared" si="7"/>
        <v>118</v>
      </c>
      <c r="B119" t="s">
        <v>758</v>
      </c>
      <c r="C119" t="s">
        <v>490</v>
      </c>
      <c r="D119">
        <v>0</v>
      </c>
      <c r="E119" s="107">
        <v>9624.8775910000004</v>
      </c>
      <c r="F119">
        <v>1</v>
      </c>
      <c r="G119" t="str">
        <f>CBIMPORT!S119</f>
        <v>www.nio.com</v>
      </c>
      <c r="H119">
        <f>IF(EXACT(H$1,
_xlfn.XLOOKUP($B119,ANNOUNCEMENTS!$E$2:$E$180,ANNOUNCEMENTS!$J$2:$J$180,0,0)),1,
IF(EXACT(H$1,
_xlfn.XLOOKUP($B119,ANNOUNCEMENTS!$L$2:$L$180,ANNOUNCEMENTS!$J$2:$J$180,0,0)),1,
IF(EXACT(H$1,
_xlfn.XLOOKUP($B119,ANNOUNCEMENTS!$M$2:$M$180,ANNOUNCEMENTS!$J$2:$J$180,0,0)),1,
IF(EXACT(H$1,
_xlfn.XLOOKUP($B119,ANNOUNCEMENTS!$N$2:$N$180,ANNOUNCEMENTS!$J$2:$J$180,0,0)),1,0))))</f>
        <v>0</v>
      </c>
      <c r="I119">
        <f>IF(EXACT(I$1,
_xlfn.XLOOKUP($B119,ANNOUNCEMENTS!$E$2:$E$180,ANNOUNCEMENTS!$J$2:$J$180,0,0)),1,
IF(EXACT(I$1,
_xlfn.XLOOKUP($B119,ANNOUNCEMENTS!$L$2:$L$180,ANNOUNCEMENTS!$J$2:$J$180,0,0)),1,
IF(EXACT(I$1,
_xlfn.XLOOKUP($B119,ANNOUNCEMENTS!$M$2:$M$180,ANNOUNCEMENTS!$J$2:$J$180,0,0)),1,
IF(EXACT(I$1,
_xlfn.XLOOKUP($B119,ANNOUNCEMENTS!$N$2:$N$180,ANNOUNCEMENTS!$J$2:$J$180,0,0)),1,0))))</f>
        <v>0</v>
      </c>
      <c r="J119">
        <f>IF(EXACT(J$1,
_xlfn.XLOOKUP($B119,ANNOUNCEMENTS!$E$2:$E$180,ANNOUNCEMENTS!$J$2:$J$180,0,0)),1,
IF(EXACT(J$1,
_xlfn.XLOOKUP($B119,ANNOUNCEMENTS!$L$2:$L$180,ANNOUNCEMENTS!$J$2:$J$180,0,0)),1,
IF(EXACT(J$1,
_xlfn.XLOOKUP($B119,ANNOUNCEMENTS!$M$2:$M$180,ANNOUNCEMENTS!$J$2:$J$180,0,0)),1,
IF(EXACT(J$1,
_xlfn.XLOOKUP($B119,ANNOUNCEMENTS!$N$2:$N$180,ANNOUNCEMENTS!$J$2:$J$180,0,0)),1,0))))</f>
        <v>0</v>
      </c>
      <c r="K119">
        <f>IF(EXACT(K$1,
_xlfn.XLOOKUP($B119,ANNOUNCEMENTS!$E$2:$E$180,ANNOUNCEMENTS!$J$2:$J$180,0,0)),1,
IF(EXACT(K$1,
_xlfn.XLOOKUP($B119,ANNOUNCEMENTS!$L$2:$L$180,ANNOUNCEMENTS!$J$2:$J$180,0,0)),1,
IF(EXACT(K$1,
_xlfn.XLOOKUP($B119,ANNOUNCEMENTS!$M$2:$M$180,ANNOUNCEMENTS!$J$2:$J$180,0,0)),1,
IF(EXACT(K$1,
_xlfn.XLOOKUP($B119,ANNOUNCEMENTS!$N$2:$N$180,ANNOUNCEMENTS!$J$2:$J$180,0,0)),1,0))))</f>
        <v>0</v>
      </c>
      <c r="L119">
        <f>IF(EXACT(L$1,
_xlfn.XLOOKUP($B119,ANNOUNCEMENTS!$E$2:$E$180,ANNOUNCEMENTS!$J$2:$J$180,0,0)),1,
IF(EXACT(L$1,
_xlfn.XLOOKUP($B119,ANNOUNCEMENTS!$L$2:$L$180,ANNOUNCEMENTS!$J$2:$J$180,0,0)),1,
IF(EXACT(L$1,
_xlfn.XLOOKUP($B119,ANNOUNCEMENTS!$M$2:$M$180,ANNOUNCEMENTS!$J$2:$J$180,0,0)),1,
IF(EXACT(L$1,
_xlfn.XLOOKUP($B119,ANNOUNCEMENTS!$N$2:$N$180,ANNOUNCEMENTS!$J$2:$J$180,0,0)),1,0))))</f>
        <v>1</v>
      </c>
      <c r="M119">
        <f t="shared" si="6"/>
        <v>1</v>
      </c>
      <c r="N119" t="b">
        <v>0</v>
      </c>
      <c r="O119" s="284">
        <f t="shared" si="9"/>
        <v>11</v>
      </c>
    </row>
    <row r="120" spans="1:15" x14ac:dyDescent="0.35">
      <c r="A120">
        <f t="shared" si="7"/>
        <v>119</v>
      </c>
      <c r="B120" t="s">
        <v>1953</v>
      </c>
      <c r="C120" t="s">
        <v>910</v>
      </c>
      <c r="D120">
        <v>0</v>
      </c>
      <c r="E120" s="107">
        <v>0</v>
      </c>
      <c r="F120">
        <v>0</v>
      </c>
      <c r="G120" t="str">
        <f>CBIMPORT!S120</f>
        <v>https://www.ncdot.gov/Pages/default.aspx</v>
      </c>
      <c r="H120">
        <f>IF(EXACT(H$1,
_xlfn.XLOOKUP($B120,ANNOUNCEMENTS!$E$2:$E$180,ANNOUNCEMENTS!$J$2:$J$180,0,0)),1,
IF(EXACT(H$1,
_xlfn.XLOOKUP($B120,ANNOUNCEMENTS!$L$2:$L$180,ANNOUNCEMENTS!$J$2:$J$180,0,0)),1,
IF(EXACT(H$1,
_xlfn.XLOOKUP($B120,ANNOUNCEMENTS!$M$2:$M$180,ANNOUNCEMENTS!$J$2:$J$180,0,0)),1,
IF(EXACT(H$1,
_xlfn.XLOOKUP($B120,ANNOUNCEMENTS!$N$2:$N$180,ANNOUNCEMENTS!$J$2:$J$180,0,0)),1,0))))</f>
        <v>1</v>
      </c>
      <c r="I120">
        <f>IF(EXACT(I$1,
_xlfn.XLOOKUP($B120,ANNOUNCEMENTS!$E$2:$E$180,ANNOUNCEMENTS!$J$2:$J$180,0,0)),1,
IF(EXACT(I$1,
_xlfn.XLOOKUP($B120,ANNOUNCEMENTS!$L$2:$L$180,ANNOUNCEMENTS!$J$2:$J$180,0,0)),1,
IF(EXACT(I$1,
_xlfn.XLOOKUP($B120,ANNOUNCEMENTS!$M$2:$M$180,ANNOUNCEMENTS!$J$2:$J$180,0,0)),1,
IF(EXACT(I$1,
_xlfn.XLOOKUP($B120,ANNOUNCEMENTS!$N$2:$N$180,ANNOUNCEMENTS!$J$2:$J$180,0,0)),1,0))))</f>
        <v>0</v>
      </c>
      <c r="J120">
        <f>IF(EXACT(J$1,
_xlfn.XLOOKUP($B120,ANNOUNCEMENTS!$E$2:$E$180,ANNOUNCEMENTS!$J$2:$J$180,0,0)),1,
IF(EXACT(J$1,
_xlfn.XLOOKUP($B120,ANNOUNCEMENTS!$L$2:$L$180,ANNOUNCEMENTS!$J$2:$J$180,0,0)),1,
IF(EXACT(J$1,
_xlfn.XLOOKUP($B120,ANNOUNCEMENTS!$M$2:$M$180,ANNOUNCEMENTS!$J$2:$J$180,0,0)),1,
IF(EXACT(J$1,
_xlfn.XLOOKUP($B120,ANNOUNCEMENTS!$N$2:$N$180,ANNOUNCEMENTS!$J$2:$J$180,0,0)),1,0))))</f>
        <v>0</v>
      </c>
      <c r="K120">
        <f>IF(EXACT(K$1,
_xlfn.XLOOKUP($B120,ANNOUNCEMENTS!$E$2:$E$180,ANNOUNCEMENTS!$J$2:$J$180,0,0)),1,
IF(EXACT(K$1,
_xlfn.XLOOKUP($B120,ANNOUNCEMENTS!$L$2:$L$180,ANNOUNCEMENTS!$J$2:$J$180,0,0)),1,
IF(EXACT(K$1,
_xlfn.XLOOKUP($B120,ANNOUNCEMENTS!$M$2:$M$180,ANNOUNCEMENTS!$J$2:$J$180,0,0)),1,
IF(EXACT(K$1,
_xlfn.XLOOKUP($B120,ANNOUNCEMENTS!$N$2:$N$180,ANNOUNCEMENTS!$J$2:$J$180,0,0)),1,0))))</f>
        <v>0</v>
      </c>
      <c r="L120">
        <f>IF(EXACT(L$1,
_xlfn.XLOOKUP($B120,ANNOUNCEMENTS!$E$2:$E$180,ANNOUNCEMENTS!$J$2:$J$180,0,0)),1,
IF(EXACT(L$1,
_xlfn.XLOOKUP($B120,ANNOUNCEMENTS!$L$2:$L$180,ANNOUNCEMENTS!$J$2:$J$180,0,0)),1,
IF(EXACT(L$1,
_xlfn.XLOOKUP($B120,ANNOUNCEMENTS!$M$2:$M$180,ANNOUNCEMENTS!$J$2:$J$180,0,0)),1,
IF(EXACT(L$1,
_xlfn.XLOOKUP($B120,ANNOUNCEMENTS!$N$2:$N$180,ANNOUNCEMENTS!$J$2:$J$180,0,0)),1,0))))</f>
        <v>0</v>
      </c>
      <c r="M120">
        <f t="shared" si="6"/>
        <v>1</v>
      </c>
      <c r="N120" t="b">
        <v>0</v>
      </c>
      <c r="O120" s="284">
        <f t="shared" si="9"/>
        <v>15</v>
      </c>
    </row>
    <row r="121" spans="1:15" x14ac:dyDescent="0.35">
      <c r="A121">
        <f t="shared" si="7"/>
        <v>120</v>
      </c>
      <c r="B121" t="s">
        <v>615</v>
      </c>
      <c r="C121" t="s">
        <v>606</v>
      </c>
      <c r="D121">
        <v>0</v>
      </c>
      <c r="E121" s="107">
        <v>666.35</v>
      </c>
      <c r="F121">
        <v>1</v>
      </c>
      <c r="G121" t="str">
        <f>CBIMPORT!S121</f>
        <v>www.oatly.com</v>
      </c>
      <c r="H121">
        <f>IF(EXACT(H$1,
_xlfn.XLOOKUP($B121,ANNOUNCEMENTS!$E$2:$E$180,ANNOUNCEMENTS!$J$2:$J$180,0,0)),1,
IF(EXACT(H$1,
_xlfn.XLOOKUP($B121,ANNOUNCEMENTS!$L$2:$L$180,ANNOUNCEMENTS!$J$2:$J$180,0,0)),1,
IF(EXACT(H$1,
_xlfn.XLOOKUP($B121,ANNOUNCEMENTS!$M$2:$M$180,ANNOUNCEMENTS!$J$2:$J$180,0,0)),1,
IF(EXACT(H$1,
_xlfn.XLOOKUP($B121,ANNOUNCEMENTS!$N$2:$N$180,ANNOUNCEMENTS!$J$2:$J$180,0,0)),1,0))))</f>
        <v>0</v>
      </c>
      <c r="I121">
        <f>IF(EXACT(I$1,
_xlfn.XLOOKUP($B121,ANNOUNCEMENTS!$E$2:$E$180,ANNOUNCEMENTS!$J$2:$J$180,0,0)),1,
IF(EXACT(I$1,
_xlfn.XLOOKUP($B121,ANNOUNCEMENTS!$L$2:$L$180,ANNOUNCEMENTS!$J$2:$J$180,0,0)),1,
IF(EXACT(I$1,
_xlfn.XLOOKUP($B121,ANNOUNCEMENTS!$M$2:$M$180,ANNOUNCEMENTS!$J$2:$J$180,0,0)),1,
IF(EXACT(I$1,
_xlfn.XLOOKUP($B121,ANNOUNCEMENTS!$N$2:$N$180,ANNOUNCEMENTS!$J$2:$J$180,0,0)),1,0))))</f>
        <v>0</v>
      </c>
      <c r="J121">
        <f>IF(EXACT(J$1,
_xlfn.XLOOKUP($B121,ANNOUNCEMENTS!$E$2:$E$180,ANNOUNCEMENTS!$J$2:$J$180,0,0)),1,
IF(EXACT(J$1,
_xlfn.XLOOKUP($B121,ANNOUNCEMENTS!$L$2:$L$180,ANNOUNCEMENTS!$J$2:$J$180,0,0)),1,
IF(EXACT(J$1,
_xlfn.XLOOKUP($B121,ANNOUNCEMENTS!$M$2:$M$180,ANNOUNCEMENTS!$J$2:$J$180,0,0)),1,
IF(EXACT(J$1,
_xlfn.XLOOKUP($B121,ANNOUNCEMENTS!$N$2:$N$180,ANNOUNCEMENTS!$J$2:$J$180,0,0)),1,0))))</f>
        <v>1</v>
      </c>
      <c r="K121">
        <f>IF(EXACT(K$1,
_xlfn.XLOOKUP($B121,ANNOUNCEMENTS!$E$2:$E$180,ANNOUNCEMENTS!$J$2:$J$180,0,0)),1,
IF(EXACT(K$1,
_xlfn.XLOOKUP($B121,ANNOUNCEMENTS!$L$2:$L$180,ANNOUNCEMENTS!$J$2:$J$180,0,0)),1,
IF(EXACT(K$1,
_xlfn.XLOOKUP($B121,ANNOUNCEMENTS!$M$2:$M$180,ANNOUNCEMENTS!$J$2:$J$180,0,0)),1,
IF(EXACT(K$1,
_xlfn.XLOOKUP($B121,ANNOUNCEMENTS!$N$2:$N$180,ANNOUNCEMENTS!$J$2:$J$180,0,0)),1,0))))</f>
        <v>0</v>
      </c>
      <c r="L121">
        <f>IF(EXACT(L$1,
_xlfn.XLOOKUP($B121,ANNOUNCEMENTS!$E$2:$E$180,ANNOUNCEMENTS!$J$2:$J$180,0,0)),1,
IF(EXACT(L$1,
_xlfn.XLOOKUP($B121,ANNOUNCEMENTS!$L$2:$L$180,ANNOUNCEMENTS!$J$2:$J$180,0,0)),1,
IF(EXACT(L$1,
_xlfn.XLOOKUP($B121,ANNOUNCEMENTS!$M$2:$M$180,ANNOUNCEMENTS!$J$2:$J$180,0,0)),1,
IF(EXACT(L$1,
_xlfn.XLOOKUP($B121,ANNOUNCEMENTS!$N$2:$N$180,ANNOUNCEMENTS!$J$2:$J$180,0,0)),1,0))))</f>
        <v>0</v>
      </c>
      <c r="M121">
        <f t="shared" si="6"/>
        <v>1</v>
      </c>
      <c r="N121" t="b">
        <v>0</v>
      </c>
      <c r="O121" s="284">
        <f t="shared" si="9"/>
        <v>19</v>
      </c>
    </row>
    <row r="122" spans="1:15" x14ac:dyDescent="0.35">
      <c r="A122">
        <f t="shared" si="7"/>
        <v>121</v>
      </c>
      <c r="B122" t="s">
        <v>837</v>
      </c>
      <c r="C122" t="s">
        <v>516</v>
      </c>
      <c r="D122">
        <v>0</v>
      </c>
      <c r="E122" s="107">
        <v>2555.5320000000002</v>
      </c>
      <c r="F122">
        <v>1</v>
      </c>
      <c r="G122" t="str">
        <f>CBIMPORT!S122</f>
        <v>www.ocadogroup.com/</v>
      </c>
      <c r="H122">
        <f>IF(EXACT(H$1,
_xlfn.XLOOKUP($B122,ANNOUNCEMENTS!$E$2:$E$180,ANNOUNCEMENTS!$J$2:$J$180,0,0)),1,
IF(EXACT(H$1,
_xlfn.XLOOKUP($B122,ANNOUNCEMENTS!$L$2:$L$180,ANNOUNCEMENTS!$J$2:$J$180,0,0)),1,
IF(EXACT(H$1,
_xlfn.XLOOKUP($B122,ANNOUNCEMENTS!$M$2:$M$180,ANNOUNCEMENTS!$J$2:$J$180,0,0)),1,
IF(EXACT(H$1,
_xlfn.XLOOKUP($B122,ANNOUNCEMENTS!$N$2:$N$180,ANNOUNCEMENTS!$J$2:$J$180,0,0)),1,0))))</f>
        <v>0</v>
      </c>
      <c r="I122">
        <f>IF(EXACT(I$1,
_xlfn.XLOOKUP($B122,ANNOUNCEMENTS!$E$2:$E$180,ANNOUNCEMENTS!$J$2:$J$180,0,0)),1,
IF(EXACT(I$1,
_xlfn.XLOOKUP($B122,ANNOUNCEMENTS!$L$2:$L$180,ANNOUNCEMENTS!$J$2:$J$180,0,0)),1,
IF(EXACT(I$1,
_xlfn.XLOOKUP($B122,ANNOUNCEMENTS!$M$2:$M$180,ANNOUNCEMENTS!$J$2:$J$180,0,0)),1,
IF(EXACT(I$1,
_xlfn.XLOOKUP($B122,ANNOUNCEMENTS!$N$2:$N$180,ANNOUNCEMENTS!$J$2:$J$180,0,0)),1,0))))</f>
        <v>0</v>
      </c>
      <c r="J122">
        <f>IF(EXACT(J$1,
_xlfn.XLOOKUP($B122,ANNOUNCEMENTS!$E$2:$E$180,ANNOUNCEMENTS!$J$2:$J$180,0,0)),1,
IF(EXACT(J$1,
_xlfn.XLOOKUP($B122,ANNOUNCEMENTS!$L$2:$L$180,ANNOUNCEMENTS!$J$2:$J$180,0,0)),1,
IF(EXACT(J$1,
_xlfn.XLOOKUP($B122,ANNOUNCEMENTS!$M$2:$M$180,ANNOUNCEMENTS!$J$2:$J$180,0,0)),1,
IF(EXACT(J$1,
_xlfn.XLOOKUP($B122,ANNOUNCEMENTS!$N$2:$N$180,ANNOUNCEMENTS!$J$2:$J$180,0,0)),1,0))))</f>
        <v>0</v>
      </c>
      <c r="K122">
        <f>IF(EXACT(K$1,
_xlfn.XLOOKUP($B122,ANNOUNCEMENTS!$E$2:$E$180,ANNOUNCEMENTS!$J$2:$J$180,0,0)),1,
IF(EXACT(K$1,
_xlfn.XLOOKUP($B122,ANNOUNCEMENTS!$L$2:$L$180,ANNOUNCEMENTS!$J$2:$J$180,0,0)),1,
IF(EXACT(K$1,
_xlfn.XLOOKUP($B122,ANNOUNCEMENTS!$M$2:$M$180,ANNOUNCEMENTS!$J$2:$J$180,0,0)),1,
IF(EXACT(K$1,
_xlfn.XLOOKUP($B122,ANNOUNCEMENTS!$N$2:$N$180,ANNOUNCEMENTS!$J$2:$J$180,0,0)),1,0))))</f>
        <v>1</v>
      </c>
      <c r="L122">
        <f>IF(EXACT(L$1,
_xlfn.XLOOKUP($B122,ANNOUNCEMENTS!$E$2:$E$180,ANNOUNCEMENTS!$J$2:$J$180,0,0)),1,
IF(EXACT(L$1,
_xlfn.XLOOKUP($B122,ANNOUNCEMENTS!$L$2:$L$180,ANNOUNCEMENTS!$J$2:$J$180,0,0)),1,
IF(EXACT(L$1,
_xlfn.XLOOKUP($B122,ANNOUNCEMENTS!$M$2:$M$180,ANNOUNCEMENTS!$J$2:$J$180,0,0)),1,
IF(EXACT(L$1,
_xlfn.XLOOKUP($B122,ANNOUNCEMENTS!$N$2:$N$180,ANNOUNCEMENTS!$J$2:$J$180,0,0)),1,0))))</f>
        <v>0</v>
      </c>
      <c r="M122">
        <f t="shared" si="6"/>
        <v>1</v>
      </c>
      <c r="N122" t="b">
        <v>0</v>
      </c>
      <c r="O122" s="284">
        <f t="shared" si="9"/>
        <v>20</v>
      </c>
    </row>
    <row r="123" spans="1:15" x14ac:dyDescent="0.35">
      <c r="A123">
        <f t="shared" si="7"/>
        <v>122</v>
      </c>
      <c r="B123" t="s">
        <v>859</v>
      </c>
      <c r="C123" t="s">
        <v>852</v>
      </c>
      <c r="D123">
        <v>0</v>
      </c>
      <c r="E123" s="107">
        <v>0</v>
      </c>
      <c r="F123">
        <v>1</v>
      </c>
      <c r="G123" t="str">
        <f>CBIMPORT!S123</f>
        <v>www.onsemi.com</v>
      </c>
      <c r="H123">
        <f>IF(EXACT(H$1,
_xlfn.XLOOKUP($B123,ANNOUNCEMENTS!$E$2:$E$180,ANNOUNCEMENTS!$J$2:$J$180,0,0)),1,
IF(EXACT(H$1,
_xlfn.XLOOKUP($B123,ANNOUNCEMENTS!$L$2:$L$180,ANNOUNCEMENTS!$J$2:$J$180,0,0)),1,
IF(EXACT(H$1,
_xlfn.XLOOKUP($B123,ANNOUNCEMENTS!$M$2:$M$180,ANNOUNCEMENTS!$J$2:$J$180,0,0)),1,
IF(EXACT(H$1,
_xlfn.XLOOKUP($B123,ANNOUNCEMENTS!$N$2:$N$180,ANNOUNCEMENTS!$J$2:$J$180,0,0)),1,0))))</f>
        <v>0</v>
      </c>
      <c r="I123">
        <f>IF(EXACT(I$1,
_xlfn.XLOOKUP($B123,ANNOUNCEMENTS!$E$2:$E$180,ANNOUNCEMENTS!$J$2:$J$180,0,0)),1,
IF(EXACT(I$1,
_xlfn.XLOOKUP($B123,ANNOUNCEMENTS!$L$2:$L$180,ANNOUNCEMENTS!$J$2:$J$180,0,0)),1,
IF(EXACT(I$1,
_xlfn.XLOOKUP($B123,ANNOUNCEMENTS!$M$2:$M$180,ANNOUNCEMENTS!$J$2:$J$180,0,0)),1,
IF(EXACT(I$1,
_xlfn.XLOOKUP($B123,ANNOUNCEMENTS!$N$2:$N$180,ANNOUNCEMENTS!$J$2:$J$180,0,0)),1,0))))</f>
        <v>1</v>
      </c>
      <c r="J123">
        <f>IF(EXACT(J$1,
_xlfn.XLOOKUP($B123,ANNOUNCEMENTS!$E$2:$E$180,ANNOUNCEMENTS!$J$2:$J$180,0,0)),1,
IF(EXACT(J$1,
_xlfn.XLOOKUP($B123,ANNOUNCEMENTS!$L$2:$L$180,ANNOUNCEMENTS!$J$2:$J$180,0,0)),1,
IF(EXACT(J$1,
_xlfn.XLOOKUP($B123,ANNOUNCEMENTS!$M$2:$M$180,ANNOUNCEMENTS!$J$2:$J$180,0,0)),1,
IF(EXACT(J$1,
_xlfn.XLOOKUP($B123,ANNOUNCEMENTS!$N$2:$N$180,ANNOUNCEMENTS!$J$2:$J$180,0,0)),1,0))))</f>
        <v>0</v>
      </c>
      <c r="K123">
        <f>IF(EXACT(K$1,
_xlfn.XLOOKUP($B123,ANNOUNCEMENTS!$E$2:$E$180,ANNOUNCEMENTS!$J$2:$J$180,0,0)),1,
IF(EXACT(K$1,
_xlfn.XLOOKUP($B123,ANNOUNCEMENTS!$L$2:$L$180,ANNOUNCEMENTS!$J$2:$J$180,0,0)),1,
IF(EXACT(K$1,
_xlfn.XLOOKUP($B123,ANNOUNCEMENTS!$M$2:$M$180,ANNOUNCEMENTS!$J$2:$J$180,0,0)),1,
IF(EXACT(K$1,
_xlfn.XLOOKUP($B123,ANNOUNCEMENTS!$N$2:$N$180,ANNOUNCEMENTS!$J$2:$J$180,0,0)),1,0))))</f>
        <v>0</v>
      </c>
      <c r="L123">
        <f>IF(EXACT(L$1,
_xlfn.XLOOKUP($B123,ANNOUNCEMENTS!$E$2:$E$180,ANNOUNCEMENTS!$J$2:$J$180,0,0)),1,
IF(EXACT(L$1,
_xlfn.XLOOKUP($B123,ANNOUNCEMENTS!$L$2:$L$180,ANNOUNCEMENTS!$J$2:$J$180,0,0)),1,
IF(EXACT(L$1,
_xlfn.XLOOKUP($B123,ANNOUNCEMENTS!$M$2:$M$180,ANNOUNCEMENTS!$J$2:$J$180,0,0)),1,
IF(EXACT(L$1,
_xlfn.XLOOKUP($B123,ANNOUNCEMENTS!$N$2:$N$180,ANNOUNCEMENTS!$J$2:$J$180,0,0)),1,0))))</f>
        <v>0</v>
      </c>
      <c r="M123">
        <f t="shared" si="6"/>
        <v>1</v>
      </c>
      <c r="N123" t="b">
        <v>0</v>
      </c>
      <c r="O123" s="284">
        <f t="shared" si="9"/>
        <v>3</v>
      </c>
    </row>
    <row r="124" spans="1:15" x14ac:dyDescent="0.35">
      <c r="A124">
        <f t="shared" si="7"/>
        <v>123</v>
      </c>
      <c r="B124" t="s">
        <v>798</v>
      </c>
      <c r="C124" t="s">
        <v>784</v>
      </c>
      <c r="D124">
        <v>0</v>
      </c>
      <c r="E124" s="107">
        <v>0</v>
      </c>
      <c r="F124">
        <v>1</v>
      </c>
      <c r="G124" t="str">
        <f>CBIMPORT!S124</f>
        <v>www.phoenixmotorcars.com</v>
      </c>
      <c r="H124">
        <f>IF(EXACT(H$1,
_xlfn.XLOOKUP($B124,ANNOUNCEMENTS!$E$2:$E$180,ANNOUNCEMENTS!$J$2:$J$180,0,0)),1,
IF(EXACT(H$1,
_xlfn.XLOOKUP($B124,ANNOUNCEMENTS!$L$2:$L$180,ANNOUNCEMENTS!$J$2:$J$180,0,0)),1,
IF(EXACT(H$1,
_xlfn.XLOOKUP($B124,ANNOUNCEMENTS!$M$2:$M$180,ANNOUNCEMENTS!$J$2:$J$180,0,0)),1,
IF(EXACT(H$1,
_xlfn.XLOOKUP($B124,ANNOUNCEMENTS!$N$2:$N$180,ANNOUNCEMENTS!$J$2:$J$180,0,0)),1,0))))</f>
        <v>1</v>
      </c>
      <c r="I124">
        <f>IF(EXACT(I$1,
_xlfn.XLOOKUP($B124,ANNOUNCEMENTS!$E$2:$E$180,ANNOUNCEMENTS!$J$2:$J$180,0,0)),1,
IF(EXACT(I$1,
_xlfn.XLOOKUP($B124,ANNOUNCEMENTS!$L$2:$L$180,ANNOUNCEMENTS!$J$2:$J$180,0,0)),1,
IF(EXACT(I$1,
_xlfn.XLOOKUP($B124,ANNOUNCEMENTS!$M$2:$M$180,ANNOUNCEMENTS!$J$2:$J$180,0,0)),1,
IF(EXACT(I$1,
_xlfn.XLOOKUP($B124,ANNOUNCEMENTS!$N$2:$N$180,ANNOUNCEMENTS!$J$2:$J$180,0,0)),1,0))))</f>
        <v>0</v>
      </c>
      <c r="J124">
        <f>IF(EXACT(J$1,
_xlfn.XLOOKUP($B124,ANNOUNCEMENTS!$E$2:$E$180,ANNOUNCEMENTS!$J$2:$J$180,0,0)),1,
IF(EXACT(J$1,
_xlfn.XLOOKUP($B124,ANNOUNCEMENTS!$L$2:$L$180,ANNOUNCEMENTS!$J$2:$J$180,0,0)),1,
IF(EXACT(J$1,
_xlfn.XLOOKUP($B124,ANNOUNCEMENTS!$M$2:$M$180,ANNOUNCEMENTS!$J$2:$J$180,0,0)),1,
IF(EXACT(J$1,
_xlfn.XLOOKUP($B124,ANNOUNCEMENTS!$N$2:$N$180,ANNOUNCEMENTS!$J$2:$J$180,0,0)),1,0))))</f>
        <v>0</v>
      </c>
      <c r="K124">
        <f>IF(EXACT(K$1,
_xlfn.XLOOKUP($B124,ANNOUNCEMENTS!$E$2:$E$180,ANNOUNCEMENTS!$J$2:$J$180,0,0)),1,
IF(EXACT(K$1,
_xlfn.XLOOKUP($B124,ANNOUNCEMENTS!$L$2:$L$180,ANNOUNCEMENTS!$J$2:$J$180,0,0)),1,
IF(EXACT(K$1,
_xlfn.XLOOKUP($B124,ANNOUNCEMENTS!$M$2:$M$180,ANNOUNCEMENTS!$J$2:$J$180,0,0)),1,
IF(EXACT(K$1,
_xlfn.XLOOKUP($B124,ANNOUNCEMENTS!$N$2:$N$180,ANNOUNCEMENTS!$J$2:$J$180,0,0)),1,0))))</f>
        <v>0</v>
      </c>
      <c r="L124">
        <f>IF(EXACT(L$1,
_xlfn.XLOOKUP($B124,ANNOUNCEMENTS!$E$2:$E$180,ANNOUNCEMENTS!$J$2:$J$180,0,0)),1,
IF(EXACT(L$1,
_xlfn.XLOOKUP($B124,ANNOUNCEMENTS!$L$2:$L$180,ANNOUNCEMENTS!$J$2:$J$180,0,0)),1,
IF(EXACT(L$1,
_xlfn.XLOOKUP($B124,ANNOUNCEMENTS!$M$2:$M$180,ANNOUNCEMENTS!$J$2:$J$180,0,0)),1,
IF(EXACT(L$1,
_xlfn.XLOOKUP($B124,ANNOUNCEMENTS!$N$2:$N$180,ANNOUNCEMENTS!$J$2:$J$180,0,0)),1,0))))</f>
        <v>0</v>
      </c>
      <c r="M124">
        <f t="shared" si="6"/>
        <v>1</v>
      </c>
      <c r="N124" t="b">
        <v>0</v>
      </c>
      <c r="O124" s="284">
        <f t="shared" si="9"/>
        <v>12</v>
      </c>
    </row>
    <row r="125" spans="1:15" x14ac:dyDescent="0.35">
      <c r="A125">
        <f t="shared" si="7"/>
        <v>124</v>
      </c>
      <c r="B125" t="s">
        <v>622</v>
      </c>
      <c r="C125" t="s">
        <v>606</v>
      </c>
      <c r="D125">
        <v>0</v>
      </c>
      <c r="E125" s="107">
        <v>16.948634999999999</v>
      </c>
      <c r="F125">
        <v>0</v>
      </c>
      <c r="G125" t="str">
        <f>CBIMPORT!S125</f>
        <v>www.piestro.com/</v>
      </c>
      <c r="H125">
        <f>IF(EXACT(H$1,
_xlfn.XLOOKUP($B125,ANNOUNCEMENTS!$E$2:$E$180,ANNOUNCEMENTS!$J$2:$J$180,0,0)),1,
IF(EXACT(H$1,
_xlfn.XLOOKUP($B125,ANNOUNCEMENTS!$L$2:$L$180,ANNOUNCEMENTS!$J$2:$J$180,0,0)),1,
IF(EXACT(H$1,
_xlfn.XLOOKUP($B125,ANNOUNCEMENTS!$M$2:$M$180,ANNOUNCEMENTS!$J$2:$J$180,0,0)),1,
IF(EXACT(H$1,
_xlfn.XLOOKUP($B125,ANNOUNCEMENTS!$N$2:$N$180,ANNOUNCEMENTS!$J$2:$J$180,0,0)),1,0))))</f>
        <v>0</v>
      </c>
      <c r="I125">
        <f>IF(EXACT(I$1,
_xlfn.XLOOKUP($B125,ANNOUNCEMENTS!$E$2:$E$180,ANNOUNCEMENTS!$J$2:$J$180,0,0)),1,
IF(EXACT(I$1,
_xlfn.XLOOKUP($B125,ANNOUNCEMENTS!$L$2:$L$180,ANNOUNCEMENTS!$J$2:$J$180,0,0)),1,
IF(EXACT(I$1,
_xlfn.XLOOKUP($B125,ANNOUNCEMENTS!$M$2:$M$180,ANNOUNCEMENTS!$J$2:$J$180,0,0)),1,
IF(EXACT(I$1,
_xlfn.XLOOKUP($B125,ANNOUNCEMENTS!$N$2:$N$180,ANNOUNCEMENTS!$J$2:$J$180,0,0)),1,0))))</f>
        <v>0</v>
      </c>
      <c r="J125">
        <f>IF(EXACT(J$1,
_xlfn.XLOOKUP($B125,ANNOUNCEMENTS!$E$2:$E$180,ANNOUNCEMENTS!$J$2:$J$180,0,0)),1,
IF(EXACT(J$1,
_xlfn.XLOOKUP($B125,ANNOUNCEMENTS!$L$2:$L$180,ANNOUNCEMENTS!$J$2:$J$180,0,0)),1,
IF(EXACT(J$1,
_xlfn.XLOOKUP($B125,ANNOUNCEMENTS!$M$2:$M$180,ANNOUNCEMENTS!$J$2:$J$180,0,0)),1,
IF(EXACT(J$1,
_xlfn.XLOOKUP($B125,ANNOUNCEMENTS!$N$2:$N$180,ANNOUNCEMENTS!$J$2:$J$180,0,0)),1,0))))</f>
        <v>0</v>
      </c>
      <c r="K125">
        <f>IF(EXACT(K$1,
_xlfn.XLOOKUP($B125,ANNOUNCEMENTS!$E$2:$E$180,ANNOUNCEMENTS!$J$2:$J$180,0,0)),1,
IF(EXACT(K$1,
_xlfn.XLOOKUP($B125,ANNOUNCEMENTS!$L$2:$L$180,ANNOUNCEMENTS!$J$2:$J$180,0,0)),1,
IF(EXACT(K$1,
_xlfn.XLOOKUP($B125,ANNOUNCEMENTS!$M$2:$M$180,ANNOUNCEMENTS!$J$2:$J$180,0,0)),1,
IF(EXACT(K$1,
_xlfn.XLOOKUP($B125,ANNOUNCEMENTS!$N$2:$N$180,ANNOUNCEMENTS!$J$2:$J$180,0,0)),1,0))))</f>
        <v>1</v>
      </c>
      <c r="L125">
        <f>IF(EXACT(L$1,
_xlfn.XLOOKUP($B125,ANNOUNCEMENTS!$E$2:$E$180,ANNOUNCEMENTS!$J$2:$J$180,0,0)),1,
IF(EXACT(L$1,
_xlfn.XLOOKUP($B125,ANNOUNCEMENTS!$L$2:$L$180,ANNOUNCEMENTS!$J$2:$J$180,0,0)),1,
IF(EXACT(L$1,
_xlfn.XLOOKUP($B125,ANNOUNCEMENTS!$M$2:$M$180,ANNOUNCEMENTS!$J$2:$J$180,0,0)),1,
IF(EXACT(L$1,
_xlfn.XLOOKUP($B125,ANNOUNCEMENTS!$N$2:$N$180,ANNOUNCEMENTS!$J$2:$J$180,0,0)),1,0))))</f>
        <v>0</v>
      </c>
      <c r="M125">
        <f t="shared" si="6"/>
        <v>1</v>
      </c>
      <c r="N125" t="b">
        <v>0</v>
      </c>
      <c r="O125" s="284">
        <f t="shared" si="9"/>
        <v>19</v>
      </c>
    </row>
    <row r="126" spans="1:15" x14ac:dyDescent="0.35">
      <c r="A126">
        <f t="shared" si="7"/>
        <v>125</v>
      </c>
      <c r="B126" t="s">
        <v>710</v>
      </c>
      <c r="C126" t="s">
        <v>306</v>
      </c>
      <c r="D126">
        <v>0</v>
      </c>
      <c r="E126" s="107">
        <v>0</v>
      </c>
      <c r="F126">
        <v>1</v>
      </c>
      <c r="G126" t="str">
        <f>CBIMPORT!S126</f>
        <v>www.pitneybowes.com</v>
      </c>
      <c r="H126">
        <f>IF(EXACT(H$1,
_xlfn.XLOOKUP($B126,ANNOUNCEMENTS!$E$2:$E$180,ANNOUNCEMENTS!$J$2:$J$180,0,0)),1,
IF(EXACT(H$1,
_xlfn.XLOOKUP($B126,ANNOUNCEMENTS!$L$2:$L$180,ANNOUNCEMENTS!$J$2:$J$180,0,0)),1,
IF(EXACT(H$1,
_xlfn.XLOOKUP($B126,ANNOUNCEMENTS!$M$2:$M$180,ANNOUNCEMENTS!$J$2:$J$180,0,0)),1,
IF(EXACT(H$1,
_xlfn.XLOOKUP($B126,ANNOUNCEMENTS!$N$2:$N$180,ANNOUNCEMENTS!$J$2:$J$180,0,0)),1,0))))</f>
        <v>0</v>
      </c>
      <c r="I126">
        <f>IF(EXACT(I$1,
_xlfn.XLOOKUP($B126,ANNOUNCEMENTS!$E$2:$E$180,ANNOUNCEMENTS!$J$2:$J$180,0,0)),1,
IF(EXACT(I$1,
_xlfn.XLOOKUP($B126,ANNOUNCEMENTS!$L$2:$L$180,ANNOUNCEMENTS!$J$2:$J$180,0,0)),1,
IF(EXACT(I$1,
_xlfn.XLOOKUP($B126,ANNOUNCEMENTS!$M$2:$M$180,ANNOUNCEMENTS!$J$2:$J$180,0,0)),1,
IF(EXACT(I$1,
_xlfn.XLOOKUP($B126,ANNOUNCEMENTS!$N$2:$N$180,ANNOUNCEMENTS!$J$2:$J$180,0,0)),1,0))))</f>
        <v>0</v>
      </c>
      <c r="J126">
        <f>IF(EXACT(J$1,
_xlfn.XLOOKUP($B126,ANNOUNCEMENTS!$E$2:$E$180,ANNOUNCEMENTS!$J$2:$J$180,0,0)),1,
IF(EXACT(J$1,
_xlfn.XLOOKUP($B126,ANNOUNCEMENTS!$L$2:$L$180,ANNOUNCEMENTS!$J$2:$J$180,0,0)),1,
IF(EXACT(J$1,
_xlfn.XLOOKUP($B126,ANNOUNCEMENTS!$M$2:$M$180,ANNOUNCEMENTS!$J$2:$J$180,0,0)),1,
IF(EXACT(J$1,
_xlfn.XLOOKUP($B126,ANNOUNCEMENTS!$N$2:$N$180,ANNOUNCEMENTS!$J$2:$J$180,0,0)),1,0))))</f>
        <v>1</v>
      </c>
      <c r="K126">
        <f>IF(EXACT(K$1,
_xlfn.XLOOKUP($B126,ANNOUNCEMENTS!$E$2:$E$180,ANNOUNCEMENTS!$J$2:$J$180,0,0)),1,
IF(EXACT(K$1,
_xlfn.XLOOKUP($B126,ANNOUNCEMENTS!$L$2:$L$180,ANNOUNCEMENTS!$J$2:$J$180,0,0)),1,
IF(EXACT(K$1,
_xlfn.XLOOKUP($B126,ANNOUNCEMENTS!$M$2:$M$180,ANNOUNCEMENTS!$J$2:$J$180,0,0)),1,
IF(EXACT(K$1,
_xlfn.XLOOKUP($B126,ANNOUNCEMENTS!$N$2:$N$180,ANNOUNCEMENTS!$J$2:$J$180,0,0)),1,0))))</f>
        <v>0</v>
      </c>
      <c r="L126">
        <f>IF(EXACT(L$1,
_xlfn.XLOOKUP($B126,ANNOUNCEMENTS!$E$2:$E$180,ANNOUNCEMENTS!$J$2:$J$180,0,0)),1,
IF(EXACT(L$1,
_xlfn.XLOOKUP($B126,ANNOUNCEMENTS!$L$2:$L$180,ANNOUNCEMENTS!$J$2:$J$180,0,0)),1,
IF(EXACT(L$1,
_xlfn.XLOOKUP($B126,ANNOUNCEMENTS!$M$2:$M$180,ANNOUNCEMENTS!$J$2:$J$180,0,0)),1,
IF(EXACT(L$1,
_xlfn.XLOOKUP($B126,ANNOUNCEMENTS!$N$2:$N$180,ANNOUNCEMENTS!$J$2:$J$180,0,0)),1,0))))</f>
        <v>0</v>
      </c>
      <c r="M126">
        <f t="shared" si="6"/>
        <v>1</v>
      </c>
      <c r="N126" t="b">
        <v>0</v>
      </c>
      <c r="O126" s="284">
        <f t="shared" si="9"/>
        <v>22</v>
      </c>
    </row>
    <row r="127" spans="1:15" x14ac:dyDescent="0.35">
      <c r="A127">
        <f t="shared" si="7"/>
        <v>126</v>
      </c>
      <c r="B127" t="s">
        <v>627</v>
      </c>
      <c r="C127" t="s">
        <v>606</v>
      </c>
      <c r="D127">
        <v>0</v>
      </c>
      <c r="E127" s="107">
        <v>0</v>
      </c>
      <c r="F127">
        <v>0</v>
      </c>
      <c r="G127" t="str">
        <f>CBIMPORT!S127</f>
        <v>pizzahut.com</v>
      </c>
      <c r="H127">
        <f>IF(EXACT(H$1,
_xlfn.XLOOKUP($B127,ANNOUNCEMENTS!$E$2:$E$180,ANNOUNCEMENTS!$J$2:$J$180,0,0)),1,
IF(EXACT(H$1,
_xlfn.XLOOKUP($B127,ANNOUNCEMENTS!$L$2:$L$180,ANNOUNCEMENTS!$J$2:$J$180,0,0)),1,
IF(EXACT(H$1,
_xlfn.XLOOKUP($B127,ANNOUNCEMENTS!$M$2:$M$180,ANNOUNCEMENTS!$J$2:$J$180,0,0)),1,
IF(EXACT(H$1,
_xlfn.XLOOKUP($B127,ANNOUNCEMENTS!$N$2:$N$180,ANNOUNCEMENTS!$J$2:$J$180,0,0)),1,0))))</f>
        <v>0</v>
      </c>
      <c r="I127">
        <f>IF(EXACT(I$1,
_xlfn.XLOOKUP($B127,ANNOUNCEMENTS!$E$2:$E$180,ANNOUNCEMENTS!$J$2:$J$180,0,0)),1,
IF(EXACT(I$1,
_xlfn.XLOOKUP($B127,ANNOUNCEMENTS!$L$2:$L$180,ANNOUNCEMENTS!$J$2:$J$180,0,0)),1,
IF(EXACT(I$1,
_xlfn.XLOOKUP($B127,ANNOUNCEMENTS!$M$2:$M$180,ANNOUNCEMENTS!$J$2:$J$180,0,0)),1,
IF(EXACT(I$1,
_xlfn.XLOOKUP($B127,ANNOUNCEMENTS!$N$2:$N$180,ANNOUNCEMENTS!$J$2:$J$180,0,0)),1,0))))</f>
        <v>0</v>
      </c>
      <c r="J127">
        <f>IF(EXACT(J$1,
_xlfn.XLOOKUP($B127,ANNOUNCEMENTS!$E$2:$E$180,ANNOUNCEMENTS!$J$2:$J$180,0,0)),1,
IF(EXACT(J$1,
_xlfn.XLOOKUP($B127,ANNOUNCEMENTS!$L$2:$L$180,ANNOUNCEMENTS!$J$2:$J$180,0,0)),1,
IF(EXACT(J$1,
_xlfn.XLOOKUP($B127,ANNOUNCEMENTS!$M$2:$M$180,ANNOUNCEMENTS!$J$2:$J$180,0,0)),1,
IF(EXACT(J$1,
_xlfn.XLOOKUP($B127,ANNOUNCEMENTS!$N$2:$N$180,ANNOUNCEMENTS!$J$2:$J$180,0,0)),1,0))))</f>
        <v>0</v>
      </c>
      <c r="K127">
        <f>IF(EXACT(K$1,
_xlfn.XLOOKUP($B127,ANNOUNCEMENTS!$E$2:$E$180,ANNOUNCEMENTS!$J$2:$J$180,0,0)),1,
IF(EXACT(K$1,
_xlfn.XLOOKUP($B127,ANNOUNCEMENTS!$L$2:$L$180,ANNOUNCEMENTS!$J$2:$J$180,0,0)),1,
IF(EXACT(K$1,
_xlfn.XLOOKUP($B127,ANNOUNCEMENTS!$M$2:$M$180,ANNOUNCEMENTS!$J$2:$J$180,0,0)),1,
IF(EXACT(K$1,
_xlfn.XLOOKUP($B127,ANNOUNCEMENTS!$N$2:$N$180,ANNOUNCEMENTS!$J$2:$J$180,0,0)),1,0))))</f>
        <v>1</v>
      </c>
      <c r="L127">
        <f>IF(EXACT(L$1,
_xlfn.XLOOKUP($B127,ANNOUNCEMENTS!$E$2:$E$180,ANNOUNCEMENTS!$J$2:$J$180,0,0)),1,
IF(EXACT(L$1,
_xlfn.XLOOKUP($B127,ANNOUNCEMENTS!$L$2:$L$180,ANNOUNCEMENTS!$J$2:$J$180,0,0)),1,
IF(EXACT(L$1,
_xlfn.XLOOKUP($B127,ANNOUNCEMENTS!$M$2:$M$180,ANNOUNCEMENTS!$J$2:$J$180,0,0)),1,
IF(EXACT(L$1,
_xlfn.XLOOKUP($B127,ANNOUNCEMENTS!$N$2:$N$180,ANNOUNCEMENTS!$J$2:$J$180,0,0)),1,0))))</f>
        <v>0</v>
      </c>
      <c r="M127">
        <f t="shared" si="6"/>
        <v>1</v>
      </c>
      <c r="N127" t="b">
        <v>0</v>
      </c>
      <c r="O127" s="284">
        <f t="shared" si="9"/>
        <v>19</v>
      </c>
    </row>
    <row r="128" spans="1:15" x14ac:dyDescent="0.35">
      <c r="A128">
        <f t="shared" si="7"/>
        <v>127</v>
      </c>
      <c r="B128" t="s">
        <v>1955</v>
      </c>
      <c r="C128" t="s">
        <v>817</v>
      </c>
      <c r="D128">
        <v>0</v>
      </c>
      <c r="E128" s="107">
        <v>0</v>
      </c>
      <c r="F128">
        <v>0</v>
      </c>
      <c r="G128" t="str">
        <f>CBIMPORT!S128</f>
        <v>https://www.polarrenen.se/</v>
      </c>
      <c r="H128">
        <f>IF(EXACT(H$1,
_xlfn.XLOOKUP($B128,ANNOUNCEMENTS!$E$2:$E$180,ANNOUNCEMENTS!$J$2:$J$180,0,0)),1,
IF(EXACT(H$1,
_xlfn.XLOOKUP($B128,ANNOUNCEMENTS!$L$2:$L$180,ANNOUNCEMENTS!$J$2:$J$180,0,0)),1,
IF(EXACT(H$1,
_xlfn.XLOOKUP($B128,ANNOUNCEMENTS!$M$2:$M$180,ANNOUNCEMENTS!$J$2:$J$180,0,0)),1,
IF(EXACT(H$1,
_xlfn.XLOOKUP($B128,ANNOUNCEMENTS!$N$2:$N$180,ANNOUNCEMENTS!$J$2:$J$180,0,0)),1,0))))</f>
        <v>0</v>
      </c>
      <c r="I128">
        <f>IF(EXACT(I$1,
_xlfn.XLOOKUP($B128,ANNOUNCEMENTS!$E$2:$E$180,ANNOUNCEMENTS!$J$2:$J$180,0,0)),1,
IF(EXACT(I$1,
_xlfn.XLOOKUP($B128,ANNOUNCEMENTS!$L$2:$L$180,ANNOUNCEMENTS!$J$2:$J$180,0,0)),1,
IF(EXACT(I$1,
_xlfn.XLOOKUP($B128,ANNOUNCEMENTS!$M$2:$M$180,ANNOUNCEMENTS!$J$2:$J$180,0,0)),1,
IF(EXACT(I$1,
_xlfn.XLOOKUP($B128,ANNOUNCEMENTS!$N$2:$N$180,ANNOUNCEMENTS!$J$2:$J$180,0,0)),1,0))))</f>
        <v>0</v>
      </c>
      <c r="J128">
        <f>IF(EXACT(J$1,
_xlfn.XLOOKUP($B128,ANNOUNCEMENTS!$E$2:$E$180,ANNOUNCEMENTS!$J$2:$J$180,0,0)),1,
IF(EXACT(J$1,
_xlfn.XLOOKUP($B128,ANNOUNCEMENTS!$L$2:$L$180,ANNOUNCEMENTS!$J$2:$J$180,0,0)),1,
IF(EXACT(J$1,
_xlfn.XLOOKUP($B128,ANNOUNCEMENTS!$M$2:$M$180,ANNOUNCEMENTS!$J$2:$J$180,0,0)),1,
IF(EXACT(J$1,
_xlfn.XLOOKUP($B128,ANNOUNCEMENTS!$N$2:$N$180,ANNOUNCEMENTS!$J$2:$J$180,0,0)),1,0))))</f>
        <v>1</v>
      </c>
      <c r="K128">
        <f>IF(EXACT(K$1,
_xlfn.XLOOKUP($B128,ANNOUNCEMENTS!$E$2:$E$180,ANNOUNCEMENTS!$J$2:$J$180,0,0)),1,
IF(EXACT(K$1,
_xlfn.XLOOKUP($B128,ANNOUNCEMENTS!$L$2:$L$180,ANNOUNCEMENTS!$J$2:$J$180,0,0)),1,
IF(EXACT(K$1,
_xlfn.XLOOKUP($B128,ANNOUNCEMENTS!$M$2:$M$180,ANNOUNCEMENTS!$J$2:$J$180,0,0)),1,
IF(EXACT(K$1,
_xlfn.XLOOKUP($B128,ANNOUNCEMENTS!$N$2:$N$180,ANNOUNCEMENTS!$J$2:$J$180,0,0)),1,0))))</f>
        <v>0</v>
      </c>
      <c r="L128">
        <f>IF(EXACT(L$1,
_xlfn.XLOOKUP($B128,ANNOUNCEMENTS!$E$2:$E$180,ANNOUNCEMENTS!$J$2:$J$180,0,0)),1,
IF(EXACT(L$1,
_xlfn.XLOOKUP($B128,ANNOUNCEMENTS!$L$2:$L$180,ANNOUNCEMENTS!$J$2:$J$180,0,0)),1,
IF(EXACT(L$1,
_xlfn.XLOOKUP($B128,ANNOUNCEMENTS!$M$2:$M$180,ANNOUNCEMENTS!$J$2:$J$180,0,0)),1,
IF(EXACT(L$1,
_xlfn.XLOOKUP($B128,ANNOUNCEMENTS!$N$2:$N$180,ANNOUNCEMENTS!$J$2:$J$180,0,0)),1,0))))</f>
        <v>0</v>
      </c>
      <c r="M128">
        <f t="shared" si="6"/>
        <v>1</v>
      </c>
      <c r="N128" t="b">
        <v>0</v>
      </c>
      <c r="O128" s="284">
        <f t="shared" si="9"/>
        <v>33</v>
      </c>
    </row>
    <row r="129" spans="1:15" x14ac:dyDescent="0.35">
      <c r="A129">
        <f t="shared" si="7"/>
        <v>128</v>
      </c>
      <c r="B129" t="s">
        <v>762</v>
      </c>
      <c r="C129" t="s">
        <v>490</v>
      </c>
      <c r="D129">
        <v>0</v>
      </c>
      <c r="E129" s="107">
        <v>0</v>
      </c>
      <c r="F129">
        <v>1</v>
      </c>
      <c r="G129" t="str">
        <f>CBIMPORT!S129</f>
        <v>www.porsche.com</v>
      </c>
      <c r="H129">
        <f>IF(EXACT(H$1,
_xlfn.XLOOKUP($B129,ANNOUNCEMENTS!$E$2:$E$180,ANNOUNCEMENTS!$J$2:$J$180,0,0)),1,
IF(EXACT(H$1,
_xlfn.XLOOKUP($B129,ANNOUNCEMENTS!$L$2:$L$180,ANNOUNCEMENTS!$J$2:$J$180,0,0)),1,
IF(EXACT(H$1,
_xlfn.XLOOKUP($B129,ANNOUNCEMENTS!$M$2:$M$180,ANNOUNCEMENTS!$J$2:$J$180,0,0)),1,
IF(EXACT(H$1,
_xlfn.XLOOKUP($B129,ANNOUNCEMENTS!$N$2:$N$180,ANNOUNCEMENTS!$J$2:$J$180,0,0)),1,0))))</f>
        <v>0</v>
      </c>
      <c r="I129">
        <f>IF(EXACT(I$1,
_xlfn.XLOOKUP($B129,ANNOUNCEMENTS!$E$2:$E$180,ANNOUNCEMENTS!$J$2:$J$180,0,0)),1,
IF(EXACT(I$1,
_xlfn.XLOOKUP($B129,ANNOUNCEMENTS!$L$2:$L$180,ANNOUNCEMENTS!$J$2:$J$180,0,0)),1,
IF(EXACT(I$1,
_xlfn.XLOOKUP($B129,ANNOUNCEMENTS!$M$2:$M$180,ANNOUNCEMENTS!$J$2:$J$180,0,0)),1,
IF(EXACT(I$1,
_xlfn.XLOOKUP($B129,ANNOUNCEMENTS!$N$2:$N$180,ANNOUNCEMENTS!$J$2:$J$180,0,0)),1,0))))</f>
        <v>0</v>
      </c>
      <c r="J129">
        <f>IF(EXACT(J$1,
_xlfn.XLOOKUP($B129,ANNOUNCEMENTS!$E$2:$E$180,ANNOUNCEMENTS!$J$2:$J$180,0,0)),1,
IF(EXACT(J$1,
_xlfn.XLOOKUP($B129,ANNOUNCEMENTS!$L$2:$L$180,ANNOUNCEMENTS!$J$2:$J$180,0,0)),1,
IF(EXACT(J$1,
_xlfn.XLOOKUP($B129,ANNOUNCEMENTS!$M$2:$M$180,ANNOUNCEMENTS!$J$2:$J$180,0,0)),1,
IF(EXACT(J$1,
_xlfn.XLOOKUP($B129,ANNOUNCEMENTS!$N$2:$N$180,ANNOUNCEMENTS!$J$2:$J$180,0,0)),1,0))))</f>
        <v>0</v>
      </c>
      <c r="K129">
        <f>IF(EXACT(K$1,
_xlfn.XLOOKUP($B129,ANNOUNCEMENTS!$E$2:$E$180,ANNOUNCEMENTS!$J$2:$J$180,0,0)),1,
IF(EXACT(K$1,
_xlfn.XLOOKUP($B129,ANNOUNCEMENTS!$L$2:$L$180,ANNOUNCEMENTS!$J$2:$J$180,0,0)),1,
IF(EXACT(K$1,
_xlfn.XLOOKUP($B129,ANNOUNCEMENTS!$M$2:$M$180,ANNOUNCEMENTS!$J$2:$J$180,0,0)),1,
IF(EXACT(K$1,
_xlfn.XLOOKUP($B129,ANNOUNCEMENTS!$N$2:$N$180,ANNOUNCEMENTS!$J$2:$J$180,0,0)),1,0))))</f>
        <v>0</v>
      </c>
      <c r="L129">
        <f>IF(EXACT(L$1,
_xlfn.XLOOKUP($B129,ANNOUNCEMENTS!$E$2:$E$180,ANNOUNCEMENTS!$J$2:$J$180,0,0)),1,
IF(EXACT(L$1,
_xlfn.XLOOKUP($B129,ANNOUNCEMENTS!$L$2:$L$180,ANNOUNCEMENTS!$J$2:$J$180,0,0)),1,
IF(EXACT(L$1,
_xlfn.XLOOKUP($B129,ANNOUNCEMENTS!$M$2:$M$180,ANNOUNCEMENTS!$J$2:$J$180,0,0)),1,
IF(EXACT(L$1,
_xlfn.XLOOKUP($B129,ANNOUNCEMENTS!$N$2:$N$180,ANNOUNCEMENTS!$J$2:$J$180,0,0)),1,0))))</f>
        <v>1</v>
      </c>
      <c r="M129">
        <f t="shared" si="6"/>
        <v>1</v>
      </c>
      <c r="N129" t="b">
        <v>0</v>
      </c>
      <c r="O129" s="284">
        <f t="shared" si="9"/>
        <v>11</v>
      </c>
    </row>
    <row r="130" spans="1:15" x14ac:dyDescent="0.35">
      <c r="A130">
        <f t="shared" si="7"/>
        <v>129</v>
      </c>
      <c r="B130" t="s">
        <v>549</v>
      </c>
      <c r="C130" t="s">
        <v>550</v>
      </c>
      <c r="D130">
        <v>0</v>
      </c>
      <c r="E130" s="107">
        <v>0</v>
      </c>
      <c r="F130">
        <v>0</v>
      </c>
      <c r="G130" t="str">
        <f>CBIMPORT!S130</f>
        <v>www.rampini.it</v>
      </c>
      <c r="H130">
        <f>IF(EXACT(H$1,
_xlfn.XLOOKUP($B130,ANNOUNCEMENTS!$E$2:$E$180,ANNOUNCEMENTS!$J$2:$J$180,0,0)),1,
IF(EXACT(H$1,
_xlfn.XLOOKUP($B130,ANNOUNCEMENTS!$L$2:$L$180,ANNOUNCEMENTS!$J$2:$J$180,0,0)),1,
IF(EXACT(H$1,
_xlfn.XLOOKUP($B130,ANNOUNCEMENTS!$M$2:$M$180,ANNOUNCEMENTS!$J$2:$J$180,0,0)),1,
IF(EXACT(H$1,
_xlfn.XLOOKUP($B130,ANNOUNCEMENTS!$N$2:$N$180,ANNOUNCEMENTS!$J$2:$J$180,0,0)),1,0))))</f>
        <v>1</v>
      </c>
      <c r="I130">
        <f>IF(EXACT(I$1,
_xlfn.XLOOKUP($B130,ANNOUNCEMENTS!$E$2:$E$180,ANNOUNCEMENTS!$J$2:$J$180,0,0)),1,
IF(EXACT(I$1,
_xlfn.XLOOKUP($B130,ANNOUNCEMENTS!$L$2:$L$180,ANNOUNCEMENTS!$J$2:$J$180,0,0)),1,
IF(EXACT(I$1,
_xlfn.XLOOKUP($B130,ANNOUNCEMENTS!$M$2:$M$180,ANNOUNCEMENTS!$J$2:$J$180,0,0)),1,
IF(EXACT(I$1,
_xlfn.XLOOKUP($B130,ANNOUNCEMENTS!$N$2:$N$180,ANNOUNCEMENTS!$J$2:$J$180,0,0)),1,0))))</f>
        <v>0</v>
      </c>
      <c r="J130">
        <f>IF(EXACT(J$1,
_xlfn.XLOOKUP($B130,ANNOUNCEMENTS!$E$2:$E$180,ANNOUNCEMENTS!$J$2:$J$180,0,0)),1,
IF(EXACT(J$1,
_xlfn.XLOOKUP($B130,ANNOUNCEMENTS!$L$2:$L$180,ANNOUNCEMENTS!$J$2:$J$180,0,0)),1,
IF(EXACT(J$1,
_xlfn.XLOOKUP($B130,ANNOUNCEMENTS!$M$2:$M$180,ANNOUNCEMENTS!$J$2:$J$180,0,0)),1,
IF(EXACT(J$1,
_xlfn.XLOOKUP($B130,ANNOUNCEMENTS!$N$2:$N$180,ANNOUNCEMENTS!$J$2:$J$180,0,0)),1,0))))</f>
        <v>0</v>
      </c>
      <c r="K130">
        <f>IF(EXACT(K$1,
_xlfn.XLOOKUP($B130,ANNOUNCEMENTS!$E$2:$E$180,ANNOUNCEMENTS!$J$2:$J$180,0,0)),1,
IF(EXACT(K$1,
_xlfn.XLOOKUP($B130,ANNOUNCEMENTS!$L$2:$L$180,ANNOUNCEMENTS!$J$2:$J$180,0,0)),1,
IF(EXACT(K$1,
_xlfn.XLOOKUP($B130,ANNOUNCEMENTS!$M$2:$M$180,ANNOUNCEMENTS!$J$2:$J$180,0,0)),1,
IF(EXACT(K$1,
_xlfn.XLOOKUP($B130,ANNOUNCEMENTS!$N$2:$N$180,ANNOUNCEMENTS!$J$2:$J$180,0,0)),1,0))))</f>
        <v>0</v>
      </c>
      <c r="L130">
        <f>IF(EXACT(L$1,
_xlfn.XLOOKUP($B130,ANNOUNCEMENTS!$E$2:$E$180,ANNOUNCEMENTS!$J$2:$J$180,0,0)),1,
IF(EXACT(L$1,
_xlfn.XLOOKUP($B130,ANNOUNCEMENTS!$L$2:$L$180,ANNOUNCEMENTS!$J$2:$J$180,0,0)),1,
IF(EXACT(L$1,
_xlfn.XLOOKUP($B130,ANNOUNCEMENTS!$M$2:$M$180,ANNOUNCEMENTS!$J$2:$J$180,0,0)),1,
IF(EXACT(L$1,
_xlfn.XLOOKUP($B130,ANNOUNCEMENTS!$N$2:$N$180,ANNOUNCEMENTS!$J$2:$J$180,0,0)),1,0))))</f>
        <v>0</v>
      </c>
      <c r="M130">
        <f t="shared" ref="M130:M171" si="10">SUM(H130:L130)</f>
        <v>1</v>
      </c>
      <c r="N130" t="b">
        <v>0</v>
      </c>
      <c r="O130" s="284">
        <f t="shared" si="9"/>
        <v>31</v>
      </c>
    </row>
    <row r="131" spans="1:15" x14ac:dyDescent="0.35">
      <c r="A131">
        <f t="shared" si="7"/>
        <v>130</v>
      </c>
      <c r="B131" t="s">
        <v>631</v>
      </c>
      <c r="C131" t="s">
        <v>1991</v>
      </c>
      <c r="D131">
        <v>0</v>
      </c>
      <c r="E131" s="107">
        <v>2.5</v>
      </c>
      <c r="F131">
        <v>0</v>
      </c>
      <c r="G131" t="str">
        <f>CBIMPORT!S131</f>
        <v>www.replate.org</v>
      </c>
      <c r="H131">
        <f>IF(EXACT(H$1,
_xlfn.XLOOKUP($B131,ANNOUNCEMENTS!$E$2:$E$180,ANNOUNCEMENTS!$J$2:$J$180,0,0)),1,
IF(EXACT(H$1,
_xlfn.XLOOKUP($B131,ANNOUNCEMENTS!$L$2:$L$180,ANNOUNCEMENTS!$J$2:$J$180,0,0)),1,
IF(EXACT(H$1,
_xlfn.XLOOKUP($B131,ANNOUNCEMENTS!$M$2:$M$180,ANNOUNCEMENTS!$J$2:$J$180,0,0)),1,
IF(EXACT(H$1,
_xlfn.XLOOKUP($B131,ANNOUNCEMENTS!$N$2:$N$180,ANNOUNCEMENTS!$J$2:$J$180,0,0)),1,0))))</f>
        <v>0</v>
      </c>
      <c r="I131">
        <f>IF(EXACT(I$1,
_xlfn.XLOOKUP($B131,ANNOUNCEMENTS!$E$2:$E$180,ANNOUNCEMENTS!$J$2:$J$180,0,0)),1,
IF(EXACT(I$1,
_xlfn.XLOOKUP($B131,ANNOUNCEMENTS!$L$2:$L$180,ANNOUNCEMENTS!$J$2:$J$180,0,0)),1,
IF(EXACT(I$1,
_xlfn.XLOOKUP($B131,ANNOUNCEMENTS!$M$2:$M$180,ANNOUNCEMENTS!$J$2:$J$180,0,0)),1,
IF(EXACT(I$1,
_xlfn.XLOOKUP($B131,ANNOUNCEMENTS!$N$2:$N$180,ANNOUNCEMENTS!$J$2:$J$180,0,0)),1,0))))</f>
        <v>0</v>
      </c>
      <c r="J131">
        <f>IF(EXACT(J$1,
_xlfn.XLOOKUP($B131,ANNOUNCEMENTS!$E$2:$E$180,ANNOUNCEMENTS!$J$2:$J$180,0,0)),1,
IF(EXACT(J$1,
_xlfn.XLOOKUP($B131,ANNOUNCEMENTS!$L$2:$L$180,ANNOUNCEMENTS!$J$2:$J$180,0,0)),1,
IF(EXACT(J$1,
_xlfn.XLOOKUP($B131,ANNOUNCEMENTS!$M$2:$M$180,ANNOUNCEMENTS!$J$2:$J$180,0,0)),1,
IF(EXACT(J$1,
_xlfn.XLOOKUP($B131,ANNOUNCEMENTS!$N$2:$N$180,ANNOUNCEMENTS!$J$2:$J$180,0,0)),1,0))))</f>
        <v>0</v>
      </c>
      <c r="K131">
        <f>IF(EXACT(K$1,
_xlfn.XLOOKUP($B131,ANNOUNCEMENTS!$E$2:$E$180,ANNOUNCEMENTS!$J$2:$J$180,0,0)),1,
IF(EXACT(K$1,
_xlfn.XLOOKUP($B131,ANNOUNCEMENTS!$L$2:$L$180,ANNOUNCEMENTS!$J$2:$J$180,0,0)),1,
IF(EXACT(K$1,
_xlfn.XLOOKUP($B131,ANNOUNCEMENTS!$M$2:$M$180,ANNOUNCEMENTS!$J$2:$J$180,0,0)),1,
IF(EXACT(K$1,
_xlfn.XLOOKUP($B131,ANNOUNCEMENTS!$N$2:$N$180,ANNOUNCEMENTS!$J$2:$J$180,0,0)),1,0))))</f>
        <v>1</v>
      </c>
      <c r="L131">
        <f>IF(EXACT(L$1,
_xlfn.XLOOKUP($B131,ANNOUNCEMENTS!$E$2:$E$180,ANNOUNCEMENTS!$J$2:$J$180,0,0)),1,
IF(EXACT(L$1,
_xlfn.XLOOKUP($B131,ANNOUNCEMENTS!$L$2:$L$180,ANNOUNCEMENTS!$J$2:$J$180,0,0)),1,
IF(EXACT(L$1,
_xlfn.XLOOKUP($B131,ANNOUNCEMENTS!$M$2:$M$180,ANNOUNCEMENTS!$J$2:$J$180,0,0)),1,
IF(EXACT(L$1,
_xlfn.XLOOKUP($B131,ANNOUNCEMENTS!$N$2:$N$180,ANNOUNCEMENTS!$J$2:$J$180,0,0)),1,0))))</f>
        <v>0</v>
      </c>
      <c r="M131">
        <f t="shared" si="10"/>
        <v>1</v>
      </c>
      <c r="N131" t="b">
        <v>0</v>
      </c>
      <c r="O131" s="284">
        <f t="shared" si="9"/>
        <v>35</v>
      </c>
    </row>
    <row r="132" spans="1:15" x14ac:dyDescent="0.35">
      <c r="A132">
        <f t="shared" ref="A132:A171" si="11">A131+1</f>
        <v>131</v>
      </c>
      <c r="B132" t="s">
        <v>700</v>
      </c>
      <c r="C132" t="s">
        <v>306</v>
      </c>
      <c r="D132">
        <v>0</v>
      </c>
      <c r="E132" s="107">
        <v>0</v>
      </c>
      <c r="F132">
        <v>1</v>
      </c>
      <c r="G132" t="str">
        <f>CBIMPORT!S132</f>
        <v>ryder.com/en</v>
      </c>
      <c r="H132">
        <f>IF(EXACT(H$1,
_xlfn.XLOOKUP($B132,ANNOUNCEMENTS!$E$2:$E$180,ANNOUNCEMENTS!$J$2:$J$180,0,0)),1,
IF(EXACT(H$1,
_xlfn.XLOOKUP($B132,ANNOUNCEMENTS!$L$2:$L$180,ANNOUNCEMENTS!$J$2:$J$180,0,0)),1,
IF(EXACT(H$1,
_xlfn.XLOOKUP($B132,ANNOUNCEMENTS!$M$2:$M$180,ANNOUNCEMENTS!$J$2:$J$180,0,0)),1,
IF(EXACT(H$1,
_xlfn.XLOOKUP($B132,ANNOUNCEMENTS!$N$2:$N$180,ANNOUNCEMENTS!$J$2:$J$180,0,0)),1,0))))</f>
        <v>0</v>
      </c>
      <c r="I132">
        <f>IF(EXACT(I$1,
_xlfn.XLOOKUP($B132,ANNOUNCEMENTS!$E$2:$E$180,ANNOUNCEMENTS!$J$2:$J$180,0,0)),1,
IF(EXACT(I$1,
_xlfn.XLOOKUP($B132,ANNOUNCEMENTS!$L$2:$L$180,ANNOUNCEMENTS!$J$2:$J$180,0,0)),1,
IF(EXACT(I$1,
_xlfn.XLOOKUP($B132,ANNOUNCEMENTS!$M$2:$M$180,ANNOUNCEMENTS!$J$2:$J$180,0,0)),1,
IF(EXACT(I$1,
_xlfn.XLOOKUP($B132,ANNOUNCEMENTS!$N$2:$N$180,ANNOUNCEMENTS!$J$2:$J$180,0,0)),1,0))))</f>
        <v>0</v>
      </c>
      <c r="J132">
        <f>IF(EXACT(J$1,
_xlfn.XLOOKUP($B132,ANNOUNCEMENTS!$E$2:$E$180,ANNOUNCEMENTS!$J$2:$J$180,0,0)),1,
IF(EXACT(J$1,
_xlfn.XLOOKUP($B132,ANNOUNCEMENTS!$L$2:$L$180,ANNOUNCEMENTS!$J$2:$J$180,0,0)),1,
IF(EXACT(J$1,
_xlfn.XLOOKUP($B132,ANNOUNCEMENTS!$M$2:$M$180,ANNOUNCEMENTS!$J$2:$J$180,0,0)),1,
IF(EXACT(J$1,
_xlfn.XLOOKUP($B132,ANNOUNCEMENTS!$N$2:$N$180,ANNOUNCEMENTS!$J$2:$J$180,0,0)),1,0))))</f>
        <v>1</v>
      </c>
      <c r="K132">
        <f>IF(EXACT(K$1,
_xlfn.XLOOKUP($B132,ANNOUNCEMENTS!$E$2:$E$180,ANNOUNCEMENTS!$J$2:$J$180,0,0)),1,
IF(EXACT(K$1,
_xlfn.XLOOKUP($B132,ANNOUNCEMENTS!$L$2:$L$180,ANNOUNCEMENTS!$J$2:$J$180,0,0)),1,
IF(EXACT(K$1,
_xlfn.XLOOKUP($B132,ANNOUNCEMENTS!$M$2:$M$180,ANNOUNCEMENTS!$J$2:$J$180,0,0)),1,
IF(EXACT(K$1,
_xlfn.XLOOKUP($B132,ANNOUNCEMENTS!$N$2:$N$180,ANNOUNCEMENTS!$J$2:$J$180,0,0)),1,0))))</f>
        <v>0</v>
      </c>
      <c r="L132">
        <f>IF(EXACT(L$1,
_xlfn.XLOOKUP($B132,ANNOUNCEMENTS!$E$2:$E$180,ANNOUNCEMENTS!$J$2:$J$180,0,0)),1,
IF(EXACT(L$1,
_xlfn.XLOOKUP($B132,ANNOUNCEMENTS!$L$2:$L$180,ANNOUNCEMENTS!$J$2:$J$180,0,0)),1,
IF(EXACT(L$1,
_xlfn.XLOOKUP($B132,ANNOUNCEMENTS!$M$2:$M$180,ANNOUNCEMENTS!$J$2:$J$180,0,0)),1,
IF(EXACT(L$1,
_xlfn.XLOOKUP($B132,ANNOUNCEMENTS!$N$2:$N$180,ANNOUNCEMENTS!$J$2:$J$180,0,0)),1,0))))</f>
        <v>0</v>
      </c>
      <c r="M132">
        <f t="shared" si="10"/>
        <v>1</v>
      </c>
      <c r="N132" t="b">
        <v>0</v>
      </c>
      <c r="O132" s="284">
        <f t="shared" si="9"/>
        <v>22</v>
      </c>
    </row>
    <row r="133" spans="1:15" x14ac:dyDescent="0.35">
      <c r="A133">
        <f t="shared" si="11"/>
        <v>132</v>
      </c>
      <c r="B133" t="s">
        <v>1984</v>
      </c>
      <c r="C133" t="s">
        <v>1991</v>
      </c>
      <c r="D133">
        <v>0</v>
      </c>
      <c r="E133" s="107">
        <v>0</v>
      </c>
      <c r="F133">
        <v>0</v>
      </c>
      <c r="G133" t="str">
        <f>CBIMPORT!S133</f>
        <v>www.sae.org/</v>
      </c>
      <c r="H133">
        <f>IF(EXACT(H$1,
_xlfn.XLOOKUP($B133,ANNOUNCEMENTS!$E$2:$E$180,ANNOUNCEMENTS!$J$2:$J$180,0,0)),1,
IF(EXACT(H$1,
_xlfn.XLOOKUP($B133,ANNOUNCEMENTS!$L$2:$L$180,ANNOUNCEMENTS!$J$2:$J$180,0,0)),1,
IF(EXACT(H$1,
_xlfn.XLOOKUP($B133,ANNOUNCEMENTS!$M$2:$M$180,ANNOUNCEMENTS!$J$2:$J$180,0,0)),1,
IF(EXACT(H$1,
_xlfn.XLOOKUP($B133,ANNOUNCEMENTS!$N$2:$N$180,ANNOUNCEMENTS!$J$2:$J$180,0,0)),1,0))))</f>
        <v>1</v>
      </c>
      <c r="I133">
        <f>IF(EXACT(I$1,
_xlfn.XLOOKUP($B133,ANNOUNCEMENTS!$E$2:$E$180,ANNOUNCEMENTS!$J$2:$J$180,0,0)),1,
IF(EXACT(I$1,
_xlfn.XLOOKUP($B133,ANNOUNCEMENTS!$L$2:$L$180,ANNOUNCEMENTS!$J$2:$J$180,0,0)),1,
IF(EXACT(I$1,
_xlfn.XLOOKUP($B133,ANNOUNCEMENTS!$M$2:$M$180,ANNOUNCEMENTS!$J$2:$J$180,0,0)),1,
IF(EXACT(I$1,
_xlfn.XLOOKUP($B133,ANNOUNCEMENTS!$N$2:$N$180,ANNOUNCEMENTS!$J$2:$J$180,0,0)),1,0))))</f>
        <v>0</v>
      </c>
      <c r="J133">
        <f>IF(EXACT(J$1,
_xlfn.XLOOKUP($B133,ANNOUNCEMENTS!$E$2:$E$180,ANNOUNCEMENTS!$J$2:$J$180,0,0)),1,
IF(EXACT(J$1,
_xlfn.XLOOKUP($B133,ANNOUNCEMENTS!$L$2:$L$180,ANNOUNCEMENTS!$J$2:$J$180,0,0)),1,
IF(EXACT(J$1,
_xlfn.XLOOKUP($B133,ANNOUNCEMENTS!$M$2:$M$180,ANNOUNCEMENTS!$J$2:$J$180,0,0)),1,
IF(EXACT(J$1,
_xlfn.XLOOKUP($B133,ANNOUNCEMENTS!$N$2:$N$180,ANNOUNCEMENTS!$J$2:$J$180,0,0)),1,0))))</f>
        <v>0</v>
      </c>
      <c r="K133">
        <f>IF(EXACT(K$1,
_xlfn.XLOOKUP($B133,ANNOUNCEMENTS!$E$2:$E$180,ANNOUNCEMENTS!$J$2:$J$180,0,0)),1,
IF(EXACT(K$1,
_xlfn.XLOOKUP($B133,ANNOUNCEMENTS!$L$2:$L$180,ANNOUNCEMENTS!$J$2:$J$180,0,0)),1,
IF(EXACT(K$1,
_xlfn.XLOOKUP($B133,ANNOUNCEMENTS!$M$2:$M$180,ANNOUNCEMENTS!$J$2:$J$180,0,0)),1,
IF(EXACT(K$1,
_xlfn.XLOOKUP($B133,ANNOUNCEMENTS!$N$2:$N$180,ANNOUNCEMENTS!$J$2:$J$180,0,0)),1,0))))</f>
        <v>0</v>
      </c>
      <c r="L133">
        <f>IF(EXACT(L$1,
_xlfn.XLOOKUP($B133,ANNOUNCEMENTS!$E$2:$E$180,ANNOUNCEMENTS!$J$2:$J$180,0,0)),1,
IF(EXACT(L$1,
_xlfn.XLOOKUP($B133,ANNOUNCEMENTS!$L$2:$L$180,ANNOUNCEMENTS!$J$2:$J$180,0,0)),1,
IF(EXACT(L$1,
_xlfn.XLOOKUP($B133,ANNOUNCEMENTS!$M$2:$M$180,ANNOUNCEMENTS!$J$2:$J$180,0,0)),1,
IF(EXACT(L$1,
_xlfn.XLOOKUP($B133,ANNOUNCEMENTS!$N$2:$N$180,ANNOUNCEMENTS!$J$2:$J$180,0,0)),1,0))))</f>
        <v>0</v>
      </c>
      <c r="M133">
        <f t="shared" si="10"/>
        <v>1</v>
      </c>
      <c r="N133" t="b">
        <v>0</v>
      </c>
      <c r="O133" s="284">
        <f t="shared" si="9"/>
        <v>35</v>
      </c>
    </row>
    <row r="134" spans="1:15" x14ac:dyDescent="0.35">
      <c r="A134">
        <f t="shared" si="11"/>
        <v>133</v>
      </c>
      <c r="B134" t="s">
        <v>1975</v>
      </c>
      <c r="C134" t="s">
        <v>784</v>
      </c>
      <c r="D134">
        <v>0</v>
      </c>
      <c r="E134" s="107">
        <v>0</v>
      </c>
      <c r="F134">
        <v>1</v>
      </c>
      <c r="G134" t="str">
        <f>CBIMPORT!S134</f>
        <v>www.sanyhi.com</v>
      </c>
      <c r="H134">
        <f>IF(EXACT(H$1,
_xlfn.XLOOKUP($B134,ANNOUNCEMENTS!$E$2:$E$180,ANNOUNCEMENTS!$J$2:$J$180,0,0)),1,
IF(EXACT(H$1,
_xlfn.XLOOKUP($B134,ANNOUNCEMENTS!$L$2:$L$180,ANNOUNCEMENTS!$J$2:$J$180,0,0)),1,
IF(EXACT(H$1,
_xlfn.XLOOKUP($B134,ANNOUNCEMENTS!$M$2:$M$180,ANNOUNCEMENTS!$J$2:$J$180,0,0)),1,
IF(EXACT(H$1,
_xlfn.XLOOKUP($B134,ANNOUNCEMENTS!$N$2:$N$180,ANNOUNCEMENTS!$J$2:$J$180,0,0)),1,0))))</f>
        <v>0</v>
      </c>
      <c r="I134">
        <f>IF(EXACT(I$1,
_xlfn.XLOOKUP($B134,ANNOUNCEMENTS!$E$2:$E$180,ANNOUNCEMENTS!$J$2:$J$180,0,0)),1,
IF(EXACT(I$1,
_xlfn.XLOOKUP($B134,ANNOUNCEMENTS!$L$2:$L$180,ANNOUNCEMENTS!$J$2:$J$180,0,0)),1,
IF(EXACT(I$1,
_xlfn.XLOOKUP($B134,ANNOUNCEMENTS!$M$2:$M$180,ANNOUNCEMENTS!$J$2:$J$180,0,0)),1,
IF(EXACT(I$1,
_xlfn.XLOOKUP($B134,ANNOUNCEMENTS!$N$2:$N$180,ANNOUNCEMENTS!$J$2:$J$180,0,0)),1,0))))</f>
        <v>0</v>
      </c>
      <c r="J134">
        <f>IF(EXACT(J$1,
_xlfn.XLOOKUP($B134,ANNOUNCEMENTS!$E$2:$E$180,ANNOUNCEMENTS!$J$2:$J$180,0,0)),1,
IF(EXACT(J$1,
_xlfn.XLOOKUP($B134,ANNOUNCEMENTS!$L$2:$L$180,ANNOUNCEMENTS!$J$2:$J$180,0,0)),1,
IF(EXACT(J$1,
_xlfn.XLOOKUP($B134,ANNOUNCEMENTS!$M$2:$M$180,ANNOUNCEMENTS!$J$2:$J$180,0,0)),1,
IF(EXACT(J$1,
_xlfn.XLOOKUP($B134,ANNOUNCEMENTS!$N$2:$N$180,ANNOUNCEMENTS!$J$2:$J$180,0,0)),1,0))))</f>
        <v>1</v>
      </c>
      <c r="K134">
        <f>IF(EXACT(K$1,
_xlfn.XLOOKUP($B134,ANNOUNCEMENTS!$E$2:$E$180,ANNOUNCEMENTS!$J$2:$J$180,0,0)),1,
IF(EXACT(K$1,
_xlfn.XLOOKUP($B134,ANNOUNCEMENTS!$L$2:$L$180,ANNOUNCEMENTS!$J$2:$J$180,0,0)),1,
IF(EXACT(K$1,
_xlfn.XLOOKUP($B134,ANNOUNCEMENTS!$M$2:$M$180,ANNOUNCEMENTS!$J$2:$J$180,0,0)),1,
IF(EXACT(K$1,
_xlfn.XLOOKUP($B134,ANNOUNCEMENTS!$N$2:$N$180,ANNOUNCEMENTS!$J$2:$J$180,0,0)),1,0))))</f>
        <v>0</v>
      </c>
      <c r="L134">
        <f>IF(EXACT(L$1,
_xlfn.XLOOKUP($B134,ANNOUNCEMENTS!$E$2:$E$180,ANNOUNCEMENTS!$J$2:$J$180,0,0)),1,
IF(EXACT(L$1,
_xlfn.XLOOKUP($B134,ANNOUNCEMENTS!$L$2:$L$180,ANNOUNCEMENTS!$J$2:$J$180,0,0)),1,
IF(EXACT(L$1,
_xlfn.XLOOKUP($B134,ANNOUNCEMENTS!$M$2:$M$180,ANNOUNCEMENTS!$J$2:$J$180,0,0)),1,
IF(EXACT(L$1,
_xlfn.XLOOKUP($B134,ANNOUNCEMENTS!$N$2:$N$180,ANNOUNCEMENTS!$J$2:$J$180,0,0)),1,0))))</f>
        <v>0</v>
      </c>
      <c r="M134">
        <f t="shared" si="10"/>
        <v>1</v>
      </c>
      <c r="N134" t="b">
        <v>0</v>
      </c>
      <c r="O134" s="284">
        <f t="shared" si="9"/>
        <v>12</v>
      </c>
    </row>
    <row r="135" spans="1:15" x14ac:dyDescent="0.35">
      <c r="A135">
        <f t="shared" si="11"/>
        <v>134</v>
      </c>
      <c r="B135" t="s">
        <v>1980</v>
      </c>
      <c r="C135" t="s">
        <v>473</v>
      </c>
      <c r="D135">
        <v>0</v>
      </c>
      <c r="E135" s="107">
        <v>0</v>
      </c>
      <c r="F135">
        <v>0</v>
      </c>
      <c r="G135" t="str">
        <f>CBIMPORT!S135</f>
        <v>http://english.jiading.gov.cn/zones.html</v>
      </c>
      <c r="H135">
        <f>IF(EXACT(H$1,
_xlfn.XLOOKUP($B135,ANNOUNCEMENTS!$E$2:$E$180,ANNOUNCEMENTS!$J$2:$J$180,0,0)),1,
IF(EXACT(H$1,
_xlfn.XLOOKUP($B135,ANNOUNCEMENTS!$L$2:$L$180,ANNOUNCEMENTS!$J$2:$J$180,0,0)),1,
IF(EXACT(H$1,
_xlfn.XLOOKUP($B135,ANNOUNCEMENTS!$M$2:$M$180,ANNOUNCEMENTS!$J$2:$J$180,0,0)),1,
IF(EXACT(H$1,
_xlfn.XLOOKUP($B135,ANNOUNCEMENTS!$N$2:$N$180,ANNOUNCEMENTS!$J$2:$J$180,0,0)),1,0))))</f>
        <v>1</v>
      </c>
      <c r="I135">
        <f>IF(EXACT(I$1,
_xlfn.XLOOKUP($B135,ANNOUNCEMENTS!$E$2:$E$180,ANNOUNCEMENTS!$J$2:$J$180,0,0)),1,
IF(EXACT(I$1,
_xlfn.XLOOKUP($B135,ANNOUNCEMENTS!$L$2:$L$180,ANNOUNCEMENTS!$J$2:$J$180,0,0)),1,
IF(EXACT(I$1,
_xlfn.XLOOKUP($B135,ANNOUNCEMENTS!$M$2:$M$180,ANNOUNCEMENTS!$J$2:$J$180,0,0)),1,
IF(EXACT(I$1,
_xlfn.XLOOKUP($B135,ANNOUNCEMENTS!$N$2:$N$180,ANNOUNCEMENTS!$J$2:$J$180,0,0)),1,0))))</f>
        <v>0</v>
      </c>
      <c r="J135">
        <f>IF(EXACT(J$1,
_xlfn.XLOOKUP($B135,ANNOUNCEMENTS!$E$2:$E$180,ANNOUNCEMENTS!$J$2:$J$180,0,0)),1,
IF(EXACT(J$1,
_xlfn.XLOOKUP($B135,ANNOUNCEMENTS!$L$2:$L$180,ANNOUNCEMENTS!$J$2:$J$180,0,0)),1,
IF(EXACT(J$1,
_xlfn.XLOOKUP($B135,ANNOUNCEMENTS!$M$2:$M$180,ANNOUNCEMENTS!$J$2:$J$180,0,0)),1,
IF(EXACT(J$1,
_xlfn.XLOOKUP($B135,ANNOUNCEMENTS!$N$2:$N$180,ANNOUNCEMENTS!$J$2:$J$180,0,0)),1,0))))</f>
        <v>0</v>
      </c>
      <c r="K135">
        <f>IF(EXACT(K$1,
_xlfn.XLOOKUP($B135,ANNOUNCEMENTS!$E$2:$E$180,ANNOUNCEMENTS!$J$2:$J$180,0,0)),1,
IF(EXACT(K$1,
_xlfn.XLOOKUP($B135,ANNOUNCEMENTS!$L$2:$L$180,ANNOUNCEMENTS!$J$2:$J$180,0,0)),1,
IF(EXACT(K$1,
_xlfn.XLOOKUP($B135,ANNOUNCEMENTS!$M$2:$M$180,ANNOUNCEMENTS!$J$2:$J$180,0,0)),1,
IF(EXACT(K$1,
_xlfn.XLOOKUP($B135,ANNOUNCEMENTS!$N$2:$N$180,ANNOUNCEMENTS!$J$2:$J$180,0,0)),1,0))))</f>
        <v>0</v>
      </c>
      <c r="L135">
        <f>IF(EXACT(L$1,
_xlfn.XLOOKUP($B135,ANNOUNCEMENTS!$E$2:$E$180,ANNOUNCEMENTS!$J$2:$J$180,0,0)),1,
IF(EXACT(L$1,
_xlfn.XLOOKUP($B135,ANNOUNCEMENTS!$L$2:$L$180,ANNOUNCEMENTS!$J$2:$J$180,0,0)),1,
IF(EXACT(L$1,
_xlfn.XLOOKUP($B135,ANNOUNCEMENTS!$M$2:$M$180,ANNOUNCEMENTS!$J$2:$J$180,0,0)),1,
IF(EXACT(L$1,
_xlfn.XLOOKUP($B135,ANNOUNCEMENTS!$N$2:$N$180,ANNOUNCEMENTS!$J$2:$J$180,0,0)),1,0))))</f>
        <v>0</v>
      </c>
      <c r="M135">
        <f t="shared" si="10"/>
        <v>1</v>
      </c>
      <c r="N135" t="b">
        <v>0</v>
      </c>
      <c r="O135" s="284">
        <f t="shared" si="9"/>
        <v>26</v>
      </c>
    </row>
    <row r="136" spans="1:15" x14ac:dyDescent="0.35">
      <c r="A136">
        <f t="shared" si="11"/>
        <v>135</v>
      </c>
      <c r="B136" t="s">
        <v>702</v>
      </c>
      <c r="C136" t="s">
        <v>306</v>
      </c>
      <c r="D136">
        <v>0</v>
      </c>
      <c r="E136" s="107">
        <v>0</v>
      </c>
      <c r="F136">
        <v>1</v>
      </c>
      <c r="G136" t="str">
        <f>CBIMPORT!S136</f>
        <v>www.transgd.com.cn</v>
      </c>
      <c r="H136">
        <f>IF(EXACT(H$1,
_xlfn.XLOOKUP($B136,ANNOUNCEMENTS!$E$2:$E$180,ANNOUNCEMENTS!$J$2:$J$180,0,0)),1,
IF(EXACT(H$1,
_xlfn.XLOOKUP($B136,ANNOUNCEMENTS!$L$2:$L$180,ANNOUNCEMENTS!$J$2:$J$180,0,0)),1,
IF(EXACT(H$1,
_xlfn.XLOOKUP($B136,ANNOUNCEMENTS!$M$2:$M$180,ANNOUNCEMENTS!$J$2:$J$180,0,0)),1,
IF(EXACT(H$1,
_xlfn.XLOOKUP($B136,ANNOUNCEMENTS!$N$2:$N$180,ANNOUNCEMENTS!$J$2:$J$180,0,0)),1,0))))</f>
        <v>0</v>
      </c>
      <c r="I136">
        <f>IF(EXACT(I$1,
_xlfn.XLOOKUP($B136,ANNOUNCEMENTS!$E$2:$E$180,ANNOUNCEMENTS!$J$2:$J$180,0,0)),1,
IF(EXACT(I$1,
_xlfn.XLOOKUP($B136,ANNOUNCEMENTS!$L$2:$L$180,ANNOUNCEMENTS!$J$2:$J$180,0,0)),1,
IF(EXACT(I$1,
_xlfn.XLOOKUP($B136,ANNOUNCEMENTS!$M$2:$M$180,ANNOUNCEMENTS!$J$2:$J$180,0,0)),1,
IF(EXACT(I$1,
_xlfn.XLOOKUP($B136,ANNOUNCEMENTS!$N$2:$N$180,ANNOUNCEMENTS!$J$2:$J$180,0,0)),1,0))))</f>
        <v>1</v>
      </c>
      <c r="J136">
        <f>IF(EXACT(J$1,
_xlfn.XLOOKUP($B136,ANNOUNCEMENTS!$E$2:$E$180,ANNOUNCEMENTS!$J$2:$J$180,0,0)),1,
IF(EXACT(J$1,
_xlfn.XLOOKUP($B136,ANNOUNCEMENTS!$L$2:$L$180,ANNOUNCEMENTS!$J$2:$J$180,0,0)),1,
IF(EXACT(J$1,
_xlfn.XLOOKUP($B136,ANNOUNCEMENTS!$M$2:$M$180,ANNOUNCEMENTS!$J$2:$J$180,0,0)),1,
IF(EXACT(J$1,
_xlfn.XLOOKUP($B136,ANNOUNCEMENTS!$N$2:$N$180,ANNOUNCEMENTS!$J$2:$J$180,0,0)),1,0))))</f>
        <v>0</v>
      </c>
      <c r="K136">
        <f>IF(EXACT(K$1,
_xlfn.XLOOKUP($B136,ANNOUNCEMENTS!$E$2:$E$180,ANNOUNCEMENTS!$J$2:$J$180,0,0)),1,
IF(EXACT(K$1,
_xlfn.XLOOKUP($B136,ANNOUNCEMENTS!$L$2:$L$180,ANNOUNCEMENTS!$J$2:$J$180,0,0)),1,
IF(EXACT(K$1,
_xlfn.XLOOKUP($B136,ANNOUNCEMENTS!$M$2:$M$180,ANNOUNCEMENTS!$J$2:$J$180,0,0)),1,
IF(EXACT(K$1,
_xlfn.XLOOKUP($B136,ANNOUNCEMENTS!$N$2:$N$180,ANNOUNCEMENTS!$J$2:$J$180,0,0)),1,0))))</f>
        <v>0</v>
      </c>
      <c r="L136">
        <f>IF(EXACT(L$1,
_xlfn.XLOOKUP($B136,ANNOUNCEMENTS!$E$2:$E$180,ANNOUNCEMENTS!$J$2:$J$180,0,0)),1,
IF(EXACT(L$1,
_xlfn.XLOOKUP($B136,ANNOUNCEMENTS!$L$2:$L$180,ANNOUNCEMENTS!$J$2:$J$180,0,0)),1,
IF(EXACT(L$1,
_xlfn.XLOOKUP($B136,ANNOUNCEMENTS!$M$2:$M$180,ANNOUNCEMENTS!$J$2:$J$180,0,0)),1,
IF(EXACT(L$1,
_xlfn.XLOOKUP($B136,ANNOUNCEMENTS!$N$2:$N$180,ANNOUNCEMENTS!$J$2:$J$180,0,0)),1,0))))</f>
        <v>0</v>
      </c>
      <c r="M136">
        <f t="shared" si="10"/>
        <v>1</v>
      </c>
      <c r="N136" t="b">
        <v>0</v>
      </c>
      <c r="O136" s="284">
        <f t="shared" si="9"/>
        <v>22</v>
      </c>
    </row>
    <row r="137" spans="1:15" x14ac:dyDescent="0.35">
      <c r="A137">
        <f t="shared" si="11"/>
        <v>136</v>
      </c>
      <c r="B137" t="s">
        <v>648</v>
      </c>
      <c r="C137" t="s">
        <v>644</v>
      </c>
      <c r="D137">
        <v>0</v>
      </c>
      <c r="E137" s="107">
        <v>856</v>
      </c>
      <c r="F137">
        <v>1</v>
      </c>
      <c r="G137" t="str">
        <f>CBIMPORT!S137</f>
        <v>www.skf.com/</v>
      </c>
      <c r="H137">
        <f>IF(EXACT(H$1,
_xlfn.XLOOKUP($B137,ANNOUNCEMENTS!$E$2:$E$180,ANNOUNCEMENTS!$J$2:$J$180,0,0)),1,
IF(EXACT(H$1,
_xlfn.XLOOKUP($B137,ANNOUNCEMENTS!$L$2:$L$180,ANNOUNCEMENTS!$J$2:$J$180,0,0)),1,
IF(EXACT(H$1,
_xlfn.XLOOKUP($B137,ANNOUNCEMENTS!$M$2:$M$180,ANNOUNCEMENTS!$J$2:$J$180,0,0)),1,
IF(EXACT(H$1,
_xlfn.XLOOKUP($B137,ANNOUNCEMENTS!$N$2:$N$180,ANNOUNCEMENTS!$J$2:$J$180,0,0)),1,0))))</f>
        <v>0</v>
      </c>
      <c r="I137">
        <f>IF(EXACT(I$1,
_xlfn.XLOOKUP($B137,ANNOUNCEMENTS!$E$2:$E$180,ANNOUNCEMENTS!$J$2:$J$180,0,0)),1,
IF(EXACT(I$1,
_xlfn.XLOOKUP($B137,ANNOUNCEMENTS!$L$2:$L$180,ANNOUNCEMENTS!$J$2:$J$180,0,0)),1,
IF(EXACT(I$1,
_xlfn.XLOOKUP($B137,ANNOUNCEMENTS!$M$2:$M$180,ANNOUNCEMENTS!$J$2:$J$180,0,0)),1,
IF(EXACT(I$1,
_xlfn.XLOOKUP($B137,ANNOUNCEMENTS!$N$2:$N$180,ANNOUNCEMENTS!$J$2:$J$180,0,0)),1,0))))</f>
        <v>0</v>
      </c>
      <c r="J137">
        <f>IF(EXACT(J$1,
_xlfn.XLOOKUP($B137,ANNOUNCEMENTS!$E$2:$E$180,ANNOUNCEMENTS!$J$2:$J$180,0,0)),1,
IF(EXACT(J$1,
_xlfn.XLOOKUP($B137,ANNOUNCEMENTS!$L$2:$L$180,ANNOUNCEMENTS!$J$2:$J$180,0,0)),1,
IF(EXACT(J$1,
_xlfn.XLOOKUP($B137,ANNOUNCEMENTS!$M$2:$M$180,ANNOUNCEMENTS!$J$2:$J$180,0,0)),1,
IF(EXACT(J$1,
_xlfn.XLOOKUP($B137,ANNOUNCEMENTS!$N$2:$N$180,ANNOUNCEMENTS!$J$2:$J$180,0,0)),1,0))))</f>
        <v>1</v>
      </c>
      <c r="K137">
        <f>IF(EXACT(K$1,
_xlfn.XLOOKUP($B137,ANNOUNCEMENTS!$E$2:$E$180,ANNOUNCEMENTS!$J$2:$J$180,0,0)),1,
IF(EXACT(K$1,
_xlfn.XLOOKUP($B137,ANNOUNCEMENTS!$L$2:$L$180,ANNOUNCEMENTS!$J$2:$J$180,0,0)),1,
IF(EXACT(K$1,
_xlfn.XLOOKUP($B137,ANNOUNCEMENTS!$M$2:$M$180,ANNOUNCEMENTS!$J$2:$J$180,0,0)),1,
IF(EXACT(K$1,
_xlfn.XLOOKUP($B137,ANNOUNCEMENTS!$N$2:$N$180,ANNOUNCEMENTS!$J$2:$J$180,0,0)),1,0))))</f>
        <v>0</v>
      </c>
      <c r="L137">
        <f>IF(EXACT(L$1,
_xlfn.XLOOKUP($B137,ANNOUNCEMENTS!$E$2:$E$180,ANNOUNCEMENTS!$J$2:$J$180,0,0)),1,
IF(EXACT(L$1,
_xlfn.XLOOKUP($B137,ANNOUNCEMENTS!$L$2:$L$180,ANNOUNCEMENTS!$J$2:$J$180,0,0)),1,
IF(EXACT(L$1,
_xlfn.XLOOKUP($B137,ANNOUNCEMENTS!$M$2:$M$180,ANNOUNCEMENTS!$J$2:$J$180,0,0)),1,
IF(EXACT(L$1,
_xlfn.XLOOKUP($B137,ANNOUNCEMENTS!$N$2:$N$180,ANNOUNCEMENTS!$J$2:$J$180,0,0)),1,0))))</f>
        <v>0</v>
      </c>
      <c r="M137">
        <f t="shared" si="10"/>
        <v>1</v>
      </c>
      <c r="N137" t="b">
        <v>0</v>
      </c>
      <c r="O137" s="284">
        <f t="shared" ref="O137:O171" si="12">VLOOKUP(C137,$P$2:$Q$42,2,FALSE)</f>
        <v>32</v>
      </c>
    </row>
    <row r="138" spans="1:15" x14ac:dyDescent="0.35">
      <c r="A138">
        <f t="shared" si="11"/>
        <v>137</v>
      </c>
      <c r="B138" t="s">
        <v>880</v>
      </c>
      <c r="C138" t="s">
        <v>1992</v>
      </c>
      <c r="D138">
        <v>0</v>
      </c>
      <c r="E138" s="107">
        <v>0</v>
      </c>
      <c r="F138">
        <v>0</v>
      </c>
      <c r="G138" t="str">
        <f>CBIMPORT!S138</f>
        <v>www.sltn.nl/</v>
      </c>
      <c r="H138">
        <f>IF(EXACT(H$1,
_xlfn.XLOOKUP($B138,ANNOUNCEMENTS!$E$2:$E$180,ANNOUNCEMENTS!$J$2:$J$180,0,0)),1,
IF(EXACT(H$1,
_xlfn.XLOOKUP($B138,ANNOUNCEMENTS!$L$2:$L$180,ANNOUNCEMENTS!$J$2:$J$180,0,0)),1,
IF(EXACT(H$1,
_xlfn.XLOOKUP($B138,ANNOUNCEMENTS!$M$2:$M$180,ANNOUNCEMENTS!$J$2:$J$180,0,0)),1,
IF(EXACT(H$1,
_xlfn.XLOOKUP($B138,ANNOUNCEMENTS!$N$2:$N$180,ANNOUNCEMENTS!$J$2:$J$180,0,0)),1,0))))</f>
        <v>1</v>
      </c>
      <c r="I138">
        <f>IF(EXACT(I$1,
_xlfn.XLOOKUP($B138,ANNOUNCEMENTS!$E$2:$E$180,ANNOUNCEMENTS!$J$2:$J$180,0,0)),1,
IF(EXACT(I$1,
_xlfn.XLOOKUP($B138,ANNOUNCEMENTS!$L$2:$L$180,ANNOUNCEMENTS!$J$2:$J$180,0,0)),1,
IF(EXACT(I$1,
_xlfn.XLOOKUP($B138,ANNOUNCEMENTS!$M$2:$M$180,ANNOUNCEMENTS!$J$2:$J$180,0,0)),1,
IF(EXACT(I$1,
_xlfn.XLOOKUP($B138,ANNOUNCEMENTS!$N$2:$N$180,ANNOUNCEMENTS!$J$2:$J$180,0,0)),1,0))))</f>
        <v>0</v>
      </c>
      <c r="J138">
        <f>IF(EXACT(J$1,
_xlfn.XLOOKUP($B138,ANNOUNCEMENTS!$E$2:$E$180,ANNOUNCEMENTS!$J$2:$J$180,0,0)),1,
IF(EXACT(J$1,
_xlfn.XLOOKUP($B138,ANNOUNCEMENTS!$L$2:$L$180,ANNOUNCEMENTS!$J$2:$J$180,0,0)),1,
IF(EXACT(J$1,
_xlfn.XLOOKUP($B138,ANNOUNCEMENTS!$M$2:$M$180,ANNOUNCEMENTS!$J$2:$J$180,0,0)),1,
IF(EXACT(J$1,
_xlfn.XLOOKUP($B138,ANNOUNCEMENTS!$N$2:$N$180,ANNOUNCEMENTS!$J$2:$J$180,0,0)),1,0))))</f>
        <v>0</v>
      </c>
      <c r="K138">
        <f>IF(EXACT(K$1,
_xlfn.XLOOKUP($B138,ANNOUNCEMENTS!$E$2:$E$180,ANNOUNCEMENTS!$J$2:$J$180,0,0)),1,
IF(EXACT(K$1,
_xlfn.XLOOKUP($B138,ANNOUNCEMENTS!$L$2:$L$180,ANNOUNCEMENTS!$J$2:$J$180,0,0)),1,
IF(EXACT(K$1,
_xlfn.XLOOKUP($B138,ANNOUNCEMENTS!$M$2:$M$180,ANNOUNCEMENTS!$J$2:$J$180,0,0)),1,
IF(EXACT(K$1,
_xlfn.XLOOKUP($B138,ANNOUNCEMENTS!$N$2:$N$180,ANNOUNCEMENTS!$J$2:$J$180,0,0)),1,0))))</f>
        <v>0</v>
      </c>
      <c r="L138">
        <f>IF(EXACT(L$1,
_xlfn.XLOOKUP($B138,ANNOUNCEMENTS!$E$2:$E$180,ANNOUNCEMENTS!$J$2:$J$180,0,0)),1,
IF(EXACT(L$1,
_xlfn.XLOOKUP($B138,ANNOUNCEMENTS!$L$2:$L$180,ANNOUNCEMENTS!$J$2:$J$180,0,0)),1,
IF(EXACT(L$1,
_xlfn.XLOOKUP($B138,ANNOUNCEMENTS!$M$2:$M$180,ANNOUNCEMENTS!$J$2:$J$180,0,0)),1,
IF(EXACT(L$1,
_xlfn.XLOOKUP($B138,ANNOUNCEMENTS!$N$2:$N$180,ANNOUNCEMENTS!$J$2:$J$180,0,0)),1,0))))</f>
        <v>0</v>
      </c>
      <c r="M138">
        <f t="shared" si="10"/>
        <v>1</v>
      </c>
      <c r="N138" t="b">
        <v>0</v>
      </c>
      <c r="O138" s="284">
        <f t="shared" si="12"/>
        <v>7</v>
      </c>
    </row>
    <row r="139" spans="1:15" x14ac:dyDescent="0.35">
      <c r="A139">
        <f t="shared" si="11"/>
        <v>138</v>
      </c>
      <c r="B139" t="s">
        <v>922</v>
      </c>
      <c r="C139" t="s">
        <v>398</v>
      </c>
      <c r="D139">
        <v>0</v>
      </c>
      <c r="E139" s="107">
        <v>0</v>
      </c>
      <c r="F139">
        <v>0</v>
      </c>
      <c r="G139" t="str">
        <f>CBIMPORT!S139</f>
        <v>www.smrt.com.sg</v>
      </c>
      <c r="H139">
        <f>IF(EXACT(H$1,
_xlfn.XLOOKUP($B139,ANNOUNCEMENTS!$E$2:$E$180,ANNOUNCEMENTS!$J$2:$J$180,0,0)),1,
IF(EXACT(H$1,
_xlfn.XLOOKUP($B139,ANNOUNCEMENTS!$L$2:$L$180,ANNOUNCEMENTS!$J$2:$J$180,0,0)),1,
IF(EXACT(H$1,
_xlfn.XLOOKUP($B139,ANNOUNCEMENTS!$M$2:$M$180,ANNOUNCEMENTS!$J$2:$J$180,0,0)),1,
IF(EXACT(H$1,
_xlfn.XLOOKUP($B139,ANNOUNCEMENTS!$N$2:$N$180,ANNOUNCEMENTS!$J$2:$J$180,0,0)),1,0))))</f>
        <v>1</v>
      </c>
      <c r="I139">
        <f>IF(EXACT(I$1,
_xlfn.XLOOKUP($B139,ANNOUNCEMENTS!$E$2:$E$180,ANNOUNCEMENTS!$J$2:$J$180,0,0)),1,
IF(EXACT(I$1,
_xlfn.XLOOKUP($B139,ANNOUNCEMENTS!$L$2:$L$180,ANNOUNCEMENTS!$J$2:$J$180,0,0)),1,
IF(EXACT(I$1,
_xlfn.XLOOKUP($B139,ANNOUNCEMENTS!$M$2:$M$180,ANNOUNCEMENTS!$J$2:$J$180,0,0)),1,
IF(EXACT(I$1,
_xlfn.XLOOKUP($B139,ANNOUNCEMENTS!$N$2:$N$180,ANNOUNCEMENTS!$J$2:$J$180,0,0)),1,0))))</f>
        <v>0</v>
      </c>
      <c r="J139">
        <f>IF(EXACT(J$1,
_xlfn.XLOOKUP($B139,ANNOUNCEMENTS!$E$2:$E$180,ANNOUNCEMENTS!$J$2:$J$180,0,0)),1,
IF(EXACT(J$1,
_xlfn.XLOOKUP($B139,ANNOUNCEMENTS!$L$2:$L$180,ANNOUNCEMENTS!$J$2:$J$180,0,0)),1,
IF(EXACT(J$1,
_xlfn.XLOOKUP($B139,ANNOUNCEMENTS!$M$2:$M$180,ANNOUNCEMENTS!$J$2:$J$180,0,0)),1,
IF(EXACT(J$1,
_xlfn.XLOOKUP($B139,ANNOUNCEMENTS!$N$2:$N$180,ANNOUNCEMENTS!$J$2:$J$180,0,0)),1,0))))</f>
        <v>0</v>
      </c>
      <c r="K139">
        <f>IF(EXACT(K$1,
_xlfn.XLOOKUP($B139,ANNOUNCEMENTS!$E$2:$E$180,ANNOUNCEMENTS!$J$2:$J$180,0,0)),1,
IF(EXACT(K$1,
_xlfn.XLOOKUP($B139,ANNOUNCEMENTS!$L$2:$L$180,ANNOUNCEMENTS!$J$2:$J$180,0,0)),1,
IF(EXACT(K$1,
_xlfn.XLOOKUP($B139,ANNOUNCEMENTS!$M$2:$M$180,ANNOUNCEMENTS!$J$2:$J$180,0,0)),1,
IF(EXACT(K$1,
_xlfn.XLOOKUP($B139,ANNOUNCEMENTS!$N$2:$N$180,ANNOUNCEMENTS!$J$2:$J$180,0,0)),1,0))))</f>
        <v>0</v>
      </c>
      <c r="L139">
        <f>IF(EXACT(L$1,
_xlfn.XLOOKUP($B139,ANNOUNCEMENTS!$E$2:$E$180,ANNOUNCEMENTS!$J$2:$J$180,0,0)),1,
IF(EXACT(L$1,
_xlfn.XLOOKUP($B139,ANNOUNCEMENTS!$L$2:$L$180,ANNOUNCEMENTS!$J$2:$J$180,0,0)),1,
IF(EXACT(L$1,
_xlfn.XLOOKUP($B139,ANNOUNCEMENTS!$M$2:$M$180,ANNOUNCEMENTS!$J$2:$J$180,0,0)),1,
IF(EXACT(L$1,
_xlfn.XLOOKUP($B139,ANNOUNCEMENTS!$N$2:$N$180,ANNOUNCEMENTS!$J$2:$J$180,0,0)),1,0))))</f>
        <v>0</v>
      </c>
      <c r="M139">
        <f t="shared" si="10"/>
        <v>1</v>
      </c>
      <c r="N139" t="b">
        <v>0</v>
      </c>
      <c r="O139" s="284">
        <f t="shared" si="12"/>
        <v>13</v>
      </c>
    </row>
    <row r="140" spans="1:15" x14ac:dyDescent="0.35">
      <c r="A140">
        <f t="shared" si="11"/>
        <v>139</v>
      </c>
      <c r="B140" t="s">
        <v>768</v>
      </c>
      <c r="C140" t="s">
        <v>490</v>
      </c>
      <c r="D140">
        <v>0</v>
      </c>
      <c r="E140" s="107">
        <v>127.167096</v>
      </c>
      <c r="F140">
        <v>1</v>
      </c>
      <c r="G140" t="str">
        <f>CBIMPORT!S140</f>
        <v>www.sonomotors.com</v>
      </c>
      <c r="H140">
        <f>IF(EXACT(H$1,
_xlfn.XLOOKUP($B140,ANNOUNCEMENTS!$E$2:$E$180,ANNOUNCEMENTS!$J$2:$J$180,0,0)),1,
IF(EXACT(H$1,
_xlfn.XLOOKUP($B140,ANNOUNCEMENTS!$L$2:$L$180,ANNOUNCEMENTS!$J$2:$J$180,0,0)),1,
IF(EXACT(H$1,
_xlfn.XLOOKUP($B140,ANNOUNCEMENTS!$M$2:$M$180,ANNOUNCEMENTS!$J$2:$J$180,0,0)),1,
IF(EXACT(H$1,
_xlfn.XLOOKUP($B140,ANNOUNCEMENTS!$N$2:$N$180,ANNOUNCEMENTS!$J$2:$J$180,0,0)),1,0))))</f>
        <v>1</v>
      </c>
      <c r="I140">
        <f>IF(EXACT(I$1,
_xlfn.XLOOKUP($B140,ANNOUNCEMENTS!$E$2:$E$180,ANNOUNCEMENTS!$J$2:$J$180,0,0)),1,
IF(EXACT(I$1,
_xlfn.XLOOKUP($B140,ANNOUNCEMENTS!$L$2:$L$180,ANNOUNCEMENTS!$J$2:$J$180,0,0)),1,
IF(EXACT(I$1,
_xlfn.XLOOKUP($B140,ANNOUNCEMENTS!$M$2:$M$180,ANNOUNCEMENTS!$J$2:$J$180,0,0)),1,
IF(EXACT(I$1,
_xlfn.XLOOKUP($B140,ANNOUNCEMENTS!$N$2:$N$180,ANNOUNCEMENTS!$J$2:$J$180,0,0)),1,0))))</f>
        <v>0</v>
      </c>
      <c r="J140">
        <f>IF(EXACT(J$1,
_xlfn.XLOOKUP($B140,ANNOUNCEMENTS!$E$2:$E$180,ANNOUNCEMENTS!$J$2:$J$180,0,0)),1,
IF(EXACT(J$1,
_xlfn.XLOOKUP($B140,ANNOUNCEMENTS!$L$2:$L$180,ANNOUNCEMENTS!$J$2:$J$180,0,0)),1,
IF(EXACT(J$1,
_xlfn.XLOOKUP($B140,ANNOUNCEMENTS!$M$2:$M$180,ANNOUNCEMENTS!$J$2:$J$180,0,0)),1,
IF(EXACT(J$1,
_xlfn.XLOOKUP($B140,ANNOUNCEMENTS!$N$2:$N$180,ANNOUNCEMENTS!$J$2:$J$180,0,0)),1,0))))</f>
        <v>0</v>
      </c>
      <c r="K140">
        <f>IF(EXACT(K$1,
_xlfn.XLOOKUP($B140,ANNOUNCEMENTS!$E$2:$E$180,ANNOUNCEMENTS!$J$2:$J$180,0,0)),1,
IF(EXACT(K$1,
_xlfn.XLOOKUP($B140,ANNOUNCEMENTS!$L$2:$L$180,ANNOUNCEMENTS!$J$2:$J$180,0,0)),1,
IF(EXACT(K$1,
_xlfn.XLOOKUP($B140,ANNOUNCEMENTS!$M$2:$M$180,ANNOUNCEMENTS!$J$2:$J$180,0,0)),1,
IF(EXACT(K$1,
_xlfn.XLOOKUP($B140,ANNOUNCEMENTS!$N$2:$N$180,ANNOUNCEMENTS!$J$2:$J$180,0,0)),1,0))))</f>
        <v>0</v>
      </c>
      <c r="L140">
        <f>IF(EXACT(L$1,
_xlfn.XLOOKUP($B140,ANNOUNCEMENTS!$E$2:$E$180,ANNOUNCEMENTS!$J$2:$J$180,0,0)),1,
IF(EXACT(L$1,
_xlfn.XLOOKUP($B140,ANNOUNCEMENTS!$L$2:$L$180,ANNOUNCEMENTS!$J$2:$J$180,0,0)),1,
IF(EXACT(L$1,
_xlfn.XLOOKUP($B140,ANNOUNCEMENTS!$M$2:$M$180,ANNOUNCEMENTS!$J$2:$J$180,0,0)),1,
IF(EXACT(L$1,
_xlfn.XLOOKUP($B140,ANNOUNCEMENTS!$N$2:$N$180,ANNOUNCEMENTS!$J$2:$J$180,0,0)),1,0))))</f>
        <v>0</v>
      </c>
      <c r="M140">
        <f t="shared" si="10"/>
        <v>1</v>
      </c>
      <c r="N140" t="b">
        <v>0</v>
      </c>
      <c r="O140" s="284">
        <f t="shared" si="12"/>
        <v>11</v>
      </c>
    </row>
    <row r="141" spans="1:15" x14ac:dyDescent="0.35">
      <c r="A141">
        <f t="shared" si="11"/>
        <v>140</v>
      </c>
      <c r="B141" t="s">
        <v>715</v>
      </c>
      <c r="C141" t="s">
        <v>716</v>
      </c>
      <c r="D141">
        <v>0</v>
      </c>
      <c r="E141" s="107">
        <v>28.595296000000001</v>
      </c>
      <c r="F141">
        <v>0</v>
      </c>
      <c r="G141" t="str">
        <f>CBIMPORT!S141</f>
        <v>sparelabs.com</v>
      </c>
      <c r="H141">
        <f>IF(EXACT(H$1,
_xlfn.XLOOKUP($B141,ANNOUNCEMENTS!$E$2:$E$180,ANNOUNCEMENTS!$J$2:$J$180,0,0)),1,
IF(EXACT(H$1,
_xlfn.XLOOKUP($B141,ANNOUNCEMENTS!$L$2:$L$180,ANNOUNCEMENTS!$J$2:$J$180,0,0)),1,
IF(EXACT(H$1,
_xlfn.XLOOKUP($B141,ANNOUNCEMENTS!$M$2:$M$180,ANNOUNCEMENTS!$J$2:$J$180,0,0)),1,
IF(EXACT(H$1,
_xlfn.XLOOKUP($B141,ANNOUNCEMENTS!$N$2:$N$180,ANNOUNCEMENTS!$J$2:$J$180,0,0)),1,0))))</f>
        <v>0</v>
      </c>
      <c r="I141">
        <f>IF(EXACT(I$1,
_xlfn.XLOOKUP($B141,ANNOUNCEMENTS!$E$2:$E$180,ANNOUNCEMENTS!$J$2:$J$180,0,0)),1,
IF(EXACT(I$1,
_xlfn.XLOOKUP($B141,ANNOUNCEMENTS!$L$2:$L$180,ANNOUNCEMENTS!$J$2:$J$180,0,0)),1,
IF(EXACT(I$1,
_xlfn.XLOOKUP($B141,ANNOUNCEMENTS!$M$2:$M$180,ANNOUNCEMENTS!$J$2:$J$180,0,0)),1,
IF(EXACT(I$1,
_xlfn.XLOOKUP($B141,ANNOUNCEMENTS!$N$2:$N$180,ANNOUNCEMENTS!$J$2:$J$180,0,0)),1,0))))</f>
        <v>1</v>
      </c>
      <c r="J141">
        <f>IF(EXACT(J$1,
_xlfn.XLOOKUP($B141,ANNOUNCEMENTS!$E$2:$E$180,ANNOUNCEMENTS!$J$2:$J$180,0,0)),1,
IF(EXACT(J$1,
_xlfn.XLOOKUP($B141,ANNOUNCEMENTS!$L$2:$L$180,ANNOUNCEMENTS!$J$2:$J$180,0,0)),1,
IF(EXACT(J$1,
_xlfn.XLOOKUP($B141,ANNOUNCEMENTS!$M$2:$M$180,ANNOUNCEMENTS!$J$2:$J$180,0,0)),1,
IF(EXACT(J$1,
_xlfn.XLOOKUP($B141,ANNOUNCEMENTS!$N$2:$N$180,ANNOUNCEMENTS!$J$2:$J$180,0,0)),1,0))))</f>
        <v>0</v>
      </c>
      <c r="K141">
        <f>IF(EXACT(K$1,
_xlfn.XLOOKUP($B141,ANNOUNCEMENTS!$E$2:$E$180,ANNOUNCEMENTS!$J$2:$J$180,0,0)),1,
IF(EXACT(K$1,
_xlfn.XLOOKUP($B141,ANNOUNCEMENTS!$L$2:$L$180,ANNOUNCEMENTS!$J$2:$J$180,0,0)),1,
IF(EXACT(K$1,
_xlfn.XLOOKUP($B141,ANNOUNCEMENTS!$M$2:$M$180,ANNOUNCEMENTS!$J$2:$J$180,0,0)),1,
IF(EXACT(K$1,
_xlfn.XLOOKUP($B141,ANNOUNCEMENTS!$N$2:$N$180,ANNOUNCEMENTS!$J$2:$J$180,0,0)),1,0))))</f>
        <v>0</v>
      </c>
      <c r="L141">
        <f>IF(EXACT(L$1,
_xlfn.XLOOKUP($B141,ANNOUNCEMENTS!$E$2:$E$180,ANNOUNCEMENTS!$J$2:$J$180,0,0)),1,
IF(EXACT(L$1,
_xlfn.XLOOKUP($B141,ANNOUNCEMENTS!$L$2:$L$180,ANNOUNCEMENTS!$J$2:$J$180,0,0)),1,
IF(EXACT(L$1,
_xlfn.XLOOKUP($B141,ANNOUNCEMENTS!$M$2:$M$180,ANNOUNCEMENTS!$J$2:$J$180,0,0)),1,
IF(EXACT(L$1,
_xlfn.XLOOKUP($B141,ANNOUNCEMENTS!$N$2:$N$180,ANNOUNCEMENTS!$J$2:$J$180,0,0)),1,0))))</f>
        <v>0</v>
      </c>
      <c r="M141">
        <f t="shared" si="10"/>
        <v>1</v>
      </c>
      <c r="N141" t="b">
        <v>0</v>
      </c>
      <c r="O141" s="284">
        <f t="shared" si="12"/>
        <v>18</v>
      </c>
    </row>
    <row r="142" spans="1:15" x14ac:dyDescent="0.35">
      <c r="A142">
        <f t="shared" si="11"/>
        <v>141</v>
      </c>
      <c r="B142" t="s">
        <v>539</v>
      </c>
      <c r="C142" t="s">
        <v>540</v>
      </c>
      <c r="D142">
        <v>0</v>
      </c>
      <c r="E142" s="107">
        <v>500</v>
      </c>
      <c r="F142">
        <v>1</v>
      </c>
      <c r="G142" t="str">
        <f>CBIMPORT!S142</f>
        <v>www.stantec.com</v>
      </c>
      <c r="H142">
        <f>IF(EXACT(H$1,
_xlfn.XLOOKUP($B142,ANNOUNCEMENTS!$E$2:$E$180,ANNOUNCEMENTS!$J$2:$J$180,0,0)),1,
IF(EXACT(H$1,
_xlfn.XLOOKUP($B142,ANNOUNCEMENTS!$L$2:$L$180,ANNOUNCEMENTS!$J$2:$J$180,0,0)),1,
IF(EXACT(H$1,
_xlfn.XLOOKUP($B142,ANNOUNCEMENTS!$M$2:$M$180,ANNOUNCEMENTS!$J$2:$J$180,0,0)),1,
IF(EXACT(H$1,
_xlfn.XLOOKUP($B142,ANNOUNCEMENTS!$N$2:$N$180,ANNOUNCEMENTS!$J$2:$J$180,0,0)),1,0))))</f>
        <v>0</v>
      </c>
      <c r="I142">
        <f>IF(EXACT(I$1,
_xlfn.XLOOKUP($B142,ANNOUNCEMENTS!$E$2:$E$180,ANNOUNCEMENTS!$J$2:$J$180,0,0)),1,
IF(EXACT(I$1,
_xlfn.XLOOKUP($B142,ANNOUNCEMENTS!$L$2:$L$180,ANNOUNCEMENTS!$J$2:$J$180,0,0)),1,
IF(EXACT(I$1,
_xlfn.XLOOKUP($B142,ANNOUNCEMENTS!$M$2:$M$180,ANNOUNCEMENTS!$J$2:$J$180,0,0)),1,
IF(EXACT(I$1,
_xlfn.XLOOKUP($B142,ANNOUNCEMENTS!$N$2:$N$180,ANNOUNCEMENTS!$J$2:$J$180,0,0)),1,0))))</f>
        <v>1</v>
      </c>
      <c r="J142">
        <f>IF(EXACT(J$1,
_xlfn.XLOOKUP($B142,ANNOUNCEMENTS!$E$2:$E$180,ANNOUNCEMENTS!$J$2:$J$180,0,0)),1,
IF(EXACT(J$1,
_xlfn.XLOOKUP($B142,ANNOUNCEMENTS!$L$2:$L$180,ANNOUNCEMENTS!$J$2:$J$180,0,0)),1,
IF(EXACT(J$1,
_xlfn.XLOOKUP($B142,ANNOUNCEMENTS!$M$2:$M$180,ANNOUNCEMENTS!$J$2:$J$180,0,0)),1,
IF(EXACT(J$1,
_xlfn.XLOOKUP($B142,ANNOUNCEMENTS!$N$2:$N$180,ANNOUNCEMENTS!$J$2:$J$180,0,0)),1,0))))</f>
        <v>0</v>
      </c>
      <c r="K142">
        <f>IF(EXACT(K$1,
_xlfn.XLOOKUP($B142,ANNOUNCEMENTS!$E$2:$E$180,ANNOUNCEMENTS!$J$2:$J$180,0,0)),1,
IF(EXACT(K$1,
_xlfn.XLOOKUP($B142,ANNOUNCEMENTS!$L$2:$L$180,ANNOUNCEMENTS!$J$2:$J$180,0,0)),1,
IF(EXACT(K$1,
_xlfn.XLOOKUP($B142,ANNOUNCEMENTS!$M$2:$M$180,ANNOUNCEMENTS!$J$2:$J$180,0,0)),1,
IF(EXACT(K$1,
_xlfn.XLOOKUP($B142,ANNOUNCEMENTS!$N$2:$N$180,ANNOUNCEMENTS!$J$2:$J$180,0,0)),1,0))))</f>
        <v>0</v>
      </c>
      <c r="L142">
        <f>IF(EXACT(L$1,
_xlfn.XLOOKUP($B142,ANNOUNCEMENTS!$E$2:$E$180,ANNOUNCEMENTS!$J$2:$J$180,0,0)),1,
IF(EXACT(L$1,
_xlfn.XLOOKUP($B142,ANNOUNCEMENTS!$L$2:$L$180,ANNOUNCEMENTS!$J$2:$J$180,0,0)),1,
IF(EXACT(L$1,
_xlfn.XLOOKUP($B142,ANNOUNCEMENTS!$M$2:$M$180,ANNOUNCEMENTS!$J$2:$J$180,0,0)),1,
IF(EXACT(L$1,
_xlfn.XLOOKUP($B142,ANNOUNCEMENTS!$N$2:$N$180,ANNOUNCEMENTS!$J$2:$J$180,0,0)),1,0))))</f>
        <v>0</v>
      </c>
      <c r="M142">
        <f t="shared" si="10"/>
        <v>1</v>
      </c>
      <c r="N142" t="b">
        <v>0</v>
      </c>
      <c r="O142" s="284">
        <f t="shared" si="12"/>
        <v>29</v>
      </c>
    </row>
    <row r="143" spans="1:15" x14ac:dyDescent="0.35">
      <c r="A143">
        <f t="shared" si="11"/>
        <v>142</v>
      </c>
      <c r="B143" t="s">
        <v>599</v>
      </c>
      <c r="C143" t="s">
        <v>588</v>
      </c>
      <c r="D143">
        <v>0</v>
      </c>
      <c r="E143" s="107">
        <v>0</v>
      </c>
      <c r="F143">
        <v>0</v>
      </c>
      <c r="G143" t="str">
        <f>CBIMPORT!S143</f>
        <v>www.sustainability.partners</v>
      </c>
      <c r="H143">
        <f>IF(EXACT(H$1,
_xlfn.XLOOKUP($B143,ANNOUNCEMENTS!$E$2:$E$180,ANNOUNCEMENTS!$J$2:$J$180,0,0)),1,
IF(EXACT(H$1,
_xlfn.XLOOKUP($B143,ANNOUNCEMENTS!$L$2:$L$180,ANNOUNCEMENTS!$J$2:$J$180,0,0)),1,
IF(EXACT(H$1,
_xlfn.XLOOKUP($B143,ANNOUNCEMENTS!$M$2:$M$180,ANNOUNCEMENTS!$J$2:$J$180,0,0)),1,
IF(EXACT(H$1,
_xlfn.XLOOKUP($B143,ANNOUNCEMENTS!$N$2:$N$180,ANNOUNCEMENTS!$J$2:$J$180,0,0)),1,0))))</f>
        <v>1</v>
      </c>
      <c r="I143">
        <f>IF(EXACT(I$1,
_xlfn.XLOOKUP($B143,ANNOUNCEMENTS!$E$2:$E$180,ANNOUNCEMENTS!$J$2:$J$180,0,0)),1,
IF(EXACT(I$1,
_xlfn.XLOOKUP($B143,ANNOUNCEMENTS!$L$2:$L$180,ANNOUNCEMENTS!$J$2:$J$180,0,0)),1,
IF(EXACT(I$1,
_xlfn.XLOOKUP($B143,ANNOUNCEMENTS!$M$2:$M$180,ANNOUNCEMENTS!$J$2:$J$180,0,0)),1,
IF(EXACT(I$1,
_xlfn.XLOOKUP($B143,ANNOUNCEMENTS!$N$2:$N$180,ANNOUNCEMENTS!$J$2:$J$180,0,0)),1,0))))</f>
        <v>0</v>
      </c>
      <c r="J143">
        <f>IF(EXACT(J$1,
_xlfn.XLOOKUP($B143,ANNOUNCEMENTS!$E$2:$E$180,ANNOUNCEMENTS!$J$2:$J$180,0,0)),1,
IF(EXACT(J$1,
_xlfn.XLOOKUP($B143,ANNOUNCEMENTS!$L$2:$L$180,ANNOUNCEMENTS!$J$2:$J$180,0,0)),1,
IF(EXACT(J$1,
_xlfn.XLOOKUP($B143,ANNOUNCEMENTS!$M$2:$M$180,ANNOUNCEMENTS!$J$2:$J$180,0,0)),1,
IF(EXACT(J$1,
_xlfn.XLOOKUP($B143,ANNOUNCEMENTS!$N$2:$N$180,ANNOUNCEMENTS!$J$2:$J$180,0,0)),1,0))))</f>
        <v>0</v>
      </c>
      <c r="K143">
        <f>IF(EXACT(K$1,
_xlfn.XLOOKUP($B143,ANNOUNCEMENTS!$E$2:$E$180,ANNOUNCEMENTS!$J$2:$J$180,0,0)),1,
IF(EXACT(K$1,
_xlfn.XLOOKUP($B143,ANNOUNCEMENTS!$L$2:$L$180,ANNOUNCEMENTS!$J$2:$J$180,0,0)),1,
IF(EXACT(K$1,
_xlfn.XLOOKUP($B143,ANNOUNCEMENTS!$M$2:$M$180,ANNOUNCEMENTS!$J$2:$J$180,0,0)),1,
IF(EXACT(K$1,
_xlfn.XLOOKUP($B143,ANNOUNCEMENTS!$N$2:$N$180,ANNOUNCEMENTS!$J$2:$J$180,0,0)),1,0))))</f>
        <v>0</v>
      </c>
      <c r="L143">
        <f>IF(EXACT(L$1,
_xlfn.XLOOKUP($B143,ANNOUNCEMENTS!$E$2:$E$180,ANNOUNCEMENTS!$J$2:$J$180,0,0)),1,
IF(EXACT(L$1,
_xlfn.XLOOKUP($B143,ANNOUNCEMENTS!$L$2:$L$180,ANNOUNCEMENTS!$J$2:$J$180,0,0)),1,
IF(EXACT(L$1,
_xlfn.XLOOKUP($B143,ANNOUNCEMENTS!$M$2:$M$180,ANNOUNCEMENTS!$J$2:$J$180,0,0)),1,
IF(EXACT(L$1,
_xlfn.XLOOKUP($B143,ANNOUNCEMENTS!$N$2:$N$180,ANNOUNCEMENTS!$J$2:$J$180,0,0)),1,0))))</f>
        <v>0</v>
      </c>
      <c r="M143">
        <f t="shared" si="10"/>
        <v>1</v>
      </c>
      <c r="N143" t="b">
        <v>0</v>
      </c>
      <c r="O143" s="284">
        <f t="shared" si="12"/>
        <v>38</v>
      </c>
    </row>
    <row r="144" spans="1:15" x14ac:dyDescent="0.35">
      <c r="A144">
        <f t="shared" si="11"/>
        <v>143</v>
      </c>
      <c r="B144" t="s">
        <v>846</v>
      </c>
      <c r="C144" t="s">
        <v>306</v>
      </c>
      <c r="D144">
        <v>0</v>
      </c>
      <c r="E144" s="107">
        <v>0</v>
      </c>
      <c r="F144">
        <v>0</v>
      </c>
      <c r="G144" t="str">
        <f>CBIMPORT!S144</f>
        <v>www.retursystem.se/en/</v>
      </c>
      <c r="H144">
        <f>IF(EXACT(H$1,
_xlfn.XLOOKUP($B144,ANNOUNCEMENTS!$E$2:$E$180,ANNOUNCEMENTS!$J$2:$J$180,0,0)),1,
IF(EXACT(H$1,
_xlfn.XLOOKUP($B144,ANNOUNCEMENTS!$L$2:$L$180,ANNOUNCEMENTS!$J$2:$J$180,0,0)),1,
IF(EXACT(H$1,
_xlfn.XLOOKUP($B144,ANNOUNCEMENTS!$M$2:$M$180,ANNOUNCEMENTS!$J$2:$J$180,0,0)),1,
IF(EXACT(H$1,
_xlfn.XLOOKUP($B144,ANNOUNCEMENTS!$N$2:$N$180,ANNOUNCEMENTS!$J$2:$J$180,0,0)),1,0))))</f>
        <v>0</v>
      </c>
      <c r="I144">
        <f>IF(EXACT(I$1,
_xlfn.XLOOKUP($B144,ANNOUNCEMENTS!$E$2:$E$180,ANNOUNCEMENTS!$J$2:$J$180,0,0)),1,
IF(EXACT(I$1,
_xlfn.XLOOKUP($B144,ANNOUNCEMENTS!$L$2:$L$180,ANNOUNCEMENTS!$J$2:$J$180,0,0)),1,
IF(EXACT(I$1,
_xlfn.XLOOKUP($B144,ANNOUNCEMENTS!$M$2:$M$180,ANNOUNCEMENTS!$J$2:$J$180,0,0)),1,
IF(EXACT(I$1,
_xlfn.XLOOKUP($B144,ANNOUNCEMENTS!$N$2:$N$180,ANNOUNCEMENTS!$J$2:$J$180,0,0)),1,0))))</f>
        <v>0</v>
      </c>
      <c r="J144">
        <f>IF(EXACT(J$1,
_xlfn.XLOOKUP($B144,ANNOUNCEMENTS!$E$2:$E$180,ANNOUNCEMENTS!$J$2:$J$180,0,0)),1,
IF(EXACT(J$1,
_xlfn.XLOOKUP($B144,ANNOUNCEMENTS!$L$2:$L$180,ANNOUNCEMENTS!$J$2:$J$180,0,0)),1,
IF(EXACT(J$1,
_xlfn.XLOOKUP($B144,ANNOUNCEMENTS!$M$2:$M$180,ANNOUNCEMENTS!$J$2:$J$180,0,0)),1,
IF(EXACT(J$1,
_xlfn.XLOOKUP($B144,ANNOUNCEMENTS!$N$2:$N$180,ANNOUNCEMENTS!$J$2:$J$180,0,0)),1,0))))</f>
        <v>1</v>
      </c>
      <c r="K144">
        <f>IF(EXACT(K$1,
_xlfn.XLOOKUP($B144,ANNOUNCEMENTS!$E$2:$E$180,ANNOUNCEMENTS!$J$2:$J$180,0,0)),1,
IF(EXACT(K$1,
_xlfn.XLOOKUP($B144,ANNOUNCEMENTS!$L$2:$L$180,ANNOUNCEMENTS!$J$2:$J$180,0,0)),1,
IF(EXACT(K$1,
_xlfn.XLOOKUP($B144,ANNOUNCEMENTS!$M$2:$M$180,ANNOUNCEMENTS!$J$2:$J$180,0,0)),1,
IF(EXACT(K$1,
_xlfn.XLOOKUP($B144,ANNOUNCEMENTS!$N$2:$N$180,ANNOUNCEMENTS!$J$2:$J$180,0,0)),1,0))))</f>
        <v>0</v>
      </c>
      <c r="L144">
        <f>IF(EXACT(L$1,
_xlfn.XLOOKUP($B144,ANNOUNCEMENTS!$E$2:$E$180,ANNOUNCEMENTS!$J$2:$J$180,0,0)),1,
IF(EXACT(L$1,
_xlfn.XLOOKUP($B144,ANNOUNCEMENTS!$L$2:$L$180,ANNOUNCEMENTS!$J$2:$J$180,0,0)),1,
IF(EXACT(L$1,
_xlfn.XLOOKUP($B144,ANNOUNCEMENTS!$M$2:$M$180,ANNOUNCEMENTS!$J$2:$J$180,0,0)),1,
IF(EXACT(L$1,
_xlfn.XLOOKUP($B144,ANNOUNCEMENTS!$N$2:$N$180,ANNOUNCEMENTS!$J$2:$J$180,0,0)),1,0))))</f>
        <v>0</v>
      </c>
      <c r="M144">
        <f t="shared" si="10"/>
        <v>1</v>
      </c>
      <c r="N144" t="b">
        <v>0</v>
      </c>
      <c r="O144" s="284">
        <f t="shared" si="12"/>
        <v>22</v>
      </c>
    </row>
    <row r="145" spans="1:15" x14ac:dyDescent="0.35">
      <c r="A145">
        <f t="shared" si="11"/>
        <v>144</v>
      </c>
      <c r="B145" t="s">
        <v>668</v>
      </c>
      <c r="C145" t="s">
        <v>660</v>
      </c>
      <c r="D145">
        <v>0</v>
      </c>
      <c r="E145" s="107">
        <v>700</v>
      </c>
      <c r="F145">
        <v>1</v>
      </c>
      <c r="G145" t="str">
        <f>CBIMPORT!S145</f>
        <v>www.swissre.com</v>
      </c>
      <c r="H145">
        <f>IF(EXACT(H$1,
_xlfn.XLOOKUP($B145,ANNOUNCEMENTS!$E$2:$E$180,ANNOUNCEMENTS!$J$2:$J$180,0,0)),1,
IF(EXACT(H$1,
_xlfn.XLOOKUP($B145,ANNOUNCEMENTS!$L$2:$L$180,ANNOUNCEMENTS!$J$2:$J$180,0,0)),1,
IF(EXACT(H$1,
_xlfn.XLOOKUP($B145,ANNOUNCEMENTS!$M$2:$M$180,ANNOUNCEMENTS!$J$2:$J$180,0,0)),1,
IF(EXACT(H$1,
_xlfn.XLOOKUP($B145,ANNOUNCEMENTS!$N$2:$N$180,ANNOUNCEMENTS!$J$2:$J$180,0,0)),1,0))))</f>
        <v>0</v>
      </c>
      <c r="I145">
        <f>IF(EXACT(I$1,
_xlfn.XLOOKUP($B145,ANNOUNCEMENTS!$E$2:$E$180,ANNOUNCEMENTS!$J$2:$J$180,0,0)),1,
IF(EXACT(I$1,
_xlfn.XLOOKUP($B145,ANNOUNCEMENTS!$L$2:$L$180,ANNOUNCEMENTS!$J$2:$J$180,0,0)),1,
IF(EXACT(I$1,
_xlfn.XLOOKUP($B145,ANNOUNCEMENTS!$M$2:$M$180,ANNOUNCEMENTS!$J$2:$J$180,0,0)),1,
IF(EXACT(I$1,
_xlfn.XLOOKUP($B145,ANNOUNCEMENTS!$N$2:$N$180,ANNOUNCEMENTS!$J$2:$J$180,0,0)),1,0))))</f>
        <v>0</v>
      </c>
      <c r="J145">
        <f>IF(EXACT(J$1,
_xlfn.XLOOKUP($B145,ANNOUNCEMENTS!$E$2:$E$180,ANNOUNCEMENTS!$J$2:$J$180,0,0)),1,
IF(EXACT(J$1,
_xlfn.XLOOKUP($B145,ANNOUNCEMENTS!$L$2:$L$180,ANNOUNCEMENTS!$J$2:$J$180,0,0)),1,
IF(EXACT(J$1,
_xlfn.XLOOKUP($B145,ANNOUNCEMENTS!$M$2:$M$180,ANNOUNCEMENTS!$J$2:$J$180,0,0)),1,
IF(EXACT(J$1,
_xlfn.XLOOKUP($B145,ANNOUNCEMENTS!$N$2:$N$180,ANNOUNCEMENTS!$J$2:$J$180,0,0)),1,0))))</f>
        <v>0</v>
      </c>
      <c r="K145">
        <f>IF(EXACT(K$1,
_xlfn.XLOOKUP($B145,ANNOUNCEMENTS!$E$2:$E$180,ANNOUNCEMENTS!$J$2:$J$180,0,0)),1,
IF(EXACT(K$1,
_xlfn.XLOOKUP($B145,ANNOUNCEMENTS!$L$2:$L$180,ANNOUNCEMENTS!$J$2:$J$180,0,0)),1,
IF(EXACT(K$1,
_xlfn.XLOOKUP($B145,ANNOUNCEMENTS!$M$2:$M$180,ANNOUNCEMENTS!$J$2:$J$180,0,0)),1,
IF(EXACT(K$1,
_xlfn.XLOOKUP($B145,ANNOUNCEMENTS!$N$2:$N$180,ANNOUNCEMENTS!$J$2:$J$180,0,0)),1,0))))</f>
        <v>0</v>
      </c>
      <c r="L145">
        <f>IF(EXACT(L$1,
_xlfn.XLOOKUP($B145,ANNOUNCEMENTS!$E$2:$E$180,ANNOUNCEMENTS!$J$2:$J$180,0,0)),1,
IF(EXACT(L$1,
_xlfn.XLOOKUP($B145,ANNOUNCEMENTS!$L$2:$L$180,ANNOUNCEMENTS!$J$2:$J$180,0,0)),1,
IF(EXACT(L$1,
_xlfn.XLOOKUP($B145,ANNOUNCEMENTS!$M$2:$M$180,ANNOUNCEMENTS!$J$2:$J$180,0,0)),1,
IF(EXACT(L$1,
_xlfn.XLOOKUP($B145,ANNOUNCEMENTS!$N$2:$N$180,ANNOUNCEMENTS!$J$2:$J$180,0,0)),1,0))))</f>
        <v>1</v>
      </c>
      <c r="M145">
        <f t="shared" si="10"/>
        <v>1</v>
      </c>
      <c r="N145" t="b">
        <v>0</v>
      </c>
      <c r="O145" s="284">
        <f t="shared" si="12"/>
        <v>27</v>
      </c>
    </row>
    <row r="146" spans="1:15" x14ac:dyDescent="0.35">
      <c r="A146">
        <f t="shared" si="11"/>
        <v>145</v>
      </c>
      <c r="B146" t="s">
        <v>883</v>
      </c>
      <c r="C146" t="s">
        <v>653</v>
      </c>
      <c r="D146">
        <v>0</v>
      </c>
      <c r="E146" s="107">
        <v>535.00000000000011</v>
      </c>
      <c r="F146">
        <v>1</v>
      </c>
      <c r="G146" t="str">
        <f>CBIMPORT!S146</f>
        <v>www.teliacompany.com/</v>
      </c>
      <c r="H146">
        <f>IF(EXACT(H$1,
_xlfn.XLOOKUP($B146,ANNOUNCEMENTS!$E$2:$E$180,ANNOUNCEMENTS!$J$2:$J$180,0,0)),1,
IF(EXACT(H$1,
_xlfn.XLOOKUP($B146,ANNOUNCEMENTS!$L$2:$L$180,ANNOUNCEMENTS!$J$2:$J$180,0,0)),1,
IF(EXACT(H$1,
_xlfn.XLOOKUP($B146,ANNOUNCEMENTS!$M$2:$M$180,ANNOUNCEMENTS!$J$2:$J$180,0,0)),1,
IF(EXACT(H$1,
_xlfn.XLOOKUP($B146,ANNOUNCEMENTS!$N$2:$N$180,ANNOUNCEMENTS!$J$2:$J$180,0,0)),1,0))))</f>
        <v>0</v>
      </c>
      <c r="I146">
        <f>IF(EXACT(I$1,
_xlfn.XLOOKUP($B146,ANNOUNCEMENTS!$E$2:$E$180,ANNOUNCEMENTS!$J$2:$J$180,0,0)),1,
IF(EXACT(I$1,
_xlfn.XLOOKUP($B146,ANNOUNCEMENTS!$L$2:$L$180,ANNOUNCEMENTS!$J$2:$J$180,0,0)),1,
IF(EXACT(I$1,
_xlfn.XLOOKUP($B146,ANNOUNCEMENTS!$M$2:$M$180,ANNOUNCEMENTS!$J$2:$J$180,0,0)),1,
IF(EXACT(I$1,
_xlfn.XLOOKUP($B146,ANNOUNCEMENTS!$N$2:$N$180,ANNOUNCEMENTS!$J$2:$J$180,0,0)),1,0))))</f>
        <v>0</v>
      </c>
      <c r="J146">
        <f>IF(EXACT(J$1,
_xlfn.XLOOKUP($B146,ANNOUNCEMENTS!$E$2:$E$180,ANNOUNCEMENTS!$J$2:$J$180,0,0)),1,
IF(EXACT(J$1,
_xlfn.XLOOKUP($B146,ANNOUNCEMENTS!$L$2:$L$180,ANNOUNCEMENTS!$J$2:$J$180,0,0)),1,
IF(EXACT(J$1,
_xlfn.XLOOKUP($B146,ANNOUNCEMENTS!$M$2:$M$180,ANNOUNCEMENTS!$J$2:$J$180,0,0)),1,
IF(EXACT(J$1,
_xlfn.XLOOKUP($B146,ANNOUNCEMENTS!$N$2:$N$180,ANNOUNCEMENTS!$J$2:$J$180,0,0)),1,0))))</f>
        <v>1</v>
      </c>
      <c r="K146">
        <f>IF(EXACT(K$1,
_xlfn.XLOOKUP($B146,ANNOUNCEMENTS!$E$2:$E$180,ANNOUNCEMENTS!$J$2:$J$180,0,0)),1,
IF(EXACT(K$1,
_xlfn.XLOOKUP($B146,ANNOUNCEMENTS!$L$2:$L$180,ANNOUNCEMENTS!$J$2:$J$180,0,0)),1,
IF(EXACT(K$1,
_xlfn.XLOOKUP($B146,ANNOUNCEMENTS!$M$2:$M$180,ANNOUNCEMENTS!$J$2:$J$180,0,0)),1,
IF(EXACT(K$1,
_xlfn.XLOOKUP($B146,ANNOUNCEMENTS!$N$2:$N$180,ANNOUNCEMENTS!$J$2:$J$180,0,0)),1,0))))</f>
        <v>0</v>
      </c>
      <c r="L146">
        <f>IF(EXACT(L$1,
_xlfn.XLOOKUP($B146,ANNOUNCEMENTS!$E$2:$E$180,ANNOUNCEMENTS!$J$2:$J$180,0,0)),1,
IF(EXACT(L$1,
_xlfn.XLOOKUP($B146,ANNOUNCEMENTS!$L$2:$L$180,ANNOUNCEMENTS!$J$2:$J$180,0,0)),1,
IF(EXACT(L$1,
_xlfn.XLOOKUP($B146,ANNOUNCEMENTS!$M$2:$M$180,ANNOUNCEMENTS!$J$2:$J$180,0,0)),1,
IF(EXACT(L$1,
_xlfn.XLOOKUP($B146,ANNOUNCEMENTS!$N$2:$N$180,ANNOUNCEMENTS!$J$2:$J$180,0,0)),1,0))))</f>
        <v>0</v>
      </c>
      <c r="M146">
        <f t="shared" si="10"/>
        <v>1</v>
      </c>
      <c r="N146" t="b">
        <v>0</v>
      </c>
      <c r="O146" s="284">
        <f t="shared" si="12"/>
        <v>10</v>
      </c>
    </row>
    <row r="147" spans="1:15" x14ac:dyDescent="0.35">
      <c r="A147">
        <f t="shared" si="11"/>
        <v>146</v>
      </c>
      <c r="B147" t="s">
        <v>1966</v>
      </c>
      <c r="C147" t="s">
        <v>398</v>
      </c>
      <c r="D147">
        <v>0</v>
      </c>
      <c r="E147" s="107">
        <v>0</v>
      </c>
      <c r="F147">
        <v>0</v>
      </c>
      <c r="G147" t="str">
        <f>CBIMPORT!S147</f>
        <v>www.transport.nsw.gov.au</v>
      </c>
      <c r="H147">
        <f>IF(EXACT(H$1,
_xlfn.XLOOKUP($B147,ANNOUNCEMENTS!$E$2:$E$180,ANNOUNCEMENTS!$J$2:$J$180,0,0)),1,
IF(EXACT(H$1,
_xlfn.XLOOKUP($B147,ANNOUNCEMENTS!$L$2:$L$180,ANNOUNCEMENTS!$J$2:$J$180,0,0)),1,
IF(EXACT(H$1,
_xlfn.XLOOKUP($B147,ANNOUNCEMENTS!$M$2:$M$180,ANNOUNCEMENTS!$J$2:$J$180,0,0)),1,
IF(EXACT(H$1,
_xlfn.XLOOKUP($B147,ANNOUNCEMENTS!$N$2:$N$180,ANNOUNCEMENTS!$J$2:$J$180,0,0)),1,0))))</f>
        <v>0</v>
      </c>
      <c r="I147">
        <f>IF(EXACT(I$1,
_xlfn.XLOOKUP($B147,ANNOUNCEMENTS!$E$2:$E$180,ANNOUNCEMENTS!$J$2:$J$180,0,0)),1,
IF(EXACT(I$1,
_xlfn.XLOOKUP($B147,ANNOUNCEMENTS!$L$2:$L$180,ANNOUNCEMENTS!$J$2:$J$180,0,0)),1,
IF(EXACT(I$1,
_xlfn.XLOOKUP($B147,ANNOUNCEMENTS!$M$2:$M$180,ANNOUNCEMENTS!$J$2:$J$180,0,0)),1,
IF(EXACT(I$1,
_xlfn.XLOOKUP($B147,ANNOUNCEMENTS!$N$2:$N$180,ANNOUNCEMENTS!$J$2:$J$180,0,0)),1,0))))</f>
        <v>1</v>
      </c>
      <c r="J147">
        <f>IF(EXACT(J$1,
_xlfn.XLOOKUP($B147,ANNOUNCEMENTS!$E$2:$E$180,ANNOUNCEMENTS!$J$2:$J$180,0,0)),1,
IF(EXACT(J$1,
_xlfn.XLOOKUP($B147,ANNOUNCEMENTS!$L$2:$L$180,ANNOUNCEMENTS!$J$2:$J$180,0,0)),1,
IF(EXACT(J$1,
_xlfn.XLOOKUP($B147,ANNOUNCEMENTS!$M$2:$M$180,ANNOUNCEMENTS!$J$2:$J$180,0,0)),1,
IF(EXACT(J$1,
_xlfn.XLOOKUP($B147,ANNOUNCEMENTS!$N$2:$N$180,ANNOUNCEMENTS!$J$2:$J$180,0,0)),1,0))))</f>
        <v>0</v>
      </c>
      <c r="K147">
        <f>IF(EXACT(K$1,
_xlfn.XLOOKUP($B147,ANNOUNCEMENTS!$E$2:$E$180,ANNOUNCEMENTS!$J$2:$J$180,0,0)),1,
IF(EXACT(K$1,
_xlfn.XLOOKUP($B147,ANNOUNCEMENTS!$L$2:$L$180,ANNOUNCEMENTS!$J$2:$J$180,0,0)),1,
IF(EXACT(K$1,
_xlfn.XLOOKUP($B147,ANNOUNCEMENTS!$M$2:$M$180,ANNOUNCEMENTS!$J$2:$J$180,0,0)),1,
IF(EXACT(K$1,
_xlfn.XLOOKUP($B147,ANNOUNCEMENTS!$N$2:$N$180,ANNOUNCEMENTS!$J$2:$J$180,0,0)),1,0))))</f>
        <v>0</v>
      </c>
      <c r="L147">
        <f>IF(EXACT(L$1,
_xlfn.XLOOKUP($B147,ANNOUNCEMENTS!$E$2:$E$180,ANNOUNCEMENTS!$J$2:$J$180,0,0)),1,
IF(EXACT(L$1,
_xlfn.XLOOKUP($B147,ANNOUNCEMENTS!$L$2:$L$180,ANNOUNCEMENTS!$J$2:$J$180,0,0)),1,
IF(EXACT(L$1,
_xlfn.XLOOKUP($B147,ANNOUNCEMENTS!$M$2:$M$180,ANNOUNCEMENTS!$J$2:$J$180,0,0)),1,
IF(EXACT(L$1,
_xlfn.XLOOKUP($B147,ANNOUNCEMENTS!$N$2:$N$180,ANNOUNCEMENTS!$J$2:$J$180,0,0)),1,0))))</f>
        <v>0</v>
      </c>
      <c r="M147">
        <f t="shared" si="10"/>
        <v>1</v>
      </c>
      <c r="N147" t="b">
        <v>0</v>
      </c>
      <c r="O147" s="284">
        <f t="shared" si="12"/>
        <v>13</v>
      </c>
    </row>
    <row r="148" spans="1:15" x14ac:dyDescent="0.35">
      <c r="A148">
        <f t="shared" si="11"/>
        <v>147</v>
      </c>
      <c r="B148" t="s">
        <v>1982</v>
      </c>
      <c r="C148" t="s">
        <v>436</v>
      </c>
      <c r="D148">
        <v>0</v>
      </c>
      <c r="E148" s="107">
        <v>0</v>
      </c>
      <c r="F148">
        <v>0</v>
      </c>
      <c r="G148" t="str">
        <f>CBIMPORT!S148</f>
        <v>adcouncil.org/</v>
      </c>
      <c r="H148">
        <f>IF(EXACT(H$1,
_xlfn.XLOOKUP($B148,ANNOUNCEMENTS!$E$2:$E$180,ANNOUNCEMENTS!$J$2:$J$180,0,0)),1,
IF(EXACT(H$1,
_xlfn.XLOOKUP($B148,ANNOUNCEMENTS!$L$2:$L$180,ANNOUNCEMENTS!$J$2:$J$180,0,0)),1,
IF(EXACT(H$1,
_xlfn.XLOOKUP($B148,ANNOUNCEMENTS!$M$2:$M$180,ANNOUNCEMENTS!$J$2:$J$180,0,0)),1,
IF(EXACT(H$1,
_xlfn.XLOOKUP($B148,ANNOUNCEMENTS!$N$2:$N$180,ANNOUNCEMENTS!$J$2:$J$180,0,0)),1,0))))</f>
        <v>0</v>
      </c>
      <c r="I148">
        <f>IF(EXACT(I$1,
_xlfn.XLOOKUP($B148,ANNOUNCEMENTS!$E$2:$E$180,ANNOUNCEMENTS!$J$2:$J$180,0,0)),1,
IF(EXACT(I$1,
_xlfn.XLOOKUP($B148,ANNOUNCEMENTS!$L$2:$L$180,ANNOUNCEMENTS!$J$2:$J$180,0,0)),1,
IF(EXACT(I$1,
_xlfn.XLOOKUP($B148,ANNOUNCEMENTS!$M$2:$M$180,ANNOUNCEMENTS!$J$2:$J$180,0,0)),1,
IF(EXACT(I$1,
_xlfn.XLOOKUP($B148,ANNOUNCEMENTS!$N$2:$N$180,ANNOUNCEMENTS!$J$2:$J$180,0,0)),1,0))))</f>
        <v>0</v>
      </c>
      <c r="J148">
        <f>IF(EXACT(J$1,
_xlfn.XLOOKUP($B148,ANNOUNCEMENTS!$E$2:$E$180,ANNOUNCEMENTS!$J$2:$J$180,0,0)),1,
IF(EXACT(J$1,
_xlfn.XLOOKUP($B148,ANNOUNCEMENTS!$L$2:$L$180,ANNOUNCEMENTS!$J$2:$J$180,0,0)),1,
IF(EXACT(J$1,
_xlfn.XLOOKUP($B148,ANNOUNCEMENTS!$M$2:$M$180,ANNOUNCEMENTS!$J$2:$J$180,0,0)),1,
IF(EXACT(J$1,
_xlfn.XLOOKUP($B148,ANNOUNCEMENTS!$N$2:$N$180,ANNOUNCEMENTS!$J$2:$J$180,0,0)),1,0))))</f>
        <v>0</v>
      </c>
      <c r="K148">
        <f>IF(EXACT(K$1,
_xlfn.XLOOKUP($B148,ANNOUNCEMENTS!$E$2:$E$180,ANNOUNCEMENTS!$J$2:$J$180,0,0)),1,
IF(EXACT(K$1,
_xlfn.XLOOKUP($B148,ANNOUNCEMENTS!$L$2:$L$180,ANNOUNCEMENTS!$J$2:$J$180,0,0)),1,
IF(EXACT(K$1,
_xlfn.XLOOKUP($B148,ANNOUNCEMENTS!$M$2:$M$180,ANNOUNCEMENTS!$J$2:$J$180,0,0)),1,
IF(EXACT(K$1,
_xlfn.XLOOKUP($B148,ANNOUNCEMENTS!$N$2:$N$180,ANNOUNCEMENTS!$J$2:$J$180,0,0)),1,0))))</f>
        <v>1</v>
      </c>
      <c r="L148">
        <f>IF(EXACT(L$1,
_xlfn.XLOOKUP($B148,ANNOUNCEMENTS!$E$2:$E$180,ANNOUNCEMENTS!$J$2:$J$180,0,0)),1,
IF(EXACT(L$1,
_xlfn.XLOOKUP($B148,ANNOUNCEMENTS!$L$2:$L$180,ANNOUNCEMENTS!$J$2:$J$180,0,0)),1,
IF(EXACT(L$1,
_xlfn.XLOOKUP($B148,ANNOUNCEMENTS!$M$2:$M$180,ANNOUNCEMENTS!$J$2:$J$180,0,0)),1,
IF(EXACT(L$1,
_xlfn.XLOOKUP($B148,ANNOUNCEMENTS!$N$2:$N$180,ANNOUNCEMENTS!$J$2:$J$180,0,0)),1,0))))</f>
        <v>0</v>
      </c>
      <c r="M148">
        <f t="shared" si="10"/>
        <v>1</v>
      </c>
      <c r="N148" t="b">
        <v>0</v>
      </c>
      <c r="O148" s="284">
        <f t="shared" si="12"/>
        <v>34</v>
      </c>
    </row>
    <row r="149" spans="1:15" x14ac:dyDescent="0.35">
      <c r="A149">
        <f t="shared" si="11"/>
        <v>148</v>
      </c>
      <c r="B149" t="s">
        <v>774</v>
      </c>
      <c r="C149" t="s">
        <v>490</v>
      </c>
      <c r="D149">
        <v>0</v>
      </c>
      <c r="E149" s="107">
        <v>0</v>
      </c>
      <c r="F149">
        <v>0</v>
      </c>
      <c r="G149" t="str">
        <f>CBIMPORT!S149</f>
        <v>www.toyota.com</v>
      </c>
      <c r="H149">
        <f>IF(EXACT(H$1,
_xlfn.XLOOKUP($B149,ANNOUNCEMENTS!$E$2:$E$180,ANNOUNCEMENTS!$J$2:$J$180,0,0)),1,
IF(EXACT(H$1,
_xlfn.XLOOKUP($B149,ANNOUNCEMENTS!$L$2:$L$180,ANNOUNCEMENTS!$J$2:$J$180,0,0)),1,
IF(EXACT(H$1,
_xlfn.XLOOKUP($B149,ANNOUNCEMENTS!$M$2:$M$180,ANNOUNCEMENTS!$J$2:$J$180,0,0)),1,
IF(EXACT(H$1,
_xlfn.XLOOKUP($B149,ANNOUNCEMENTS!$N$2:$N$180,ANNOUNCEMENTS!$J$2:$J$180,0,0)),1,0))))</f>
        <v>0</v>
      </c>
      <c r="I149">
        <f>IF(EXACT(I$1,
_xlfn.XLOOKUP($B149,ANNOUNCEMENTS!$E$2:$E$180,ANNOUNCEMENTS!$J$2:$J$180,0,0)),1,
IF(EXACT(I$1,
_xlfn.XLOOKUP($B149,ANNOUNCEMENTS!$L$2:$L$180,ANNOUNCEMENTS!$J$2:$J$180,0,0)),1,
IF(EXACT(I$1,
_xlfn.XLOOKUP($B149,ANNOUNCEMENTS!$M$2:$M$180,ANNOUNCEMENTS!$J$2:$J$180,0,0)),1,
IF(EXACT(I$1,
_xlfn.XLOOKUP($B149,ANNOUNCEMENTS!$N$2:$N$180,ANNOUNCEMENTS!$J$2:$J$180,0,0)),1,0))))</f>
        <v>1</v>
      </c>
      <c r="J149">
        <f>IF(EXACT(J$1,
_xlfn.XLOOKUP($B149,ANNOUNCEMENTS!$E$2:$E$180,ANNOUNCEMENTS!$J$2:$J$180,0,0)),1,
IF(EXACT(J$1,
_xlfn.XLOOKUP($B149,ANNOUNCEMENTS!$L$2:$L$180,ANNOUNCEMENTS!$J$2:$J$180,0,0)),1,
IF(EXACT(J$1,
_xlfn.XLOOKUP($B149,ANNOUNCEMENTS!$M$2:$M$180,ANNOUNCEMENTS!$J$2:$J$180,0,0)),1,
IF(EXACT(J$1,
_xlfn.XLOOKUP($B149,ANNOUNCEMENTS!$N$2:$N$180,ANNOUNCEMENTS!$J$2:$J$180,0,0)),1,0))))</f>
        <v>0</v>
      </c>
      <c r="K149">
        <f>IF(EXACT(K$1,
_xlfn.XLOOKUP($B149,ANNOUNCEMENTS!$E$2:$E$180,ANNOUNCEMENTS!$J$2:$J$180,0,0)),1,
IF(EXACT(K$1,
_xlfn.XLOOKUP($B149,ANNOUNCEMENTS!$L$2:$L$180,ANNOUNCEMENTS!$J$2:$J$180,0,0)),1,
IF(EXACT(K$1,
_xlfn.XLOOKUP($B149,ANNOUNCEMENTS!$M$2:$M$180,ANNOUNCEMENTS!$J$2:$J$180,0,0)),1,
IF(EXACT(K$1,
_xlfn.XLOOKUP($B149,ANNOUNCEMENTS!$N$2:$N$180,ANNOUNCEMENTS!$J$2:$J$180,0,0)),1,0))))</f>
        <v>0</v>
      </c>
      <c r="L149">
        <f>IF(EXACT(L$1,
_xlfn.XLOOKUP($B149,ANNOUNCEMENTS!$E$2:$E$180,ANNOUNCEMENTS!$J$2:$J$180,0,0)),1,
IF(EXACT(L$1,
_xlfn.XLOOKUP($B149,ANNOUNCEMENTS!$L$2:$L$180,ANNOUNCEMENTS!$J$2:$J$180,0,0)),1,
IF(EXACT(L$1,
_xlfn.XLOOKUP($B149,ANNOUNCEMENTS!$M$2:$M$180,ANNOUNCEMENTS!$J$2:$J$180,0,0)),1,
IF(EXACT(L$1,
_xlfn.XLOOKUP($B149,ANNOUNCEMENTS!$N$2:$N$180,ANNOUNCEMENTS!$J$2:$J$180,0,0)),1,0))))</f>
        <v>0</v>
      </c>
      <c r="M149">
        <f t="shared" si="10"/>
        <v>1</v>
      </c>
      <c r="N149" t="b">
        <v>0</v>
      </c>
      <c r="O149" s="284">
        <f t="shared" si="12"/>
        <v>11</v>
      </c>
    </row>
    <row r="150" spans="1:15" x14ac:dyDescent="0.35">
      <c r="A150">
        <f t="shared" si="11"/>
        <v>149</v>
      </c>
      <c r="B150" t="s">
        <v>1972</v>
      </c>
      <c r="C150" t="s">
        <v>398</v>
      </c>
      <c r="D150">
        <v>0</v>
      </c>
      <c r="E150" s="107">
        <v>0</v>
      </c>
      <c r="F150">
        <v>0</v>
      </c>
      <c r="G150" t="str">
        <f>CBIMPORT!S150</f>
        <v>www.transurban.com/</v>
      </c>
      <c r="H150">
        <f>IF(EXACT(H$1,
_xlfn.XLOOKUP($B150,ANNOUNCEMENTS!$E$2:$E$180,ANNOUNCEMENTS!$J$2:$J$180,0,0)),1,
IF(EXACT(H$1,
_xlfn.XLOOKUP($B150,ANNOUNCEMENTS!$L$2:$L$180,ANNOUNCEMENTS!$J$2:$J$180,0,0)),1,
IF(EXACT(H$1,
_xlfn.XLOOKUP($B150,ANNOUNCEMENTS!$M$2:$M$180,ANNOUNCEMENTS!$J$2:$J$180,0,0)),1,
IF(EXACT(H$1,
_xlfn.XLOOKUP($B150,ANNOUNCEMENTS!$N$2:$N$180,ANNOUNCEMENTS!$J$2:$J$180,0,0)),1,0))))</f>
        <v>0</v>
      </c>
      <c r="I150">
        <f>IF(EXACT(I$1,
_xlfn.XLOOKUP($B150,ANNOUNCEMENTS!$E$2:$E$180,ANNOUNCEMENTS!$J$2:$J$180,0,0)),1,
IF(EXACT(I$1,
_xlfn.XLOOKUP($B150,ANNOUNCEMENTS!$L$2:$L$180,ANNOUNCEMENTS!$J$2:$J$180,0,0)),1,
IF(EXACT(I$1,
_xlfn.XLOOKUP($B150,ANNOUNCEMENTS!$M$2:$M$180,ANNOUNCEMENTS!$J$2:$J$180,0,0)),1,
IF(EXACT(I$1,
_xlfn.XLOOKUP($B150,ANNOUNCEMENTS!$N$2:$N$180,ANNOUNCEMENTS!$J$2:$J$180,0,0)),1,0))))</f>
        <v>0</v>
      </c>
      <c r="J150">
        <f>IF(EXACT(J$1,
_xlfn.XLOOKUP($B150,ANNOUNCEMENTS!$E$2:$E$180,ANNOUNCEMENTS!$J$2:$J$180,0,0)),1,
IF(EXACT(J$1,
_xlfn.XLOOKUP($B150,ANNOUNCEMENTS!$L$2:$L$180,ANNOUNCEMENTS!$J$2:$J$180,0,0)),1,
IF(EXACT(J$1,
_xlfn.XLOOKUP($B150,ANNOUNCEMENTS!$M$2:$M$180,ANNOUNCEMENTS!$J$2:$J$180,0,0)),1,
IF(EXACT(J$1,
_xlfn.XLOOKUP($B150,ANNOUNCEMENTS!$N$2:$N$180,ANNOUNCEMENTS!$J$2:$J$180,0,0)),1,0))))</f>
        <v>1</v>
      </c>
      <c r="K150">
        <f>IF(EXACT(K$1,
_xlfn.XLOOKUP($B150,ANNOUNCEMENTS!$E$2:$E$180,ANNOUNCEMENTS!$J$2:$J$180,0,0)),1,
IF(EXACT(K$1,
_xlfn.XLOOKUP($B150,ANNOUNCEMENTS!$L$2:$L$180,ANNOUNCEMENTS!$J$2:$J$180,0,0)),1,
IF(EXACT(K$1,
_xlfn.XLOOKUP($B150,ANNOUNCEMENTS!$M$2:$M$180,ANNOUNCEMENTS!$J$2:$J$180,0,0)),1,
IF(EXACT(K$1,
_xlfn.XLOOKUP($B150,ANNOUNCEMENTS!$N$2:$N$180,ANNOUNCEMENTS!$J$2:$J$180,0,0)),1,0))))</f>
        <v>0</v>
      </c>
      <c r="L150">
        <f>IF(EXACT(L$1,
_xlfn.XLOOKUP($B150,ANNOUNCEMENTS!$E$2:$E$180,ANNOUNCEMENTS!$J$2:$J$180,0,0)),1,
IF(EXACT(L$1,
_xlfn.XLOOKUP($B150,ANNOUNCEMENTS!$L$2:$L$180,ANNOUNCEMENTS!$J$2:$J$180,0,0)),1,
IF(EXACT(L$1,
_xlfn.XLOOKUP($B150,ANNOUNCEMENTS!$M$2:$M$180,ANNOUNCEMENTS!$J$2:$J$180,0,0)),1,
IF(EXACT(L$1,
_xlfn.XLOOKUP($B150,ANNOUNCEMENTS!$N$2:$N$180,ANNOUNCEMENTS!$J$2:$J$180,0,0)),1,0))))</f>
        <v>0</v>
      </c>
      <c r="M150">
        <f t="shared" si="10"/>
        <v>1</v>
      </c>
      <c r="N150" t="b">
        <v>0</v>
      </c>
      <c r="O150" s="284">
        <f t="shared" si="12"/>
        <v>13</v>
      </c>
    </row>
    <row r="151" spans="1:15" x14ac:dyDescent="0.35">
      <c r="A151">
        <f t="shared" si="11"/>
        <v>150</v>
      </c>
      <c r="B151" t="s">
        <v>806</v>
      </c>
      <c r="C151" t="s">
        <v>784</v>
      </c>
      <c r="D151">
        <v>0</v>
      </c>
      <c r="E151" s="107">
        <v>0</v>
      </c>
      <c r="F151">
        <v>1</v>
      </c>
      <c r="G151" t="str">
        <f>CBIMPORT!S151</f>
        <v>www.traton.com</v>
      </c>
      <c r="H151">
        <f>IF(EXACT(H$1,
_xlfn.XLOOKUP($B151,ANNOUNCEMENTS!$E$2:$E$180,ANNOUNCEMENTS!$J$2:$J$180,0,0)),1,
IF(EXACT(H$1,
_xlfn.XLOOKUP($B151,ANNOUNCEMENTS!$L$2:$L$180,ANNOUNCEMENTS!$J$2:$J$180,0,0)),1,
IF(EXACT(H$1,
_xlfn.XLOOKUP($B151,ANNOUNCEMENTS!$M$2:$M$180,ANNOUNCEMENTS!$J$2:$J$180,0,0)),1,
IF(EXACT(H$1,
_xlfn.XLOOKUP($B151,ANNOUNCEMENTS!$N$2:$N$180,ANNOUNCEMENTS!$J$2:$J$180,0,0)),1,0))))</f>
        <v>0</v>
      </c>
      <c r="I151">
        <f>IF(EXACT(I$1,
_xlfn.XLOOKUP($B151,ANNOUNCEMENTS!$E$2:$E$180,ANNOUNCEMENTS!$J$2:$J$180,0,0)),1,
IF(EXACT(I$1,
_xlfn.XLOOKUP($B151,ANNOUNCEMENTS!$L$2:$L$180,ANNOUNCEMENTS!$J$2:$J$180,0,0)),1,
IF(EXACT(I$1,
_xlfn.XLOOKUP($B151,ANNOUNCEMENTS!$M$2:$M$180,ANNOUNCEMENTS!$J$2:$J$180,0,0)),1,
IF(EXACT(I$1,
_xlfn.XLOOKUP($B151,ANNOUNCEMENTS!$N$2:$N$180,ANNOUNCEMENTS!$J$2:$J$180,0,0)),1,0))))</f>
        <v>0</v>
      </c>
      <c r="J151">
        <f>IF(EXACT(J$1,
_xlfn.XLOOKUP($B151,ANNOUNCEMENTS!$E$2:$E$180,ANNOUNCEMENTS!$J$2:$J$180,0,0)),1,
IF(EXACT(J$1,
_xlfn.XLOOKUP($B151,ANNOUNCEMENTS!$L$2:$L$180,ANNOUNCEMENTS!$J$2:$J$180,0,0)),1,
IF(EXACT(J$1,
_xlfn.XLOOKUP($B151,ANNOUNCEMENTS!$M$2:$M$180,ANNOUNCEMENTS!$J$2:$J$180,0,0)),1,
IF(EXACT(J$1,
_xlfn.XLOOKUP($B151,ANNOUNCEMENTS!$N$2:$N$180,ANNOUNCEMENTS!$J$2:$J$180,0,0)),1,0))))</f>
        <v>1</v>
      </c>
      <c r="K151">
        <f>IF(EXACT(K$1,
_xlfn.XLOOKUP($B151,ANNOUNCEMENTS!$E$2:$E$180,ANNOUNCEMENTS!$J$2:$J$180,0,0)),1,
IF(EXACT(K$1,
_xlfn.XLOOKUP($B151,ANNOUNCEMENTS!$L$2:$L$180,ANNOUNCEMENTS!$J$2:$J$180,0,0)),1,
IF(EXACT(K$1,
_xlfn.XLOOKUP($B151,ANNOUNCEMENTS!$M$2:$M$180,ANNOUNCEMENTS!$J$2:$J$180,0,0)),1,
IF(EXACT(K$1,
_xlfn.XLOOKUP($B151,ANNOUNCEMENTS!$N$2:$N$180,ANNOUNCEMENTS!$J$2:$J$180,0,0)),1,0))))</f>
        <v>0</v>
      </c>
      <c r="L151">
        <f>IF(EXACT(L$1,
_xlfn.XLOOKUP($B151,ANNOUNCEMENTS!$E$2:$E$180,ANNOUNCEMENTS!$J$2:$J$180,0,0)),1,
IF(EXACT(L$1,
_xlfn.XLOOKUP($B151,ANNOUNCEMENTS!$L$2:$L$180,ANNOUNCEMENTS!$J$2:$J$180,0,0)),1,
IF(EXACT(L$1,
_xlfn.XLOOKUP($B151,ANNOUNCEMENTS!$M$2:$M$180,ANNOUNCEMENTS!$J$2:$J$180,0,0)),1,
IF(EXACT(L$1,
_xlfn.XLOOKUP($B151,ANNOUNCEMENTS!$N$2:$N$180,ANNOUNCEMENTS!$J$2:$J$180,0,0)),1,0))))</f>
        <v>0</v>
      </c>
      <c r="M151">
        <f t="shared" si="10"/>
        <v>1</v>
      </c>
      <c r="N151" t="b">
        <v>0</v>
      </c>
      <c r="O151" s="284">
        <f t="shared" si="12"/>
        <v>12</v>
      </c>
    </row>
    <row r="152" spans="1:15" x14ac:dyDescent="0.35">
      <c r="A152">
        <f t="shared" si="11"/>
        <v>151</v>
      </c>
      <c r="B152" t="s">
        <v>808</v>
      </c>
      <c r="C152" t="s">
        <v>784</v>
      </c>
      <c r="D152">
        <v>0</v>
      </c>
      <c r="E152" s="107">
        <v>11.2</v>
      </c>
      <c r="F152">
        <v>0</v>
      </c>
      <c r="G152" t="str">
        <f>CBIMPORT!S152</f>
        <v>www.tropostech.com/</v>
      </c>
      <c r="H152">
        <f>IF(EXACT(H$1,
_xlfn.XLOOKUP($B152,ANNOUNCEMENTS!$E$2:$E$180,ANNOUNCEMENTS!$J$2:$J$180,0,0)),1,
IF(EXACT(H$1,
_xlfn.XLOOKUP($B152,ANNOUNCEMENTS!$L$2:$L$180,ANNOUNCEMENTS!$J$2:$J$180,0,0)),1,
IF(EXACT(H$1,
_xlfn.XLOOKUP($B152,ANNOUNCEMENTS!$M$2:$M$180,ANNOUNCEMENTS!$J$2:$J$180,0,0)),1,
IF(EXACT(H$1,
_xlfn.XLOOKUP($B152,ANNOUNCEMENTS!$N$2:$N$180,ANNOUNCEMENTS!$J$2:$J$180,0,0)),1,0))))</f>
        <v>1</v>
      </c>
      <c r="I152">
        <f>IF(EXACT(I$1,
_xlfn.XLOOKUP($B152,ANNOUNCEMENTS!$E$2:$E$180,ANNOUNCEMENTS!$J$2:$J$180,0,0)),1,
IF(EXACT(I$1,
_xlfn.XLOOKUP($B152,ANNOUNCEMENTS!$L$2:$L$180,ANNOUNCEMENTS!$J$2:$J$180,0,0)),1,
IF(EXACT(I$1,
_xlfn.XLOOKUP($B152,ANNOUNCEMENTS!$M$2:$M$180,ANNOUNCEMENTS!$J$2:$J$180,0,0)),1,
IF(EXACT(I$1,
_xlfn.XLOOKUP($B152,ANNOUNCEMENTS!$N$2:$N$180,ANNOUNCEMENTS!$J$2:$J$180,0,0)),1,0))))</f>
        <v>0</v>
      </c>
      <c r="J152">
        <f>IF(EXACT(J$1,
_xlfn.XLOOKUP($B152,ANNOUNCEMENTS!$E$2:$E$180,ANNOUNCEMENTS!$J$2:$J$180,0,0)),1,
IF(EXACT(J$1,
_xlfn.XLOOKUP($B152,ANNOUNCEMENTS!$L$2:$L$180,ANNOUNCEMENTS!$J$2:$J$180,0,0)),1,
IF(EXACT(J$1,
_xlfn.XLOOKUP($B152,ANNOUNCEMENTS!$M$2:$M$180,ANNOUNCEMENTS!$J$2:$J$180,0,0)),1,
IF(EXACT(J$1,
_xlfn.XLOOKUP($B152,ANNOUNCEMENTS!$N$2:$N$180,ANNOUNCEMENTS!$J$2:$J$180,0,0)),1,0))))</f>
        <v>0</v>
      </c>
      <c r="K152">
        <f>IF(EXACT(K$1,
_xlfn.XLOOKUP($B152,ANNOUNCEMENTS!$E$2:$E$180,ANNOUNCEMENTS!$J$2:$J$180,0,0)),1,
IF(EXACT(K$1,
_xlfn.XLOOKUP($B152,ANNOUNCEMENTS!$L$2:$L$180,ANNOUNCEMENTS!$J$2:$J$180,0,0)),1,
IF(EXACT(K$1,
_xlfn.XLOOKUP($B152,ANNOUNCEMENTS!$M$2:$M$180,ANNOUNCEMENTS!$J$2:$J$180,0,0)),1,
IF(EXACT(K$1,
_xlfn.XLOOKUP($B152,ANNOUNCEMENTS!$N$2:$N$180,ANNOUNCEMENTS!$J$2:$J$180,0,0)),1,0))))</f>
        <v>0</v>
      </c>
      <c r="L152">
        <f>IF(EXACT(L$1,
_xlfn.XLOOKUP($B152,ANNOUNCEMENTS!$E$2:$E$180,ANNOUNCEMENTS!$J$2:$J$180,0,0)),1,
IF(EXACT(L$1,
_xlfn.XLOOKUP($B152,ANNOUNCEMENTS!$L$2:$L$180,ANNOUNCEMENTS!$J$2:$J$180,0,0)),1,
IF(EXACT(L$1,
_xlfn.XLOOKUP($B152,ANNOUNCEMENTS!$M$2:$M$180,ANNOUNCEMENTS!$J$2:$J$180,0,0)),1,
IF(EXACT(L$1,
_xlfn.XLOOKUP($B152,ANNOUNCEMENTS!$N$2:$N$180,ANNOUNCEMENTS!$J$2:$J$180,0,0)),1,0))))</f>
        <v>0</v>
      </c>
      <c r="M152">
        <f t="shared" si="10"/>
        <v>1</v>
      </c>
      <c r="N152" t="b">
        <v>0</v>
      </c>
      <c r="O152" s="284">
        <f t="shared" si="12"/>
        <v>12</v>
      </c>
    </row>
    <row r="153" spans="1:15" x14ac:dyDescent="0.35">
      <c r="A153">
        <f t="shared" si="11"/>
        <v>152</v>
      </c>
      <c r="B153" t="s">
        <v>568</v>
      </c>
      <c r="C153" t="s">
        <v>564</v>
      </c>
      <c r="D153">
        <v>0</v>
      </c>
      <c r="E153" s="107">
        <v>12.42103</v>
      </c>
      <c r="F153">
        <v>0</v>
      </c>
      <c r="G153" t="str">
        <f>CBIMPORT!S153</f>
        <v>trust-in-soft.com</v>
      </c>
      <c r="H153">
        <f>IF(EXACT(H$1,
_xlfn.XLOOKUP($B153,ANNOUNCEMENTS!$E$2:$E$180,ANNOUNCEMENTS!$J$2:$J$180,0,0)),1,
IF(EXACT(H$1,
_xlfn.XLOOKUP($B153,ANNOUNCEMENTS!$L$2:$L$180,ANNOUNCEMENTS!$J$2:$J$180,0,0)),1,
IF(EXACT(H$1,
_xlfn.XLOOKUP($B153,ANNOUNCEMENTS!$M$2:$M$180,ANNOUNCEMENTS!$J$2:$J$180,0,0)),1,
IF(EXACT(H$1,
_xlfn.XLOOKUP($B153,ANNOUNCEMENTS!$N$2:$N$180,ANNOUNCEMENTS!$J$2:$J$180,0,0)),1,0))))</f>
        <v>1</v>
      </c>
      <c r="I153">
        <f>IF(EXACT(I$1,
_xlfn.XLOOKUP($B153,ANNOUNCEMENTS!$E$2:$E$180,ANNOUNCEMENTS!$J$2:$J$180,0,0)),1,
IF(EXACT(I$1,
_xlfn.XLOOKUP($B153,ANNOUNCEMENTS!$L$2:$L$180,ANNOUNCEMENTS!$J$2:$J$180,0,0)),1,
IF(EXACT(I$1,
_xlfn.XLOOKUP($B153,ANNOUNCEMENTS!$M$2:$M$180,ANNOUNCEMENTS!$J$2:$J$180,0,0)),1,
IF(EXACT(I$1,
_xlfn.XLOOKUP($B153,ANNOUNCEMENTS!$N$2:$N$180,ANNOUNCEMENTS!$J$2:$J$180,0,0)),1,0))))</f>
        <v>0</v>
      </c>
      <c r="J153">
        <f>IF(EXACT(J$1,
_xlfn.XLOOKUP($B153,ANNOUNCEMENTS!$E$2:$E$180,ANNOUNCEMENTS!$J$2:$J$180,0,0)),1,
IF(EXACT(J$1,
_xlfn.XLOOKUP($B153,ANNOUNCEMENTS!$L$2:$L$180,ANNOUNCEMENTS!$J$2:$J$180,0,0)),1,
IF(EXACT(J$1,
_xlfn.XLOOKUP($B153,ANNOUNCEMENTS!$M$2:$M$180,ANNOUNCEMENTS!$J$2:$J$180,0,0)),1,
IF(EXACT(J$1,
_xlfn.XLOOKUP($B153,ANNOUNCEMENTS!$N$2:$N$180,ANNOUNCEMENTS!$J$2:$J$180,0,0)),1,0))))</f>
        <v>0</v>
      </c>
      <c r="K153">
        <f>IF(EXACT(K$1,
_xlfn.XLOOKUP($B153,ANNOUNCEMENTS!$E$2:$E$180,ANNOUNCEMENTS!$J$2:$J$180,0,0)),1,
IF(EXACT(K$1,
_xlfn.XLOOKUP($B153,ANNOUNCEMENTS!$L$2:$L$180,ANNOUNCEMENTS!$J$2:$J$180,0,0)),1,
IF(EXACT(K$1,
_xlfn.XLOOKUP($B153,ANNOUNCEMENTS!$M$2:$M$180,ANNOUNCEMENTS!$J$2:$J$180,0,0)),1,
IF(EXACT(K$1,
_xlfn.XLOOKUP($B153,ANNOUNCEMENTS!$N$2:$N$180,ANNOUNCEMENTS!$J$2:$J$180,0,0)),1,0))))</f>
        <v>0</v>
      </c>
      <c r="L153">
        <f>IF(EXACT(L$1,
_xlfn.XLOOKUP($B153,ANNOUNCEMENTS!$E$2:$E$180,ANNOUNCEMENTS!$J$2:$J$180,0,0)),1,
IF(EXACT(L$1,
_xlfn.XLOOKUP($B153,ANNOUNCEMENTS!$L$2:$L$180,ANNOUNCEMENTS!$J$2:$J$180,0,0)),1,
IF(EXACT(L$1,
_xlfn.XLOOKUP($B153,ANNOUNCEMENTS!$M$2:$M$180,ANNOUNCEMENTS!$J$2:$J$180,0,0)),1,
IF(EXACT(L$1,
_xlfn.XLOOKUP($B153,ANNOUNCEMENTS!$N$2:$N$180,ANNOUNCEMENTS!$J$2:$J$180,0,0)),1,0))))</f>
        <v>0</v>
      </c>
      <c r="M153">
        <f t="shared" si="10"/>
        <v>1</v>
      </c>
      <c r="N153" t="b">
        <v>0</v>
      </c>
      <c r="O153" s="284">
        <f t="shared" si="12"/>
        <v>8</v>
      </c>
    </row>
    <row r="154" spans="1:15" x14ac:dyDescent="0.35">
      <c r="A154">
        <f t="shared" si="11"/>
        <v>153</v>
      </c>
      <c r="B154" t="s">
        <v>705</v>
      </c>
      <c r="C154" t="s">
        <v>306</v>
      </c>
      <c r="D154">
        <v>0</v>
      </c>
      <c r="E154" s="107">
        <v>0</v>
      </c>
      <c r="F154">
        <v>1</v>
      </c>
      <c r="G154" t="str">
        <f>CBIMPORT!S154</f>
        <v>www.usxpress.com</v>
      </c>
      <c r="H154">
        <f>IF(EXACT(H$1,
_xlfn.XLOOKUP($B154,ANNOUNCEMENTS!$E$2:$E$180,ANNOUNCEMENTS!$J$2:$J$180,0,0)),1,
IF(EXACT(H$1,
_xlfn.XLOOKUP($B154,ANNOUNCEMENTS!$L$2:$L$180,ANNOUNCEMENTS!$J$2:$J$180,0,0)),1,
IF(EXACT(H$1,
_xlfn.XLOOKUP($B154,ANNOUNCEMENTS!$M$2:$M$180,ANNOUNCEMENTS!$J$2:$J$180,0,0)),1,
IF(EXACT(H$1,
_xlfn.XLOOKUP($B154,ANNOUNCEMENTS!$N$2:$N$180,ANNOUNCEMENTS!$J$2:$J$180,0,0)),1,0))))</f>
        <v>0</v>
      </c>
      <c r="I154">
        <f>IF(EXACT(I$1,
_xlfn.XLOOKUP($B154,ANNOUNCEMENTS!$E$2:$E$180,ANNOUNCEMENTS!$J$2:$J$180,0,0)),1,
IF(EXACT(I$1,
_xlfn.XLOOKUP($B154,ANNOUNCEMENTS!$L$2:$L$180,ANNOUNCEMENTS!$J$2:$J$180,0,0)),1,
IF(EXACT(I$1,
_xlfn.XLOOKUP($B154,ANNOUNCEMENTS!$M$2:$M$180,ANNOUNCEMENTS!$J$2:$J$180,0,0)),1,
IF(EXACT(I$1,
_xlfn.XLOOKUP($B154,ANNOUNCEMENTS!$N$2:$N$180,ANNOUNCEMENTS!$J$2:$J$180,0,0)),1,0))))</f>
        <v>0</v>
      </c>
      <c r="J154">
        <f>IF(EXACT(J$1,
_xlfn.XLOOKUP($B154,ANNOUNCEMENTS!$E$2:$E$180,ANNOUNCEMENTS!$J$2:$J$180,0,0)),1,
IF(EXACT(J$1,
_xlfn.XLOOKUP($B154,ANNOUNCEMENTS!$L$2:$L$180,ANNOUNCEMENTS!$J$2:$J$180,0,0)),1,
IF(EXACT(J$1,
_xlfn.XLOOKUP($B154,ANNOUNCEMENTS!$M$2:$M$180,ANNOUNCEMENTS!$J$2:$J$180,0,0)),1,
IF(EXACT(J$1,
_xlfn.XLOOKUP($B154,ANNOUNCEMENTS!$N$2:$N$180,ANNOUNCEMENTS!$J$2:$J$180,0,0)),1,0))))</f>
        <v>1</v>
      </c>
      <c r="K154">
        <f>IF(EXACT(K$1,
_xlfn.XLOOKUP($B154,ANNOUNCEMENTS!$E$2:$E$180,ANNOUNCEMENTS!$J$2:$J$180,0,0)),1,
IF(EXACT(K$1,
_xlfn.XLOOKUP($B154,ANNOUNCEMENTS!$L$2:$L$180,ANNOUNCEMENTS!$J$2:$J$180,0,0)),1,
IF(EXACT(K$1,
_xlfn.XLOOKUP($B154,ANNOUNCEMENTS!$M$2:$M$180,ANNOUNCEMENTS!$J$2:$J$180,0,0)),1,
IF(EXACT(K$1,
_xlfn.XLOOKUP($B154,ANNOUNCEMENTS!$N$2:$N$180,ANNOUNCEMENTS!$J$2:$J$180,0,0)),1,0))))</f>
        <v>0</v>
      </c>
      <c r="L154">
        <f>IF(EXACT(L$1,
_xlfn.XLOOKUP($B154,ANNOUNCEMENTS!$E$2:$E$180,ANNOUNCEMENTS!$J$2:$J$180,0,0)),1,
IF(EXACT(L$1,
_xlfn.XLOOKUP($B154,ANNOUNCEMENTS!$L$2:$L$180,ANNOUNCEMENTS!$J$2:$J$180,0,0)),1,
IF(EXACT(L$1,
_xlfn.XLOOKUP($B154,ANNOUNCEMENTS!$M$2:$M$180,ANNOUNCEMENTS!$J$2:$J$180,0,0)),1,
IF(EXACT(L$1,
_xlfn.XLOOKUP($B154,ANNOUNCEMENTS!$N$2:$N$180,ANNOUNCEMENTS!$J$2:$J$180,0,0)),1,0))))</f>
        <v>0</v>
      </c>
      <c r="M154">
        <f t="shared" si="10"/>
        <v>1</v>
      </c>
      <c r="N154" t="b">
        <v>0</v>
      </c>
      <c r="O154" s="284">
        <f t="shared" si="12"/>
        <v>22</v>
      </c>
    </row>
    <row r="155" spans="1:15" x14ac:dyDescent="0.35">
      <c r="A155">
        <f t="shared" si="11"/>
        <v>154</v>
      </c>
      <c r="B155" t="s">
        <v>1957</v>
      </c>
      <c r="C155" t="s">
        <v>910</v>
      </c>
      <c r="D155">
        <v>0</v>
      </c>
      <c r="E155" s="107">
        <v>0</v>
      </c>
      <c r="F155">
        <v>0</v>
      </c>
      <c r="G155" t="str">
        <f>CBIMPORT!S155</f>
        <v>https://www.moei.gov.ae/en</v>
      </c>
      <c r="H155">
        <f>IF(EXACT(H$1,
_xlfn.XLOOKUP($B155,ANNOUNCEMENTS!$E$2:$E$180,ANNOUNCEMENTS!$J$2:$J$180,0,0)),1,
IF(EXACT(H$1,
_xlfn.XLOOKUP($B155,ANNOUNCEMENTS!$L$2:$L$180,ANNOUNCEMENTS!$J$2:$J$180,0,0)),1,
IF(EXACT(H$1,
_xlfn.XLOOKUP($B155,ANNOUNCEMENTS!$M$2:$M$180,ANNOUNCEMENTS!$J$2:$J$180,0,0)),1,
IF(EXACT(H$1,
_xlfn.XLOOKUP($B155,ANNOUNCEMENTS!$N$2:$N$180,ANNOUNCEMENTS!$J$2:$J$180,0,0)),1,0))))</f>
        <v>0</v>
      </c>
      <c r="I155">
        <f>IF(EXACT(I$1,
_xlfn.XLOOKUP($B155,ANNOUNCEMENTS!$E$2:$E$180,ANNOUNCEMENTS!$J$2:$J$180,0,0)),1,
IF(EXACT(I$1,
_xlfn.XLOOKUP($B155,ANNOUNCEMENTS!$L$2:$L$180,ANNOUNCEMENTS!$J$2:$J$180,0,0)),1,
IF(EXACT(I$1,
_xlfn.XLOOKUP($B155,ANNOUNCEMENTS!$M$2:$M$180,ANNOUNCEMENTS!$J$2:$J$180,0,0)),1,
IF(EXACT(I$1,
_xlfn.XLOOKUP($B155,ANNOUNCEMENTS!$N$2:$N$180,ANNOUNCEMENTS!$J$2:$J$180,0,0)),1,0))))</f>
        <v>0</v>
      </c>
      <c r="J155">
        <f>IF(EXACT(J$1,
_xlfn.XLOOKUP($B155,ANNOUNCEMENTS!$E$2:$E$180,ANNOUNCEMENTS!$J$2:$J$180,0,0)),1,
IF(EXACT(J$1,
_xlfn.XLOOKUP($B155,ANNOUNCEMENTS!$L$2:$L$180,ANNOUNCEMENTS!$J$2:$J$180,0,0)),1,
IF(EXACT(J$1,
_xlfn.XLOOKUP($B155,ANNOUNCEMENTS!$M$2:$M$180,ANNOUNCEMENTS!$J$2:$J$180,0,0)),1,
IF(EXACT(J$1,
_xlfn.XLOOKUP($B155,ANNOUNCEMENTS!$N$2:$N$180,ANNOUNCEMENTS!$J$2:$J$180,0,0)),1,0))))</f>
        <v>1</v>
      </c>
      <c r="K155">
        <f>IF(EXACT(K$1,
_xlfn.XLOOKUP($B155,ANNOUNCEMENTS!$E$2:$E$180,ANNOUNCEMENTS!$J$2:$J$180,0,0)),1,
IF(EXACT(K$1,
_xlfn.XLOOKUP($B155,ANNOUNCEMENTS!$L$2:$L$180,ANNOUNCEMENTS!$J$2:$J$180,0,0)),1,
IF(EXACT(K$1,
_xlfn.XLOOKUP($B155,ANNOUNCEMENTS!$M$2:$M$180,ANNOUNCEMENTS!$J$2:$J$180,0,0)),1,
IF(EXACT(K$1,
_xlfn.XLOOKUP($B155,ANNOUNCEMENTS!$N$2:$N$180,ANNOUNCEMENTS!$J$2:$J$180,0,0)),1,0))))</f>
        <v>0</v>
      </c>
      <c r="L155">
        <f>IF(EXACT(L$1,
_xlfn.XLOOKUP($B155,ANNOUNCEMENTS!$E$2:$E$180,ANNOUNCEMENTS!$J$2:$J$180,0,0)),1,
IF(EXACT(L$1,
_xlfn.XLOOKUP($B155,ANNOUNCEMENTS!$L$2:$L$180,ANNOUNCEMENTS!$J$2:$J$180,0,0)),1,
IF(EXACT(L$1,
_xlfn.XLOOKUP($B155,ANNOUNCEMENTS!$M$2:$M$180,ANNOUNCEMENTS!$J$2:$J$180,0,0)),1,
IF(EXACT(L$1,
_xlfn.XLOOKUP($B155,ANNOUNCEMENTS!$N$2:$N$180,ANNOUNCEMENTS!$J$2:$J$180,0,0)),1,0))))</f>
        <v>0</v>
      </c>
      <c r="M155">
        <f t="shared" si="10"/>
        <v>1</v>
      </c>
      <c r="N155" t="b">
        <v>0</v>
      </c>
      <c r="O155" s="284">
        <f t="shared" si="12"/>
        <v>15</v>
      </c>
    </row>
    <row r="156" spans="1:15" x14ac:dyDescent="0.35">
      <c r="A156">
        <f t="shared" si="11"/>
        <v>155</v>
      </c>
      <c r="B156" t="s">
        <v>643</v>
      </c>
      <c r="C156" t="s">
        <v>644</v>
      </c>
      <c r="D156">
        <v>0</v>
      </c>
      <c r="E156" s="107">
        <v>0</v>
      </c>
      <c r="F156">
        <v>0</v>
      </c>
      <c r="G156" t="str">
        <f>CBIMPORT!S156</f>
        <v>www.uts.ae</v>
      </c>
      <c r="H156">
        <f>IF(EXACT(H$1,
_xlfn.XLOOKUP($B156,ANNOUNCEMENTS!$E$2:$E$180,ANNOUNCEMENTS!$J$2:$J$180,0,0)),1,
IF(EXACT(H$1,
_xlfn.XLOOKUP($B156,ANNOUNCEMENTS!$L$2:$L$180,ANNOUNCEMENTS!$J$2:$J$180,0,0)),1,
IF(EXACT(H$1,
_xlfn.XLOOKUP($B156,ANNOUNCEMENTS!$M$2:$M$180,ANNOUNCEMENTS!$J$2:$J$180,0,0)),1,
IF(EXACT(H$1,
_xlfn.XLOOKUP($B156,ANNOUNCEMENTS!$N$2:$N$180,ANNOUNCEMENTS!$J$2:$J$180,0,0)),1,0))))</f>
        <v>1</v>
      </c>
      <c r="I156">
        <f>IF(EXACT(I$1,
_xlfn.XLOOKUP($B156,ANNOUNCEMENTS!$E$2:$E$180,ANNOUNCEMENTS!$J$2:$J$180,0,0)),1,
IF(EXACT(I$1,
_xlfn.XLOOKUP($B156,ANNOUNCEMENTS!$L$2:$L$180,ANNOUNCEMENTS!$J$2:$J$180,0,0)),1,
IF(EXACT(I$1,
_xlfn.XLOOKUP($B156,ANNOUNCEMENTS!$M$2:$M$180,ANNOUNCEMENTS!$J$2:$J$180,0,0)),1,
IF(EXACT(I$1,
_xlfn.XLOOKUP($B156,ANNOUNCEMENTS!$N$2:$N$180,ANNOUNCEMENTS!$J$2:$J$180,0,0)),1,0))))</f>
        <v>0</v>
      </c>
      <c r="J156">
        <f>IF(EXACT(J$1,
_xlfn.XLOOKUP($B156,ANNOUNCEMENTS!$E$2:$E$180,ANNOUNCEMENTS!$J$2:$J$180,0,0)),1,
IF(EXACT(J$1,
_xlfn.XLOOKUP($B156,ANNOUNCEMENTS!$L$2:$L$180,ANNOUNCEMENTS!$J$2:$J$180,0,0)),1,
IF(EXACT(J$1,
_xlfn.XLOOKUP($B156,ANNOUNCEMENTS!$M$2:$M$180,ANNOUNCEMENTS!$J$2:$J$180,0,0)),1,
IF(EXACT(J$1,
_xlfn.XLOOKUP($B156,ANNOUNCEMENTS!$N$2:$N$180,ANNOUNCEMENTS!$J$2:$J$180,0,0)),1,0))))</f>
        <v>0</v>
      </c>
      <c r="K156">
        <f>IF(EXACT(K$1,
_xlfn.XLOOKUP($B156,ANNOUNCEMENTS!$E$2:$E$180,ANNOUNCEMENTS!$J$2:$J$180,0,0)),1,
IF(EXACT(K$1,
_xlfn.XLOOKUP($B156,ANNOUNCEMENTS!$L$2:$L$180,ANNOUNCEMENTS!$J$2:$J$180,0,0)),1,
IF(EXACT(K$1,
_xlfn.XLOOKUP($B156,ANNOUNCEMENTS!$M$2:$M$180,ANNOUNCEMENTS!$J$2:$J$180,0,0)),1,
IF(EXACT(K$1,
_xlfn.XLOOKUP($B156,ANNOUNCEMENTS!$N$2:$N$180,ANNOUNCEMENTS!$J$2:$J$180,0,0)),1,0))))</f>
        <v>0</v>
      </c>
      <c r="L156">
        <f>IF(EXACT(L$1,
_xlfn.XLOOKUP($B156,ANNOUNCEMENTS!$E$2:$E$180,ANNOUNCEMENTS!$J$2:$J$180,0,0)),1,
IF(EXACT(L$1,
_xlfn.XLOOKUP($B156,ANNOUNCEMENTS!$L$2:$L$180,ANNOUNCEMENTS!$J$2:$J$180,0,0)),1,
IF(EXACT(L$1,
_xlfn.XLOOKUP($B156,ANNOUNCEMENTS!$M$2:$M$180,ANNOUNCEMENTS!$J$2:$J$180,0,0)),1,
IF(EXACT(L$1,
_xlfn.XLOOKUP($B156,ANNOUNCEMENTS!$N$2:$N$180,ANNOUNCEMENTS!$J$2:$J$180,0,0)),1,0))))</f>
        <v>0</v>
      </c>
      <c r="M156">
        <f t="shared" si="10"/>
        <v>1</v>
      </c>
      <c r="N156" t="b">
        <v>0</v>
      </c>
      <c r="O156" s="284">
        <f t="shared" si="12"/>
        <v>32</v>
      </c>
    </row>
    <row r="157" spans="1:15" x14ac:dyDescent="0.35">
      <c r="A157">
        <f t="shared" si="11"/>
        <v>156</v>
      </c>
      <c r="B157" t="s">
        <v>1969</v>
      </c>
      <c r="C157" t="s">
        <v>925</v>
      </c>
      <c r="D157">
        <v>0</v>
      </c>
      <c r="E157" s="107">
        <v>24.639724000000001</v>
      </c>
      <c r="F157">
        <v>0</v>
      </c>
      <c r="G157" t="str">
        <f>CBIMPORT!S157</f>
        <v>ucsd.edu</v>
      </c>
      <c r="H157">
        <f>IF(EXACT(H$1,
_xlfn.XLOOKUP($B157,ANNOUNCEMENTS!$E$2:$E$180,ANNOUNCEMENTS!$J$2:$J$180,0,0)),1,
IF(EXACT(H$1,
_xlfn.XLOOKUP($B157,ANNOUNCEMENTS!$L$2:$L$180,ANNOUNCEMENTS!$J$2:$J$180,0,0)),1,
IF(EXACT(H$1,
_xlfn.XLOOKUP($B157,ANNOUNCEMENTS!$M$2:$M$180,ANNOUNCEMENTS!$J$2:$J$180,0,0)),1,
IF(EXACT(H$1,
_xlfn.XLOOKUP($B157,ANNOUNCEMENTS!$N$2:$N$180,ANNOUNCEMENTS!$J$2:$J$180,0,0)),1,0))))</f>
        <v>1</v>
      </c>
      <c r="I157">
        <f>IF(EXACT(I$1,
_xlfn.XLOOKUP($B157,ANNOUNCEMENTS!$E$2:$E$180,ANNOUNCEMENTS!$J$2:$J$180,0,0)),1,
IF(EXACT(I$1,
_xlfn.XLOOKUP($B157,ANNOUNCEMENTS!$L$2:$L$180,ANNOUNCEMENTS!$J$2:$J$180,0,0)),1,
IF(EXACT(I$1,
_xlfn.XLOOKUP($B157,ANNOUNCEMENTS!$M$2:$M$180,ANNOUNCEMENTS!$J$2:$J$180,0,0)),1,
IF(EXACT(I$1,
_xlfn.XLOOKUP($B157,ANNOUNCEMENTS!$N$2:$N$180,ANNOUNCEMENTS!$J$2:$J$180,0,0)),1,0))))</f>
        <v>0</v>
      </c>
      <c r="J157">
        <f>IF(EXACT(J$1,
_xlfn.XLOOKUP($B157,ANNOUNCEMENTS!$E$2:$E$180,ANNOUNCEMENTS!$J$2:$J$180,0,0)),1,
IF(EXACT(J$1,
_xlfn.XLOOKUP($B157,ANNOUNCEMENTS!$L$2:$L$180,ANNOUNCEMENTS!$J$2:$J$180,0,0)),1,
IF(EXACT(J$1,
_xlfn.XLOOKUP($B157,ANNOUNCEMENTS!$M$2:$M$180,ANNOUNCEMENTS!$J$2:$J$180,0,0)),1,
IF(EXACT(J$1,
_xlfn.XLOOKUP($B157,ANNOUNCEMENTS!$N$2:$N$180,ANNOUNCEMENTS!$J$2:$J$180,0,0)),1,0))))</f>
        <v>0</v>
      </c>
      <c r="K157">
        <f>IF(EXACT(K$1,
_xlfn.XLOOKUP($B157,ANNOUNCEMENTS!$E$2:$E$180,ANNOUNCEMENTS!$J$2:$J$180,0,0)),1,
IF(EXACT(K$1,
_xlfn.XLOOKUP($B157,ANNOUNCEMENTS!$L$2:$L$180,ANNOUNCEMENTS!$J$2:$J$180,0,0)),1,
IF(EXACT(K$1,
_xlfn.XLOOKUP($B157,ANNOUNCEMENTS!$M$2:$M$180,ANNOUNCEMENTS!$J$2:$J$180,0,0)),1,
IF(EXACT(K$1,
_xlfn.XLOOKUP($B157,ANNOUNCEMENTS!$N$2:$N$180,ANNOUNCEMENTS!$J$2:$J$180,0,0)),1,0))))</f>
        <v>0</v>
      </c>
      <c r="L157">
        <f>IF(EXACT(L$1,
_xlfn.XLOOKUP($B157,ANNOUNCEMENTS!$E$2:$E$180,ANNOUNCEMENTS!$J$2:$J$180,0,0)),1,
IF(EXACT(L$1,
_xlfn.XLOOKUP($B157,ANNOUNCEMENTS!$L$2:$L$180,ANNOUNCEMENTS!$J$2:$J$180,0,0)),1,
IF(EXACT(L$1,
_xlfn.XLOOKUP($B157,ANNOUNCEMENTS!$M$2:$M$180,ANNOUNCEMENTS!$J$2:$J$180,0,0)),1,
IF(EXACT(L$1,
_xlfn.XLOOKUP($B157,ANNOUNCEMENTS!$N$2:$N$180,ANNOUNCEMENTS!$J$2:$J$180,0,0)),1,0))))</f>
        <v>0</v>
      </c>
      <c r="M157">
        <f t="shared" si="10"/>
        <v>1</v>
      </c>
      <c r="N157" t="b">
        <v>0</v>
      </c>
      <c r="O157" s="284">
        <f t="shared" si="12"/>
        <v>25</v>
      </c>
    </row>
    <row r="158" spans="1:15" x14ac:dyDescent="0.35">
      <c r="A158">
        <f t="shared" si="11"/>
        <v>157</v>
      </c>
      <c r="B158" t="s">
        <v>602</v>
      </c>
      <c r="C158" t="s">
        <v>588</v>
      </c>
      <c r="D158">
        <v>0</v>
      </c>
      <c r="E158" s="107">
        <v>0</v>
      </c>
      <c r="F158">
        <v>0</v>
      </c>
      <c r="G158" t="str">
        <f>CBIMPORT!S158</f>
        <v>www.uvafoundation.com</v>
      </c>
      <c r="H158">
        <f>IF(EXACT(H$1,
_xlfn.XLOOKUP($B158,ANNOUNCEMENTS!$E$2:$E$180,ANNOUNCEMENTS!$J$2:$J$180,0,0)),1,
IF(EXACT(H$1,
_xlfn.XLOOKUP($B158,ANNOUNCEMENTS!$L$2:$L$180,ANNOUNCEMENTS!$J$2:$J$180,0,0)),1,
IF(EXACT(H$1,
_xlfn.XLOOKUP($B158,ANNOUNCEMENTS!$M$2:$M$180,ANNOUNCEMENTS!$J$2:$J$180,0,0)),1,
IF(EXACT(H$1,
_xlfn.XLOOKUP($B158,ANNOUNCEMENTS!$N$2:$N$180,ANNOUNCEMENTS!$J$2:$J$180,0,0)),1,0))))</f>
        <v>1</v>
      </c>
      <c r="I158">
        <f>IF(EXACT(I$1,
_xlfn.XLOOKUP($B158,ANNOUNCEMENTS!$E$2:$E$180,ANNOUNCEMENTS!$J$2:$J$180,0,0)),1,
IF(EXACT(I$1,
_xlfn.XLOOKUP($B158,ANNOUNCEMENTS!$L$2:$L$180,ANNOUNCEMENTS!$J$2:$J$180,0,0)),1,
IF(EXACT(I$1,
_xlfn.XLOOKUP($B158,ANNOUNCEMENTS!$M$2:$M$180,ANNOUNCEMENTS!$J$2:$J$180,0,0)),1,
IF(EXACT(I$1,
_xlfn.XLOOKUP($B158,ANNOUNCEMENTS!$N$2:$N$180,ANNOUNCEMENTS!$J$2:$J$180,0,0)),1,0))))</f>
        <v>0</v>
      </c>
      <c r="J158">
        <f>IF(EXACT(J$1,
_xlfn.XLOOKUP($B158,ANNOUNCEMENTS!$E$2:$E$180,ANNOUNCEMENTS!$J$2:$J$180,0,0)),1,
IF(EXACT(J$1,
_xlfn.XLOOKUP($B158,ANNOUNCEMENTS!$L$2:$L$180,ANNOUNCEMENTS!$J$2:$J$180,0,0)),1,
IF(EXACT(J$1,
_xlfn.XLOOKUP($B158,ANNOUNCEMENTS!$M$2:$M$180,ANNOUNCEMENTS!$J$2:$J$180,0,0)),1,
IF(EXACT(J$1,
_xlfn.XLOOKUP($B158,ANNOUNCEMENTS!$N$2:$N$180,ANNOUNCEMENTS!$J$2:$J$180,0,0)),1,0))))</f>
        <v>0</v>
      </c>
      <c r="K158">
        <f>IF(EXACT(K$1,
_xlfn.XLOOKUP($B158,ANNOUNCEMENTS!$E$2:$E$180,ANNOUNCEMENTS!$J$2:$J$180,0,0)),1,
IF(EXACT(K$1,
_xlfn.XLOOKUP($B158,ANNOUNCEMENTS!$L$2:$L$180,ANNOUNCEMENTS!$J$2:$J$180,0,0)),1,
IF(EXACT(K$1,
_xlfn.XLOOKUP($B158,ANNOUNCEMENTS!$M$2:$M$180,ANNOUNCEMENTS!$J$2:$J$180,0,0)),1,
IF(EXACT(K$1,
_xlfn.XLOOKUP($B158,ANNOUNCEMENTS!$N$2:$N$180,ANNOUNCEMENTS!$J$2:$J$180,0,0)),1,0))))</f>
        <v>0</v>
      </c>
      <c r="L158">
        <f>IF(EXACT(L$1,
_xlfn.XLOOKUP($B158,ANNOUNCEMENTS!$E$2:$E$180,ANNOUNCEMENTS!$J$2:$J$180,0,0)),1,
IF(EXACT(L$1,
_xlfn.XLOOKUP($B158,ANNOUNCEMENTS!$L$2:$L$180,ANNOUNCEMENTS!$J$2:$J$180,0,0)),1,
IF(EXACT(L$1,
_xlfn.XLOOKUP($B158,ANNOUNCEMENTS!$M$2:$M$180,ANNOUNCEMENTS!$J$2:$J$180,0,0)),1,
IF(EXACT(L$1,
_xlfn.XLOOKUP($B158,ANNOUNCEMENTS!$N$2:$N$180,ANNOUNCEMENTS!$J$2:$J$180,0,0)),1,0))))</f>
        <v>0</v>
      </c>
      <c r="M158">
        <f t="shared" si="10"/>
        <v>1</v>
      </c>
      <c r="N158" t="b">
        <v>0</v>
      </c>
      <c r="O158" s="284">
        <f t="shared" si="12"/>
        <v>38</v>
      </c>
    </row>
    <row r="159" spans="1:15" x14ac:dyDescent="0.35">
      <c r="A159">
        <f t="shared" si="11"/>
        <v>158</v>
      </c>
      <c r="B159" t="s">
        <v>868</v>
      </c>
      <c r="C159" t="s">
        <v>368</v>
      </c>
      <c r="D159">
        <v>0</v>
      </c>
      <c r="E159" s="107">
        <v>1284</v>
      </c>
      <c r="F159">
        <v>1</v>
      </c>
      <c r="G159" t="str">
        <f>CBIMPORT!S159</f>
        <v>www.valeo.com/en/</v>
      </c>
      <c r="H159">
        <v>1</v>
      </c>
      <c r="I159">
        <f>IF(EXACT(I$1,
_xlfn.XLOOKUP($B159,ANNOUNCEMENTS!$E$2:$E$180,ANNOUNCEMENTS!$J$2:$J$180,0,0)),1,
IF(EXACT(I$1,
_xlfn.XLOOKUP($B159,ANNOUNCEMENTS!$L$2:$L$180,ANNOUNCEMENTS!$J$2:$J$180,0,0)),1,
IF(EXACT(I$1,
_xlfn.XLOOKUP($B159,ANNOUNCEMENTS!$M$2:$M$180,ANNOUNCEMENTS!$J$2:$J$180,0,0)),1,
IF(EXACT(I$1,
_xlfn.XLOOKUP($B159,ANNOUNCEMENTS!$N$2:$N$180,ANNOUNCEMENTS!$J$2:$J$180,0,0)),1,0))))</f>
        <v>0</v>
      </c>
      <c r="J159">
        <f>IF(EXACT(J$1,
_xlfn.XLOOKUP($B159,ANNOUNCEMENTS!$E$2:$E$180,ANNOUNCEMENTS!$J$2:$J$180,0,0)),1,
IF(EXACT(J$1,
_xlfn.XLOOKUP($B159,ANNOUNCEMENTS!$L$2:$L$180,ANNOUNCEMENTS!$J$2:$J$180,0,0)),1,
IF(EXACT(J$1,
_xlfn.XLOOKUP($B159,ANNOUNCEMENTS!$M$2:$M$180,ANNOUNCEMENTS!$J$2:$J$180,0,0)),1,
IF(EXACT(J$1,
_xlfn.XLOOKUP($B159,ANNOUNCEMENTS!$N$2:$N$180,ANNOUNCEMENTS!$J$2:$J$180,0,0)),1,0))))</f>
        <v>0</v>
      </c>
      <c r="K159">
        <f>IF(EXACT(K$1,
_xlfn.XLOOKUP($B159,ANNOUNCEMENTS!$E$2:$E$180,ANNOUNCEMENTS!$J$2:$J$180,0,0)),1,
IF(EXACT(K$1,
_xlfn.XLOOKUP($B159,ANNOUNCEMENTS!$L$2:$L$180,ANNOUNCEMENTS!$J$2:$J$180,0,0)),1,
IF(EXACT(K$1,
_xlfn.XLOOKUP($B159,ANNOUNCEMENTS!$M$2:$M$180,ANNOUNCEMENTS!$J$2:$J$180,0,0)),1,
IF(EXACT(K$1,
_xlfn.XLOOKUP($B159,ANNOUNCEMENTS!$N$2:$N$180,ANNOUNCEMENTS!$J$2:$J$180,0,0)),1,0))))</f>
        <v>0</v>
      </c>
      <c r="L159">
        <f>IF(EXACT(L$1,
_xlfn.XLOOKUP($B159,ANNOUNCEMENTS!$E$2:$E$180,ANNOUNCEMENTS!$J$2:$J$180,0,0)),1,
IF(EXACT(L$1,
_xlfn.XLOOKUP($B159,ANNOUNCEMENTS!$L$2:$L$180,ANNOUNCEMENTS!$J$2:$J$180,0,0)),1,
IF(EXACT(L$1,
_xlfn.XLOOKUP($B159,ANNOUNCEMENTS!$M$2:$M$180,ANNOUNCEMENTS!$J$2:$J$180,0,0)),1,
IF(EXACT(L$1,
_xlfn.XLOOKUP($B159,ANNOUNCEMENTS!$N$2:$N$180,ANNOUNCEMENTS!$J$2:$J$180,0,0)),1,0))))</f>
        <v>1</v>
      </c>
      <c r="M159">
        <f t="shared" si="10"/>
        <v>2</v>
      </c>
      <c r="N159" t="b">
        <v>0</v>
      </c>
      <c r="O159" s="284">
        <f t="shared" si="12"/>
        <v>2</v>
      </c>
    </row>
    <row r="160" spans="1:15" x14ac:dyDescent="0.35">
      <c r="A160">
        <f t="shared" si="11"/>
        <v>159</v>
      </c>
      <c r="B160" t="s">
        <v>898</v>
      </c>
      <c r="C160" t="s">
        <v>398</v>
      </c>
      <c r="D160">
        <v>0</v>
      </c>
      <c r="E160" s="107">
        <v>0</v>
      </c>
      <c r="F160">
        <v>0</v>
      </c>
      <c r="G160" t="str">
        <f>CBIMPORT!S160</f>
        <v>www.valleymetro.org/</v>
      </c>
      <c r="H160">
        <f>IF(EXACT(H$1,
_xlfn.XLOOKUP($B160,ANNOUNCEMENTS!$E$2:$E$180,ANNOUNCEMENTS!$J$2:$J$180,0,0)),1,
IF(EXACT(H$1,
_xlfn.XLOOKUP($B160,ANNOUNCEMENTS!$L$2:$L$180,ANNOUNCEMENTS!$J$2:$J$180,0,0)),1,
IF(EXACT(H$1,
_xlfn.XLOOKUP($B160,ANNOUNCEMENTS!$M$2:$M$180,ANNOUNCEMENTS!$J$2:$J$180,0,0)),1,
IF(EXACT(H$1,
_xlfn.XLOOKUP($B160,ANNOUNCEMENTS!$N$2:$N$180,ANNOUNCEMENTS!$J$2:$J$180,0,0)),1,0))))</f>
        <v>0</v>
      </c>
      <c r="I160">
        <f>IF(EXACT(I$1,
_xlfn.XLOOKUP($B160,ANNOUNCEMENTS!$E$2:$E$180,ANNOUNCEMENTS!$J$2:$J$180,0,0)),1,
IF(EXACT(I$1,
_xlfn.XLOOKUP($B160,ANNOUNCEMENTS!$L$2:$L$180,ANNOUNCEMENTS!$J$2:$J$180,0,0)),1,
IF(EXACT(I$1,
_xlfn.XLOOKUP($B160,ANNOUNCEMENTS!$M$2:$M$180,ANNOUNCEMENTS!$J$2:$J$180,0,0)),1,
IF(EXACT(I$1,
_xlfn.XLOOKUP($B160,ANNOUNCEMENTS!$N$2:$N$180,ANNOUNCEMENTS!$J$2:$J$180,0,0)),1,0))))</f>
        <v>1</v>
      </c>
      <c r="J160">
        <f>IF(EXACT(J$1,
_xlfn.XLOOKUP($B160,ANNOUNCEMENTS!$E$2:$E$180,ANNOUNCEMENTS!$J$2:$J$180,0,0)),1,
IF(EXACT(J$1,
_xlfn.XLOOKUP($B160,ANNOUNCEMENTS!$L$2:$L$180,ANNOUNCEMENTS!$J$2:$J$180,0,0)),1,
IF(EXACT(J$1,
_xlfn.XLOOKUP($B160,ANNOUNCEMENTS!$M$2:$M$180,ANNOUNCEMENTS!$J$2:$J$180,0,0)),1,
IF(EXACT(J$1,
_xlfn.XLOOKUP($B160,ANNOUNCEMENTS!$N$2:$N$180,ANNOUNCEMENTS!$J$2:$J$180,0,0)),1,0))))</f>
        <v>0</v>
      </c>
      <c r="K160">
        <f>IF(EXACT(K$1,
_xlfn.XLOOKUP($B160,ANNOUNCEMENTS!$E$2:$E$180,ANNOUNCEMENTS!$J$2:$J$180,0,0)),1,
IF(EXACT(K$1,
_xlfn.XLOOKUP($B160,ANNOUNCEMENTS!$L$2:$L$180,ANNOUNCEMENTS!$J$2:$J$180,0,0)),1,
IF(EXACT(K$1,
_xlfn.XLOOKUP($B160,ANNOUNCEMENTS!$M$2:$M$180,ANNOUNCEMENTS!$J$2:$J$180,0,0)),1,
IF(EXACT(K$1,
_xlfn.XLOOKUP($B160,ANNOUNCEMENTS!$N$2:$N$180,ANNOUNCEMENTS!$J$2:$J$180,0,0)),1,0))))</f>
        <v>0</v>
      </c>
      <c r="L160">
        <f>IF(EXACT(L$1,
_xlfn.XLOOKUP($B160,ANNOUNCEMENTS!$E$2:$E$180,ANNOUNCEMENTS!$J$2:$J$180,0,0)),1,
IF(EXACT(L$1,
_xlfn.XLOOKUP($B160,ANNOUNCEMENTS!$L$2:$L$180,ANNOUNCEMENTS!$J$2:$J$180,0,0)),1,
IF(EXACT(L$1,
_xlfn.XLOOKUP($B160,ANNOUNCEMENTS!$M$2:$M$180,ANNOUNCEMENTS!$J$2:$J$180,0,0)),1,
IF(EXACT(L$1,
_xlfn.XLOOKUP($B160,ANNOUNCEMENTS!$N$2:$N$180,ANNOUNCEMENTS!$J$2:$J$180,0,0)),1,0))))</f>
        <v>0</v>
      </c>
      <c r="M160">
        <f t="shared" si="10"/>
        <v>1</v>
      </c>
      <c r="N160" t="b">
        <v>0</v>
      </c>
      <c r="O160" s="284">
        <f t="shared" si="12"/>
        <v>13</v>
      </c>
    </row>
    <row r="161" spans="1:15" x14ac:dyDescent="0.35">
      <c r="A161">
        <f t="shared" si="11"/>
        <v>160</v>
      </c>
      <c r="B161" t="s">
        <v>638</v>
      </c>
      <c r="C161" t="s">
        <v>639</v>
      </c>
      <c r="D161">
        <v>0</v>
      </c>
      <c r="E161" s="107">
        <v>3500</v>
      </c>
      <c r="F161">
        <v>0</v>
      </c>
      <c r="G161" t="str">
        <f>CBIMPORT!S161</f>
        <v>verily.com</v>
      </c>
      <c r="H161">
        <f>IF(EXACT(H$1,
_xlfn.XLOOKUP($B161,ANNOUNCEMENTS!$E$2:$E$180,ANNOUNCEMENTS!$J$2:$J$180,0,0)),1,
IF(EXACT(H$1,
_xlfn.XLOOKUP($B161,ANNOUNCEMENTS!$L$2:$L$180,ANNOUNCEMENTS!$J$2:$J$180,0,0)),1,
IF(EXACT(H$1,
_xlfn.XLOOKUP($B161,ANNOUNCEMENTS!$M$2:$M$180,ANNOUNCEMENTS!$J$2:$J$180,0,0)),1,
IF(EXACT(H$1,
_xlfn.XLOOKUP($B161,ANNOUNCEMENTS!$N$2:$N$180,ANNOUNCEMENTS!$J$2:$J$180,0,0)),1,0))))</f>
        <v>0</v>
      </c>
      <c r="I161">
        <f>IF(EXACT(I$1,
_xlfn.XLOOKUP($B161,ANNOUNCEMENTS!$E$2:$E$180,ANNOUNCEMENTS!$J$2:$J$180,0,0)),1,
IF(EXACT(I$1,
_xlfn.XLOOKUP($B161,ANNOUNCEMENTS!$L$2:$L$180,ANNOUNCEMENTS!$J$2:$J$180,0,0)),1,
IF(EXACT(I$1,
_xlfn.XLOOKUP($B161,ANNOUNCEMENTS!$M$2:$M$180,ANNOUNCEMENTS!$J$2:$J$180,0,0)),1,
IF(EXACT(I$1,
_xlfn.XLOOKUP($B161,ANNOUNCEMENTS!$N$2:$N$180,ANNOUNCEMENTS!$J$2:$J$180,0,0)),1,0))))</f>
        <v>0</v>
      </c>
      <c r="J161">
        <f>IF(EXACT(J$1,
_xlfn.XLOOKUP($B161,ANNOUNCEMENTS!$E$2:$E$180,ANNOUNCEMENTS!$J$2:$J$180,0,0)),1,
IF(EXACT(J$1,
_xlfn.XLOOKUP($B161,ANNOUNCEMENTS!$L$2:$L$180,ANNOUNCEMENTS!$J$2:$J$180,0,0)),1,
IF(EXACT(J$1,
_xlfn.XLOOKUP($B161,ANNOUNCEMENTS!$M$2:$M$180,ANNOUNCEMENTS!$J$2:$J$180,0,0)),1,
IF(EXACT(J$1,
_xlfn.XLOOKUP($B161,ANNOUNCEMENTS!$N$2:$N$180,ANNOUNCEMENTS!$J$2:$J$180,0,0)),1,0))))</f>
        <v>0</v>
      </c>
      <c r="K161">
        <f>IF(EXACT(K$1,
_xlfn.XLOOKUP($B161,ANNOUNCEMENTS!$E$2:$E$180,ANNOUNCEMENTS!$J$2:$J$180,0,0)),1,
IF(EXACT(K$1,
_xlfn.XLOOKUP($B161,ANNOUNCEMENTS!$L$2:$L$180,ANNOUNCEMENTS!$J$2:$J$180,0,0)),1,
IF(EXACT(K$1,
_xlfn.XLOOKUP($B161,ANNOUNCEMENTS!$M$2:$M$180,ANNOUNCEMENTS!$J$2:$J$180,0,0)),1,
IF(EXACT(K$1,
_xlfn.XLOOKUP($B161,ANNOUNCEMENTS!$N$2:$N$180,ANNOUNCEMENTS!$J$2:$J$180,0,0)),1,0))))</f>
        <v>0</v>
      </c>
      <c r="L161">
        <f>IF(EXACT(L$1,
_xlfn.XLOOKUP($B161,ANNOUNCEMENTS!$E$2:$E$180,ANNOUNCEMENTS!$J$2:$J$180,0,0)),1,
IF(EXACT(L$1,
_xlfn.XLOOKUP($B161,ANNOUNCEMENTS!$L$2:$L$180,ANNOUNCEMENTS!$J$2:$J$180,0,0)),1,
IF(EXACT(L$1,
_xlfn.XLOOKUP($B161,ANNOUNCEMENTS!$M$2:$M$180,ANNOUNCEMENTS!$J$2:$J$180,0,0)),1,
IF(EXACT(L$1,
_xlfn.XLOOKUP($B161,ANNOUNCEMENTS!$N$2:$N$180,ANNOUNCEMENTS!$J$2:$J$180,0,0)),1,0))))</f>
        <v>1</v>
      </c>
      <c r="M161">
        <f t="shared" si="10"/>
        <v>1</v>
      </c>
      <c r="N161" t="b">
        <v>0</v>
      </c>
      <c r="O161" s="284">
        <f t="shared" si="12"/>
        <v>30</v>
      </c>
    </row>
    <row r="162" spans="1:15" x14ac:dyDescent="0.35">
      <c r="A162">
        <f t="shared" si="11"/>
        <v>161</v>
      </c>
      <c r="B162" t="s">
        <v>811</v>
      </c>
      <c r="C162" t="s">
        <v>784</v>
      </c>
      <c r="D162">
        <v>0</v>
      </c>
      <c r="E162" s="107">
        <v>0</v>
      </c>
      <c r="F162">
        <v>0</v>
      </c>
      <c r="G162" t="str">
        <f>CBIMPORT!S162</f>
        <v>vicinitymotorcorp.com</v>
      </c>
      <c r="H162">
        <f>IF(EXACT(H$1,
_xlfn.XLOOKUP($B162,ANNOUNCEMENTS!$E$2:$E$180,ANNOUNCEMENTS!$J$2:$J$180,0,0)),1,
IF(EXACT(H$1,
_xlfn.XLOOKUP($B162,ANNOUNCEMENTS!$L$2:$L$180,ANNOUNCEMENTS!$J$2:$J$180,0,0)),1,
IF(EXACT(H$1,
_xlfn.XLOOKUP($B162,ANNOUNCEMENTS!$M$2:$M$180,ANNOUNCEMENTS!$J$2:$J$180,0,0)),1,
IF(EXACT(H$1,
_xlfn.XLOOKUP($B162,ANNOUNCEMENTS!$N$2:$N$180,ANNOUNCEMENTS!$J$2:$J$180,0,0)),1,0))))</f>
        <v>1</v>
      </c>
      <c r="I162">
        <f>IF(EXACT(I$1,
_xlfn.XLOOKUP($B162,ANNOUNCEMENTS!$E$2:$E$180,ANNOUNCEMENTS!$J$2:$J$180,0,0)),1,
IF(EXACT(I$1,
_xlfn.XLOOKUP($B162,ANNOUNCEMENTS!$L$2:$L$180,ANNOUNCEMENTS!$J$2:$J$180,0,0)),1,
IF(EXACT(I$1,
_xlfn.XLOOKUP($B162,ANNOUNCEMENTS!$M$2:$M$180,ANNOUNCEMENTS!$J$2:$J$180,0,0)),1,
IF(EXACT(I$1,
_xlfn.XLOOKUP($B162,ANNOUNCEMENTS!$N$2:$N$180,ANNOUNCEMENTS!$J$2:$J$180,0,0)),1,0))))</f>
        <v>0</v>
      </c>
      <c r="J162">
        <f>IF(EXACT(J$1,
_xlfn.XLOOKUP($B162,ANNOUNCEMENTS!$E$2:$E$180,ANNOUNCEMENTS!$J$2:$J$180,0,0)),1,
IF(EXACT(J$1,
_xlfn.XLOOKUP($B162,ANNOUNCEMENTS!$L$2:$L$180,ANNOUNCEMENTS!$J$2:$J$180,0,0)),1,
IF(EXACT(J$1,
_xlfn.XLOOKUP($B162,ANNOUNCEMENTS!$M$2:$M$180,ANNOUNCEMENTS!$J$2:$J$180,0,0)),1,
IF(EXACT(J$1,
_xlfn.XLOOKUP($B162,ANNOUNCEMENTS!$N$2:$N$180,ANNOUNCEMENTS!$J$2:$J$180,0,0)),1,0))))</f>
        <v>0</v>
      </c>
      <c r="K162">
        <f>IF(EXACT(K$1,
_xlfn.XLOOKUP($B162,ANNOUNCEMENTS!$E$2:$E$180,ANNOUNCEMENTS!$J$2:$J$180,0,0)),1,
IF(EXACT(K$1,
_xlfn.XLOOKUP($B162,ANNOUNCEMENTS!$L$2:$L$180,ANNOUNCEMENTS!$J$2:$J$180,0,0)),1,
IF(EXACT(K$1,
_xlfn.XLOOKUP($B162,ANNOUNCEMENTS!$M$2:$M$180,ANNOUNCEMENTS!$J$2:$J$180,0,0)),1,
IF(EXACT(K$1,
_xlfn.XLOOKUP($B162,ANNOUNCEMENTS!$N$2:$N$180,ANNOUNCEMENTS!$J$2:$J$180,0,0)),1,0))))</f>
        <v>0</v>
      </c>
      <c r="L162">
        <f>IF(EXACT(L$1,
_xlfn.XLOOKUP($B162,ANNOUNCEMENTS!$E$2:$E$180,ANNOUNCEMENTS!$J$2:$J$180,0,0)),1,
IF(EXACT(L$1,
_xlfn.XLOOKUP($B162,ANNOUNCEMENTS!$L$2:$L$180,ANNOUNCEMENTS!$J$2:$J$180,0,0)),1,
IF(EXACT(L$1,
_xlfn.XLOOKUP($B162,ANNOUNCEMENTS!$M$2:$M$180,ANNOUNCEMENTS!$J$2:$J$180,0,0)),1,
IF(EXACT(L$1,
_xlfn.XLOOKUP($B162,ANNOUNCEMENTS!$N$2:$N$180,ANNOUNCEMENTS!$J$2:$J$180,0,0)),1,0))))</f>
        <v>0</v>
      </c>
      <c r="M162">
        <f t="shared" si="10"/>
        <v>1</v>
      </c>
      <c r="N162" t="b">
        <v>0</v>
      </c>
      <c r="O162" s="284">
        <f t="shared" si="12"/>
        <v>12</v>
      </c>
    </row>
    <row r="163" spans="1:15" x14ac:dyDescent="0.35">
      <c r="A163">
        <f t="shared" si="11"/>
        <v>162</v>
      </c>
      <c r="B163" t="s">
        <v>1981</v>
      </c>
      <c r="C163" t="s">
        <v>784</v>
      </c>
      <c r="D163">
        <v>0</v>
      </c>
      <c r="E163" s="107">
        <v>0</v>
      </c>
      <c r="F163">
        <v>0</v>
      </c>
      <c r="G163" t="str">
        <f>CBIMPORT!S163</f>
        <v>www.volkswagen-nutzfahrzeuge.de/de.html</v>
      </c>
      <c r="H163">
        <f>IF(EXACT(H$1,
_xlfn.XLOOKUP($B163,ANNOUNCEMENTS!$E$2:$E$180,ANNOUNCEMENTS!$J$2:$J$180,0,0)),1,
IF(EXACT(H$1,
_xlfn.XLOOKUP($B163,ANNOUNCEMENTS!$L$2:$L$180,ANNOUNCEMENTS!$J$2:$J$180,0,0)),1,
IF(EXACT(H$1,
_xlfn.XLOOKUP($B163,ANNOUNCEMENTS!$M$2:$M$180,ANNOUNCEMENTS!$J$2:$J$180,0,0)),1,
IF(EXACT(H$1,
_xlfn.XLOOKUP($B163,ANNOUNCEMENTS!$N$2:$N$180,ANNOUNCEMENTS!$J$2:$J$180,0,0)),1,0))))</f>
        <v>1</v>
      </c>
      <c r="I163">
        <f>IF(EXACT(I$1,
_xlfn.XLOOKUP($B163,ANNOUNCEMENTS!$E$2:$E$180,ANNOUNCEMENTS!$J$2:$J$180,0,0)),1,
IF(EXACT(I$1,
_xlfn.XLOOKUP($B163,ANNOUNCEMENTS!$L$2:$L$180,ANNOUNCEMENTS!$J$2:$J$180,0,0)),1,
IF(EXACT(I$1,
_xlfn.XLOOKUP($B163,ANNOUNCEMENTS!$M$2:$M$180,ANNOUNCEMENTS!$J$2:$J$180,0,0)),1,
IF(EXACT(I$1,
_xlfn.XLOOKUP($B163,ANNOUNCEMENTS!$N$2:$N$180,ANNOUNCEMENTS!$J$2:$J$180,0,0)),1,0))))</f>
        <v>0</v>
      </c>
      <c r="J163">
        <f>IF(EXACT(J$1,
_xlfn.XLOOKUP($B163,ANNOUNCEMENTS!$E$2:$E$180,ANNOUNCEMENTS!$J$2:$J$180,0,0)),1,
IF(EXACT(J$1,
_xlfn.XLOOKUP($B163,ANNOUNCEMENTS!$L$2:$L$180,ANNOUNCEMENTS!$J$2:$J$180,0,0)),1,
IF(EXACT(J$1,
_xlfn.XLOOKUP($B163,ANNOUNCEMENTS!$M$2:$M$180,ANNOUNCEMENTS!$J$2:$J$180,0,0)),1,
IF(EXACT(J$1,
_xlfn.XLOOKUP($B163,ANNOUNCEMENTS!$N$2:$N$180,ANNOUNCEMENTS!$J$2:$J$180,0,0)),1,0))))</f>
        <v>0</v>
      </c>
      <c r="K163">
        <f>IF(EXACT(K$1,
_xlfn.XLOOKUP($B163,ANNOUNCEMENTS!$E$2:$E$180,ANNOUNCEMENTS!$J$2:$J$180,0,0)),1,
IF(EXACT(K$1,
_xlfn.XLOOKUP($B163,ANNOUNCEMENTS!$L$2:$L$180,ANNOUNCEMENTS!$J$2:$J$180,0,0)),1,
IF(EXACT(K$1,
_xlfn.XLOOKUP($B163,ANNOUNCEMENTS!$M$2:$M$180,ANNOUNCEMENTS!$J$2:$J$180,0,0)),1,
IF(EXACT(K$1,
_xlfn.XLOOKUP($B163,ANNOUNCEMENTS!$N$2:$N$180,ANNOUNCEMENTS!$J$2:$J$180,0,0)),1,0))))</f>
        <v>0</v>
      </c>
      <c r="L163">
        <f>IF(EXACT(L$1,
_xlfn.XLOOKUP($B163,ANNOUNCEMENTS!$E$2:$E$180,ANNOUNCEMENTS!$J$2:$J$180,0,0)),1,
IF(EXACT(L$1,
_xlfn.XLOOKUP($B163,ANNOUNCEMENTS!$L$2:$L$180,ANNOUNCEMENTS!$J$2:$J$180,0,0)),1,
IF(EXACT(L$1,
_xlfn.XLOOKUP($B163,ANNOUNCEMENTS!$M$2:$M$180,ANNOUNCEMENTS!$J$2:$J$180,0,0)),1,
IF(EXACT(L$1,
_xlfn.XLOOKUP($B163,ANNOUNCEMENTS!$N$2:$N$180,ANNOUNCEMENTS!$J$2:$J$180,0,0)),1,0))))</f>
        <v>0</v>
      </c>
      <c r="M163">
        <f t="shared" si="10"/>
        <v>1</v>
      </c>
      <c r="N163" t="b">
        <v>0</v>
      </c>
      <c r="O163" s="284">
        <f t="shared" si="12"/>
        <v>12</v>
      </c>
    </row>
    <row r="164" spans="1:15" x14ac:dyDescent="0.35">
      <c r="A164">
        <f t="shared" si="11"/>
        <v>163</v>
      </c>
      <c r="B164" t="s">
        <v>1977</v>
      </c>
      <c r="C164" t="s">
        <v>288</v>
      </c>
      <c r="D164">
        <v>0</v>
      </c>
      <c r="E164" s="107">
        <v>0</v>
      </c>
      <c r="F164">
        <v>0</v>
      </c>
      <c r="G164" t="str">
        <f>CBIMPORT!S164</f>
        <v>https://www.volvoautonomoussolutions.com/en-en/</v>
      </c>
      <c r="H164">
        <f>IF(EXACT(H$1,
_xlfn.XLOOKUP($B164,ANNOUNCEMENTS!$E$2:$E$180,ANNOUNCEMENTS!$J$2:$J$180,0,0)),1,
IF(EXACT(H$1,
_xlfn.XLOOKUP($B164,ANNOUNCEMENTS!$L$2:$L$180,ANNOUNCEMENTS!$J$2:$J$180,0,0)),1,
IF(EXACT(H$1,
_xlfn.XLOOKUP($B164,ANNOUNCEMENTS!$M$2:$M$180,ANNOUNCEMENTS!$J$2:$J$180,0,0)),1,
IF(EXACT(H$1,
_xlfn.XLOOKUP($B164,ANNOUNCEMENTS!$N$2:$N$180,ANNOUNCEMENTS!$J$2:$J$180,0,0)),1,0))))</f>
        <v>0</v>
      </c>
      <c r="I164">
        <f>IF(EXACT(I$1,
_xlfn.XLOOKUP($B164,ANNOUNCEMENTS!$E$2:$E$180,ANNOUNCEMENTS!$J$2:$J$180,0,0)),1,
IF(EXACT(I$1,
_xlfn.XLOOKUP($B164,ANNOUNCEMENTS!$L$2:$L$180,ANNOUNCEMENTS!$J$2:$J$180,0,0)),1,
IF(EXACT(I$1,
_xlfn.XLOOKUP($B164,ANNOUNCEMENTS!$M$2:$M$180,ANNOUNCEMENTS!$J$2:$J$180,0,0)),1,
IF(EXACT(I$1,
_xlfn.XLOOKUP($B164,ANNOUNCEMENTS!$N$2:$N$180,ANNOUNCEMENTS!$J$2:$J$180,0,0)),1,0))))</f>
        <v>0</v>
      </c>
      <c r="J164">
        <f>IF(EXACT(J$1,
_xlfn.XLOOKUP($B164,ANNOUNCEMENTS!$E$2:$E$180,ANNOUNCEMENTS!$J$2:$J$180,0,0)),1,
IF(EXACT(J$1,
_xlfn.XLOOKUP($B164,ANNOUNCEMENTS!$L$2:$L$180,ANNOUNCEMENTS!$J$2:$J$180,0,0)),1,
IF(EXACT(J$1,
_xlfn.XLOOKUP($B164,ANNOUNCEMENTS!$M$2:$M$180,ANNOUNCEMENTS!$J$2:$J$180,0,0)),1,
IF(EXACT(J$1,
_xlfn.XLOOKUP($B164,ANNOUNCEMENTS!$N$2:$N$180,ANNOUNCEMENTS!$J$2:$J$180,0,0)),1,0))))</f>
        <v>1</v>
      </c>
      <c r="K164">
        <f>IF(EXACT(K$1,
_xlfn.XLOOKUP($B164,ANNOUNCEMENTS!$E$2:$E$180,ANNOUNCEMENTS!$J$2:$J$180,0,0)),1,
IF(EXACT(K$1,
_xlfn.XLOOKUP($B164,ANNOUNCEMENTS!$L$2:$L$180,ANNOUNCEMENTS!$J$2:$J$180,0,0)),1,
IF(EXACT(K$1,
_xlfn.XLOOKUP($B164,ANNOUNCEMENTS!$M$2:$M$180,ANNOUNCEMENTS!$J$2:$J$180,0,0)),1,
IF(EXACT(K$1,
_xlfn.XLOOKUP($B164,ANNOUNCEMENTS!$N$2:$N$180,ANNOUNCEMENTS!$J$2:$J$180,0,0)),1,0))))</f>
        <v>0</v>
      </c>
      <c r="L164">
        <f>IF(EXACT(L$1,
_xlfn.XLOOKUP($B164,ANNOUNCEMENTS!$E$2:$E$180,ANNOUNCEMENTS!$J$2:$J$180,0,0)),1,
IF(EXACT(L$1,
_xlfn.XLOOKUP($B164,ANNOUNCEMENTS!$L$2:$L$180,ANNOUNCEMENTS!$J$2:$J$180,0,0)),1,
IF(EXACT(L$1,
_xlfn.XLOOKUP($B164,ANNOUNCEMENTS!$M$2:$M$180,ANNOUNCEMENTS!$J$2:$J$180,0,0)),1,
IF(EXACT(L$1,
_xlfn.XLOOKUP($B164,ANNOUNCEMENTS!$N$2:$N$180,ANNOUNCEMENTS!$J$2:$J$180,0,0)),1,0))))</f>
        <v>0</v>
      </c>
      <c r="M164">
        <f t="shared" si="10"/>
        <v>1</v>
      </c>
      <c r="N164" t="b">
        <v>0</v>
      </c>
      <c r="O164" s="284">
        <f t="shared" si="12"/>
        <v>4</v>
      </c>
    </row>
    <row r="165" spans="1:15" x14ac:dyDescent="0.35">
      <c r="A165">
        <f t="shared" si="11"/>
        <v>164</v>
      </c>
      <c r="B165" t="s">
        <v>1978</v>
      </c>
      <c r="C165" t="s">
        <v>490</v>
      </c>
      <c r="D165">
        <v>0</v>
      </c>
      <c r="E165" s="107">
        <v>1675.079438</v>
      </c>
      <c r="F165">
        <v>1</v>
      </c>
      <c r="G165" t="str">
        <f>CBIMPORT!S165</f>
        <v>www.volvocars.com/</v>
      </c>
      <c r="H165">
        <f>IF(EXACT(H$1,
_xlfn.XLOOKUP($B165,ANNOUNCEMENTS!$E$2:$E$180,ANNOUNCEMENTS!$J$2:$J$180,0,0)),1,
IF(EXACT(H$1,
_xlfn.XLOOKUP($B165,ANNOUNCEMENTS!$L$2:$L$180,ANNOUNCEMENTS!$J$2:$J$180,0,0)),1,
IF(EXACT(H$1,
_xlfn.XLOOKUP($B165,ANNOUNCEMENTS!$M$2:$M$180,ANNOUNCEMENTS!$J$2:$J$180,0,0)),1,
IF(EXACT(H$1,
_xlfn.XLOOKUP($B165,ANNOUNCEMENTS!$N$2:$N$180,ANNOUNCEMENTS!$J$2:$J$180,0,0)),1,0))))</f>
        <v>0</v>
      </c>
      <c r="I165">
        <f>IF(EXACT(I$1,
_xlfn.XLOOKUP($B165,ANNOUNCEMENTS!$E$2:$E$180,ANNOUNCEMENTS!$J$2:$J$180,0,0)),1,
IF(EXACT(I$1,
_xlfn.XLOOKUP($B165,ANNOUNCEMENTS!$L$2:$L$180,ANNOUNCEMENTS!$J$2:$J$180,0,0)),1,
IF(EXACT(I$1,
_xlfn.XLOOKUP($B165,ANNOUNCEMENTS!$M$2:$M$180,ANNOUNCEMENTS!$J$2:$J$180,0,0)),1,
IF(EXACT(I$1,
_xlfn.XLOOKUP($B165,ANNOUNCEMENTS!$N$2:$N$180,ANNOUNCEMENTS!$J$2:$J$180,0,0)),1,0))))</f>
        <v>1</v>
      </c>
      <c r="J165">
        <f>IF(EXACT(J$1,
_xlfn.XLOOKUP($B165,ANNOUNCEMENTS!$E$2:$E$180,ANNOUNCEMENTS!$J$2:$J$180,0,0)),1,
IF(EXACT(J$1,
_xlfn.XLOOKUP($B165,ANNOUNCEMENTS!$L$2:$L$180,ANNOUNCEMENTS!$J$2:$J$180,0,0)),1,
IF(EXACT(J$1,
_xlfn.XLOOKUP($B165,ANNOUNCEMENTS!$M$2:$M$180,ANNOUNCEMENTS!$J$2:$J$180,0,0)),1,
IF(EXACT(J$1,
_xlfn.XLOOKUP($B165,ANNOUNCEMENTS!$N$2:$N$180,ANNOUNCEMENTS!$J$2:$J$180,0,0)),1,0))))</f>
        <v>0</v>
      </c>
      <c r="K165">
        <f>IF(EXACT(K$1,
_xlfn.XLOOKUP($B165,ANNOUNCEMENTS!$E$2:$E$180,ANNOUNCEMENTS!$J$2:$J$180,0,0)),1,
IF(EXACT(K$1,
_xlfn.XLOOKUP($B165,ANNOUNCEMENTS!$L$2:$L$180,ANNOUNCEMENTS!$J$2:$J$180,0,0)),1,
IF(EXACT(K$1,
_xlfn.XLOOKUP($B165,ANNOUNCEMENTS!$M$2:$M$180,ANNOUNCEMENTS!$J$2:$J$180,0,0)),1,
IF(EXACT(K$1,
_xlfn.XLOOKUP($B165,ANNOUNCEMENTS!$N$2:$N$180,ANNOUNCEMENTS!$J$2:$J$180,0,0)),1,0))))</f>
        <v>0</v>
      </c>
      <c r="L165">
        <f>IF(EXACT(L$1,
_xlfn.XLOOKUP($B165,ANNOUNCEMENTS!$E$2:$E$180,ANNOUNCEMENTS!$J$2:$J$180,0,0)),1,
IF(EXACT(L$1,
_xlfn.XLOOKUP($B165,ANNOUNCEMENTS!$L$2:$L$180,ANNOUNCEMENTS!$J$2:$J$180,0,0)),1,
IF(EXACT(L$1,
_xlfn.XLOOKUP($B165,ANNOUNCEMENTS!$M$2:$M$180,ANNOUNCEMENTS!$J$2:$J$180,0,0)),1,
IF(EXACT(L$1,
_xlfn.XLOOKUP($B165,ANNOUNCEMENTS!$N$2:$N$180,ANNOUNCEMENTS!$J$2:$J$180,0,0)),1,0))))</f>
        <v>0</v>
      </c>
      <c r="M165">
        <f t="shared" si="10"/>
        <v>1</v>
      </c>
      <c r="N165" t="b">
        <v>0</v>
      </c>
      <c r="O165" s="284">
        <f t="shared" si="12"/>
        <v>11</v>
      </c>
    </row>
    <row r="166" spans="1:15" x14ac:dyDescent="0.35">
      <c r="A166">
        <f t="shared" si="11"/>
        <v>165</v>
      </c>
      <c r="B166" t="s">
        <v>840</v>
      </c>
      <c r="C166" t="s">
        <v>516</v>
      </c>
      <c r="D166">
        <v>0</v>
      </c>
      <c r="E166" s="107">
        <v>5000</v>
      </c>
      <c r="F166">
        <v>1</v>
      </c>
      <c r="G166" t="str">
        <f>CBIMPORT!S166</f>
        <v>www.walmart.com</v>
      </c>
      <c r="H166">
        <f>IF(EXACT(H$1,
_xlfn.XLOOKUP($B166,ANNOUNCEMENTS!$E$2:$E$180,ANNOUNCEMENTS!$J$2:$J$180,0,0)),1,
IF(EXACT(H$1,
_xlfn.XLOOKUP($B166,ANNOUNCEMENTS!$L$2:$L$180,ANNOUNCEMENTS!$J$2:$J$180,0,0)),1,
IF(EXACT(H$1,
_xlfn.XLOOKUP($B166,ANNOUNCEMENTS!$M$2:$M$180,ANNOUNCEMENTS!$J$2:$J$180,0,0)),1,
IF(EXACT(H$1,
_xlfn.XLOOKUP($B166,ANNOUNCEMENTS!$N$2:$N$180,ANNOUNCEMENTS!$J$2:$J$180,0,0)),1,0))))</f>
        <v>0</v>
      </c>
      <c r="I166">
        <f>IF(EXACT(I$1,
_xlfn.XLOOKUP($B166,ANNOUNCEMENTS!$E$2:$E$180,ANNOUNCEMENTS!$J$2:$J$180,0,0)),1,
IF(EXACT(I$1,
_xlfn.XLOOKUP($B166,ANNOUNCEMENTS!$L$2:$L$180,ANNOUNCEMENTS!$J$2:$J$180,0,0)),1,
IF(EXACT(I$1,
_xlfn.XLOOKUP($B166,ANNOUNCEMENTS!$M$2:$M$180,ANNOUNCEMENTS!$J$2:$J$180,0,0)),1,
IF(EXACT(I$1,
_xlfn.XLOOKUP($B166,ANNOUNCEMENTS!$N$2:$N$180,ANNOUNCEMENTS!$J$2:$J$180,0,0)),1,0))))</f>
        <v>0</v>
      </c>
      <c r="J166">
        <v>1</v>
      </c>
      <c r="K166">
        <f>IF(EXACT(K$1,
_xlfn.XLOOKUP($B166,ANNOUNCEMENTS!$E$2:$E$180,ANNOUNCEMENTS!$J$2:$J$180,0,0)),1,
IF(EXACT(K$1,
_xlfn.XLOOKUP($B166,ANNOUNCEMENTS!$L$2:$L$180,ANNOUNCEMENTS!$J$2:$J$180,0,0)),1,
IF(EXACT(K$1,
_xlfn.XLOOKUP($B166,ANNOUNCEMENTS!$M$2:$M$180,ANNOUNCEMENTS!$J$2:$J$180,0,0)),1,
IF(EXACT(K$1,
_xlfn.XLOOKUP($B166,ANNOUNCEMENTS!$N$2:$N$180,ANNOUNCEMENTS!$J$2:$J$180,0,0)),1,0))))</f>
        <v>1</v>
      </c>
      <c r="L166">
        <f>IF(EXACT(L$1,
_xlfn.XLOOKUP($B166,ANNOUNCEMENTS!$E$2:$E$180,ANNOUNCEMENTS!$J$2:$J$180,0,0)),1,
IF(EXACT(L$1,
_xlfn.XLOOKUP($B166,ANNOUNCEMENTS!$L$2:$L$180,ANNOUNCEMENTS!$J$2:$J$180,0,0)),1,
IF(EXACT(L$1,
_xlfn.XLOOKUP($B166,ANNOUNCEMENTS!$M$2:$M$180,ANNOUNCEMENTS!$J$2:$J$180,0,0)),1,
IF(EXACT(L$1,
_xlfn.XLOOKUP($B166,ANNOUNCEMENTS!$N$2:$N$180,ANNOUNCEMENTS!$J$2:$J$180,0,0)),1,0))))</f>
        <v>0</v>
      </c>
      <c r="M166">
        <f t="shared" si="10"/>
        <v>2</v>
      </c>
      <c r="N166" t="b">
        <v>0</v>
      </c>
      <c r="O166" s="284">
        <f t="shared" si="12"/>
        <v>20</v>
      </c>
    </row>
    <row r="167" spans="1:15" x14ac:dyDescent="0.35">
      <c r="A167">
        <f t="shared" si="11"/>
        <v>166</v>
      </c>
      <c r="B167" t="s">
        <v>707</v>
      </c>
      <c r="C167" t="s">
        <v>306</v>
      </c>
      <c r="D167">
        <v>0</v>
      </c>
      <c r="E167" s="107">
        <v>0</v>
      </c>
      <c r="F167">
        <v>1</v>
      </c>
      <c r="G167" t="str">
        <f>CBIMPORT!S167</f>
        <v>www.werner.com</v>
      </c>
      <c r="H167">
        <f>IF(EXACT(H$1,
_xlfn.XLOOKUP($B167,ANNOUNCEMENTS!$E$2:$E$180,ANNOUNCEMENTS!$J$2:$J$180,0,0)),1,
IF(EXACT(H$1,
_xlfn.XLOOKUP($B167,ANNOUNCEMENTS!$L$2:$L$180,ANNOUNCEMENTS!$J$2:$J$180,0,0)),1,
IF(EXACT(H$1,
_xlfn.XLOOKUP($B167,ANNOUNCEMENTS!$M$2:$M$180,ANNOUNCEMENTS!$J$2:$J$180,0,0)),1,
IF(EXACT(H$1,
_xlfn.XLOOKUP($B167,ANNOUNCEMENTS!$N$2:$N$180,ANNOUNCEMENTS!$J$2:$J$180,0,0)),1,0))))</f>
        <v>0</v>
      </c>
      <c r="I167">
        <f>IF(EXACT(I$1,
_xlfn.XLOOKUP($B167,ANNOUNCEMENTS!$E$2:$E$180,ANNOUNCEMENTS!$J$2:$J$180,0,0)),1,
IF(EXACT(I$1,
_xlfn.XLOOKUP($B167,ANNOUNCEMENTS!$L$2:$L$180,ANNOUNCEMENTS!$J$2:$J$180,0,0)),1,
IF(EXACT(I$1,
_xlfn.XLOOKUP($B167,ANNOUNCEMENTS!$M$2:$M$180,ANNOUNCEMENTS!$J$2:$J$180,0,0)),1,
IF(EXACT(I$1,
_xlfn.XLOOKUP($B167,ANNOUNCEMENTS!$N$2:$N$180,ANNOUNCEMENTS!$J$2:$J$180,0,0)),1,0))))</f>
        <v>0</v>
      </c>
      <c r="J167">
        <f>IF(EXACT(J$1,
_xlfn.XLOOKUP($B167,ANNOUNCEMENTS!$E$2:$E$180,ANNOUNCEMENTS!$J$2:$J$180,0,0)),1,
IF(EXACT(J$1,
_xlfn.XLOOKUP($B167,ANNOUNCEMENTS!$L$2:$L$180,ANNOUNCEMENTS!$J$2:$J$180,0,0)),1,
IF(EXACT(J$1,
_xlfn.XLOOKUP($B167,ANNOUNCEMENTS!$M$2:$M$180,ANNOUNCEMENTS!$J$2:$J$180,0,0)),1,
IF(EXACT(J$1,
_xlfn.XLOOKUP($B167,ANNOUNCEMENTS!$N$2:$N$180,ANNOUNCEMENTS!$J$2:$J$180,0,0)),1,0))))</f>
        <v>1</v>
      </c>
      <c r="K167">
        <f>IF(EXACT(K$1,
_xlfn.XLOOKUP($B167,ANNOUNCEMENTS!$E$2:$E$180,ANNOUNCEMENTS!$J$2:$J$180,0,0)),1,
IF(EXACT(K$1,
_xlfn.XLOOKUP($B167,ANNOUNCEMENTS!$L$2:$L$180,ANNOUNCEMENTS!$J$2:$J$180,0,0)),1,
IF(EXACT(K$1,
_xlfn.XLOOKUP($B167,ANNOUNCEMENTS!$M$2:$M$180,ANNOUNCEMENTS!$J$2:$J$180,0,0)),1,
IF(EXACT(K$1,
_xlfn.XLOOKUP($B167,ANNOUNCEMENTS!$N$2:$N$180,ANNOUNCEMENTS!$J$2:$J$180,0,0)),1,0))))</f>
        <v>0</v>
      </c>
      <c r="L167">
        <f>IF(EXACT(L$1,
_xlfn.XLOOKUP($B167,ANNOUNCEMENTS!$E$2:$E$180,ANNOUNCEMENTS!$J$2:$J$180,0,0)),1,
IF(EXACT(L$1,
_xlfn.XLOOKUP($B167,ANNOUNCEMENTS!$L$2:$L$180,ANNOUNCEMENTS!$J$2:$J$180,0,0)),1,
IF(EXACT(L$1,
_xlfn.XLOOKUP($B167,ANNOUNCEMENTS!$M$2:$M$180,ANNOUNCEMENTS!$J$2:$J$180,0,0)),1,
IF(EXACT(L$1,
_xlfn.XLOOKUP($B167,ANNOUNCEMENTS!$N$2:$N$180,ANNOUNCEMENTS!$J$2:$J$180,0,0)),1,0))))</f>
        <v>0</v>
      </c>
      <c r="M167">
        <f t="shared" si="10"/>
        <v>1</v>
      </c>
      <c r="N167" t="b">
        <v>0</v>
      </c>
      <c r="O167" s="284">
        <f t="shared" si="12"/>
        <v>22</v>
      </c>
    </row>
    <row r="168" spans="1:15" x14ac:dyDescent="0.35">
      <c r="A168">
        <f t="shared" si="11"/>
        <v>167</v>
      </c>
      <c r="B168" t="s">
        <v>901</v>
      </c>
      <c r="C168" t="s">
        <v>902</v>
      </c>
      <c r="D168">
        <v>0</v>
      </c>
      <c r="E168" s="107">
        <v>9</v>
      </c>
      <c r="F168">
        <v>0</v>
      </c>
      <c r="G168" t="str">
        <f>CBIMPORT!S168</f>
        <v>www.wrtaonline.com</v>
      </c>
      <c r="H168">
        <f>IF(EXACT(H$1,
_xlfn.XLOOKUP($B168,ANNOUNCEMENTS!$E$2:$E$180,ANNOUNCEMENTS!$J$2:$J$180,0,0)),1,
IF(EXACT(H$1,
_xlfn.XLOOKUP($B168,ANNOUNCEMENTS!$L$2:$L$180,ANNOUNCEMENTS!$J$2:$J$180,0,0)),1,
IF(EXACT(H$1,
_xlfn.XLOOKUP($B168,ANNOUNCEMENTS!$M$2:$M$180,ANNOUNCEMENTS!$J$2:$J$180,0,0)),1,
IF(EXACT(H$1,
_xlfn.XLOOKUP($B168,ANNOUNCEMENTS!$N$2:$N$180,ANNOUNCEMENTS!$J$2:$J$180,0,0)),1,0))))</f>
        <v>1</v>
      </c>
      <c r="I168">
        <f>IF(EXACT(I$1,
_xlfn.XLOOKUP($B168,ANNOUNCEMENTS!$E$2:$E$180,ANNOUNCEMENTS!$J$2:$J$180,0,0)),1,
IF(EXACT(I$1,
_xlfn.XLOOKUP($B168,ANNOUNCEMENTS!$L$2:$L$180,ANNOUNCEMENTS!$J$2:$J$180,0,0)),1,
IF(EXACT(I$1,
_xlfn.XLOOKUP($B168,ANNOUNCEMENTS!$M$2:$M$180,ANNOUNCEMENTS!$J$2:$J$180,0,0)),1,
IF(EXACT(I$1,
_xlfn.XLOOKUP($B168,ANNOUNCEMENTS!$N$2:$N$180,ANNOUNCEMENTS!$J$2:$J$180,0,0)),1,0))))</f>
        <v>0</v>
      </c>
      <c r="J168">
        <f>IF(EXACT(J$1,
_xlfn.XLOOKUP($B168,ANNOUNCEMENTS!$E$2:$E$180,ANNOUNCEMENTS!$J$2:$J$180,0,0)),1,
IF(EXACT(J$1,
_xlfn.XLOOKUP($B168,ANNOUNCEMENTS!$L$2:$L$180,ANNOUNCEMENTS!$J$2:$J$180,0,0)),1,
IF(EXACT(J$1,
_xlfn.XLOOKUP($B168,ANNOUNCEMENTS!$M$2:$M$180,ANNOUNCEMENTS!$J$2:$J$180,0,0)),1,
IF(EXACT(J$1,
_xlfn.XLOOKUP($B168,ANNOUNCEMENTS!$N$2:$N$180,ANNOUNCEMENTS!$J$2:$J$180,0,0)),1,0))))</f>
        <v>0</v>
      </c>
      <c r="K168">
        <f>IF(EXACT(K$1,
_xlfn.XLOOKUP($B168,ANNOUNCEMENTS!$E$2:$E$180,ANNOUNCEMENTS!$J$2:$J$180,0,0)),1,
IF(EXACT(K$1,
_xlfn.XLOOKUP($B168,ANNOUNCEMENTS!$L$2:$L$180,ANNOUNCEMENTS!$J$2:$J$180,0,0)),1,
IF(EXACT(K$1,
_xlfn.XLOOKUP($B168,ANNOUNCEMENTS!$M$2:$M$180,ANNOUNCEMENTS!$J$2:$J$180,0,0)),1,
IF(EXACT(K$1,
_xlfn.XLOOKUP($B168,ANNOUNCEMENTS!$N$2:$N$180,ANNOUNCEMENTS!$J$2:$J$180,0,0)),1,0))))</f>
        <v>0</v>
      </c>
      <c r="L168">
        <f>IF(EXACT(L$1,
_xlfn.XLOOKUP($B168,ANNOUNCEMENTS!$E$2:$E$180,ANNOUNCEMENTS!$J$2:$J$180,0,0)),1,
IF(EXACT(L$1,
_xlfn.XLOOKUP($B168,ANNOUNCEMENTS!$L$2:$L$180,ANNOUNCEMENTS!$J$2:$J$180,0,0)),1,
IF(EXACT(L$1,
_xlfn.XLOOKUP($B168,ANNOUNCEMENTS!$M$2:$M$180,ANNOUNCEMENTS!$J$2:$J$180,0,0)),1,
IF(EXACT(L$1,
_xlfn.XLOOKUP($B168,ANNOUNCEMENTS!$N$2:$N$180,ANNOUNCEMENTS!$J$2:$J$180,0,0)),1,0))))</f>
        <v>0</v>
      </c>
      <c r="M168">
        <f t="shared" si="10"/>
        <v>1</v>
      </c>
      <c r="N168" t="b">
        <v>0</v>
      </c>
      <c r="O168" s="284">
        <f t="shared" si="12"/>
        <v>14</v>
      </c>
    </row>
    <row r="169" spans="1:15" x14ac:dyDescent="0.35">
      <c r="A169">
        <f t="shared" si="11"/>
        <v>168</v>
      </c>
      <c r="B169" t="s">
        <v>1963</v>
      </c>
      <c r="C169" t="s">
        <v>330</v>
      </c>
      <c r="D169">
        <v>0</v>
      </c>
      <c r="E169" s="107">
        <v>0</v>
      </c>
      <c r="F169">
        <v>0</v>
      </c>
      <c r="G169" t="str">
        <f>CBIMPORT!S169</f>
        <v>www.willerexpress.co.jp</v>
      </c>
      <c r="H169">
        <v>1</v>
      </c>
      <c r="I169">
        <f>IF(EXACT(I$1,
_xlfn.XLOOKUP($B169,ANNOUNCEMENTS!$E$2:$E$180,ANNOUNCEMENTS!$J$2:$J$180,0,0)),1,
IF(EXACT(I$1,
_xlfn.XLOOKUP($B169,ANNOUNCEMENTS!$L$2:$L$180,ANNOUNCEMENTS!$J$2:$J$180,0,0)),1,
IF(EXACT(I$1,
_xlfn.XLOOKUP($B169,ANNOUNCEMENTS!$M$2:$M$180,ANNOUNCEMENTS!$J$2:$J$180,0,0)),1,
IF(EXACT(I$1,
_xlfn.XLOOKUP($B169,ANNOUNCEMENTS!$N$2:$N$180,ANNOUNCEMENTS!$J$2:$J$180,0,0)),1,0))))</f>
        <v>1</v>
      </c>
      <c r="J169">
        <f>IF(EXACT(J$1,
_xlfn.XLOOKUP($B169,ANNOUNCEMENTS!$E$2:$E$180,ANNOUNCEMENTS!$J$2:$J$180,0,0)),1,
IF(EXACT(J$1,
_xlfn.XLOOKUP($B169,ANNOUNCEMENTS!$L$2:$L$180,ANNOUNCEMENTS!$J$2:$J$180,0,0)),1,
IF(EXACT(J$1,
_xlfn.XLOOKUP($B169,ANNOUNCEMENTS!$M$2:$M$180,ANNOUNCEMENTS!$J$2:$J$180,0,0)),1,
IF(EXACT(J$1,
_xlfn.XLOOKUP($B169,ANNOUNCEMENTS!$N$2:$N$180,ANNOUNCEMENTS!$J$2:$J$180,0,0)),1,0))))</f>
        <v>0</v>
      </c>
      <c r="K169">
        <f>IF(EXACT(K$1,
_xlfn.XLOOKUP($B169,ANNOUNCEMENTS!$E$2:$E$180,ANNOUNCEMENTS!$J$2:$J$180,0,0)),1,
IF(EXACT(K$1,
_xlfn.XLOOKUP($B169,ANNOUNCEMENTS!$L$2:$L$180,ANNOUNCEMENTS!$J$2:$J$180,0,0)),1,
IF(EXACT(K$1,
_xlfn.XLOOKUP($B169,ANNOUNCEMENTS!$M$2:$M$180,ANNOUNCEMENTS!$J$2:$J$180,0,0)),1,
IF(EXACT(K$1,
_xlfn.XLOOKUP($B169,ANNOUNCEMENTS!$N$2:$N$180,ANNOUNCEMENTS!$J$2:$J$180,0,0)),1,0))))</f>
        <v>0</v>
      </c>
      <c r="L169">
        <f>IF(EXACT(L$1,
_xlfn.XLOOKUP($B169,ANNOUNCEMENTS!$E$2:$E$180,ANNOUNCEMENTS!$J$2:$J$180,0,0)),1,
IF(EXACT(L$1,
_xlfn.XLOOKUP($B169,ANNOUNCEMENTS!$L$2:$L$180,ANNOUNCEMENTS!$J$2:$J$180,0,0)),1,
IF(EXACT(L$1,
_xlfn.XLOOKUP($B169,ANNOUNCEMENTS!$M$2:$M$180,ANNOUNCEMENTS!$J$2:$J$180,0,0)),1,
IF(EXACT(L$1,
_xlfn.XLOOKUP($B169,ANNOUNCEMENTS!$N$2:$N$180,ANNOUNCEMENTS!$J$2:$J$180,0,0)),1,0))))</f>
        <v>0</v>
      </c>
      <c r="M169">
        <f t="shared" si="10"/>
        <v>2</v>
      </c>
      <c r="N169" t="b">
        <v>0</v>
      </c>
      <c r="O169" s="284">
        <f t="shared" si="12"/>
        <v>16</v>
      </c>
    </row>
    <row r="170" spans="1:15" x14ac:dyDescent="0.35">
      <c r="A170">
        <f t="shared" si="11"/>
        <v>169</v>
      </c>
      <c r="B170" t="s">
        <v>1964</v>
      </c>
      <c r="C170" t="s">
        <v>368</v>
      </c>
      <c r="D170">
        <v>0</v>
      </c>
      <c r="E170" s="107">
        <v>0</v>
      </c>
      <c r="F170">
        <v>1</v>
      </c>
      <c r="G170" t="str">
        <f>CBIMPORT!S170</f>
        <v>www.wnc.com.tw/</v>
      </c>
      <c r="H170">
        <f>IF(EXACT(H$1,
_xlfn.XLOOKUP($B170,ANNOUNCEMENTS!$E$2:$E$180,ANNOUNCEMENTS!$J$2:$J$180,0,0)),1,
IF(EXACT(H$1,
_xlfn.XLOOKUP($B170,ANNOUNCEMENTS!$L$2:$L$180,ANNOUNCEMENTS!$J$2:$J$180,0,0)),1,
IF(EXACT(H$1,
_xlfn.XLOOKUP($B170,ANNOUNCEMENTS!$M$2:$M$180,ANNOUNCEMENTS!$J$2:$J$180,0,0)),1,
IF(EXACT(H$1,
_xlfn.XLOOKUP($B170,ANNOUNCEMENTS!$N$2:$N$180,ANNOUNCEMENTS!$J$2:$J$180,0,0)),1,0))))</f>
        <v>0</v>
      </c>
      <c r="I170">
        <f>IF(EXACT(I$1,
_xlfn.XLOOKUP($B170,ANNOUNCEMENTS!$E$2:$E$180,ANNOUNCEMENTS!$J$2:$J$180,0,0)),1,
IF(EXACT(I$1,
_xlfn.XLOOKUP($B170,ANNOUNCEMENTS!$L$2:$L$180,ANNOUNCEMENTS!$J$2:$J$180,0,0)),1,
IF(EXACT(I$1,
_xlfn.XLOOKUP($B170,ANNOUNCEMENTS!$M$2:$M$180,ANNOUNCEMENTS!$J$2:$J$180,0,0)),1,
IF(EXACT(I$1,
_xlfn.XLOOKUP($B170,ANNOUNCEMENTS!$N$2:$N$180,ANNOUNCEMENTS!$J$2:$J$180,0,0)),1,0))))</f>
        <v>0</v>
      </c>
      <c r="J170">
        <f>IF(EXACT(J$1,
_xlfn.XLOOKUP($B170,ANNOUNCEMENTS!$E$2:$E$180,ANNOUNCEMENTS!$J$2:$J$180,0,0)),1,
IF(EXACT(J$1,
_xlfn.XLOOKUP($B170,ANNOUNCEMENTS!$L$2:$L$180,ANNOUNCEMENTS!$J$2:$J$180,0,0)),1,
IF(EXACT(J$1,
_xlfn.XLOOKUP($B170,ANNOUNCEMENTS!$M$2:$M$180,ANNOUNCEMENTS!$J$2:$J$180,0,0)),1,
IF(EXACT(J$1,
_xlfn.XLOOKUP($B170,ANNOUNCEMENTS!$N$2:$N$180,ANNOUNCEMENTS!$J$2:$J$180,0,0)),1,0))))</f>
        <v>0</v>
      </c>
      <c r="K170">
        <f>IF(EXACT(K$1,
_xlfn.XLOOKUP($B170,ANNOUNCEMENTS!$E$2:$E$180,ANNOUNCEMENTS!$J$2:$J$180,0,0)),1,
IF(EXACT(K$1,
_xlfn.XLOOKUP($B170,ANNOUNCEMENTS!$L$2:$L$180,ANNOUNCEMENTS!$J$2:$J$180,0,0)),1,
IF(EXACT(K$1,
_xlfn.XLOOKUP($B170,ANNOUNCEMENTS!$M$2:$M$180,ANNOUNCEMENTS!$J$2:$J$180,0,0)),1,
IF(EXACT(K$1,
_xlfn.XLOOKUP($B170,ANNOUNCEMENTS!$N$2:$N$180,ANNOUNCEMENTS!$J$2:$J$180,0,0)),1,0))))</f>
        <v>0</v>
      </c>
      <c r="L170">
        <f>IF(EXACT(L$1,
_xlfn.XLOOKUP($B170,ANNOUNCEMENTS!$E$2:$E$180,ANNOUNCEMENTS!$J$2:$J$180,0,0)),1,
IF(EXACT(L$1,
_xlfn.XLOOKUP($B170,ANNOUNCEMENTS!$L$2:$L$180,ANNOUNCEMENTS!$J$2:$J$180,0,0)),1,
IF(EXACT(L$1,
_xlfn.XLOOKUP($B170,ANNOUNCEMENTS!$M$2:$M$180,ANNOUNCEMENTS!$J$2:$J$180,0,0)),1,
IF(EXACT(L$1,
_xlfn.XLOOKUP($B170,ANNOUNCEMENTS!$N$2:$N$180,ANNOUNCEMENTS!$J$2:$J$180,0,0)),1,0))))</f>
        <v>1</v>
      </c>
      <c r="M170">
        <f t="shared" si="10"/>
        <v>1</v>
      </c>
      <c r="N170" t="b">
        <v>0</v>
      </c>
      <c r="O170" s="284">
        <f t="shared" si="12"/>
        <v>2</v>
      </c>
    </row>
    <row r="171" spans="1:15" x14ac:dyDescent="0.35">
      <c r="A171">
        <f t="shared" si="11"/>
        <v>170</v>
      </c>
      <c r="B171" t="s">
        <v>780</v>
      </c>
      <c r="C171" t="s">
        <v>490</v>
      </c>
      <c r="D171">
        <v>0</v>
      </c>
      <c r="E171" s="107">
        <v>1559.319806</v>
      </c>
      <c r="F171">
        <v>0</v>
      </c>
      <c r="G171" t="str">
        <f>CBIMPORT!S171</f>
        <v>zeekrlife.com</v>
      </c>
      <c r="H171">
        <f>IF(EXACT(H$1,
_xlfn.XLOOKUP($B171,ANNOUNCEMENTS!$E$2:$E$180,ANNOUNCEMENTS!$J$2:$J$180,0,0)),1,
IF(EXACT(H$1,
_xlfn.XLOOKUP($B171,ANNOUNCEMENTS!$L$2:$L$180,ANNOUNCEMENTS!$J$2:$J$180,0,0)),1,
IF(EXACT(H$1,
_xlfn.XLOOKUP($B171,ANNOUNCEMENTS!$M$2:$M$180,ANNOUNCEMENTS!$J$2:$J$180,0,0)),1,
IF(EXACT(H$1,
_xlfn.XLOOKUP($B171,ANNOUNCEMENTS!$N$2:$N$180,ANNOUNCEMENTS!$J$2:$J$180,0,0)),1,0))))</f>
        <v>0</v>
      </c>
      <c r="I171">
        <f>IF(EXACT(I$1,
_xlfn.XLOOKUP($B171,ANNOUNCEMENTS!$E$2:$E$180,ANNOUNCEMENTS!$J$2:$J$180,0,0)),1,
IF(EXACT(I$1,
_xlfn.XLOOKUP($B171,ANNOUNCEMENTS!$L$2:$L$180,ANNOUNCEMENTS!$J$2:$J$180,0,0)),1,
IF(EXACT(I$1,
_xlfn.XLOOKUP($B171,ANNOUNCEMENTS!$M$2:$M$180,ANNOUNCEMENTS!$J$2:$J$180,0,0)),1,
IF(EXACT(I$1,
_xlfn.XLOOKUP($B171,ANNOUNCEMENTS!$N$2:$N$180,ANNOUNCEMENTS!$J$2:$J$180,0,0)),1,0))))</f>
        <v>0</v>
      </c>
      <c r="J171">
        <f>IF(EXACT(J$1,
_xlfn.XLOOKUP($B171,ANNOUNCEMENTS!$E$2:$E$180,ANNOUNCEMENTS!$J$2:$J$180,0,0)),1,
IF(EXACT(J$1,
_xlfn.XLOOKUP($B171,ANNOUNCEMENTS!$L$2:$L$180,ANNOUNCEMENTS!$J$2:$J$180,0,0)),1,
IF(EXACT(J$1,
_xlfn.XLOOKUP($B171,ANNOUNCEMENTS!$M$2:$M$180,ANNOUNCEMENTS!$J$2:$J$180,0,0)),1,
IF(EXACT(J$1,
_xlfn.XLOOKUP($B171,ANNOUNCEMENTS!$N$2:$N$180,ANNOUNCEMENTS!$J$2:$J$180,0,0)),1,0))))</f>
        <v>0</v>
      </c>
      <c r="K171">
        <f>IF(EXACT(K$1,
_xlfn.XLOOKUP($B171,ANNOUNCEMENTS!$E$2:$E$180,ANNOUNCEMENTS!$J$2:$J$180,0,0)),1,
IF(EXACT(K$1,
_xlfn.XLOOKUP($B171,ANNOUNCEMENTS!$L$2:$L$180,ANNOUNCEMENTS!$J$2:$J$180,0,0)),1,
IF(EXACT(K$1,
_xlfn.XLOOKUP($B171,ANNOUNCEMENTS!$M$2:$M$180,ANNOUNCEMENTS!$J$2:$J$180,0,0)),1,
IF(EXACT(K$1,
_xlfn.XLOOKUP($B171,ANNOUNCEMENTS!$N$2:$N$180,ANNOUNCEMENTS!$J$2:$J$180,0,0)),1,0))))</f>
        <v>0</v>
      </c>
      <c r="L171">
        <f>IF(EXACT(L$1,
_xlfn.XLOOKUP($B171,ANNOUNCEMENTS!$E$2:$E$180,ANNOUNCEMENTS!$J$2:$J$180,0,0)),1,
IF(EXACT(L$1,
_xlfn.XLOOKUP($B171,ANNOUNCEMENTS!$L$2:$L$180,ANNOUNCEMENTS!$J$2:$J$180,0,0)),1,
IF(EXACT(L$1,
_xlfn.XLOOKUP($B171,ANNOUNCEMENTS!$M$2:$M$180,ANNOUNCEMENTS!$J$2:$J$180,0,0)),1,
IF(EXACT(L$1,
_xlfn.XLOOKUP($B171,ANNOUNCEMENTS!$N$2:$N$180,ANNOUNCEMENTS!$J$2:$J$180,0,0)),1,0))))</f>
        <v>1</v>
      </c>
      <c r="M171">
        <f t="shared" si="10"/>
        <v>1</v>
      </c>
      <c r="N171" t="b">
        <v>0</v>
      </c>
      <c r="O171" s="284">
        <f t="shared" si="12"/>
        <v>11</v>
      </c>
    </row>
  </sheetData>
  <pageMargins left="0.7" right="0.7" top="0.75" bottom="0.75" header="0.3" footer="0.3"/>
  <pageSetup paperSize="9" orientation="portrait" horizontalDpi="4294967293"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5B7D3-711C-4BB5-9896-BE0B3B04D123}">
  <dimension ref="A1:N224"/>
  <sheetViews>
    <sheetView zoomScale="40" zoomScaleNormal="40" workbookViewId="0"/>
  </sheetViews>
  <sheetFormatPr defaultRowHeight="15" customHeight="1" x14ac:dyDescent="0.35"/>
  <cols>
    <col min="1" max="1" width="21.453125" customWidth="1"/>
    <col min="2" max="2" width="17.1796875" customWidth="1"/>
    <col min="3" max="4" width="12.36328125" customWidth="1"/>
    <col min="7" max="7" width="50" bestFit="1" customWidth="1"/>
    <col min="8" max="8" width="50" customWidth="1"/>
  </cols>
  <sheetData>
    <row r="1" spans="1:14" ht="15" customHeight="1" x14ac:dyDescent="0.35">
      <c r="A1" s="412" t="s">
        <v>2364</v>
      </c>
      <c r="G1" s="412" t="s">
        <v>2365</v>
      </c>
    </row>
    <row r="2" spans="1:14" s="59" customFormat="1" ht="15" customHeight="1" x14ac:dyDescent="0.35">
      <c r="A2" s="59" t="s">
        <v>2360</v>
      </c>
      <c r="B2" s="59" t="s">
        <v>2361</v>
      </c>
      <c r="C2" s="59" t="s">
        <v>2362</v>
      </c>
      <c r="D2" s="59" t="s">
        <v>2363</v>
      </c>
      <c r="G2" s="59" t="s">
        <v>2366</v>
      </c>
      <c r="H2" s="59" t="s">
        <v>2367</v>
      </c>
      <c r="J2" s="59" t="s">
        <v>1943</v>
      </c>
      <c r="K2" s="59" t="s">
        <v>2368</v>
      </c>
      <c r="N2" s="59" t="s">
        <v>2369</v>
      </c>
    </row>
    <row r="3" spans="1:14" ht="15" customHeight="1" x14ac:dyDescent="0.35">
      <c r="A3">
        <v>1</v>
      </c>
      <c r="B3">
        <v>2</v>
      </c>
      <c r="C3">
        <v>3</v>
      </c>
      <c r="D3">
        <v>4</v>
      </c>
      <c r="G3" t="str" cm="1">
        <f t="array" ref="G3:G58">_xlfn._xlws.FILTER(_xlfn.UNIQUE(A4:A182),_xlfn.UNIQUE(A4:A182)&lt;&gt;0)</f>
        <v>2getthere-Ridepooling</v>
      </c>
      <c r="H3" t="str" cm="1">
        <f t="array" ref="H3:H198">_xlfn._xlws.SORT(_xlfn.UNIQUE(G3:G223))</f>
        <v>2getthere-Ridepooling</v>
      </c>
      <c r="J3" t="str">
        <f>LEFT(H3,SEARCH("-",H3)-1)</f>
        <v>2getthere</v>
      </c>
      <c r="K3" t="str">
        <f>RIGHT(H3,LEN(H3)-SEARCH("-",H3))</f>
        <v>Ridepooling</v>
      </c>
      <c r="N3" t="str" cm="1">
        <f t="array" ref="N3:N173">_xlfn.UNIQUE(J3:J223)</f>
        <v>2getthere</v>
      </c>
    </row>
    <row r="4" spans="1:14" ht="15" customHeight="1" x14ac:dyDescent="0.35">
      <c r="A4" t="str">
        <f>ANNOUNCEMENTS!E2&amp;"-"&amp;ANNOUNCEMENTS!J2</f>
        <v>2getthere-Ridepooling</v>
      </c>
      <c r="B4" s="284" t="str">
        <f>IF(NOT(ISBLANK(ANNOUNCEMENTS!L2)),
ANNOUNCEMENTS!L2&amp;"-"&amp;ANNOUNCEMENTS!J2,0)</f>
        <v>SLTN-Ridepooling</v>
      </c>
      <c r="C4">
        <f>IF(NOT(ISBLANK(ANNOUNCEMENTS!M2)),
ANNOUNCEMENTS!M2&amp;"-"&amp;ANNOUNCEMENTS!J2,0)</f>
        <v>0</v>
      </c>
      <c r="D4">
        <f>IF(NOT(ISBLANK(ANNOUNCEMENTS!N2)),
ANNOUNCEMENTS!N2&amp;"-"&amp;ANNOUNCEMENTS!J2,0)</f>
        <v>0</v>
      </c>
      <c r="G4" t="str">
        <v>ADASTEC-Ridepooling</v>
      </c>
      <c r="H4" t="str">
        <v>AAA Northern California, Nevada &amp; Utah-Other</v>
      </c>
      <c r="J4" t="str">
        <f t="shared" ref="J4:J67" si="0">LEFT(H4,SEARCH("-",H4)-1)</f>
        <v>AAA Northern California, Nevada &amp; Utah</v>
      </c>
      <c r="K4" t="str">
        <f t="shared" ref="K4:K67" si="1">RIGHT(H4,LEN(H4)-SEARCH("-",H4))</f>
        <v>Other</v>
      </c>
      <c r="N4" t="str">
        <v>AAA Northern California, Nevada &amp; Utah</v>
      </c>
    </row>
    <row r="5" spans="1:14" ht="15" customHeight="1" x14ac:dyDescent="0.35">
      <c r="A5" t="str">
        <f>ANNOUNCEMENTS!E3&amp;"-"&amp;ANNOUNCEMENTS!J3</f>
        <v>2getthere-Ridepooling</v>
      </c>
      <c r="B5" s="284" t="str">
        <f>IF(NOT(ISBLANK(ANNOUNCEMENTS!L3)),
ANNOUNCEMENTS!L3&amp;"-"&amp;ANNOUNCEMENTS!J3,0)</f>
        <v>Benteler-Ridepooling</v>
      </c>
      <c r="C5">
        <f>IF(NOT(ISBLANK(ANNOUNCEMENTS!M3)),
ANNOUNCEMENTS!M3&amp;"-"&amp;ANNOUNCEMENTS!J3,0)</f>
        <v>0</v>
      </c>
      <c r="D5">
        <f>IF(NOT(ISBLANK(ANNOUNCEMENTS!N3)),
ANNOUNCEMENTS!N3&amp;"-"&amp;ANNOUNCEMENTS!J3,0)</f>
        <v>0</v>
      </c>
      <c r="G5" t="str">
        <v>Aurora-Trucking</v>
      </c>
      <c r="H5" t="str">
        <v>ADASTEC-Ridepooling</v>
      </c>
      <c r="J5" t="str">
        <f t="shared" si="0"/>
        <v>ADASTEC</v>
      </c>
      <c r="K5" t="str">
        <f t="shared" si="1"/>
        <v>Ridepooling</v>
      </c>
      <c r="N5" t="str">
        <v>ADASTEC</v>
      </c>
    </row>
    <row r="6" spans="1:14" ht="15" customHeight="1" x14ac:dyDescent="0.35">
      <c r="A6" t="str">
        <f>ANNOUNCEMENTS!E4&amp;"-"&amp;ANNOUNCEMENTS!J4</f>
        <v>2getthere-Ridepooling</v>
      </c>
      <c r="B6" s="284" t="str">
        <f>IF(NOT(ISBLANK(ANNOUNCEMENTS!L4)),
ANNOUNCEMENTS!L4&amp;"-"&amp;ANNOUNCEMENTS!J4,0)</f>
        <v>SMRT-Ridepooling</v>
      </c>
      <c r="C6">
        <f>IF(NOT(ISBLANK(ANNOUNCEMENTS!M4)),
ANNOUNCEMENTS!M4&amp;"-"&amp;ANNOUNCEMENTS!J4,0)</f>
        <v>0</v>
      </c>
      <c r="D6">
        <f>IF(NOT(ISBLANK(ANNOUNCEMENTS!N4)),
ANNOUNCEMENTS!N4&amp;"-"&amp;ANNOUNCEMENTS!J4,0)</f>
        <v>0</v>
      </c>
      <c r="G6" t="str">
        <v>Beep-Ridepooling</v>
      </c>
      <c r="H6" t="str">
        <v>Alliance Ventures (Renault, Nissan, Mitsubishi)-Last-Mile</v>
      </c>
      <c r="J6" t="str">
        <f t="shared" si="0"/>
        <v>Alliance Ventures (Renault, Nissan, Mitsubishi)</v>
      </c>
      <c r="K6" t="str">
        <f t="shared" si="1"/>
        <v>Last-Mile</v>
      </c>
      <c r="N6" t="str">
        <v>Alliance Ventures (Renault, Nissan, Mitsubishi)</v>
      </c>
    </row>
    <row r="7" spans="1:14" ht="15" customHeight="1" x14ac:dyDescent="0.35">
      <c r="A7" t="str">
        <f>ANNOUNCEMENTS!E5&amp;"-"&amp;ANNOUNCEMENTS!J5</f>
        <v>2getthere-Ridepooling</v>
      </c>
      <c r="B7" s="284" t="str">
        <f>IF(NOT(ISBLANK(ANNOUNCEMENTS!L5)),
ANNOUNCEMENTS!L5&amp;"-"&amp;ANNOUNCEMENTS!J5,0)</f>
        <v>United Technical Services-Ridepooling</v>
      </c>
      <c r="C7">
        <f>IF(NOT(ISBLANK(ANNOUNCEMENTS!M5)),
ANNOUNCEMENTS!M5&amp;"-"&amp;ANNOUNCEMENTS!J5,0)</f>
        <v>0</v>
      </c>
      <c r="D7">
        <f>IF(NOT(ISBLANK(ANNOUNCEMENTS!N5)),
ANNOUNCEMENTS!N5&amp;"-"&amp;ANNOUNCEMENTS!J5,0)</f>
        <v>0</v>
      </c>
      <c r="G7" t="str">
        <v>Bolt-Last-Mile</v>
      </c>
      <c r="H7" t="str">
        <v>Alliance Ventures (Renault, Nissan, Mitsubishi)-Ridehailing</v>
      </c>
      <c r="J7" t="str">
        <f t="shared" si="0"/>
        <v>Alliance Ventures (Renault, Nissan, Mitsubishi)</v>
      </c>
      <c r="K7" t="str">
        <f t="shared" si="1"/>
        <v>Ridehailing</v>
      </c>
      <c r="N7" t="str">
        <v xml:space="preserve">Anheuser </v>
      </c>
    </row>
    <row r="8" spans="1:14" ht="15" customHeight="1" x14ac:dyDescent="0.35">
      <c r="A8" t="str">
        <f>ANNOUNCEMENTS!E6&amp;"-"&amp;ANNOUNCEMENTS!J6</f>
        <v>2getthere-Ridepooling</v>
      </c>
      <c r="B8" s="284" t="str">
        <f>IF(NOT(ISBLANK(ANNOUNCEMENTS!L6)),
ANNOUNCEMENTS!L6&amp;"-"&amp;ANNOUNCEMENTS!J6,0)</f>
        <v>SMRT-Ridepooling</v>
      </c>
      <c r="C8">
        <f>IF(NOT(ISBLANK(ANNOUNCEMENTS!M6)),
ANNOUNCEMENTS!M6&amp;"-"&amp;ANNOUNCEMENTS!J6,0)</f>
        <v>0</v>
      </c>
      <c r="D8">
        <f>IF(NOT(ISBLANK(ANNOUNCEMENTS!N6)),
ANNOUNCEMENTS!N6&amp;"-"&amp;ANNOUNCEMENTS!J6,0)</f>
        <v>0</v>
      </c>
      <c r="G8" t="str">
        <v>Cartken-Last-Mile</v>
      </c>
      <c r="H8" t="str">
        <v>Anheuser - Busch InBev-Ridepooling</v>
      </c>
      <c r="J8" t="str">
        <f t="shared" si="0"/>
        <v xml:space="preserve">Anheuser </v>
      </c>
      <c r="K8" t="str">
        <f t="shared" si="1"/>
        <v xml:space="preserve"> Busch InBev-Ridepooling</v>
      </c>
      <c r="N8" t="str">
        <v>Applied Intuition</v>
      </c>
    </row>
    <row r="9" spans="1:14" ht="15" customHeight="1" x14ac:dyDescent="0.35">
      <c r="A9" t="str">
        <f>ANNOUNCEMENTS!E7&amp;"-"&amp;ANNOUNCEMENTS!J7</f>
        <v>ADASTEC-Ridepooling</v>
      </c>
      <c r="B9" s="284" t="str">
        <f>IF(NOT(ISBLANK(ANNOUNCEMENTS!L7)),
ANNOUNCEMENTS!L7&amp;"-"&amp;ANNOUNCEMENTS!J7,0)</f>
        <v>Vicinity Motor Corp.-Ridepooling</v>
      </c>
      <c r="C9">
        <f>IF(NOT(ISBLANK(ANNOUNCEMENTS!M7)),
ANNOUNCEMENTS!M7&amp;"-"&amp;ANNOUNCEMENTS!J7,0)</f>
        <v>0</v>
      </c>
      <c r="D9">
        <f>IF(NOT(ISBLANK(ANNOUNCEMENTS!N7)),
ANNOUNCEMENTS!N7&amp;"-"&amp;ANNOUNCEMENTS!J7,0)</f>
        <v>0</v>
      </c>
      <c r="G9" t="str">
        <v>Cruise-Other</v>
      </c>
      <c r="H9" t="str">
        <v>Applied Intuition-Trucking</v>
      </c>
      <c r="J9" t="str">
        <f t="shared" si="0"/>
        <v>Applied Intuition</v>
      </c>
      <c r="K9" t="str">
        <f t="shared" si="1"/>
        <v>Trucking</v>
      </c>
      <c r="N9" t="str">
        <v>Aramex</v>
      </c>
    </row>
    <row r="10" spans="1:14" ht="15" customHeight="1" x14ac:dyDescent="0.35">
      <c r="A10" t="str">
        <f>ANNOUNCEMENTS!E8&amp;"-"&amp;ANNOUNCEMENTS!J8</f>
        <v>ADASTEC-Ridepooling</v>
      </c>
      <c r="B10" s="284" t="str">
        <f>IF(NOT(ISBLANK(ANNOUNCEMENTS!L8)),
ANNOUNCEMENTS!L8&amp;"-"&amp;ANNOUNCEMENTS!J8,0)</f>
        <v>Vicinity Motor Corp.-Ridepooling</v>
      </c>
      <c r="C10">
        <f>IF(NOT(ISBLANK(ANNOUNCEMENTS!M8)),
ANNOUNCEMENTS!M8&amp;"-"&amp;ANNOUNCEMENTS!J8,0)</f>
        <v>0</v>
      </c>
      <c r="D10">
        <f>IF(NOT(ISBLANK(ANNOUNCEMENTS!N8)),
ANNOUNCEMENTS!N8&amp;"-"&amp;ANNOUNCEMENTS!J8,0)</f>
        <v>0</v>
      </c>
      <c r="G10" t="str">
        <v>Cruise-Last-Mile</v>
      </c>
      <c r="H10" t="str">
        <v>Aramex-Last-Mile</v>
      </c>
      <c r="J10" t="str">
        <f t="shared" si="0"/>
        <v>Aramex</v>
      </c>
      <c r="K10" t="str">
        <f t="shared" si="1"/>
        <v>Last-Mile</v>
      </c>
      <c r="N10" t="str">
        <v>Asda</v>
      </c>
    </row>
    <row r="11" spans="1:14" ht="15" customHeight="1" x14ac:dyDescent="0.35">
      <c r="A11" t="str">
        <f>ANNOUNCEMENTS!E9&amp;"-"&amp;ANNOUNCEMENTS!J9</f>
        <v>Aurora-Trucking</v>
      </c>
      <c r="B11" s="284" t="str">
        <f>IF(NOT(ISBLANK(ANNOUNCEMENTS!L9)),
ANNOUNCEMENTS!L9&amp;"-"&amp;ANNOUNCEMENTS!J9,0)</f>
        <v>Continental-Trucking</v>
      </c>
      <c r="C11">
        <f>IF(NOT(ISBLANK(ANNOUNCEMENTS!M9)),
ANNOUNCEMENTS!M9&amp;"-"&amp;ANNOUNCEMENTS!J9,0)</f>
        <v>0</v>
      </c>
      <c r="D11">
        <f>IF(NOT(ISBLANK(ANNOUNCEMENTS!N9)),
ANNOUNCEMENTS!N9&amp;"-"&amp;ANNOUNCEMENTS!J9,0)</f>
        <v>0</v>
      </c>
      <c r="G11" t="str">
        <v>Cruise-Ridehailing</v>
      </c>
      <c r="H11" t="str">
        <v>Asda-Last-Mile</v>
      </c>
      <c r="J11" t="str">
        <f t="shared" si="0"/>
        <v>Asda</v>
      </c>
      <c r="K11" t="str">
        <f t="shared" si="1"/>
        <v>Last-Mile</v>
      </c>
      <c r="N11" t="str">
        <v>Aurora</v>
      </c>
    </row>
    <row r="12" spans="1:14" ht="15" customHeight="1" x14ac:dyDescent="0.35">
      <c r="A12" t="str">
        <f>ANNOUNCEMENTS!E10&amp;"-"&amp;ANNOUNCEMENTS!J10</f>
        <v>Aurora-Trucking</v>
      </c>
      <c r="B12" s="284" t="str">
        <f>IF(NOT(ISBLANK(ANNOUNCEMENTS!L10)),
ANNOUNCEMENTS!L10&amp;"-"&amp;ANNOUNCEMENTS!J10,0)</f>
        <v>Hirschbach-Trucking</v>
      </c>
      <c r="C12">
        <f>IF(NOT(ISBLANK(ANNOUNCEMENTS!M10)),
ANNOUNCEMENTS!M10&amp;"-"&amp;ANNOUNCEMENTS!J10,0)</f>
        <v>0</v>
      </c>
      <c r="D12">
        <f>IF(NOT(ISBLANK(ANNOUNCEMENTS!N10)),
ANNOUNCEMENTS!N10&amp;"-"&amp;ANNOUNCEMENTS!J10,0)</f>
        <v>0</v>
      </c>
      <c r="G12" t="str">
        <v>EasyMile-Other</v>
      </c>
      <c r="H12" t="str">
        <v>Aurora-Trucking</v>
      </c>
      <c r="J12" t="str">
        <f t="shared" si="0"/>
        <v>Aurora</v>
      </c>
      <c r="K12" t="str">
        <f t="shared" si="1"/>
        <v>Trucking</v>
      </c>
      <c r="N12" t="str">
        <v>Avis</v>
      </c>
    </row>
    <row r="13" spans="1:14" ht="15" customHeight="1" x14ac:dyDescent="0.35">
      <c r="A13" t="str">
        <f>ANNOUNCEMENTS!E11&amp;"-"&amp;ANNOUNCEMENTS!J11</f>
        <v>Aurora-Trucking</v>
      </c>
      <c r="B13" s="284" t="str">
        <f>IF(NOT(ISBLANK(ANNOUNCEMENTS!L11)),
ANNOUNCEMENTS!L11&amp;"-"&amp;ANNOUNCEMENTS!J11,0)</f>
        <v>Covenant-Trucking</v>
      </c>
      <c r="C13">
        <f>IF(NOT(ISBLANK(ANNOUNCEMENTS!M11)),
ANNOUNCEMENTS!M11&amp;"-"&amp;ANNOUNCEMENTS!J11,0)</f>
        <v>0</v>
      </c>
      <c r="D13">
        <f>IF(NOT(ISBLANK(ANNOUNCEMENTS!N11)),
ANNOUNCEMENTS!N11&amp;"-"&amp;ANNOUNCEMENTS!J11,0)</f>
        <v>0</v>
      </c>
      <c r="G13" t="str">
        <v>EasyMile-Ridepooling</v>
      </c>
      <c r="H13" t="str">
        <v>Avis-Ridehailing</v>
      </c>
      <c r="J13" t="str">
        <f t="shared" si="0"/>
        <v>Avis</v>
      </c>
      <c r="K13" t="str">
        <f t="shared" si="1"/>
        <v>Ridehailing</v>
      </c>
      <c r="N13" t="str">
        <v>Beep</v>
      </c>
    </row>
    <row r="14" spans="1:14" ht="15" customHeight="1" x14ac:dyDescent="0.35">
      <c r="A14" t="str">
        <f>ANNOUNCEMENTS!E12&amp;"-"&amp;ANNOUNCEMENTS!J12</f>
        <v>Aurora-Trucking</v>
      </c>
      <c r="B14" s="284" t="str">
        <f>IF(NOT(ISBLANK(ANNOUNCEMENTS!L12)),
ANNOUNCEMENTS!L12&amp;"-"&amp;ANNOUNCEMENTS!J12,0)</f>
        <v>U.S. Xpress-Trucking</v>
      </c>
      <c r="C14">
        <f>IF(NOT(ISBLANK(ANNOUNCEMENTS!M12)),
ANNOUNCEMENTS!M12&amp;"-"&amp;ANNOUNCEMENTS!J12,0)</f>
        <v>0</v>
      </c>
      <c r="D14">
        <f>IF(NOT(ISBLANK(ANNOUNCEMENTS!N12)),
ANNOUNCEMENTS!N12&amp;"-"&amp;ANNOUNCEMENTS!J12,0)</f>
        <v>0</v>
      </c>
      <c r="G14" t="str">
        <v>Einride-Trucking</v>
      </c>
      <c r="H14" t="str">
        <v>Beep-Ridepooling</v>
      </c>
      <c r="J14" t="str">
        <f t="shared" si="0"/>
        <v>Beep</v>
      </c>
      <c r="K14" t="str">
        <f t="shared" si="1"/>
        <v>Ridepooling</v>
      </c>
      <c r="N14" t="str">
        <v>Benteler</v>
      </c>
    </row>
    <row r="15" spans="1:14" ht="15" customHeight="1" x14ac:dyDescent="0.35">
      <c r="A15" t="str">
        <f>ANNOUNCEMENTS!E13&amp;"-"&amp;ANNOUNCEMENTS!J13</f>
        <v>Beep-Ridepooling</v>
      </c>
      <c r="B15" s="284" t="str">
        <f>IF(NOT(ISBLANK(ANNOUNCEMENTS!L13)),
ANNOUNCEMENTS!L13&amp;"-"&amp;ANNOUNCEMENTS!J13,0)</f>
        <v>North Carolina Department of Transportation-Ridepooling</v>
      </c>
      <c r="C15">
        <f>IF(NOT(ISBLANK(ANNOUNCEMENTS!M13)),
ANNOUNCEMENTS!M13&amp;"-"&amp;ANNOUNCEMENTS!J13,0)</f>
        <v>0</v>
      </c>
      <c r="D15">
        <f>IF(NOT(ISBLANK(ANNOUNCEMENTS!N13)),
ANNOUNCEMENTS!N13&amp;"-"&amp;ANNOUNCEMENTS!J13,0)</f>
        <v>0</v>
      </c>
      <c r="G15" t="str">
        <v>Gatik-Trucking</v>
      </c>
      <c r="H15" t="str">
        <v>Benteler-Ridepooling</v>
      </c>
      <c r="J15" t="str">
        <f t="shared" si="0"/>
        <v>Benteler</v>
      </c>
      <c r="K15" t="str">
        <f t="shared" si="1"/>
        <v>Ridepooling</v>
      </c>
      <c r="N15" t="str">
        <v>Berliner Verkehrsbetriebe</v>
      </c>
    </row>
    <row r="16" spans="1:14" ht="15" customHeight="1" x14ac:dyDescent="0.35">
      <c r="A16" t="str">
        <f>ANNOUNCEMENTS!E14&amp;"-"&amp;ANNOUNCEMENTS!J14</f>
        <v>Beep-Ridepooling</v>
      </c>
      <c r="B16" s="284" t="str">
        <f>IF(NOT(ISBLANK(ANNOUNCEMENTS!L14)),
ANNOUNCEMENTS!L14&amp;"-"&amp;ANNOUNCEMENTS!J14,0)</f>
        <v>Contra Costa Transportation Authority-Ridepooling</v>
      </c>
      <c r="C16">
        <f>IF(NOT(ISBLANK(ANNOUNCEMENTS!M14)),
ANNOUNCEMENTS!M14&amp;"-"&amp;ANNOUNCEMENTS!J14,0)</f>
        <v>0</v>
      </c>
      <c r="D16">
        <f>IF(NOT(ISBLANK(ANNOUNCEMENTS!N14)),
ANNOUNCEMENTS!N14&amp;"-"&amp;ANNOUNCEMENTS!J14,0)</f>
        <v>0</v>
      </c>
      <c r="G16" t="str">
        <v>Ioki-Ridepooling</v>
      </c>
      <c r="H16" t="str">
        <v>Berliner Verkehrsbetriebe-Ridepooling</v>
      </c>
      <c r="J16" t="str">
        <f t="shared" si="0"/>
        <v>Berliner Verkehrsbetriebe</v>
      </c>
      <c r="K16" t="str">
        <f t="shared" si="1"/>
        <v>Ridepooling</v>
      </c>
      <c r="N16" t="str">
        <v>Beti</v>
      </c>
    </row>
    <row r="17" spans="1:14" ht="15" customHeight="1" x14ac:dyDescent="0.35">
      <c r="A17" t="str">
        <f>ANNOUNCEMENTS!E15&amp;"-"&amp;ANNOUNCEMENTS!J15</f>
        <v>Beep-Ridepooling</v>
      </c>
      <c r="B17" s="284" t="str">
        <f>IF(NOT(ISBLANK(ANNOUNCEMENTS!L15)),
ANNOUNCEMENTS!L15&amp;"-"&amp;ANNOUNCEMENTS!J15,0)</f>
        <v>ZF-Ridepooling</v>
      </c>
      <c r="C17">
        <f>IF(NOT(ISBLANK(ANNOUNCEMENTS!M15)),
ANNOUNCEMENTS!M15&amp;"-"&amp;ANNOUNCEMENTS!J15,0)</f>
        <v>0</v>
      </c>
      <c r="D17">
        <f>IF(NOT(ISBLANK(ANNOUNCEMENTS!N15)),
ANNOUNCEMENTS!N15&amp;"-"&amp;ANNOUNCEMENTS!J15,0)</f>
        <v>0</v>
      </c>
      <c r="G17" t="str">
        <v>Kiwibot-Last-Mile</v>
      </c>
      <c r="H17" t="str">
        <v>Beti-Ridepooling</v>
      </c>
      <c r="J17" t="str">
        <f t="shared" si="0"/>
        <v>Beti</v>
      </c>
      <c r="K17" t="str">
        <f t="shared" si="1"/>
        <v>Ridepooling</v>
      </c>
      <c r="N17" t="str">
        <v>Beyond Meat</v>
      </c>
    </row>
    <row r="18" spans="1:14" ht="15" customHeight="1" x14ac:dyDescent="0.35">
      <c r="A18" t="str">
        <f>ANNOUNCEMENTS!E16&amp;"-"&amp;ANNOUNCEMENTS!J16</f>
        <v>Beep-Ridepooling</v>
      </c>
      <c r="B18" s="284" t="str">
        <f>IF(NOT(ISBLANK(ANNOUNCEMENTS!L16)),
ANNOUNCEMENTS!L16&amp;"-"&amp;ANNOUNCEMENTS!J16,0)</f>
        <v>Oxa-Ridepooling</v>
      </c>
      <c r="C18">
        <f>IF(NOT(ISBLANK(ANNOUNCEMENTS!M16)),
ANNOUNCEMENTS!M16&amp;"-"&amp;ANNOUNCEMENTS!J16,0)</f>
        <v>0</v>
      </c>
      <c r="D18">
        <f>IF(NOT(ISBLANK(ANNOUNCEMENTS!N16)),
ANNOUNCEMENTS!N16&amp;"-"&amp;ANNOUNCEMENTS!J16,0)</f>
        <v>0</v>
      </c>
      <c r="G18" t="str">
        <v>Kodiak-Trucking</v>
      </c>
      <c r="H18" t="str">
        <v>Beyond Meat-Trucking</v>
      </c>
      <c r="J18" t="str">
        <f t="shared" si="0"/>
        <v>Beyond Meat</v>
      </c>
      <c r="K18" t="str">
        <f t="shared" si="1"/>
        <v>Trucking</v>
      </c>
      <c r="N18" t="str">
        <v>Bolt</v>
      </c>
    </row>
    <row r="19" spans="1:14" ht="15" customHeight="1" x14ac:dyDescent="0.35">
      <c r="A19" t="str">
        <f>ANNOUNCEMENTS!E17&amp;"-"&amp;ANNOUNCEMENTS!J17</f>
        <v>Bolt-Last-Mile</v>
      </c>
      <c r="B19" s="284" t="str">
        <f>IF(NOT(ISBLANK(ANNOUNCEMENTS!L17)),
ANNOUNCEMENTS!L17&amp;"-"&amp;ANNOUNCEMENTS!J17,0)</f>
        <v>Starship Technologies-Last-Mile</v>
      </c>
      <c r="C19">
        <f>IF(NOT(ISBLANK(ANNOUNCEMENTS!M17)),
ANNOUNCEMENTS!M17&amp;"-"&amp;ANNOUNCEMENTS!J17,0)</f>
        <v>0</v>
      </c>
      <c r="D19">
        <f>IF(NOT(ISBLANK(ANNOUNCEMENTS!N17)),
ANNOUNCEMENTS!N17&amp;"-"&amp;ANNOUNCEMENTS!J17,0)</f>
        <v>0</v>
      </c>
      <c r="G19" t="str">
        <v>May Mobility-Ridehailing</v>
      </c>
      <c r="H19" t="str">
        <v>Bolt-Last-Mile</v>
      </c>
      <c r="J19" t="str">
        <f t="shared" si="0"/>
        <v>Bolt</v>
      </c>
      <c r="K19" t="str">
        <f t="shared" si="1"/>
        <v>Last-Mile</v>
      </c>
      <c r="N19" t="str">
        <v>Bosch</v>
      </c>
    </row>
    <row r="20" spans="1:14" ht="15" customHeight="1" x14ac:dyDescent="0.35">
      <c r="A20" t="str">
        <f>ANNOUNCEMENTS!E18&amp;"-"&amp;ANNOUNCEMENTS!J18</f>
        <v>Cartken-Last-Mile</v>
      </c>
      <c r="B20" s="284" t="str">
        <f>IF(NOT(ISBLANK(ANNOUNCEMENTS!L18)),
ANNOUNCEMENTS!L18&amp;"-"&amp;ANNOUNCEMENTS!J18,0)</f>
        <v>Mitsubishi-Last-Mile</v>
      </c>
      <c r="C20">
        <f>IF(NOT(ISBLANK(ANNOUNCEMENTS!M18)),
ANNOUNCEMENTS!M18&amp;"-"&amp;ANNOUNCEMENTS!J18,0)</f>
        <v>0</v>
      </c>
      <c r="D20">
        <f>IF(NOT(ISBLANK(ANNOUNCEMENTS!N18)),
ANNOUNCEMENTS!N18&amp;"-"&amp;ANNOUNCEMENTS!J18,0)</f>
        <v>0</v>
      </c>
      <c r="G20" t="str">
        <v>May Mobility-Ridepooling</v>
      </c>
      <c r="H20" t="str">
        <v>Bosch-Ridepooling</v>
      </c>
      <c r="J20" t="str">
        <f t="shared" si="0"/>
        <v>Bosch</v>
      </c>
      <c r="K20" t="str">
        <f t="shared" si="1"/>
        <v>Ridepooling</v>
      </c>
      <c r="N20" t="str">
        <v>Boston University</v>
      </c>
    </row>
    <row r="21" spans="1:14" ht="15" customHeight="1" x14ac:dyDescent="0.35">
      <c r="A21" t="str">
        <f>ANNOUNCEMENTS!E19&amp;"-"&amp;ANNOUNCEMENTS!J19</f>
        <v>Cartken-Last-Mile</v>
      </c>
      <c r="B21" s="284" t="str">
        <f>IF(NOT(ISBLANK(ANNOUNCEMENTS!L19)),
ANNOUNCEMENTS!L19&amp;"-"&amp;ANNOUNCEMENTS!J19,0)</f>
        <v>Grubhub-Last-Mile</v>
      </c>
      <c r="C21">
        <f>IF(NOT(ISBLANK(ANNOUNCEMENTS!M19)),
ANNOUNCEMENTS!M19&amp;"-"&amp;ANNOUNCEMENTS!J19,0)</f>
        <v>0</v>
      </c>
      <c r="D21">
        <f>IF(NOT(ISBLANK(ANNOUNCEMENTS!N19)),
ANNOUNCEMENTS!N19&amp;"-"&amp;ANNOUNCEMENTS!J19,0)</f>
        <v>0</v>
      </c>
      <c r="G21" t="str">
        <v>Perrone Robotics-Ridepooling</v>
      </c>
      <c r="H21" t="str">
        <v>Bosch-Trucking</v>
      </c>
      <c r="J21" t="str">
        <f t="shared" si="0"/>
        <v>Bosch</v>
      </c>
      <c r="K21" t="str">
        <f t="shared" si="1"/>
        <v>Trucking</v>
      </c>
      <c r="N21" t="str">
        <v>Bridgestone</v>
      </c>
    </row>
    <row r="22" spans="1:14" ht="15" customHeight="1" x14ac:dyDescent="0.35">
      <c r="A22" t="str">
        <f>ANNOUNCEMENTS!E20&amp;"-"&amp;ANNOUNCEMENTS!J20</f>
        <v>Cruise-Other</v>
      </c>
      <c r="B22" s="284" t="str">
        <f>IF(NOT(ISBLANK(ANNOUNCEMENTS!L20)),
ANNOUNCEMENTS!L20&amp;"-"&amp;ANNOUNCEMENTS!J20,0)</f>
        <v>Mothers-Against-Drunk-Driving-Other</v>
      </c>
      <c r="C22">
        <f>IF(NOT(ISBLANK(ANNOUNCEMENTS!M20)),
ANNOUNCEMENTS!M20&amp;"-"&amp;ANNOUNCEMENTS!J20,0)</f>
        <v>0</v>
      </c>
      <c r="D22">
        <f>IF(NOT(ISBLANK(ANNOUNCEMENTS!N20)),
ANNOUNCEMENTS!N20&amp;"-"&amp;ANNOUNCEMENTS!J20,0)</f>
        <v>0</v>
      </c>
      <c r="G22" t="str">
        <v>Mobileye-Last-Mile</v>
      </c>
      <c r="H22" t="str">
        <v>Boston University-Ridehailing</v>
      </c>
      <c r="J22" t="str">
        <f t="shared" si="0"/>
        <v>Boston University</v>
      </c>
      <c r="K22" t="str">
        <f t="shared" si="1"/>
        <v>Ridehailing</v>
      </c>
      <c r="N22" t="str">
        <v>Cartken</v>
      </c>
    </row>
    <row r="23" spans="1:14" ht="15" customHeight="1" x14ac:dyDescent="0.35">
      <c r="A23" t="str">
        <f>ANNOUNCEMENTS!E21&amp;"-"&amp;ANNOUNCEMENTS!J21</f>
        <v>Cruise-Last-Mile</v>
      </c>
      <c r="B23" s="284" t="str">
        <f>IF(NOT(ISBLANK(ANNOUNCEMENTS!L21)),
ANNOUNCEMENTS!L21&amp;"-"&amp;ANNOUNCEMENTS!J21,0)</f>
        <v>Walmart-Last-Mile</v>
      </c>
      <c r="C23">
        <f>IF(NOT(ISBLANK(ANNOUNCEMENTS!M21)),
ANNOUNCEMENTS!M21&amp;"-"&amp;ANNOUNCEMENTS!J21,0)</f>
        <v>0</v>
      </c>
      <c r="D23">
        <f>IF(NOT(ISBLANK(ANNOUNCEMENTS!N21)),
ANNOUNCEMENTS!N21&amp;"-"&amp;ANNOUNCEMENTS!J21,0)</f>
        <v>0</v>
      </c>
      <c r="G23" t="str">
        <v>Mobileye-Ridepooling</v>
      </c>
      <c r="H23" t="str">
        <v>Bridgestone-Ridehailing</v>
      </c>
      <c r="J23" t="str">
        <f t="shared" si="0"/>
        <v>Bridgestone</v>
      </c>
      <c r="K23" t="str">
        <f t="shared" si="1"/>
        <v>Ridehailing</v>
      </c>
      <c r="N23" t="str">
        <v>ChargePoint</v>
      </c>
    </row>
    <row r="24" spans="1:14" ht="15" customHeight="1" x14ac:dyDescent="0.35">
      <c r="A24" t="str">
        <f>ANNOUNCEMENTS!E22&amp;"-"&amp;ANNOUNCEMENTS!J22</f>
        <v>Cruise-Last-Mile</v>
      </c>
      <c r="B24" s="284" t="str">
        <f>IF(NOT(ISBLANK(ANNOUNCEMENTS!L22)),
ANNOUNCEMENTS!L22&amp;"-"&amp;ANNOUNCEMENTS!J22,0)</f>
        <v>Replate-Last-Mile</v>
      </c>
      <c r="C24">
        <f>IF(NOT(ISBLANK(ANNOUNCEMENTS!M22)),
ANNOUNCEMENTS!M22&amp;"-"&amp;ANNOUNCEMENTS!J22,0)</f>
        <v>0</v>
      </c>
      <c r="D24">
        <f>IF(NOT(ISBLANK(ANNOUNCEMENTS!N22)),
ANNOUNCEMENTS!N22&amp;"-"&amp;ANNOUNCEMENTS!J22,0)</f>
        <v>0</v>
      </c>
      <c r="G24" t="str">
        <v>Mobileye-Other</v>
      </c>
      <c r="H24" t="str">
        <v>Bridgestone-Trucking</v>
      </c>
      <c r="J24" t="str">
        <f t="shared" si="0"/>
        <v>Bridgestone</v>
      </c>
      <c r="K24" t="str">
        <f t="shared" si="1"/>
        <v>Trucking</v>
      </c>
      <c r="N24" t="str">
        <v xml:space="preserve">Coca </v>
      </c>
    </row>
    <row r="25" spans="1:14" ht="15" customHeight="1" x14ac:dyDescent="0.35">
      <c r="A25" t="str">
        <f>ANNOUNCEMENTS!E23&amp;"-"&amp;ANNOUNCEMENTS!J23</f>
        <v>Cruise-Ridehailing</v>
      </c>
      <c r="B25" s="284" t="str">
        <f>IF(NOT(ISBLANK(ANNOUNCEMENTS!L23)),
ANNOUNCEMENTS!L23&amp;"-"&amp;ANNOUNCEMENTS!J23,0)</f>
        <v>GM-Ridehailing</v>
      </c>
      <c r="C25" t="str">
        <f>IF(NOT(ISBLANK(ANNOUNCEMENTS!M23)),
ANNOUNCEMENTS!M23&amp;"-"&amp;ANNOUNCEMENTS!J23,0)</f>
        <v>Microsoft-Ridehailing</v>
      </c>
      <c r="D25">
        <f>IF(NOT(ISBLANK(ANNOUNCEMENTS!N23)),
ANNOUNCEMENTS!N23&amp;"-"&amp;ANNOUNCEMENTS!J23,0)</f>
        <v>0</v>
      </c>
      <c r="G25" t="str">
        <v>Mobileye-Ridehailing</v>
      </c>
      <c r="H25" t="str">
        <v>Cartken-Last-Mile</v>
      </c>
      <c r="J25" t="str">
        <f t="shared" si="0"/>
        <v>Cartken</v>
      </c>
      <c r="K25" t="str">
        <f t="shared" si="1"/>
        <v>Last-Mile</v>
      </c>
      <c r="N25" t="str">
        <v>Continental</v>
      </c>
    </row>
    <row r="26" spans="1:14" ht="15" customHeight="1" x14ac:dyDescent="0.35">
      <c r="A26" t="str">
        <f>ANNOUNCEMENTS!E24&amp;"-"&amp;ANNOUNCEMENTS!J24</f>
        <v>EasyMile-Other</v>
      </c>
      <c r="B26" s="284">
        <f>IF(NOT(ISBLANK(ANNOUNCEMENTS!L24)),
ANNOUNCEMENTS!L24&amp;"-"&amp;ANNOUNCEMENTS!J24,0)</f>
        <v>0</v>
      </c>
      <c r="C26">
        <f>IF(NOT(ISBLANK(ANNOUNCEMENTS!M24)),
ANNOUNCEMENTS!M24&amp;"-"&amp;ANNOUNCEMENTS!J24,0)</f>
        <v>0</v>
      </c>
      <c r="D26">
        <f>IF(NOT(ISBLANK(ANNOUNCEMENTS!N24)),
ANNOUNCEMENTS!N24&amp;"-"&amp;ANNOUNCEMENTS!J24,0)</f>
        <v>0</v>
      </c>
      <c r="G26" t="str">
        <v>MOIA-Ridepooling</v>
      </c>
      <c r="H26" t="str">
        <v>ChargePoint-Trucking</v>
      </c>
      <c r="J26" t="str">
        <f t="shared" si="0"/>
        <v>ChargePoint</v>
      </c>
      <c r="K26" t="str">
        <f t="shared" si="1"/>
        <v>Trucking</v>
      </c>
      <c r="N26" t="str">
        <v>Contra Costa Transportation Authority</v>
      </c>
    </row>
    <row r="27" spans="1:14" ht="15" customHeight="1" x14ac:dyDescent="0.35">
      <c r="A27" t="str">
        <f>ANNOUNCEMENTS!E25&amp;"-"&amp;ANNOUNCEMENTS!J25</f>
        <v>EasyMile-Ridepooling</v>
      </c>
      <c r="B27" s="284" t="str">
        <f>IF(NOT(ISBLANK(ANNOUNCEMENTS!L25)),
ANNOUNCEMENTS!L25&amp;"-"&amp;ANNOUNCEMENTS!J25,0)</f>
        <v>TrustInSoft-Ridepooling</v>
      </c>
      <c r="C27">
        <f>IF(NOT(ISBLANK(ANNOUNCEMENTS!M25)),
ANNOUNCEMENTS!M25&amp;"-"&amp;ANNOUNCEMENTS!J25,0)</f>
        <v>0</v>
      </c>
      <c r="D27">
        <f>IF(NOT(ISBLANK(ANNOUNCEMENTS!N25)),
ANNOUNCEMENTS!N25&amp;"-"&amp;ANNOUNCEMENTS!J25,0)</f>
        <v>0</v>
      </c>
      <c r="G27" t="str">
        <v>Motional-Ridehailing</v>
      </c>
      <c r="H27" t="str">
        <v>Coca - Cola-Trucking</v>
      </c>
      <c r="J27" t="str">
        <f t="shared" si="0"/>
        <v xml:space="preserve">Coca </v>
      </c>
      <c r="K27" t="str">
        <f t="shared" si="1"/>
        <v xml:space="preserve"> Cola-Trucking</v>
      </c>
      <c r="N27" t="str">
        <v>Covenant</v>
      </c>
    </row>
    <row r="28" spans="1:14" ht="15" customHeight="1" x14ac:dyDescent="0.35">
      <c r="A28" t="str">
        <f>ANNOUNCEMENTS!E26&amp;"-"&amp;ANNOUNCEMENTS!J26</f>
        <v>EasyMile-Ridepooling</v>
      </c>
      <c r="B28" s="284" t="str">
        <f>IF(NOT(ISBLANK(ANNOUNCEMENTS!L26)),
ANNOUNCEMENTS!L26&amp;"-"&amp;ANNOUNCEMENTS!J26,0)</f>
        <v>Continental-Ridepooling</v>
      </c>
      <c r="C28">
        <f>IF(NOT(ISBLANK(ANNOUNCEMENTS!M26)),
ANNOUNCEMENTS!M26&amp;"-"&amp;ANNOUNCEMENTS!J26,0)</f>
        <v>0</v>
      </c>
      <c r="D28">
        <f>IF(NOT(ISBLANK(ANNOUNCEMENTS!N26)),
ANNOUNCEMENTS!N26&amp;"-"&amp;ANNOUNCEMENTS!J26,0)</f>
        <v>0</v>
      </c>
      <c r="G28" t="str">
        <v>Motional-Last-Mile</v>
      </c>
      <c r="H28" t="str">
        <v>Continental-Ridepooling</v>
      </c>
      <c r="J28" t="str">
        <f t="shared" si="0"/>
        <v>Continental</v>
      </c>
      <c r="K28" t="str">
        <f t="shared" si="1"/>
        <v>Ridepooling</v>
      </c>
      <c r="N28" t="str">
        <v>Cruise</v>
      </c>
    </row>
    <row r="29" spans="1:14" ht="15" customHeight="1" x14ac:dyDescent="0.35">
      <c r="A29" t="str">
        <f>ANNOUNCEMENTS!E27&amp;"-"&amp;ANNOUNCEMENTS!J27</f>
        <v>EasyMile-Ridepooling</v>
      </c>
      <c r="B29" s="284" t="str">
        <f>IF(NOT(ISBLANK(ANNOUNCEMENTS!L27)),
ANNOUNCEMENTS!L27&amp;"-"&amp;ANNOUNCEMENTS!J27,0)</f>
        <v>Sono Motors-Ridepooling</v>
      </c>
      <c r="C29">
        <f>IF(NOT(ISBLANK(ANNOUNCEMENTS!M27)),
ANNOUNCEMENTS!M27&amp;"-"&amp;ANNOUNCEMENTS!J27,0)</f>
        <v>0</v>
      </c>
      <c r="D29">
        <f>IF(NOT(ISBLANK(ANNOUNCEMENTS!N27)),
ANNOUNCEMENTS!N27&amp;"-"&amp;ANNOUNCEMENTS!J27,0)</f>
        <v>0</v>
      </c>
      <c r="G29" t="str">
        <v>Navya-Ridepooling</v>
      </c>
      <c r="H29" t="str">
        <v>Continental-Trucking</v>
      </c>
      <c r="J29" t="str">
        <f t="shared" si="0"/>
        <v>Continental</v>
      </c>
      <c r="K29" t="str">
        <f t="shared" si="1"/>
        <v>Trucking</v>
      </c>
      <c r="N29" t="str">
        <v>Cummins</v>
      </c>
    </row>
    <row r="30" spans="1:14" ht="15" customHeight="1" x14ac:dyDescent="0.35">
      <c r="A30" t="str">
        <f>ANNOUNCEMENTS!E28&amp;"-"&amp;ANNOUNCEMENTS!J28</f>
        <v>EasyMile-Ridepooling</v>
      </c>
      <c r="B30" s="284" t="str">
        <f>IF(NOT(ISBLANK(ANNOUNCEMENTS!L28)),
ANNOUNCEMENTS!L28&amp;"-"&amp;ANNOUNCEMENTS!J28,0)</f>
        <v>Phoenix Motorcars-Ridepooling</v>
      </c>
      <c r="C30">
        <f>IF(NOT(ISBLANK(ANNOUNCEMENTS!M28)),
ANNOUNCEMENTS!M28&amp;"-"&amp;ANNOUNCEMENTS!J28,0)</f>
        <v>0</v>
      </c>
      <c r="D30">
        <f>IF(NOT(ISBLANK(ANNOUNCEMENTS!N28)),
ANNOUNCEMENTS!N28&amp;"-"&amp;ANNOUNCEMENTS!J28,0)</f>
        <v>0</v>
      </c>
      <c r="G30" t="str">
        <v>Nuro-Last-Mile</v>
      </c>
      <c r="H30" t="str">
        <v>Contra Costa Transportation Authority-Ridepooling</v>
      </c>
      <c r="J30" t="str">
        <f t="shared" si="0"/>
        <v>Contra Costa Transportation Authority</v>
      </c>
      <c r="K30" t="str">
        <f t="shared" si="1"/>
        <v>Ridepooling</v>
      </c>
      <c r="N30" t="str">
        <v>Daimler Truck</v>
      </c>
    </row>
    <row r="31" spans="1:14" ht="15" customHeight="1" x14ac:dyDescent="0.35">
      <c r="A31" t="str">
        <f>ANNOUNCEMENTS!E29&amp;"-"&amp;ANNOUNCEMENTS!J29</f>
        <v>EasyMile-Ridepooling</v>
      </c>
      <c r="B31" s="284" t="str">
        <f>IF(NOT(ISBLANK(ANNOUNCEMENTS!L29)),
ANNOUNCEMENTS!L29&amp;"-"&amp;ANNOUNCEMENTS!J29,0)</f>
        <v>Continental-Ridepooling</v>
      </c>
      <c r="C31" t="str">
        <f>IF(NOT(ISBLANK(ANNOUNCEMENTS!M29)),
ANNOUNCEMENTS!M29&amp;"-"&amp;ANNOUNCEMENTS!J29,0)</f>
        <v>Shanghai Jiading Industrial Zone-Ridepooling</v>
      </c>
      <c r="D31">
        <f>IF(NOT(ISBLANK(ANNOUNCEMENTS!N29)),
ANNOUNCEMENTS!N29&amp;"-"&amp;ANNOUNCEMENTS!J29,0)</f>
        <v>0</v>
      </c>
      <c r="G31" t="str">
        <v>Oxa-Ridepooling</v>
      </c>
      <c r="H31" t="str">
        <v>Covenant-Trucking</v>
      </c>
      <c r="J31" t="str">
        <f t="shared" si="0"/>
        <v>Covenant</v>
      </c>
      <c r="K31" t="str">
        <f t="shared" si="1"/>
        <v>Trucking</v>
      </c>
      <c r="N31" t="str">
        <v>DB Regio</v>
      </c>
    </row>
    <row r="32" spans="1:14" ht="15" customHeight="1" x14ac:dyDescent="0.35">
      <c r="A32" t="str">
        <f>ANNOUNCEMENTS!E30&amp;"-"&amp;ANNOUNCEMENTS!J30</f>
        <v>EasyMile-Ridepooling</v>
      </c>
      <c r="B32" s="284" t="str">
        <f>IF(NOT(ISBLANK(ANNOUNCEMENTS!L30)),
ANNOUNCEMENTS!L30&amp;"-"&amp;ANNOUNCEMENTS!J30,0)</f>
        <v>Kalray-Ridepooling</v>
      </c>
      <c r="C32">
        <f>IF(NOT(ISBLANK(ANNOUNCEMENTS!M30)),
ANNOUNCEMENTS!M30&amp;"-"&amp;ANNOUNCEMENTS!J30,0)</f>
        <v>0</v>
      </c>
      <c r="D32">
        <f>IF(NOT(ISBLANK(ANNOUNCEMENTS!N30)),
ANNOUNCEMENTS!N30&amp;"-"&amp;ANNOUNCEMENTS!J30,0)</f>
        <v>0</v>
      </c>
      <c r="G32" t="str">
        <v>Oxa-Last-Mile</v>
      </c>
      <c r="H32" t="str">
        <v>Cruise-Last-Mile</v>
      </c>
      <c r="J32" t="str">
        <f t="shared" si="0"/>
        <v>Cruise</v>
      </c>
      <c r="K32" t="str">
        <f t="shared" si="1"/>
        <v>Last-Mile</v>
      </c>
      <c r="N32" t="str">
        <v>Delphi</v>
      </c>
    </row>
    <row r="33" spans="1:14" ht="15" customHeight="1" x14ac:dyDescent="0.35">
      <c r="A33" t="str">
        <f>ANNOUNCEMENTS!E31&amp;"-"&amp;ANNOUNCEMENTS!J31</f>
        <v>Einride-Trucking</v>
      </c>
      <c r="B33" s="284" t="str">
        <f>IF(NOT(ISBLANK(ANNOUNCEMENTS!L31)),
ANNOUNCEMENTS!L31&amp;"-"&amp;ANNOUNCEMENTS!J31,0)</f>
        <v>Bridgestone-Trucking</v>
      </c>
      <c r="C33">
        <f>IF(NOT(ISBLANK(ANNOUNCEMENTS!M31)),
ANNOUNCEMENTS!M31&amp;"-"&amp;ANNOUNCEMENTS!J31,0)</f>
        <v>0</v>
      </c>
      <c r="D33">
        <f>IF(NOT(ISBLANK(ANNOUNCEMENTS!N31)),
ANNOUNCEMENTS!N31&amp;"-"&amp;ANNOUNCEMENTS!J31,0)</f>
        <v>0</v>
      </c>
      <c r="G33" t="str">
        <v>Oxa-Other</v>
      </c>
      <c r="H33" t="str">
        <v>Cruise-Other</v>
      </c>
      <c r="J33" t="str">
        <f t="shared" si="0"/>
        <v>Cruise</v>
      </c>
      <c r="K33" t="str">
        <f t="shared" si="1"/>
        <v>Other</v>
      </c>
      <c r="N33" t="str">
        <v>Derq</v>
      </c>
    </row>
    <row r="34" spans="1:14" ht="15" customHeight="1" x14ac:dyDescent="0.35">
      <c r="A34" t="str">
        <f>ANNOUNCEMENTS!E32&amp;"-"&amp;ANNOUNCEMENTS!J32</f>
        <v>Einride-Trucking</v>
      </c>
      <c r="B34" s="284" t="str">
        <f>IF(NOT(ISBLANK(ANNOUNCEMENTS!L32)),
ANNOUNCEMENTS!L32&amp;"-"&amp;ANNOUNCEMENTS!J32,0)</f>
        <v>Ericsson-Trucking</v>
      </c>
      <c r="C34" t="str">
        <f>IF(NOT(ISBLANK(ANNOUNCEMENTS!M32)),
ANNOUNCEMENTS!M32&amp;"-"&amp;ANNOUNCEMENTS!J32,0)</f>
        <v>Bridgestone-Trucking</v>
      </c>
      <c r="D34">
        <f>IF(NOT(ISBLANK(ANNOUNCEMENTS!N32)),
ANNOUNCEMENTS!N32&amp;"-"&amp;ANNOUNCEMENTS!J32,0)</f>
        <v>0</v>
      </c>
      <c r="G34" t="str">
        <v>Plus.ai-Trucking</v>
      </c>
      <c r="H34" t="str">
        <v>Cruise-Ridehailing</v>
      </c>
      <c r="J34" t="str">
        <f t="shared" si="0"/>
        <v>Cruise</v>
      </c>
      <c r="K34" t="str">
        <f t="shared" si="1"/>
        <v>Ridehailing</v>
      </c>
      <c r="N34" t="str">
        <v>Deutsche Bahn</v>
      </c>
    </row>
    <row r="35" spans="1:14" ht="15" customHeight="1" x14ac:dyDescent="0.35">
      <c r="A35" t="str">
        <f>ANNOUNCEMENTS!E33&amp;"-"&amp;ANNOUNCEMENTS!J33</f>
        <v>Einride-Trucking</v>
      </c>
      <c r="B35" s="284" t="str">
        <f>IF(NOT(ISBLANK(ANNOUNCEMENTS!L33)),
ANNOUNCEMENTS!L33&amp;"-"&amp;ANNOUNCEMENTS!J33,0)</f>
        <v>SKF-Trucking</v>
      </c>
      <c r="C35">
        <f>IF(NOT(ISBLANK(ANNOUNCEMENTS!M33)),
ANNOUNCEMENTS!M33&amp;"-"&amp;ANNOUNCEMENTS!J33,0)</f>
        <v>0</v>
      </c>
      <c r="D35">
        <f>IF(NOT(ISBLANK(ANNOUNCEMENTS!N33)),
ANNOUNCEMENTS!N33&amp;"-"&amp;ANNOUNCEMENTS!J33,0)</f>
        <v>0</v>
      </c>
      <c r="G35" t="str">
        <v>Pony.ai-Ridehailing</v>
      </c>
      <c r="H35" t="str">
        <v>Cummins-Trucking</v>
      </c>
      <c r="J35" t="str">
        <f t="shared" si="0"/>
        <v>Cummins</v>
      </c>
      <c r="K35" t="str">
        <f t="shared" si="1"/>
        <v>Trucking</v>
      </c>
      <c r="N35" t="str">
        <v>DHL</v>
      </c>
    </row>
    <row r="36" spans="1:14" ht="15" customHeight="1" x14ac:dyDescent="0.35">
      <c r="A36" t="str">
        <f>ANNOUNCEMENTS!E34&amp;"-"&amp;ANNOUNCEMENTS!J34</f>
        <v>Einride-Trucking</v>
      </c>
      <c r="B36" s="284" t="str">
        <f>IF(NOT(ISBLANK(ANNOUNCEMENTS!L34)),
ANNOUNCEMENTS!L34&amp;"-"&amp;ANNOUNCEMENTS!J34,0)</f>
        <v>Svenska Retursystem-Trucking</v>
      </c>
      <c r="C36">
        <f>IF(NOT(ISBLANK(ANNOUNCEMENTS!M34)),
ANNOUNCEMENTS!M34&amp;"-"&amp;ANNOUNCEMENTS!J34,0)</f>
        <v>0</v>
      </c>
      <c r="D36">
        <f>IF(NOT(ISBLANK(ANNOUNCEMENTS!N34)),
ANNOUNCEMENTS!N34&amp;"-"&amp;ANNOUNCEMENTS!J34,0)</f>
        <v>0</v>
      </c>
      <c r="G36" t="str">
        <v>Pony.ai-Trucking</v>
      </c>
      <c r="H36" t="str">
        <v>Daimler Truck-Trucking</v>
      </c>
      <c r="J36" t="str">
        <f t="shared" si="0"/>
        <v>Daimler Truck</v>
      </c>
      <c r="K36" t="str">
        <f t="shared" si="1"/>
        <v>Trucking</v>
      </c>
      <c r="N36" t="str">
        <v>E Charger Systems</v>
      </c>
    </row>
    <row r="37" spans="1:14" ht="15" customHeight="1" x14ac:dyDescent="0.35">
      <c r="A37" t="str">
        <f>ANNOUNCEMENTS!E35&amp;"-"&amp;ANNOUNCEMENTS!J35</f>
        <v>Einride-Trucking</v>
      </c>
      <c r="B37" s="284" t="str">
        <f>IF(NOT(ISBLANK(ANNOUNCEMENTS!L35)),
ANNOUNCEMENTS!L35&amp;"-"&amp;ANNOUNCEMENTS!J35,0)</f>
        <v>Polarrenen-Trucking</v>
      </c>
      <c r="C37">
        <f>IF(NOT(ISBLANK(ANNOUNCEMENTS!M35)),
ANNOUNCEMENTS!M35&amp;"-"&amp;ANNOUNCEMENTS!J35,0)</f>
        <v>0</v>
      </c>
      <c r="D37">
        <f>IF(NOT(ISBLANK(ANNOUNCEMENTS!N35)),
ANNOUNCEMENTS!N35&amp;"-"&amp;ANNOUNCEMENTS!J35,0)</f>
        <v>0</v>
      </c>
      <c r="G37" t="str">
        <v>ServeRobotics-Last-Mile</v>
      </c>
      <c r="H37" t="str">
        <v>DB Regio-Ridepooling</v>
      </c>
      <c r="J37" t="str">
        <f t="shared" si="0"/>
        <v>DB Regio</v>
      </c>
      <c r="K37" t="str">
        <f t="shared" si="1"/>
        <v>Ridepooling</v>
      </c>
      <c r="N37" t="str">
        <v>e.GO</v>
      </c>
    </row>
    <row r="38" spans="1:14" ht="15" customHeight="1" x14ac:dyDescent="0.35">
      <c r="A38" t="str">
        <f>ANNOUNCEMENTS!E36&amp;"-"&amp;ANNOUNCEMENTS!J36</f>
        <v>Einride-Trucking</v>
      </c>
      <c r="B38" s="284" t="str">
        <f>IF(NOT(ISBLANK(ANNOUNCEMENTS!L36)),
ANNOUNCEMENTS!L36&amp;"-"&amp;ANNOUNCEMENTS!J36,0)</f>
        <v>Ericsson-Trucking</v>
      </c>
      <c r="C38" t="str">
        <f>IF(NOT(ISBLANK(ANNOUNCEMENTS!M36)),
ANNOUNCEMENTS!M36&amp;"-"&amp;ANNOUNCEMENTS!J36,0)</f>
        <v>Telia-Trucking</v>
      </c>
      <c r="D38">
        <f>IF(NOT(ISBLANK(ANNOUNCEMENTS!N36)),
ANNOUNCEMENTS!N36&amp;"-"&amp;ANNOUNCEMENTS!J36,0)</f>
        <v>0</v>
      </c>
      <c r="G38" t="str">
        <v>Torc-Trucking</v>
      </c>
      <c r="H38" t="str">
        <v>Delphi-Ridepooling</v>
      </c>
      <c r="J38" t="str">
        <f t="shared" si="0"/>
        <v>Delphi</v>
      </c>
      <c r="K38" t="str">
        <f t="shared" si="1"/>
        <v>Ridepooling</v>
      </c>
      <c r="N38" t="str">
        <v>EasyMile</v>
      </c>
    </row>
    <row r="39" spans="1:14" ht="15" customHeight="1" x14ac:dyDescent="0.35">
      <c r="A39" t="str">
        <f>ANNOUNCEMENTS!E37&amp;"-"&amp;ANNOUNCEMENTS!J37</f>
        <v>Einride-Trucking</v>
      </c>
      <c r="B39" s="284" t="str">
        <f>IF(NOT(ISBLANK(ANNOUNCEMENTS!L37)),
ANNOUNCEMENTS!L37&amp;"-"&amp;ANNOUNCEMENTS!J37,0)</f>
        <v>Oatly-Trucking</v>
      </c>
      <c r="C39">
        <f>IF(NOT(ISBLANK(ANNOUNCEMENTS!M37)),
ANNOUNCEMENTS!M37&amp;"-"&amp;ANNOUNCEMENTS!J37,0)</f>
        <v>0</v>
      </c>
      <c r="D39">
        <f>IF(NOT(ISBLANK(ANNOUNCEMENTS!N37)),
ANNOUNCEMENTS!N37&amp;"-"&amp;ANNOUNCEMENTS!J37,0)</f>
        <v>0</v>
      </c>
      <c r="G39" t="str">
        <v>Transdev-Ridepooling</v>
      </c>
      <c r="H39" t="str">
        <v>Derq-Ridehailing</v>
      </c>
      <c r="J39" t="str">
        <f t="shared" si="0"/>
        <v>Derq</v>
      </c>
      <c r="K39" t="str">
        <f t="shared" si="1"/>
        <v>Ridehailing</v>
      </c>
      <c r="N39" t="str">
        <v>Ecarx</v>
      </c>
    </row>
    <row r="40" spans="1:14" ht="15" customHeight="1" x14ac:dyDescent="0.35">
      <c r="A40" t="str">
        <f>ANNOUNCEMENTS!E38&amp;"-"&amp;ANNOUNCEMENTS!J38</f>
        <v>Einride-Trucking</v>
      </c>
      <c r="B40" s="284" t="str">
        <f>IF(NOT(ISBLANK(ANNOUNCEMENTS!L38)),
ANNOUNCEMENTS!L38&amp;"-"&amp;ANNOUNCEMENTS!J38,0)</f>
        <v>Electrolux-Trucking</v>
      </c>
      <c r="C40">
        <f>IF(NOT(ISBLANK(ANNOUNCEMENTS!M38)),
ANNOUNCEMENTS!M38&amp;"-"&amp;ANNOUNCEMENTS!J38,0)</f>
        <v>0</v>
      </c>
      <c r="D40">
        <f>IF(NOT(ISBLANK(ANNOUNCEMENTS!N38)),
ANNOUNCEMENTS!N38&amp;"-"&amp;ANNOUNCEMENTS!J38,0)</f>
        <v>0</v>
      </c>
      <c r="G40" t="str">
        <v>TuSimple-Trucking</v>
      </c>
      <c r="H40" t="str">
        <v>Deutsche Bahn-Ridepooling</v>
      </c>
      <c r="J40" t="str">
        <f t="shared" si="0"/>
        <v>Deutsche Bahn</v>
      </c>
      <c r="K40" t="str">
        <f t="shared" si="1"/>
        <v>Ridepooling</v>
      </c>
      <c r="N40" t="str">
        <v>Einride</v>
      </c>
    </row>
    <row r="41" spans="1:14" ht="15" customHeight="1" x14ac:dyDescent="0.35">
      <c r="A41" t="str">
        <f>ANNOUNCEMENTS!E39&amp;"-"&amp;ANNOUNCEMENTS!J39</f>
        <v>Einride-Trucking</v>
      </c>
      <c r="B41" s="284" t="str">
        <f>IF(NOT(ISBLANK(ANNOUNCEMENTS!L39)),
ANNOUNCEMENTS!L39&amp;"-"&amp;ANNOUNCEMENTS!J39,0)</f>
        <v>Beyond Meat-Trucking</v>
      </c>
      <c r="C41">
        <f>IF(NOT(ISBLANK(ANNOUNCEMENTS!M39)),
ANNOUNCEMENTS!M39&amp;"-"&amp;ANNOUNCEMENTS!J39,0)</f>
        <v>0</v>
      </c>
      <c r="D41">
        <f>IF(NOT(ISBLANK(ANNOUNCEMENTS!N39)),
ANNOUNCEMENTS!N39&amp;"-"&amp;ANNOUNCEMENTS!J39,0)</f>
        <v>0</v>
      </c>
      <c r="G41" t="str">
        <v>Uber-Ridehailing</v>
      </c>
      <c r="H41" t="str">
        <v>DHL-Trucking</v>
      </c>
      <c r="J41" t="str">
        <f t="shared" si="0"/>
        <v>DHL</v>
      </c>
      <c r="K41" t="str">
        <f t="shared" si="1"/>
        <v>Trucking</v>
      </c>
      <c r="N41" t="str">
        <v>Electrolux</v>
      </c>
    </row>
    <row r="42" spans="1:14" ht="15" customHeight="1" x14ac:dyDescent="0.35">
      <c r="A42" t="str">
        <f>ANNOUNCEMENTS!E40&amp;"-"&amp;ANNOUNCEMENTS!J40</f>
        <v>Einride-Trucking</v>
      </c>
      <c r="B42" s="284" t="str">
        <f>IF(NOT(ISBLANK(ANNOUNCEMENTS!L40)),
ANNOUNCEMENTS!L40&amp;"-"&amp;ANNOUNCEMENTS!J40,0)</f>
        <v>Coca - Cola-Trucking</v>
      </c>
      <c r="C42">
        <f>IF(NOT(ISBLANK(ANNOUNCEMENTS!M40)),
ANNOUNCEMENTS!M40&amp;"-"&amp;ANNOUNCEMENTS!J40,0)</f>
        <v>0</v>
      </c>
      <c r="D42">
        <f>IF(NOT(ISBLANK(ANNOUNCEMENTS!N40)),
ANNOUNCEMENTS!N40&amp;"-"&amp;ANNOUNCEMENTS!J40,0)</f>
        <v>0</v>
      </c>
      <c r="G42" t="str">
        <v>Uber Freight-Trucking</v>
      </c>
      <c r="H42" t="str">
        <v>E Charger Systems-Ridepooling</v>
      </c>
      <c r="J42" t="str">
        <f t="shared" si="0"/>
        <v>E Charger Systems</v>
      </c>
      <c r="K42" t="str">
        <f t="shared" si="1"/>
        <v>Ridepooling</v>
      </c>
      <c r="N42" t="str">
        <v>Ericsson</v>
      </c>
    </row>
    <row r="43" spans="1:14" ht="15" customHeight="1" x14ac:dyDescent="0.35">
      <c r="A43" t="str">
        <f>ANNOUNCEMENTS!E41&amp;"-"&amp;ANNOUNCEMENTS!J41</f>
        <v>Einride-Trucking</v>
      </c>
      <c r="B43" s="284" t="str">
        <f>IF(NOT(ISBLANK(ANNOUNCEMENTS!L41)),
ANNOUNCEMENTS!L41&amp;"-"&amp;ANNOUNCEMENTS!J41,0)</f>
        <v>UAE Ministry of Energy and Infrastructure-Trucking</v>
      </c>
      <c r="C43">
        <f>IF(NOT(ISBLANK(ANNOUNCEMENTS!M41)),
ANNOUNCEMENTS!M41&amp;"-"&amp;ANNOUNCEMENTS!J41,0)</f>
        <v>0</v>
      </c>
      <c r="D43">
        <f>IF(NOT(ISBLANK(ANNOUNCEMENTS!N41)),
ANNOUNCEMENTS!N41&amp;"-"&amp;ANNOUNCEMENTS!J41,0)</f>
        <v>0</v>
      </c>
      <c r="G43" t="str">
        <v>Udelv-Last-Mile</v>
      </c>
      <c r="H43" t="str">
        <v>e.GO-Ridepooling</v>
      </c>
      <c r="J43" t="str">
        <f t="shared" si="0"/>
        <v>e.GO</v>
      </c>
      <c r="K43" t="str">
        <f t="shared" si="1"/>
        <v>Ridepooling</v>
      </c>
      <c r="N43" t="str">
        <v>eVersum</v>
      </c>
    </row>
    <row r="44" spans="1:14" ht="15" customHeight="1" x14ac:dyDescent="0.35">
      <c r="A44" t="str">
        <f>ANNOUNCEMENTS!E42&amp;"-"&amp;ANNOUNCEMENTS!J42</f>
        <v>Einride-Trucking</v>
      </c>
      <c r="B44" s="284" t="str">
        <f>IF(NOT(ISBLANK(ANNOUNCEMENTS!L42)),
ANNOUNCEMENTS!L42&amp;"-"&amp;ANNOUNCEMENTS!J42,0)</f>
        <v>Oatly-Trucking</v>
      </c>
      <c r="C44">
        <f>IF(NOT(ISBLANK(ANNOUNCEMENTS!M42)),
ANNOUNCEMENTS!M42&amp;"-"&amp;ANNOUNCEMENTS!J42,0)</f>
        <v>0</v>
      </c>
      <c r="D44">
        <f>IF(NOT(ISBLANK(ANNOUNCEMENTS!N42)),
ANNOUNCEMENTS!N42&amp;"-"&amp;ANNOUNCEMENTS!J42,0)</f>
        <v>0</v>
      </c>
      <c r="G44" t="str">
        <v>Waabi-Trucking</v>
      </c>
      <c r="H44" t="str">
        <v>EasyMile-Other</v>
      </c>
      <c r="J44" t="str">
        <f t="shared" si="0"/>
        <v>EasyMile</v>
      </c>
      <c r="K44" t="str">
        <f t="shared" si="1"/>
        <v>Other</v>
      </c>
      <c r="N44" t="str">
        <v>Farmstead</v>
      </c>
    </row>
    <row r="45" spans="1:14" ht="15" customHeight="1" x14ac:dyDescent="0.35">
      <c r="A45" t="str">
        <f>ANNOUNCEMENTS!E43&amp;"-"&amp;ANNOUNCEMENTS!J43</f>
        <v>Einride-Trucking</v>
      </c>
      <c r="B45" s="284" t="str">
        <f>IF(NOT(ISBLANK(ANNOUNCEMENTS!L43)),
ANNOUNCEMENTS!L43&amp;"-"&amp;ANNOUNCEMENTS!J43,0)</f>
        <v>GE Appliances-Trucking</v>
      </c>
      <c r="C45">
        <f>IF(NOT(ISBLANK(ANNOUNCEMENTS!M43)),
ANNOUNCEMENTS!M43&amp;"-"&amp;ANNOUNCEMENTS!J43,0)</f>
        <v>0</v>
      </c>
      <c r="D45">
        <f>IF(NOT(ISBLANK(ANNOUNCEMENTS!N43)),
ANNOUNCEMENTS!N43&amp;"-"&amp;ANNOUNCEMENTS!J43,0)</f>
        <v>0</v>
      </c>
      <c r="G45" t="str">
        <v>Waymo-Ridehailing</v>
      </c>
      <c r="H45" t="str">
        <v>EasyMile-Ridepooling</v>
      </c>
      <c r="J45" t="str">
        <f t="shared" si="0"/>
        <v>EasyMile</v>
      </c>
      <c r="K45" t="str">
        <f t="shared" si="1"/>
        <v>Ridepooling</v>
      </c>
      <c r="N45" t="str">
        <v>FAW Group</v>
      </c>
    </row>
    <row r="46" spans="1:14" ht="15" customHeight="1" x14ac:dyDescent="0.35">
      <c r="A46" t="str">
        <f>ANNOUNCEMENTS!E44&amp;"-"&amp;ANNOUNCEMENTS!J44</f>
        <v>Einride-Trucking</v>
      </c>
      <c r="B46" s="284" t="str">
        <f>IF(NOT(ISBLANK(ANNOUNCEMENTS!L44)),
ANNOUNCEMENTS!L44&amp;"-"&amp;ANNOUNCEMENTS!J44,0)</f>
        <v>Lidl-Trucking</v>
      </c>
      <c r="C46">
        <f>IF(NOT(ISBLANK(ANNOUNCEMENTS!M44)),
ANNOUNCEMENTS!M44&amp;"-"&amp;ANNOUNCEMENTS!J44,0)</f>
        <v>0</v>
      </c>
      <c r="D46">
        <f>IF(NOT(ISBLANK(ANNOUNCEMENTS!N44)),
ANNOUNCEMENTS!N44&amp;"-"&amp;ANNOUNCEMENTS!J44,0)</f>
        <v>0</v>
      </c>
      <c r="G46" t="str">
        <v>Waymo-Other</v>
      </c>
      <c r="H46" t="str">
        <v>Ecarx-Other</v>
      </c>
      <c r="J46" t="str">
        <f t="shared" si="0"/>
        <v>Ecarx</v>
      </c>
      <c r="K46" t="str">
        <f t="shared" si="1"/>
        <v>Other</v>
      </c>
      <c r="N46" t="str">
        <v>Fiat Chrysler Automobiles</v>
      </c>
    </row>
    <row r="47" spans="1:14" ht="15" customHeight="1" x14ac:dyDescent="0.35">
      <c r="A47" t="str">
        <f>ANNOUNCEMENTS!E45&amp;"-"&amp;ANNOUNCEMENTS!J45</f>
        <v>Gatik-Trucking</v>
      </c>
      <c r="B47" s="284" t="str">
        <f>IF(NOT(ISBLANK(ANNOUNCEMENTS!L45)),
ANNOUNCEMENTS!L45&amp;"-"&amp;ANNOUNCEMENTS!J45,0)</f>
        <v>Goodyear-Trucking</v>
      </c>
      <c r="C47">
        <f>IF(NOT(ISBLANK(ANNOUNCEMENTS!M45)),
ANNOUNCEMENTS!M45&amp;"-"&amp;ANNOUNCEMENTS!J45,0)</f>
        <v>0</v>
      </c>
      <c r="D47">
        <f>IF(NOT(ISBLANK(ANNOUNCEMENTS!N45)),
ANNOUNCEMENTS!N45&amp;"-"&amp;ANNOUNCEMENTS!J45,0)</f>
        <v>0</v>
      </c>
      <c r="G47" t="str">
        <v>Wayve-Last-Mile</v>
      </c>
      <c r="H47" t="str">
        <v>Einride-Trucking</v>
      </c>
      <c r="J47" t="str">
        <f t="shared" si="0"/>
        <v>Einride</v>
      </c>
      <c r="K47" t="str">
        <f t="shared" si="1"/>
        <v>Trucking</v>
      </c>
      <c r="N47" t="str">
        <v>Gatik</v>
      </c>
    </row>
    <row r="48" spans="1:14" ht="15" customHeight="1" x14ac:dyDescent="0.35">
      <c r="A48" t="str">
        <f>ANNOUNCEMENTS!E46&amp;"-"&amp;ANNOUNCEMENTS!J46</f>
        <v>Gatik-Trucking</v>
      </c>
      <c r="B48" s="284" t="str">
        <f>IF(NOT(ISBLANK(ANNOUNCEMENTS!L46)),
ANNOUNCEMENTS!L46&amp;"-"&amp;ANNOUNCEMENTS!J46,0)</f>
        <v>Ryder-Trucking</v>
      </c>
      <c r="C48">
        <f>IF(NOT(ISBLANK(ANNOUNCEMENTS!M46)),
ANNOUNCEMENTS!M46&amp;"-"&amp;ANNOUNCEMENTS!J46,0)</f>
        <v>0</v>
      </c>
      <c r="D48">
        <f>IF(NOT(ISBLANK(ANNOUNCEMENTS!N46)),
ANNOUNCEMENTS!N46&amp;"-"&amp;ANNOUNCEMENTS!J46,0)</f>
        <v>0</v>
      </c>
      <c r="G48" t="str">
        <v>ZF-Other</v>
      </c>
      <c r="H48" t="str">
        <v>Electrolux-Trucking</v>
      </c>
      <c r="J48" t="str">
        <f t="shared" si="0"/>
        <v>Electrolux</v>
      </c>
      <c r="K48" t="str">
        <f t="shared" si="1"/>
        <v>Trucking</v>
      </c>
      <c r="N48" t="str">
        <v>GE Appliances</v>
      </c>
    </row>
    <row r="49" spans="1:14" ht="15" customHeight="1" x14ac:dyDescent="0.35">
      <c r="A49" t="str">
        <f>ANNOUNCEMENTS!E47&amp;"-"&amp;ANNOUNCEMENTS!J47</f>
        <v>Gatik-Trucking</v>
      </c>
      <c r="B49" s="284" t="str">
        <f>IF(NOT(ISBLANK(ANNOUNCEMENTS!L47)),
ANNOUNCEMENTS!L47&amp;"-"&amp;ANNOUNCEMENTS!J47,0)</f>
        <v>Walmart-Trucking</v>
      </c>
      <c r="C49">
        <f>IF(NOT(ISBLANK(ANNOUNCEMENTS!M47)),
ANNOUNCEMENTS!M47&amp;"-"&amp;ANNOUNCEMENTS!J47,0)</f>
        <v>0</v>
      </c>
      <c r="D49">
        <f>IF(NOT(ISBLANK(ANNOUNCEMENTS!N47)),
ANNOUNCEMENTS!N47&amp;"-"&amp;ANNOUNCEMENTS!J47,0)</f>
        <v>0</v>
      </c>
      <c r="G49" t="str">
        <v>ZF-Ridepooling</v>
      </c>
      <c r="H49" t="str">
        <v>Ericsson-Trucking</v>
      </c>
      <c r="J49" t="str">
        <f t="shared" si="0"/>
        <v>Ericsson</v>
      </c>
      <c r="K49" t="str">
        <f t="shared" si="1"/>
        <v>Trucking</v>
      </c>
      <c r="N49" t="str">
        <v>Geely</v>
      </c>
    </row>
    <row r="50" spans="1:14" ht="15" customHeight="1" x14ac:dyDescent="0.35">
      <c r="A50" t="str">
        <f>ANNOUNCEMENTS!E48&amp;"-"&amp;ANNOUNCEMENTS!J48</f>
        <v>Gatik-Trucking</v>
      </c>
      <c r="B50" s="284" t="str">
        <f>IF(NOT(ISBLANK(ANNOUNCEMENTS!L48)),
ANNOUNCEMENTS!L48&amp;"-"&amp;ANNOUNCEMENTS!J48,0)</f>
        <v>ChargePoint-Trucking</v>
      </c>
      <c r="C50">
        <f>IF(NOT(ISBLANK(ANNOUNCEMENTS!M48)),
ANNOUNCEMENTS!M48&amp;"-"&amp;ANNOUNCEMENTS!J48,0)</f>
        <v>0</v>
      </c>
      <c r="D50">
        <f>IF(NOT(ISBLANK(ANNOUNCEMENTS!N48)),
ANNOUNCEMENTS!N48&amp;"-"&amp;ANNOUNCEMENTS!J48,0)</f>
        <v>0</v>
      </c>
      <c r="G50" t="str">
        <v>Starship Technologies-Last-Mile</v>
      </c>
      <c r="H50" t="str">
        <v>eVersum-Ridepooling</v>
      </c>
      <c r="J50" t="str">
        <f t="shared" si="0"/>
        <v>eVersum</v>
      </c>
      <c r="K50" t="str">
        <f t="shared" si="1"/>
        <v>Ridepooling</v>
      </c>
      <c r="N50" t="str">
        <v>Global Finance Group</v>
      </c>
    </row>
    <row r="51" spans="1:14" ht="15" customHeight="1" x14ac:dyDescent="0.35">
      <c r="A51" t="str">
        <f>ANNOUNCEMENTS!E49&amp;"-"&amp;ANNOUNCEMENTS!J49</f>
        <v>Gatik-Trucking</v>
      </c>
      <c r="B51" s="284" t="str">
        <f>IF(NOT(ISBLANK(ANNOUNCEMENTS!L49)),
ANNOUNCEMENTS!L49&amp;"-"&amp;ANNOUNCEMENTS!J49,0)</f>
        <v>Isuzu North America-Trucking</v>
      </c>
      <c r="C51">
        <f>IF(NOT(ISBLANK(ANNOUNCEMENTS!M49)),
ANNOUNCEMENTS!M49&amp;"-"&amp;ANNOUNCEMENTS!J49,0)</f>
        <v>0</v>
      </c>
      <c r="D51">
        <f>IF(NOT(ISBLANK(ANNOUNCEMENTS!N49)),
ANNOUNCEMENTS!N49&amp;"-"&amp;ANNOUNCEMENTS!J49,0)</f>
        <v>0</v>
      </c>
      <c r="G51" t="str">
        <v>Via-Ridepooling</v>
      </c>
      <c r="H51" t="str">
        <v>Farmstead-Last-Mile</v>
      </c>
      <c r="J51" t="str">
        <f t="shared" si="0"/>
        <v>Farmstead</v>
      </c>
      <c r="K51" t="str">
        <f t="shared" si="1"/>
        <v>Last-Mile</v>
      </c>
      <c r="N51" t="str">
        <v>GM</v>
      </c>
    </row>
    <row r="52" spans="1:14" ht="15" customHeight="1" x14ac:dyDescent="0.35">
      <c r="A52" t="str">
        <f>ANNOUNCEMENTS!E50&amp;"-"&amp;ANNOUNCEMENTS!J50</f>
        <v>Gatik-Trucking</v>
      </c>
      <c r="B52" s="284" t="str">
        <f>IF(NOT(ISBLANK(ANNOUNCEMENTS!L50)),
ANNOUNCEMENTS!L50&amp;"-"&amp;ANNOUNCEMENTS!J50,0)</f>
        <v>Pitney Bowes-Trucking</v>
      </c>
      <c r="C52">
        <f>IF(NOT(ISBLANK(ANNOUNCEMENTS!M50)),
ANNOUNCEMENTS!M50&amp;"-"&amp;ANNOUNCEMENTS!J50,0)</f>
        <v>0</v>
      </c>
      <c r="D52">
        <f>IF(NOT(ISBLANK(ANNOUNCEMENTS!N50)),
ANNOUNCEMENTS!N50&amp;"-"&amp;ANNOUNCEMENTS!J50,0)</f>
        <v>0</v>
      </c>
      <c r="G52" t="str">
        <v>Lohr-Ridepooling</v>
      </c>
      <c r="H52" t="str">
        <v>FAW Group-Other</v>
      </c>
      <c r="J52" t="str">
        <f t="shared" si="0"/>
        <v>FAW Group</v>
      </c>
      <c r="K52" t="str">
        <f t="shared" si="1"/>
        <v>Other</v>
      </c>
      <c r="N52" t="str">
        <v>Goggo Network</v>
      </c>
    </row>
    <row r="53" spans="1:14" ht="15" customHeight="1" x14ac:dyDescent="0.35">
      <c r="A53" t="str">
        <f>ANNOUNCEMENTS!E51&amp;"-"&amp;ANNOUNCEMENTS!J51</f>
        <v>Gatik-Trucking</v>
      </c>
      <c r="B53" s="284" t="str">
        <f>IF(NOT(ISBLANK(ANNOUNCEMENTS!L51)),
ANNOUNCEMENTS!L51&amp;"-"&amp;ANNOUNCEMENTS!J51,0)</f>
        <v>Kroger-Trucking</v>
      </c>
      <c r="C53">
        <f>IF(NOT(ISBLANK(ANNOUNCEMENTS!M51)),
ANNOUNCEMENTS!M51&amp;"-"&amp;ANNOUNCEMENTS!J51,0)</f>
        <v>0</v>
      </c>
      <c r="D53">
        <f>IF(NOT(ISBLANK(ANNOUNCEMENTS!N51)),
ANNOUNCEMENTS!N51&amp;"-"&amp;ANNOUNCEMENTS!J51,0)</f>
        <v>0</v>
      </c>
      <c r="G53" t="str">
        <v>Uber Eats-Last-Mile</v>
      </c>
      <c r="H53" t="str">
        <v>Fiat Chrysler Automobiles-Ridehailing</v>
      </c>
      <c r="J53" t="str">
        <f t="shared" si="0"/>
        <v>Fiat Chrysler Automobiles</v>
      </c>
      <c r="K53" t="str">
        <f t="shared" si="1"/>
        <v>Ridehailing</v>
      </c>
      <c r="N53" t="str">
        <v>Goodyear</v>
      </c>
    </row>
    <row r="54" spans="1:14" ht="15" customHeight="1" x14ac:dyDescent="0.35">
      <c r="A54" t="str">
        <f>ANNOUNCEMENTS!E52&amp;"-"&amp;ANNOUNCEMENTS!J52</f>
        <v>Ioki-Ridepooling</v>
      </c>
      <c r="B54" s="284" t="str">
        <f>IF(NOT(ISBLANK(ANNOUNCEMENTS!L52)),
ANNOUNCEMENTS!L52&amp;"-"&amp;ANNOUNCEMENTS!J52,0)</f>
        <v>Deutsche Bahn-Ridepooling</v>
      </c>
      <c r="C54" t="str">
        <f>IF(NOT(ISBLANK(ANNOUNCEMENTS!M52)),
ANNOUNCEMENTS!M52&amp;"-"&amp;ANNOUNCEMENTS!J52,0)</f>
        <v>Berliner Verkehrsbetriebe-Ridepooling</v>
      </c>
      <c r="D54">
        <f>IF(NOT(ISBLANK(ANNOUNCEMENTS!N52)),
ANNOUNCEMENTS!N52&amp;"-"&amp;ANNOUNCEMENTS!J52,0)</f>
        <v>0</v>
      </c>
      <c r="G54" t="str">
        <v>Torc-Ridepooling</v>
      </c>
      <c r="H54" t="str">
        <v>Gatik-Trucking</v>
      </c>
      <c r="J54" t="str">
        <f t="shared" si="0"/>
        <v>Gatik</v>
      </c>
      <c r="K54" t="str">
        <f t="shared" si="1"/>
        <v>Trucking</v>
      </c>
      <c r="N54" t="str">
        <v>Greenpower</v>
      </c>
    </row>
    <row r="55" spans="1:14" ht="15" customHeight="1" x14ac:dyDescent="0.35">
      <c r="A55" t="str">
        <f>ANNOUNCEMENTS!E53&amp;"-"&amp;ANNOUNCEMENTS!J53</f>
        <v>Ioki-Ridepooling</v>
      </c>
      <c r="B55" s="284" t="str">
        <f>IF(NOT(ISBLANK(ANNOUNCEMENTS!L53)),
ANNOUNCEMENTS!L53&amp;"-"&amp;ANNOUNCEMENTS!J53,0)</f>
        <v>MINGA-Ridepooling</v>
      </c>
      <c r="C55">
        <f>IF(NOT(ISBLANK(ANNOUNCEMENTS!M53)),
ANNOUNCEMENTS!M53&amp;"-"&amp;ANNOUNCEMENTS!J53,0)</f>
        <v>0</v>
      </c>
      <c r="D55">
        <f>IF(NOT(ISBLANK(ANNOUNCEMENTS!N53)),
ANNOUNCEMENTS!N53&amp;"-"&amp;ANNOUNCEMENTS!J53,0)</f>
        <v>0</v>
      </c>
      <c r="G55" t="str">
        <v>ZF-Trucking</v>
      </c>
      <c r="H55" t="str">
        <v>GE Appliances-Trucking</v>
      </c>
      <c r="J55" t="str">
        <f t="shared" si="0"/>
        <v>GE Appliances</v>
      </c>
      <c r="K55" t="str">
        <f t="shared" si="1"/>
        <v>Trucking</v>
      </c>
      <c r="N55" t="str">
        <v>Grubhub</v>
      </c>
    </row>
    <row r="56" spans="1:14" ht="15" customHeight="1" x14ac:dyDescent="0.35">
      <c r="A56" t="str">
        <f>ANNOUNCEMENTS!E54&amp;"-"&amp;ANNOUNCEMENTS!J54</f>
        <v>Kiwibot-Last-Mile</v>
      </c>
      <c r="B56" s="284" t="str">
        <f>IF(NOT(ISBLANK(ANNOUNCEMENTS!L54)),
ANNOUNCEMENTS!L54&amp;"-"&amp;ANNOUNCEMENTS!J54,0)</f>
        <v>Aramex-Last-Mile</v>
      </c>
      <c r="C56">
        <f>IF(NOT(ISBLANK(ANNOUNCEMENTS!M54)),
ANNOUNCEMENTS!M54&amp;"-"&amp;ANNOUNCEMENTS!J54,0)</f>
        <v>0</v>
      </c>
      <c r="D56">
        <f>IF(NOT(ISBLANK(ANNOUNCEMENTS!N54)),
ANNOUNCEMENTS!N54&amp;"-"&amp;ANNOUNCEMENTS!J54,0)</f>
        <v>0</v>
      </c>
      <c r="G56" t="str">
        <v>Waymo-Trucking</v>
      </c>
      <c r="H56" t="str">
        <v>Geely-Other</v>
      </c>
      <c r="J56" t="str">
        <f t="shared" si="0"/>
        <v>Geely</v>
      </c>
      <c r="K56" t="str">
        <f t="shared" si="1"/>
        <v>Other</v>
      </c>
      <c r="N56" t="str">
        <v>Guident</v>
      </c>
    </row>
    <row r="57" spans="1:14" ht="15" customHeight="1" x14ac:dyDescent="0.35">
      <c r="A57" t="str">
        <f>ANNOUNCEMENTS!E55&amp;"-"&amp;ANNOUNCEMENTS!J55</f>
        <v>Kiwibot-Last-Mile</v>
      </c>
      <c r="B57" s="284" t="str">
        <f>IF(NOT(ISBLANK(ANNOUNCEMENTS!L55)),
ANNOUNCEMENTS!L55&amp;"-"&amp;ANNOUNCEMENTS!J55,0)</f>
        <v>Grubhub-Last-Mile</v>
      </c>
      <c r="C57">
        <f>IF(NOT(ISBLANK(ANNOUNCEMENTS!M55)),
ANNOUNCEMENTS!M55&amp;"-"&amp;ANNOUNCEMENTS!J55,0)</f>
        <v>0</v>
      </c>
      <c r="D57">
        <f>IF(NOT(ISBLANK(ANNOUNCEMENTS!N55)),
ANNOUNCEMENTS!N55&amp;"-"&amp;ANNOUNCEMENTS!J55,0)</f>
        <v>0</v>
      </c>
      <c r="G57" t="str">
        <v>Lyft-Ridehailing</v>
      </c>
      <c r="H57" t="str">
        <v>Global Finance Group-Ridepooling</v>
      </c>
      <c r="J57" t="str">
        <f t="shared" si="0"/>
        <v>Global Finance Group</v>
      </c>
      <c r="K57" t="str">
        <f t="shared" si="1"/>
        <v>Ridepooling</v>
      </c>
      <c r="N57" t="str">
        <v>H</v>
      </c>
    </row>
    <row r="58" spans="1:14" ht="15" customHeight="1" x14ac:dyDescent="0.35">
      <c r="A58" t="str">
        <f>ANNOUNCEMENTS!E56&amp;"-"&amp;ANNOUNCEMENTS!J56</f>
        <v>Kiwibot-Last-Mile</v>
      </c>
      <c r="B58" s="284" t="str">
        <f>IF(NOT(ISBLANK(ANNOUNCEMENTS!L56)),
ANNOUNCEMENTS!L56&amp;"-"&amp;ANNOUNCEMENTS!J56,0)</f>
        <v>kineo-Last-Mile</v>
      </c>
      <c r="C58">
        <f>IF(NOT(ISBLANK(ANNOUNCEMENTS!M56)),
ANNOUNCEMENTS!M56&amp;"-"&amp;ANNOUNCEMENTS!J56,0)</f>
        <v>0</v>
      </c>
      <c r="D58">
        <f>IF(NOT(ISBLANK(ANNOUNCEMENTS!N56)),
ANNOUNCEMENTS!N56&amp;"-"&amp;ANNOUNCEMENTS!J56,0)</f>
        <v>0</v>
      </c>
      <c r="G58" t="str">
        <v>Waymo-Last-Mile</v>
      </c>
      <c r="H58" t="str">
        <v>GM-Ridehailing</v>
      </c>
      <c r="J58" t="str">
        <f t="shared" si="0"/>
        <v>GM</v>
      </c>
      <c r="K58" t="str">
        <f t="shared" si="1"/>
        <v>Ridehailing</v>
      </c>
      <c r="N58" t="str">
        <v>Hegelmann Group</v>
      </c>
    </row>
    <row r="59" spans="1:14" ht="15" customHeight="1" x14ac:dyDescent="0.35">
      <c r="A59" t="str">
        <f>ANNOUNCEMENTS!E57&amp;"-"&amp;ANNOUNCEMENTS!J57</f>
        <v>Kodiak-Trucking</v>
      </c>
      <c r="B59" s="284" t="str">
        <f>IF(NOT(ISBLANK(ANNOUNCEMENTS!L57)),
ANNOUNCEMENTS!L57&amp;"-"&amp;ANNOUNCEMENTS!J57,0)</f>
        <v>Ten Roads Express-Trucking</v>
      </c>
      <c r="C59">
        <f>IF(NOT(ISBLANK(ANNOUNCEMENTS!M57)),
ANNOUNCEMENTS!M57&amp;"-"&amp;ANNOUNCEMENTS!J57,0)</f>
        <v>0</v>
      </c>
      <c r="D59">
        <f>IF(NOT(ISBLANK(ANNOUNCEMENTS!N57)),
ANNOUNCEMENTS!N57&amp;"-"&amp;ANNOUNCEMENTS!J57,0)</f>
        <v>0</v>
      </c>
      <c r="G59" t="str" cm="1">
        <f t="array" ref="G59:G210">_xlfn._xlws.FILTER(_xlfn.UNIQUE(B4:B182),_xlfn.UNIQUE(B4:B182)&lt;&gt;0)</f>
        <v>SLTN-Ridepooling</v>
      </c>
      <c r="H59" t="str">
        <v>Goggo Network-Last-Mile</v>
      </c>
      <c r="J59" t="str">
        <f t="shared" si="0"/>
        <v>Goggo Network</v>
      </c>
      <c r="K59" t="str">
        <f t="shared" si="1"/>
        <v>Last-Mile</v>
      </c>
      <c r="N59" t="str">
        <v>Hirschbach</v>
      </c>
    </row>
    <row r="60" spans="1:14" ht="15" customHeight="1" x14ac:dyDescent="0.35">
      <c r="A60" t="str">
        <f>ANNOUNCEMENTS!E58&amp;"-"&amp;ANNOUNCEMENTS!J58</f>
        <v>Kodiak-Trucking</v>
      </c>
      <c r="B60" s="284" t="str">
        <f>IF(NOT(ISBLANK(ANNOUNCEMENTS!L58)),
ANNOUNCEMENTS!L58&amp;"-"&amp;ANNOUNCEMENTS!J58,0)</f>
        <v>Werner-Trucking</v>
      </c>
      <c r="C60">
        <f>IF(NOT(ISBLANK(ANNOUNCEMENTS!M58)),
ANNOUNCEMENTS!M58&amp;"-"&amp;ANNOUNCEMENTS!J58,0)</f>
        <v>0</v>
      </c>
      <c r="D60">
        <f>IF(NOT(ISBLANK(ANNOUNCEMENTS!N58)),
ANNOUNCEMENTS!N58&amp;"-"&amp;ANNOUNCEMENTS!J58,0)</f>
        <v>0</v>
      </c>
      <c r="G60" t="str">
        <v>Benteler-Ridepooling</v>
      </c>
      <c r="H60" t="str">
        <v>Goodyear-Trucking</v>
      </c>
      <c r="J60" t="str">
        <f t="shared" si="0"/>
        <v>Goodyear</v>
      </c>
      <c r="K60" t="str">
        <f t="shared" si="1"/>
        <v>Trucking</v>
      </c>
      <c r="N60" t="str">
        <v>HOCHBAHN</v>
      </c>
    </row>
    <row r="61" spans="1:14" ht="15" customHeight="1" x14ac:dyDescent="0.35">
      <c r="A61" t="str">
        <f>ANNOUNCEMENTS!E59&amp;"-"&amp;ANNOUNCEMENTS!J59</f>
        <v>May Mobility-Ridehailing</v>
      </c>
      <c r="B61" s="284" t="str">
        <f>IF(NOT(ISBLANK(ANNOUNCEMENTS!L59)),
ANNOUNCEMENTS!L59&amp;"-"&amp;ANNOUNCEMENTS!J59,0)</f>
        <v>Bridgestone-Ridehailing</v>
      </c>
      <c r="C61">
        <f>IF(NOT(ISBLANK(ANNOUNCEMENTS!M59)),
ANNOUNCEMENTS!M59&amp;"-"&amp;ANNOUNCEMENTS!J59,0)</f>
        <v>0</v>
      </c>
      <c r="D61">
        <f>IF(NOT(ISBLANK(ANNOUNCEMENTS!N59)),
ANNOUNCEMENTS!N59&amp;"-"&amp;ANNOUNCEMENTS!J59,0)</f>
        <v>0</v>
      </c>
      <c r="G61" t="str">
        <v>SMRT-Ridepooling</v>
      </c>
      <c r="H61" t="str">
        <v>Greenpower-Ridepooling</v>
      </c>
      <c r="J61" t="str">
        <f t="shared" si="0"/>
        <v>Greenpower</v>
      </c>
      <c r="K61" t="str">
        <f t="shared" si="1"/>
        <v>Ridepooling</v>
      </c>
      <c r="N61" t="str">
        <v>Horizon Robotics</v>
      </c>
    </row>
    <row r="62" spans="1:14" ht="15" customHeight="1" x14ac:dyDescent="0.35">
      <c r="A62" t="str">
        <f>ANNOUNCEMENTS!E60&amp;"-"&amp;ANNOUNCEMENTS!J60</f>
        <v>May Mobility-Ridehailing</v>
      </c>
      <c r="B62" s="284" t="str">
        <f>IF(NOT(ISBLANK(ANNOUNCEMENTS!L60)),
ANNOUNCEMENTS!L60&amp;"-"&amp;ANNOUNCEMENTS!J60,0)</f>
        <v>Stantec-Ridehailing</v>
      </c>
      <c r="C62">
        <f>IF(NOT(ISBLANK(ANNOUNCEMENTS!M60)),
ANNOUNCEMENTS!M60&amp;"-"&amp;ANNOUNCEMENTS!J60,0)</f>
        <v>0</v>
      </c>
      <c r="D62">
        <f>IF(NOT(ISBLANK(ANNOUNCEMENTS!N60)),
ANNOUNCEMENTS!N60&amp;"-"&amp;ANNOUNCEMENTS!J60,0)</f>
        <v>0</v>
      </c>
      <c r="G62" t="str">
        <v>United Technical Services-Ridepooling</v>
      </c>
      <c r="H62" t="str">
        <v>Grubhub-Last-Mile</v>
      </c>
      <c r="J62" t="str">
        <f t="shared" si="0"/>
        <v>Grubhub</v>
      </c>
      <c r="K62" t="str">
        <f t="shared" si="1"/>
        <v>Last-Mile</v>
      </c>
      <c r="N62" t="str">
        <v>Ioki</v>
      </c>
    </row>
    <row r="63" spans="1:14" ht="15" customHeight="1" x14ac:dyDescent="0.35">
      <c r="A63" t="str">
        <f>ANNOUNCEMENTS!E61&amp;"-"&amp;ANNOUNCEMENTS!J61</f>
        <v>May Mobility-Ridehailing</v>
      </c>
      <c r="B63" s="284" t="str">
        <f>IF(NOT(ISBLANK(ANNOUNCEMENTS!L61)),
ANNOUNCEMENTS!L61&amp;"-"&amp;ANNOUNCEMENTS!J61,0)</f>
        <v>Spare-Ridehailing</v>
      </c>
      <c r="C63">
        <f>IF(NOT(ISBLANK(ANNOUNCEMENTS!M61)),
ANNOUNCEMENTS!M61&amp;"-"&amp;ANNOUNCEMENTS!J61,0)</f>
        <v>0</v>
      </c>
      <c r="D63">
        <f>IF(NOT(ISBLANK(ANNOUNCEMENTS!N61)),
ANNOUNCEMENTS!N61&amp;"-"&amp;ANNOUNCEMENTS!J61,0)</f>
        <v>0</v>
      </c>
      <c r="G63" t="str">
        <v>Vicinity Motor Corp.-Ridepooling</v>
      </c>
      <c r="H63" t="str">
        <v>Guident-Ridepooling</v>
      </c>
      <c r="J63" t="str">
        <f t="shared" si="0"/>
        <v>Guident</v>
      </c>
      <c r="K63" t="str">
        <f t="shared" si="1"/>
        <v>Ridepooling</v>
      </c>
      <c r="N63" t="str">
        <v>Ion</v>
      </c>
    </row>
    <row r="64" spans="1:14" ht="15" customHeight="1" x14ac:dyDescent="0.35">
      <c r="A64" t="str">
        <f>ANNOUNCEMENTS!E62&amp;"-"&amp;ANNOUNCEMENTS!J62</f>
        <v>May Mobility-Ridehailing</v>
      </c>
      <c r="B64" s="284" t="str">
        <f>IF(NOT(ISBLANK(ANNOUNCEMENTS!L62)),
ANNOUNCEMENTS!L62&amp;"-"&amp;ANNOUNCEMENTS!J62,0)</f>
        <v>Moovit-Ridehailing</v>
      </c>
      <c r="C64">
        <f>IF(NOT(ISBLANK(ANNOUNCEMENTS!M62)),
ANNOUNCEMENTS!M62&amp;"-"&amp;ANNOUNCEMENTS!J62,0)</f>
        <v>0</v>
      </c>
      <c r="D64">
        <f>IF(NOT(ISBLANK(ANNOUNCEMENTS!N62)),
ANNOUNCEMENTS!N62&amp;"-"&amp;ANNOUNCEMENTS!J62,0)</f>
        <v>0</v>
      </c>
      <c r="G64" t="str">
        <v>Continental-Trucking</v>
      </c>
      <c r="H64" t="str">
        <v>H-E-B-Last-Mile</v>
      </c>
      <c r="J64" t="str">
        <f t="shared" si="0"/>
        <v>H</v>
      </c>
      <c r="K64" t="str">
        <f t="shared" si="1"/>
        <v>E-B-Last-Mile</v>
      </c>
      <c r="N64" t="str">
        <v>Isuzu North America</v>
      </c>
    </row>
    <row r="65" spans="1:14" ht="15" customHeight="1" x14ac:dyDescent="0.35">
      <c r="A65" t="str">
        <f>ANNOUNCEMENTS!E63&amp;"-"&amp;ANNOUNCEMENTS!J63</f>
        <v>May Mobility-Ridehailing</v>
      </c>
      <c r="B65" s="284" t="str">
        <f>IF(NOT(ISBLANK(ANNOUNCEMENTS!L63)),
ANNOUNCEMENTS!L63&amp;"-"&amp;ANNOUNCEMENTS!J63,0)</f>
        <v>Liftango-Ridehailing</v>
      </c>
      <c r="C65">
        <f>IF(NOT(ISBLANK(ANNOUNCEMENTS!M63)),
ANNOUNCEMENTS!M63&amp;"-"&amp;ANNOUNCEMENTS!J63,0)</f>
        <v>0</v>
      </c>
      <c r="D65">
        <f>IF(NOT(ISBLANK(ANNOUNCEMENTS!N63)),
ANNOUNCEMENTS!N63&amp;"-"&amp;ANNOUNCEMENTS!J63,0)</f>
        <v>0</v>
      </c>
      <c r="G65" t="str">
        <v>Hirschbach-Trucking</v>
      </c>
      <c r="H65" t="str">
        <v>Hegelmann Group-Trucking</v>
      </c>
      <c r="J65" t="str">
        <f t="shared" si="0"/>
        <v>Hegelmann Group</v>
      </c>
      <c r="K65" t="str">
        <f t="shared" si="1"/>
        <v>Trucking</v>
      </c>
      <c r="N65" t="str">
        <v>IVECO</v>
      </c>
    </row>
    <row r="66" spans="1:14" ht="15" customHeight="1" x14ac:dyDescent="0.35">
      <c r="A66" t="str">
        <f>ANNOUNCEMENTS!E64&amp;"-"&amp;ANNOUNCEMENTS!J64</f>
        <v>May Mobility-Ridepooling</v>
      </c>
      <c r="B66" s="284" t="str">
        <f>IF(NOT(ISBLANK(ANNOUNCEMENTS!L64)),
ANNOUNCEMENTS!L64&amp;"-"&amp;ANNOUNCEMENTS!J64,0)</f>
        <v>Via-Ridepooling</v>
      </c>
      <c r="C66">
        <f>IF(NOT(ISBLANK(ANNOUNCEMENTS!M64)),
ANNOUNCEMENTS!M64&amp;"-"&amp;ANNOUNCEMENTS!J64,0)</f>
        <v>0</v>
      </c>
      <c r="D66">
        <f>IF(NOT(ISBLANK(ANNOUNCEMENTS!N64)),
ANNOUNCEMENTS!N64&amp;"-"&amp;ANNOUNCEMENTS!J64,0)</f>
        <v>0</v>
      </c>
      <c r="G66" t="str">
        <v>Covenant-Trucking</v>
      </c>
      <c r="H66" t="str">
        <v>Hirschbach-Trucking</v>
      </c>
      <c r="J66" t="str">
        <f t="shared" si="0"/>
        <v>Hirschbach</v>
      </c>
      <c r="K66" t="str">
        <f t="shared" si="1"/>
        <v>Trucking</v>
      </c>
      <c r="N66" t="str">
        <v>JTA</v>
      </c>
    </row>
    <row r="67" spans="1:14" ht="15" customHeight="1" x14ac:dyDescent="0.35">
      <c r="A67" t="str">
        <f>ANNOUNCEMENTS!E65&amp;"-"&amp;ANNOUNCEMENTS!J65</f>
        <v>Perrone Robotics-Ridepooling</v>
      </c>
      <c r="B67" s="284" t="str">
        <f>IF(NOT(ISBLANK(ANNOUNCEMENTS!L65)),
ANNOUNCEMENTS!L65&amp;"-"&amp;ANNOUNCEMENTS!J65,0)</f>
        <v>Mission Secure-Ridepooling</v>
      </c>
      <c r="C67">
        <f>IF(NOT(ISBLANK(ANNOUNCEMENTS!M65)),
ANNOUNCEMENTS!M65&amp;"-"&amp;ANNOUNCEMENTS!J65,0)</f>
        <v>0</v>
      </c>
      <c r="D67">
        <f>IF(NOT(ISBLANK(ANNOUNCEMENTS!N65)),
ANNOUNCEMENTS!N65&amp;"-"&amp;ANNOUNCEMENTS!J65,0)</f>
        <v>0</v>
      </c>
      <c r="G67" t="str">
        <v>U.S. Xpress-Trucking</v>
      </c>
      <c r="H67" t="str">
        <v>HOCHBAHN-Ridepooling</v>
      </c>
      <c r="J67" t="str">
        <f t="shared" si="0"/>
        <v>HOCHBAHN</v>
      </c>
      <c r="K67" t="str">
        <f t="shared" si="1"/>
        <v>Ridepooling</v>
      </c>
      <c r="N67" t="str">
        <v>Kalray</v>
      </c>
    </row>
    <row r="68" spans="1:14" ht="15" customHeight="1" x14ac:dyDescent="0.35">
      <c r="A68" t="str">
        <f>ANNOUNCEMENTS!E66&amp;"-"&amp;ANNOUNCEMENTS!J66</f>
        <v>Mobileye-Last-Mile</v>
      </c>
      <c r="B68" s="284" t="str">
        <f>IF(NOT(ISBLANK(ANNOUNCEMENTS!L66)),
ANNOUNCEMENTS!L66&amp;"-"&amp;ANNOUNCEMENTS!J66,0)</f>
        <v>Goggo Network-Last-Mile</v>
      </c>
      <c r="C68">
        <f>IF(NOT(ISBLANK(ANNOUNCEMENTS!M66)),
ANNOUNCEMENTS!M66&amp;"-"&amp;ANNOUNCEMENTS!J66,0)</f>
        <v>0</v>
      </c>
      <c r="D68">
        <f>IF(NOT(ISBLANK(ANNOUNCEMENTS!N66)),
ANNOUNCEMENTS!N66&amp;"-"&amp;ANNOUNCEMENTS!J66,0)</f>
        <v>0</v>
      </c>
      <c r="G68" t="str">
        <v>North Carolina Department of Transportation-Ridepooling</v>
      </c>
      <c r="H68" t="str">
        <v>Horizon Robotics-Ridehailing</v>
      </c>
      <c r="J68" t="str">
        <f t="shared" ref="J68:J131" si="2">LEFT(H68,SEARCH("-",H68)-1)</f>
        <v>Horizon Robotics</v>
      </c>
      <c r="K68" t="str">
        <f t="shared" ref="K68:K131" si="3">RIGHT(H68,LEN(H68)-SEARCH("-",H68))</f>
        <v>Ridehailing</v>
      </c>
      <c r="N68" t="str">
        <v>kineo</v>
      </c>
    </row>
    <row r="69" spans="1:14" ht="15" customHeight="1" x14ac:dyDescent="0.35">
      <c r="A69" t="str">
        <f>ANNOUNCEMENTS!E67&amp;"-"&amp;ANNOUNCEMENTS!J67</f>
        <v>Mobileye-Ridepooling</v>
      </c>
      <c r="B69" s="284" t="str">
        <f>IF(NOT(ISBLANK(ANNOUNCEMENTS!L67)),
ANNOUNCEMENTS!L67&amp;"-"&amp;ANNOUNCEMENTS!J67,0)</f>
        <v>MAN Truck &amp; Bus-Ridepooling</v>
      </c>
      <c r="C69">
        <f>IF(NOT(ISBLANK(ANNOUNCEMENTS!M67)),
ANNOUNCEMENTS!M67&amp;"-"&amp;ANNOUNCEMENTS!J67,0)</f>
        <v>0</v>
      </c>
      <c r="D69">
        <f>IF(NOT(ISBLANK(ANNOUNCEMENTS!N67)),
ANNOUNCEMENTS!N67&amp;"-"&amp;ANNOUNCEMENTS!J67,0)</f>
        <v>0</v>
      </c>
      <c r="G69" t="str">
        <v>Contra Costa Transportation Authority-Ridepooling</v>
      </c>
      <c r="H69" t="str">
        <v>Ioki-Ridepooling</v>
      </c>
      <c r="J69" t="str">
        <f t="shared" si="2"/>
        <v>Ioki</v>
      </c>
      <c r="K69" t="str">
        <f t="shared" si="3"/>
        <v>Ridepooling</v>
      </c>
      <c r="N69" t="str">
        <v>Kiwibot</v>
      </c>
    </row>
    <row r="70" spans="1:14" ht="15" customHeight="1" x14ac:dyDescent="0.35">
      <c r="A70" t="str">
        <f>ANNOUNCEMENTS!E68&amp;"-"&amp;ANNOUNCEMENTS!J68</f>
        <v>Mobileye-Other</v>
      </c>
      <c r="B70" s="284" t="str">
        <f>IF(NOT(ISBLANK(ANNOUNCEMENTS!L68)),
ANNOUNCEMENTS!L68&amp;"-"&amp;ANNOUNCEMENTS!J68,0)</f>
        <v>Porsche-Other</v>
      </c>
      <c r="C70">
        <f>IF(NOT(ISBLANK(ANNOUNCEMENTS!M68)),
ANNOUNCEMENTS!M68&amp;"-"&amp;ANNOUNCEMENTS!J68,0)</f>
        <v>0</v>
      </c>
      <c r="D70">
        <f>IF(NOT(ISBLANK(ANNOUNCEMENTS!N68)),
ANNOUNCEMENTS!N68&amp;"-"&amp;ANNOUNCEMENTS!J68,0)</f>
        <v>0</v>
      </c>
      <c r="G70" t="str">
        <v>ZF-Ridepooling</v>
      </c>
      <c r="H70" t="str">
        <v>Ion-Ridepooling</v>
      </c>
      <c r="J70" t="str">
        <f t="shared" si="2"/>
        <v>Ion</v>
      </c>
      <c r="K70" t="str">
        <f t="shared" si="3"/>
        <v>Ridepooling</v>
      </c>
      <c r="N70" t="str">
        <v>Kodiak</v>
      </c>
    </row>
    <row r="71" spans="1:14" ht="15" customHeight="1" x14ac:dyDescent="0.35">
      <c r="A71" t="str">
        <f>ANNOUNCEMENTS!E69&amp;"-"&amp;ANNOUNCEMENTS!J69</f>
        <v>Mobileye-Other</v>
      </c>
      <c r="B71" s="284" t="str">
        <f>IF(NOT(ISBLANK(ANNOUNCEMENTS!L69)),
ANNOUNCEMENTS!L69&amp;"-"&amp;ANNOUNCEMENTS!J69,0)</f>
        <v>Ecarx-Other</v>
      </c>
      <c r="C71">
        <f>IF(NOT(ISBLANK(ANNOUNCEMENTS!M69)),
ANNOUNCEMENTS!M69&amp;"-"&amp;ANNOUNCEMENTS!J69,0)</f>
        <v>0</v>
      </c>
      <c r="D71">
        <f>IF(NOT(ISBLANK(ANNOUNCEMENTS!N69)),
ANNOUNCEMENTS!N69&amp;"-"&amp;ANNOUNCEMENTS!J69,0)</f>
        <v>0</v>
      </c>
      <c r="G71" t="str">
        <v>Oxa-Ridepooling</v>
      </c>
      <c r="H71" t="str">
        <v>Isuzu North America-Trucking</v>
      </c>
      <c r="J71" t="str">
        <f t="shared" si="2"/>
        <v>Isuzu North America</v>
      </c>
      <c r="K71" t="str">
        <f t="shared" si="3"/>
        <v>Trucking</v>
      </c>
      <c r="N71" t="str">
        <v>Kroger</v>
      </c>
    </row>
    <row r="72" spans="1:14" ht="15" customHeight="1" x14ac:dyDescent="0.35">
      <c r="A72" t="str">
        <f>ANNOUNCEMENTS!E70&amp;"-"&amp;ANNOUNCEMENTS!J70</f>
        <v>Mobileye-Other</v>
      </c>
      <c r="B72" s="284" t="str">
        <f>IF(NOT(ISBLANK(ANNOUNCEMENTS!L70)),
ANNOUNCEMENTS!L70&amp;"-"&amp;ANNOUNCEMENTS!J70,0)</f>
        <v>FAW Group-Other</v>
      </c>
      <c r="C72">
        <f>IF(NOT(ISBLANK(ANNOUNCEMENTS!M70)),
ANNOUNCEMENTS!M70&amp;"-"&amp;ANNOUNCEMENTS!J70,0)</f>
        <v>0</v>
      </c>
      <c r="D72">
        <f>IF(NOT(ISBLANK(ANNOUNCEMENTS!N70)),
ANNOUNCEMENTS!N70&amp;"-"&amp;ANNOUNCEMENTS!J70,0)</f>
        <v>0</v>
      </c>
      <c r="G72" t="str">
        <v>Starship Technologies-Last-Mile</v>
      </c>
      <c r="H72" t="str">
        <v>IVECO-Trucking</v>
      </c>
      <c r="J72" t="str">
        <f t="shared" si="2"/>
        <v>IVECO</v>
      </c>
      <c r="K72" t="str">
        <f t="shared" si="3"/>
        <v>Trucking</v>
      </c>
      <c r="N72" t="str">
        <v>LAVTA</v>
      </c>
    </row>
    <row r="73" spans="1:14" ht="15" customHeight="1" x14ac:dyDescent="0.35">
      <c r="A73" t="str">
        <f>ANNOUNCEMENTS!E71&amp;"-"&amp;ANNOUNCEMENTS!J71</f>
        <v>Mobileye-Ridehailing</v>
      </c>
      <c r="B73" s="284" t="str">
        <f>IF(NOT(ISBLANK(ANNOUNCEMENTS!L71)),
ANNOUNCEMENTS!L71&amp;"-"&amp;ANNOUNCEMENTS!J71,0)</f>
        <v>WILLER-Ridehailing</v>
      </c>
      <c r="C73">
        <f>IF(NOT(ISBLANK(ANNOUNCEMENTS!M71)),
ANNOUNCEMENTS!M71&amp;"-"&amp;ANNOUNCEMENTS!J71,0)</f>
        <v>0</v>
      </c>
      <c r="D73">
        <f>IF(NOT(ISBLANK(ANNOUNCEMENTS!N71)),
ANNOUNCEMENTS!N71&amp;"-"&amp;ANNOUNCEMENTS!J71,0)</f>
        <v>0</v>
      </c>
      <c r="G73" t="str">
        <v>Mitsubishi-Last-Mile</v>
      </c>
      <c r="H73" t="str">
        <v>JTA-Ridepooling</v>
      </c>
      <c r="J73" t="str">
        <f t="shared" si="2"/>
        <v>JTA</v>
      </c>
      <c r="K73" t="str">
        <f t="shared" si="3"/>
        <v>Ridepooling</v>
      </c>
      <c r="N73" t="str">
        <v>Liberty Mutual Insurance</v>
      </c>
    </row>
    <row r="74" spans="1:14" ht="15" customHeight="1" x14ac:dyDescent="0.35">
      <c r="A74" t="str">
        <f>ANNOUNCEMENTS!E72&amp;"-"&amp;ANNOUNCEMENTS!J72</f>
        <v>Mobileye-Other</v>
      </c>
      <c r="B74" s="284" t="str">
        <f>IF(NOT(ISBLANK(ANNOUNCEMENTS!L72)),
ANNOUNCEMENTS!L72&amp;"-"&amp;ANNOUNCEMENTS!J72,0)</f>
        <v>Wistron NeWeb Corp -Other</v>
      </c>
      <c r="C74">
        <f>IF(NOT(ISBLANK(ANNOUNCEMENTS!M72)),
ANNOUNCEMENTS!M72&amp;"-"&amp;ANNOUNCEMENTS!J72,0)</f>
        <v>0</v>
      </c>
      <c r="D74">
        <f>IF(NOT(ISBLANK(ANNOUNCEMENTS!N72)),
ANNOUNCEMENTS!N72&amp;"-"&amp;ANNOUNCEMENTS!J72,0)</f>
        <v>0</v>
      </c>
      <c r="G74" t="str">
        <v>Grubhub-Last-Mile</v>
      </c>
      <c r="H74" t="str">
        <v>Kalray-Ridepooling</v>
      </c>
      <c r="J74" t="str">
        <f t="shared" si="2"/>
        <v>Kalray</v>
      </c>
      <c r="K74" t="str">
        <f t="shared" si="3"/>
        <v>Ridepooling</v>
      </c>
      <c r="N74" t="str">
        <v>Lidl</v>
      </c>
    </row>
    <row r="75" spans="1:14" ht="15" customHeight="1" x14ac:dyDescent="0.35">
      <c r="A75" t="str">
        <f>ANNOUNCEMENTS!E73&amp;"-"&amp;ANNOUNCEMENTS!J73</f>
        <v>Mobileye-Other</v>
      </c>
      <c r="B75" s="284" t="str">
        <f>IF(NOT(ISBLANK(ANNOUNCEMENTS!L73)),
ANNOUNCEMENTS!L73&amp;"-"&amp;ANNOUNCEMENTS!J73,0)</f>
        <v>Geely-Other</v>
      </c>
      <c r="C75">
        <f>IF(NOT(ISBLANK(ANNOUNCEMENTS!M73)),
ANNOUNCEMENTS!M73&amp;"-"&amp;ANNOUNCEMENTS!J73,0)</f>
        <v>0</v>
      </c>
      <c r="D75">
        <f>IF(NOT(ISBLANK(ANNOUNCEMENTS!N73)),
ANNOUNCEMENTS!N73&amp;"-"&amp;ANNOUNCEMENTS!J73,0)</f>
        <v>0</v>
      </c>
      <c r="G75" t="str">
        <v>Mothers-Against-Drunk-Driving-Other</v>
      </c>
      <c r="H75" t="str">
        <v>kineo-Last-Mile</v>
      </c>
      <c r="J75" t="str">
        <f t="shared" si="2"/>
        <v>kineo</v>
      </c>
      <c r="K75" t="str">
        <f t="shared" si="3"/>
        <v>Last-Mile</v>
      </c>
      <c r="N75" t="str">
        <v>Liftango</v>
      </c>
    </row>
    <row r="76" spans="1:14" ht="15" customHeight="1" x14ac:dyDescent="0.35">
      <c r="A76" t="str">
        <f>ANNOUNCEMENTS!E74&amp;"-"&amp;ANNOUNCEMENTS!J74</f>
        <v>Mobileye-Other</v>
      </c>
      <c r="B76" s="284" t="str">
        <f>IF(NOT(ISBLANK(ANNOUNCEMENTS!L74)),
ANNOUNCEMENTS!L74&amp;"-"&amp;ANNOUNCEMENTS!J74,0)</f>
        <v>Zeekr-Other</v>
      </c>
      <c r="C76">
        <f>IF(NOT(ISBLANK(ANNOUNCEMENTS!M74)),
ANNOUNCEMENTS!M74&amp;"-"&amp;ANNOUNCEMENTS!J74,0)</f>
        <v>0</v>
      </c>
      <c r="D76">
        <f>IF(NOT(ISBLANK(ANNOUNCEMENTS!N74)),
ANNOUNCEMENTS!N74&amp;"-"&amp;ANNOUNCEMENTS!J74,0)</f>
        <v>0</v>
      </c>
      <c r="G76" t="str">
        <v>Walmart-Last-Mile</v>
      </c>
      <c r="H76" t="str">
        <v>Kiwibot-Last-Mile</v>
      </c>
      <c r="J76" t="str">
        <f t="shared" si="2"/>
        <v>Kiwibot</v>
      </c>
      <c r="K76" t="str">
        <f t="shared" si="3"/>
        <v>Last-Mile</v>
      </c>
      <c r="N76" t="str">
        <v>Lightning eMotors</v>
      </c>
    </row>
    <row r="77" spans="1:14" ht="15" customHeight="1" x14ac:dyDescent="0.35">
      <c r="A77" t="str">
        <f>ANNOUNCEMENTS!E75&amp;"-"&amp;ANNOUNCEMENTS!J75</f>
        <v>Mobileye-Other</v>
      </c>
      <c r="B77" s="284" t="str">
        <f>IF(NOT(ISBLANK(ANNOUNCEMENTS!L75)),
ANNOUNCEMENTS!L75&amp;"-"&amp;ANNOUNCEMENTS!J75,0)</f>
        <v>Valeo-Other</v>
      </c>
      <c r="C77">
        <f>IF(NOT(ISBLANK(ANNOUNCEMENTS!M75)),
ANNOUNCEMENTS!M75&amp;"-"&amp;ANNOUNCEMENTS!J75,0)</f>
        <v>0</v>
      </c>
      <c r="D77">
        <f>IF(NOT(ISBLANK(ANNOUNCEMENTS!N75)),
ANNOUNCEMENTS!N75&amp;"-"&amp;ANNOUNCEMENTS!J75,0)</f>
        <v>0</v>
      </c>
      <c r="G77" t="str">
        <v>Replate-Last-Mile</v>
      </c>
      <c r="H77" t="str">
        <v>Kodiak-Trucking</v>
      </c>
      <c r="J77" t="str">
        <f t="shared" si="2"/>
        <v>Kodiak</v>
      </c>
      <c r="K77" t="str">
        <f t="shared" si="3"/>
        <v>Trucking</v>
      </c>
      <c r="N77" t="str">
        <v>Loadsmith</v>
      </c>
    </row>
    <row r="78" spans="1:14" ht="15" customHeight="1" x14ac:dyDescent="0.35">
      <c r="A78" t="str">
        <f>ANNOUNCEMENTS!E76&amp;"-"&amp;ANNOUNCEMENTS!J76</f>
        <v>Mobileye-Other</v>
      </c>
      <c r="B78" s="284" t="str">
        <f>IF(NOT(ISBLANK(ANNOUNCEMENTS!L76)),
ANNOUNCEMENTS!L76&amp;"-"&amp;ANNOUNCEMENTS!J76,0)</f>
        <v>Zeekr-Other</v>
      </c>
      <c r="C78">
        <f>IF(NOT(ISBLANK(ANNOUNCEMENTS!M76)),
ANNOUNCEMENTS!M76&amp;"-"&amp;ANNOUNCEMENTS!J76,0)</f>
        <v>0</v>
      </c>
      <c r="D78">
        <f>IF(NOT(ISBLANK(ANNOUNCEMENTS!N76)),
ANNOUNCEMENTS!N76&amp;"-"&amp;ANNOUNCEMENTS!J76,0)</f>
        <v>0</v>
      </c>
      <c r="G78" t="str">
        <v>GM-Ridehailing</v>
      </c>
      <c r="H78" t="str">
        <v>Kroger-Trucking</v>
      </c>
      <c r="J78" t="str">
        <f t="shared" si="2"/>
        <v>Kroger</v>
      </c>
      <c r="K78" t="str">
        <f t="shared" si="3"/>
        <v>Trucking</v>
      </c>
      <c r="N78" t="str">
        <v>Lohr</v>
      </c>
    </row>
    <row r="79" spans="1:14" ht="15" customHeight="1" x14ac:dyDescent="0.35">
      <c r="A79" t="str">
        <f>ANNOUNCEMENTS!E77&amp;"-"&amp;ANNOUNCEMENTS!J77</f>
        <v>MOIA-Ridepooling</v>
      </c>
      <c r="B79" s="284" t="str">
        <f>IF(NOT(ISBLANK(ANNOUNCEMENTS!L77)),
ANNOUNCEMENTS!L77&amp;"-"&amp;ANNOUNCEMENTS!J77,0)</f>
        <v>HOCHBAHN-Ridepooling</v>
      </c>
      <c r="C79" t="str">
        <f>IF(NOT(ISBLANK(ANNOUNCEMENTS!M77)),
ANNOUNCEMENTS!M77&amp;"-"&amp;ANNOUNCEMENTS!J77,0)</f>
        <v>Volkswagen Commercial Vehicles-Ridepooling</v>
      </c>
      <c r="D79">
        <f>IF(NOT(ISBLANK(ANNOUNCEMENTS!N77)),
ANNOUNCEMENTS!N77&amp;"-"&amp;ANNOUNCEMENTS!J77,0)</f>
        <v>0</v>
      </c>
      <c r="G79" t="str">
        <v>TrustInSoft-Ridepooling</v>
      </c>
      <c r="H79" t="str">
        <v>LAVTA-Ridepooling</v>
      </c>
      <c r="J79" t="str">
        <f t="shared" si="2"/>
        <v>LAVTA</v>
      </c>
      <c r="K79" t="str">
        <f t="shared" si="3"/>
        <v>Ridepooling</v>
      </c>
      <c r="N79" t="str">
        <v>Luminar</v>
      </c>
    </row>
    <row r="80" spans="1:14" ht="15" customHeight="1" x14ac:dyDescent="0.35">
      <c r="A80" t="str">
        <f>ANNOUNCEMENTS!E78&amp;"-"&amp;ANNOUNCEMENTS!J78</f>
        <v>MOIA-Ridepooling</v>
      </c>
      <c r="B80" s="284">
        <f>IF(NOT(ISBLANK(ANNOUNCEMENTS!L78)),
ANNOUNCEMENTS!L78&amp;"-"&amp;ANNOUNCEMENTS!J78,0)</f>
        <v>0</v>
      </c>
      <c r="C80">
        <f>IF(NOT(ISBLANK(ANNOUNCEMENTS!M78)),
ANNOUNCEMENTS!M78&amp;"-"&amp;ANNOUNCEMENTS!J78,0)</f>
        <v>0</v>
      </c>
      <c r="D80">
        <f>IF(NOT(ISBLANK(ANNOUNCEMENTS!N78)),
ANNOUNCEMENTS!N78&amp;"-"&amp;ANNOUNCEMENTS!J78,0)</f>
        <v>0</v>
      </c>
      <c r="G80" t="str">
        <v>Continental-Ridepooling</v>
      </c>
      <c r="H80" t="str">
        <v>Liberty Mutual Insurance-Trucking</v>
      </c>
      <c r="J80" t="str">
        <f t="shared" si="2"/>
        <v>Liberty Mutual Insurance</v>
      </c>
      <c r="K80" t="str">
        <f t="shared" si="3"/>
        <v>Trucking</v>
      </c>
      <c r="N80" t="str">
        <v>Lyft</v>
      </c>
    </row>
    <row r="81" spans="1:14" ht="15" customHeight="1" x14ac:dyDescent="0.35">
      <c r="A81" t="str">
        <f>ANNOUNCEMENTS!E79&amp;"-"&amp;ANNOUNCEMENTS!J79</f>
        <v>Motional-Ridehailing</v>
      </c>
      <c r="B81" s="284" t="str">
        <f>IF(NOT(ISBLANK(ANNOUNCEMENTS!L79)),
ANNOUNCEMENTS!L79&amp;"-"&amp;ANNOUNCEMENTS!J79,0)</f>
        <v>Derq-Ridehailing</v>
      </c>
      <c r="C81">
        <f>IF(NOT(ISBLANK(ANNOUNCEMENTS!M79)),
ANNOUNCEMENTS!M79&amp;"-"&amp;ANNOUNCEMENTS!J79,0)</f>
        <v>0</v>
      </c>
      <c r="D81">
        <f>IF(NOT(ISBLANK(ANNOUNCEMENTS!N79)),
ANNOUNCEMENTS!N79&amp;"-"&amp;ANNOUNCEMENTS!J79,0)</f>
        <v>0</v>
      </c>
      <c r="G81" t="str">
        <v>Sono Motors-Ridepooling</v>
      </c>
      <c r="H81" t="str">
        <v>Lidl-Trucking</v>
      </c>
      <c r="J81" t="str">
        <f t="shared" si="2"/>
        <v>Lidl</v>
      </c>
      <c r="K81" t="str">
        <f t="shared" si="3"/>
        <v>Trucking</v>
      </c>
      <c r="N81" t="str">
        <v>MAN Truck &amp; Bus</v>
      </c>
    </row>
    <row r="82" spans="1:14" ht="15" customHeight="1" x14ac:dyDescent="0.35">
      <c r="A82" t="str">
        <f>ANNOUNCEMENTS!E80&amp;"-"&amp;ANNOUNCEMENTS!J80</f>
        <v>Motional-Ridehailing</v>
      </c>
      <c r="B82" s="284" t="str">
        <f>IF(NOT(ISBLANK(ANNOUNCEMENTS!L80)),
ANNOUNCEMENTS!L80&amp;"-"&amp;ANNOUNCEMENTS!J80,0)</f>
        <v>Boston University-Ridehailing</v>
      </c>
      <c r="C82">
        <f>IF(NOT(ISBLANK(ANNOUNCEMENTS!M80)),
ANNOUNCEMENTS!M80&amp;"-"&amp;ANNOUNCEMENTS!J80,0)</f>
        <v>0</v>
      </c>
      <c r="D82">
        <f>IF(NOT(ISBLANK(ANNOUNCEMENTS!N80)),
ANNOUNCEMENTS!N80&amp;"-"&amp;ANNOUNCEMENTS!J80,0)</f>
        <v>0</v>
      </c>
      <c r="G82" t="str">
        <v>Phoenix Motorcars-Ridepooling</v>
      </c>
      <c r="H82" t="str">
        <v>Liftango-Ridehailing</v>
      </c>
      <c r="J82" t="str">
        <f t="shared" si="2"/>
        <v>Liftango</v>
      </c>
      <c r="K82" t="str">
        <f t="shared" si="3"/>
        <v>Ridehailing</v>
      </c>
      <c r="N82" t="str">
        <v>May Mobility</v>
      </c>
    </row>
    <row r="83" spans="1:14" ht="15" customHeight="1" x14ac:dyDescent="0.35">
      <c r="A83" t="str">
        <f>ANNOUNCEMENTS!E81&amp;"-"&amp;ANNOUNCEMENTS!J81</f>
        <v>Motional-Ridehailing</v>
      </c>
      <c r="B83" s="284" t="str">
        <f>IF(NOT(ISBLANK(ANNOUNCEMENTS!L81)),
ANNOUNCEMENTS!L81&amp;"-"&amp;ANNOUNCEMENTS!J81,0)</f>
        <v>tfnsw-Ridehailing</v>
      </c>
      <c r="C83">
        <f>IF(NOT(ISBLANK(ANNOUNCEMENTS!M81)),
ANNOUNCEMENTS!M81&amp;"-"&amp;ANNOUNCEMENTS!J81,0)</f>
        <v>0</v>
      </c>
      <c r="D83">
        <f>IF(NOT(ISBLANK(ANNOUNCEMENTS!N81)),
ANNOUNCEMENTS!N81&amp;"-"&amp;ANNOUNCEMENTS!J81,0)</f>
        <v>0</v>
      </c>
      <c r="G83" t="str">
        <v>Kalray-Ridepooling</v>
      </c>
      <c r="H83" t="str">
        <v>Lightning eMotors-Ridepooling</v>
      </c>
      <c r="J83" t="str">
        <f t="shared" si="2"/>
        <v>Lightning eMotors</v>
      </c>
      <c r="K83" t="str">
        <f t="shared" si="3"/>
        <v>Ridepooling</v>
      </c>
      <c r="N83" t="str">
        <v>Michelin</v>
      </c>
    </row>
    <row r="84" spans="1:14" ht="15" customHeight="1" x14ac:dyDescent="0.35">
      <c r="A84" t="str">
        <f>ANNOUNCEMENTS!E82&amp;"-"&amp;ANNOUNCEMENTS!J82</f>
        <v>Motional-Last-Mile</v>
      </c>
      <c r="B84" s="284" t="str">
        <f>IF(NOT(ISBLANK(ANNOUNCEMENTS!L82)),
ANNOUNCEMENTS!L82&amp;"-"&amp;ANNOUNCEMENTS!J82,0)</f>
        <v>Uber-Last-Mile</v>
      </c>
      <c r="C84">
        <f>IF(NOT(ISBLANK(ANNOUNCEMENTS!M82)),
ANNOUNCEMENTS!M82&amp;"-"&amp;ANNOUNCEMENTS!J82,0)</f>
        <v>0</v>
      </c>
      <c r="D84">
        <f>IF(NOT(ISBLANK(ANNOUNCEMENTS!N82)),
ANNOUNCEMENTS!N82&amp;"-"&amp;ANNOUNCEMENTS!J82,0)</f>
        <v>0</v>
      </c>
      <c r="G84" t="str">
        <v>Bridgestone-Trucking</v>
      </c>
      <c r="H84" t="str">
        <v>Loadsmith-Trucking</v>
      </c>
      <c r="J84" t="str">
        <f t="shared" si="2"/>
        <v>Loadsmith</v>
      </c>
      <c r="K84" t="str">
        <f t="shared" si="3"/>
        <v>Trucking</v>
      </c>
      <c r="N84" t="str">
        <v>Microsoft</v>
      </c>
    </row>
    <row r="85" spans="1:14" ht="15" customHeight="1" x14ac:dyDescent="0.35">
      <c r="A85" t="str">
        <f>ANNOUNCEMENTS!E83&amp;"-"&amp;ANNOUNCEMENTS!J83</f>
        <v>Navya-Ridepooling</v>
      </c>
      <c r="B85" s="284" t="str">
        <f>IF(NOT(ISBLANK(ANNOUNCEMENTS!L83)),
ANNOUNCEMENTS!L83&amp;"-"&amp;ANNOUNCEMENTS!J83,0)</f>
        <v>Valeo-Ridepooling</v>
      </c>
      <c r="C85">
        <f>IF(NOT(ISBLANK(ANNOUNCEMENTS!M83)),
ANNOUNCEMENTS!M83&amp;"-"&amp;ANNOUNCEMENTS!J83,0)</f>
        <v>0</v>
      </c>
      <c r="D85">
        <f>IF(NOT(ISBLANK(ANNOUNCEMENTS!N83)),
ANNOUNCEMENTS!N83&amp;"-"&amp;ANNOUNCEMENTS!J83,0)</f>
        <v>0</v>
      </c>
      <c r="G85" t="str">
        <v>Ericsson-Trucking</v>
      </c>
      <c r="H85" t="str">
        <v>Lohr-Ridepooling</v>
      </c>
      <c r="J85" t="str">
        <f t="shared" si="2"/>
        <v>Lohr</v>
      </c>
      <c r="K85" t="str">
        <f t="shared" si="3"/>
        <v>Ridepooling</v>
      </c>
      <c r="N85" t="str">
        <v>MINGA</v>
      </c>
    </row>
    <row r="86" spans="1:14" ht="15" customHeight="1" x14ac:dyDescent="0.35">
      <c r="A86" t="str">
        <f>ANNOUNCEMENTS!E84&amp;"-"&amp;ANNOUNCEMENTS!J84</f>
        <v>Navya-Ridepooling</v>
      </c>
      <c r="B86" s="284" t="str">
        <f>IF(NOT(ISBLANK(ANNOUNCEMENTS!L84)),
ANNOUNCEMENTS!L84&amp;"-"&amp;ANNOUNCEMENTS!J84,0)</f>
        <v>Ion-Ridepooling</v>
      </c>
      <c r="C86">
        <f>IF(NOT(ISBLANK(ANNOUNCEMENTS!M84)),
ANNOUNCEMENTS!M84&amp;"-"&amp;ANNOUNCEMENTS!J84,0)</f>
        <v>0</v>
      </c>
      <c r="D86">
        <f>IF(NOT(ISBLANK(ANNOUNCEMENTS!N84)),
ANNOUNCEMENTS!N84&amp;"-"&amp;ANNOUNCEMENTS!J84,0)</f>
        <v>0</v>
      </c>
      <c r="G86" t="str">
        <v>SKF-Trucking</v>
      </c>
      <c r="H86" t="str">
        <v>Luminar-Ridehailing</v>
      </c>
      <c r="J86" t="str">
        <f t="shared" si="2"/>
        <v>Luminar</v>
      </c>
      <c r="K86" t="str">
        <f t="shared" si="3"/>
        <v>Ridehailing</v>
      </c>
      <c r="N86" t="str">
        <v>Minnesota Department of Transportation</v>
      </c>
    </row>
    <row r="87" spans="1:14" ht="15" customHeight="1" x14ac:dyDescent="0.35">
      <c r="A87" t="str">
        <f>ANNOUNCEMENTS!E85&amp;"-"&amp;ANNOUNCEMENTS!J85</f>
        <v>Navya-Ridepooling</v>
      </c>
      <c r="B87" s="284" t="str">
        <f>IF(NOT(ISBLANK(ANNOUNCEMENTS!L85)),
ANNOUNCEMENTS!L85&amp;"-"&amp;ANNOUNCEMENTS!J85,0)</f>
        <v>Valeo-Ridepooling</v>
      </c>
      <c r="C87">
        <f>IF(NOT(ISBLANK(ANNOUNCEMENTS!M85)),
ANNOUNCEMENTS!M85&amp;"-"&amp;ANNOUNCEMENTS!J85,0)</f>
        <v>0</v>
      </c>
      <c r="D87">
        <f>IF(NOT(ISBLANK(ANNOUNCEMENTS!N85)),
ANNOUNCEMENTS!N85&amp;"-"&amp;ANNOUNCEMENTS!J85,0)</f>
        <v>0</v>
      </c>
      <c r="G87" t="str">
        <v>Svenska Retursystem-Trucking</v>
      </c>
      <c r="H87" t="str">
        <v>Luminar-Trucking</v>
      </c>
      <c r="J87" t="str">
        <f t="shared" si="2"/>
        <v>Luminar</v>
      </c>
      <c r="K87" t="str">
        <f t="shared" si="3"/>
        <v>Trucking</v>
      </c>
      <c r="N87" t="str">
        <v>Mission Secure</v>
      </c>
    </row>
    <row r="88" spans="1:14" ht="15" customHeight="1" x14ac:dyDescent="0.35">
      <c r="A88" t="str">
        <f>ANNOUNCEMENTS!E86&amp;"-"&amp;ANNOUNCEMENTS!J86</f>
        <v>Navya-Ridepooling</v>
      </c>
      <c r="B88" s="284" t="str">
        <f>IF(NOT(ISBLANK(ANNOUNCEMENTS!L86)),
ANNOUNCEMENTS!L86&amp;"-"&amp;ANNOUNCEMENTS!J86,0)</f>
        <v>Lohr-Ridepooling</v>
      </c>
      <c r="C88">
        <f>IF(NOT(ISBLANK(ANNOUNCEMENTS!M86)),
ANNOUNCEMENTS!M86&amp;"-"&amp;ANNOUNCEMENTS!J86,0)</f>
        <v>0</v>
      </c>
      <c r="D88">
        <f>IF(NOT(ISBLANK(ANNOUNCEMENTS!N86)),
ANNOUNCEMENTS!N86&amp;"-"&amp;ANNOUNCEMENTS!J86,0)</f>
        <v>0</v>
      </c>
      <c r="G88" t="str">
        <v>Polarrenen-Trucking</v>
      </c>
      <c r="H88" t="str">
        <v>Lyft-Ridehailing</v>
      </c>
      <c r="J88" t="str">
        <f t="shared" si="2"/>
        <v>Lyft</v>
      </c>
      <c r="K88" t="str">
        <f t="shared" si="3"/>
        <v>Ridehailing</v>
      </c>
      <c r="N88" t="str">
        <v>MIT Center for Transportation &amp; Logistics</v>
      </c>
    </row>
    <row r="89" spans="1:14" ht="15" customHeight="1" x14ac:dyDescent="0.35">
      <c r="A89" t="str">
        <f>ANNOUNCEMENTS!E87&amp;"-"&amp;ANNOUNCEMENTS!J87</f>
        <v>Navya-Ridepooling</v>
      </c>
      <c r="B89" s="284" t="str">
        <f>IF(NOT(ISBLANK(ANNOUNCEMENTS!L87)),
ANNOUNCEMENTS!L87&amp;"-"&amp;ANNOUNCEMENTS!J87,0)</f>
        <v>Michelin-Ridepooling</v>
      </c>
      <c r="C89" t="str">
        <f>IF(NOT(ISBLANK(ANNOUNCEMENTS!M87)),
ANNOUNCEMENTS!M87&amp;"-"&amp;ANNOUNCEMENTS!J87,0)</f>
        <v>Beti-Ridepooling</v>
      </c>
      <c r="D89">
        <f>IF(NOT(ISBLANK(ANNOUNCEMENTS!N87)),
ANNOUNCEMENTS!N87&amp;"-"&amp;ANNOUNCEMENTS!J87,0)</f>
        <v>0</v>
      </c>
      <c r="G89" t="str">
        <v>Oatly-Trucking</v>
      </c>
      <c r="H89" t="str">
        <v>MAN Truck &amp; Bus-Ridepooling</v>
      </c>
      <c r="J89" t="str">
        <f t="shared" si="2"/>
        <v>MAN Truck &amp; Bus</v>
      </c>
      <c r="K89" t="str">
        <f t="shared" si="3"/>
        <v>Ridepooling</v>
      </c>
      <c r="N89" t="str">
        <v>Mitsubishi</v>
      </c>
    </row>
    <row r="90" spans="1:14" ht="15" customHeight="1" x14ac:dyDescent="0.35">
      <c r="A90" t="str">
        <f>ANNOUNCEMENTS!E88&amp;"-"&amp;ANNOUNCEMENTS!J88</f>
        <v>Nuro-Last-Mile</v>
      </c>
      <c r="B90" s="284" t="str">
        <f>IF(NOT(ISBLANK(ANNOUNCEMENTS!L88)),
ANNOUNCEMENTS!L88&amp;"-"&amp;ANNOUNCEMENTS!J88,0)</f>
        <v>Uber Eats-Last-Mile</v>
      </c>
      <c r="C90">
        <f>IF(NOT(ISBLANK(ANNOUNCEMENTS!M88)),
ANNOUNCEMENTS!M88&amp;"-"&amp;ANNOUNCEMENTS!J88,0)</f>
        <v>0</v>
      </c>
      <c r="D90">
        <f>IF(NOT(ISBLANK(ANNOUNCEMENTS!N88)),
ANNOUNCEMENTS!N88&amp;"-"&amp;ANNOUNCEMENTS!J88,0)</f>
        <v>0</v>
      </c>
      <c r="G90" t="str">
        <v>Electrolux-Trucking</v>
      </c>
      <c r="H90" t="str">
        <v>May Mobility-Ridehailing</v>
      </c>
      <c r="J90" t="str">
        <f t="shared" si="2"/>
        <v>May Mobility</v>
      </c>
      <c r="K90" t="str">
        <f t="shared" si="3"/>
        <v>Ridehailing</v>
      </c>
      <c r="N90" t="str">
        <v>Mobileye</v>
      </c>
    </row>
    <row r="91" spans="1:14" ht="15" customHeight="1" x14ac:dyDescent="0.35">
      <c r="A91" t="str">
        <f>ANNOUNCEMENTS!E89&amp;"-"&amp;ANNOUNCEMENTS!J89</f>
        <v>Oxa-Ridepooling</v>
      </c>
      <c r="B91" s="284" t="str">
        <f>IF(NOT(ISBLANK(ANNOUNCEMENTS!L89)),
ANNOUNCEMENTS!L89&amp;"-"&amp;ANNOUNCEMENTS!J89,0)</f>
        <v>eVersum-Ridepooling</v>
      </c>
      <c r="C91">
        <f>IF(NOT(ISBLANK(ANNOUNCEMENTS!M89)),
ANNOUNCEMENTS!M89&amp;"-"&amp;ANNOUNCEMENTS!J89,0)</f>
        <v>0</v>
      </c>
      <c r="D91">
        <f>IF(NOT(ISBLANK(ANNOUNCEMENTS!N89)),
ANNOUNCEMENTS!N89&amp;"-"&amp;ANNOUNCEMENTS!J89,0)</f>
        <v>0</v>
      </c>
      <c r="G91" t="str">
        <v>Beyond Meat-Trucking</v>
      </c>
      <c r="H91" t="str">
        <v>May Mobility-Ridepooling</v>
      </c>
      <c r="J91" t="str">
        <f t="shared" si="2"/>
        <v>May Mobility</v>
      </c>
      <c r="K91" t="str">
        <f t="shared" si="3"/>
        <v>Ridepooling</v>
      </c>
      <c r="N91" t="str">
        <v>MOIA</v>
      </c>
    </row>
    <row r="92" spans="1:14" ht="15" customHeight="1" x14ac:dyDescent="0.35">
      <c r="A92" t="str">
        <f>ANNOUNCEMENTS!E90&amp;"-"&amp;ANNOUNCEMENTS!J90</f>
        <v>Oxa-Last-Mile</v>
      </c>
      <c r="B92" s="284" t="str">
        <f>IF(NOT(ISBLANK(ANNOUNCEMENTS!L90)),
ANNOUNCEMENTS!L90&amp;"-"&amp;ANNOUNCEMENTS!J90,0)</f>
        <v>Goggo Network-Last-Mile</v>
      </c>
      <c r="C92">
        <f>IF(NOT(ISBLANK(ANNOUNCEMENTS!M90)),
ANNOUNCEMENTS!M90&amp;"-"&amp;ANNOUNCEMENTS!J90,0)</f>
        <v>0</v>
      </c>
      <c r="D92">
        <f>IF(NOT(ISBLANK(ANNOUNCEMENTS!N90)),
ANNOUNCEMENTS!N90&amp;"-"&amp;ANNOUNCEMENTS!J90,0)</f>
        <v>0</v>
      </c>
      <c r="G92" t="str">
        <v>Coca - Cola-Trucking</v>
      </c>
      <c r="H92" t="str">
        <v>Michelin-Ridepooling</v>
      </c>
      <c r="J92" t="str">
        <f t="shared" si="2"/>
        <v>Michelin</v>
      </c>
      <c r="K92" t="str">
        <f t="shared" si="3"/>
        <v>Ridepooling</v>
      </c>
      <c r="N92" t="str">
        <v>Moovit</v>
      </c>
    </row>
    <row r="93" spans="1:14" ht="15" customHeight="1" x14ac:dyDescent="0.35">
      <c r="A93" t="str">
        <f>ANNOUNCEMENTS!E91&amp;"-"&amp;ANNOUNCEMENTS!J91</f>
        <v>Oxa-Other</v>
      </c>
      <c r="B93" s="284" t="str">
        <f>IF(NOT(ISBLANK(ANNOUNCEMENTS!L91)),
ANNOUNCEMENTS!L91&amp;"-"&amp;ANNOUNCEMENTS!J91,0)</f>
        <v>Navtech Radar-Other</v>
      </c>
      <c r="C93">
        <f>IF(NOT(ISBLANK(ANNOUNCEMENTS!M91)),
ANNOUNCEMENTS!M91&amp;"-"&amp;ANNOUNCEMENTS!J91,0)</f>
        <v>0</v>
      </c>
      <c r="D93">
        <f>IF(NOT(ISBLANK(ANNOUNCEMENTS!N91)),
ANNOUNCEMENTS!N91&amp;"-"&amp;ANNOUNCEMENTS!J91,0)</f>
        <v>0</v>
      </c>
      <c r="G93" t="str">
        <v>UAE Ministry of Energy and Infrastructure-Trucking</v>
      </c>
      <c r="H93" t="str">
        <v>Microsoft-Ridehailing</v>
      </c>
      <c r="J93" t="str">
        <f t="shared" si="2"/>
        <v>Microsoft</v>
      </c>
      <c r="K93" t="str">
        <f t="shared" si="3"/>
        <v>Ridehailing</v>
      </c>
      <c r="N93" t="str">
        <v>Mothers</v>
      </c>
    </row>
    <row r="94" spans="1:14" ht="15" customHeight="1" x14ac:dyDescent="0.35">
      <c r="A94" t="str">
        <f>ANNOUNCEMENTS!E92&amp;"-"&amp;ANNOUNCEMENTS!J92</f>
        <v>Oxa-Ridepooling</v>
      </c>
      <c r="B94" s="284" t="str">
        <f>IF(NOT(ISBLANK(ANNOUNCEMENTS!L92)),
ANNOUNCEMENTS!L92&amp;"-"&amp;ANNOUNCEMENTS!J92,0)</f>
        <v>NEVS-Ridepooling</v>
      </c>
      <c r="C94">
        <f>IF(NOT(ISBLANK(ANNOUNCEMENTS!M92)),
ANNOUNCEMENTS!M92&amp;"-"&amp;ANNOUNCEMENTS!J92,0)</f>
        <v>0</v>
      </c>
      <c r="D94">
        <f>IF(NOT(ISBLANK(ANNOUNCEMENTS!N92)),
ANNOUNCEMENTS!N92&amp;"-"&amp;ANNOUNCEMENTS!J92,0)</f>
        <v>0</v>
      </c>
      <c r="G94" t="str">
        <v>GE Appliances-Trucking</v>
      </c>
      <c r="H94" t="str">
        <v>MINGA-Ridepooling</v>
      </c>
      <c r="J94" t="str">
        <f t="shared" si="2"/>
        <v>MINGA</v>
      </c>
      <c r="K94" t="str">
        <f t="shared" si="3"/>
        <v>Ridepooling</v>
      </c>
      <c r="N94" t="str">
        <v>Motional</v>
      </c>
    </row>
    <row r="95" spans="1:14" ht="15" customHeight="1" x14ac:dyDescent="0.35">
      <c r="A95" t="str">
        <f>ANNOUNCEMENTS!E93&amp;"-"&amp;ANNOUNCEMENTS!J93</f>
        <v>Oxa-Last-Mile</v>
      </c>
      <c r="B95" s="284" t="str">
        <f>IF(NOT(ISBLANK(ANNOUNCEMENTS!L93)),
ANNOUNCEMENTS!L93&amp;"-"&amp;ANNOUNCEMENTS!J93,0)</f>
        <v>Ocado Group-Last-Mile</v>
      </c>
      <c r="C95">
        <f>IF(NOT(ISBLANK(ANNOUNCEMENTS!M93)),
ANNOUNCEMENTS!M93&amp;"-"&amp;ANNOUNCEMENTS!J93,0)</f>
        <v>0</v>
      </c>
      <c r="D95">
        <f>IF(NOT(ISBLANK(ANNOUNCEMENTS!N93)),
ANNOUNCEMENTS!N93&amp;"-"&amp;ANNOUNCEMENTS!J93,0)</f>
        <v>0</v>
      </c>
      <c r="G95" t="str">
        <v>Lidl-Trucking</v>
      </c>
      <c r="H95" t="str">
        <v>Minnesota Department of Transportation-Trucking</v>
      </c>
      <c r="J95" t="str">
        <f t="shared" si="2"/>
        <v>Minnesota Department of Transportation</v>
      </c>
      <c r="K95" t="str">
        <f t="shared" si="3"/>
        <v>Trucking</v>
      </c>
      <c r="N95" t="str">
        <v>Navistar</v>
      </c>
    </row>
    <row r="96" spans="1:14" ht="15" customHeight="1" x14ac:dyDescent="0.35">
      <c r="A96" t="str">
        <f>ANNOUNCEMENTS!E94&amp;"-"&amp;ANNOUNCEMENTS!J94</f>
        <v>Perrone Robotics-Ridepooling</v>
      </c>
      <c r="B96" s="284" t="str">
        <f>IF(NOT(ISBLANK(ANNOUNCEMENTS!L94)),
ANNOUNCEMENTS!L94&amp;"-"&amp;ANNOUNCEMENTS!J94,0)</f>
        <v>Global Finance Group-Ridepooling</v>
      </c>
      <c r="C96">
        <f>IF(NOT(ISBLANK(ANNOUNCEMENTS!M94)),
ANNOUNCEMENTS!M94&amp;"-"&amp;ANNOUNCEMENTS!J94,0)</f>
        <v>0</v>
      </c>
      <c r="D96">
        <f>IF(NOT(ISBLANK(ANNOUNCEMENTS!N94)),
ANNOUNCEMENTS!N94&amp;"-"&amp;ANNOUNCEMENTS!J94,0)</f>
        <v>0</v>
      </c>
      <c r="G96" t="str">
        <v>Goodyear-Trucking</v>
      </c>
      <c r="H96" t="str">
        <v>Mission Secure-Ridepooling</v>
      </c>
      <c r="J96" t="str">
        <f t="shared" si="2"/>
        <v>Mission Secure</v>
      </c>
      <c r="K96" t="str">
        <f t="shared" si="3"/>
        <v>Ridepooling</v>
      </c>
      <c r="N96" t="str">
        <v>Navtech Radar</v>
      </c>
    </row>
    <row r="97" spans="1:14" ht="15" customHeight="1" x14ac:dyDescent="0.35">
      <c r="A97" t="str">
        <f>ANNOUNCEMENTS!E95&amp;"-"&amp;ANNOUNCEMENTS!J95</f>
        <v>Perrone Robotics-Ridepooling</v>
      </c>
      <c r="B97" s="284" t="str">
        <f>IF(NOT(ISBLANK(ANNOUNCEMENTS!L95)),
ANNOUNCEMENTS!L95&amp;"-"&amp;ANNOUNCEMENTS!J95,0)</f>
        <v>Western Reserve Transit Authority-Ridepooling</v>
      </c>
      <c r="C97" t="str">
        <f>IF(NOT(ISBLANK(ANNOUNCEMENTS!M95)),
ANNOUNCEMENTS!M95&amp;"-"&amp;ANNOUNCEMENTS!J95,0)</f>
        <v>GreenPower-Ridepooling</v>
      </c>
      <c r="D97">
        <f>IF(NOT(ISBLANK(ANNOUNCEMENTS!N95)),
ANNOUNCEMENTS!N95&amp;"-"&amp;ANNOUNCEMENTS!J95,0)</f>
        <v>0</v>
      </c>
      <c r="G97" t="str">
        <v>Ryder-Trucking</v>
      </c>
      <c r="H97" t="str">
        <v>MIT Center for Transportation &amp; Logistics-Trucking</v>
      </c>
      <c r="J97" t="str">
        <f t="shared" si="2"/>
        <v>MIT Center for Transportation &amp; Logistics</v>
      </c>
      <c r="K97" t="str">
        <f t="shared" si="3"/>
        <v>Trucking</v>
      </c>
      <c r="N97" t="str">
        <v>Navya</v>
      </c>
    </row>
    <row r="98" spans="1:14" ht="15" customHeight="1" x14ac:dyDescent="0.35">
      <c r="A98" t="str">
        <f>ANNOUNCEMENTS!E96&amp;"-"&amp;ANNOUNCEMENTS!J96</f>
        <v>Perrone Robotics-Ridepooling</v>
      </c>
      <c r="B98" s="284" t="str">
        <f>IF(NOT(ISBLANK(ANNOUNCEMENTS!L96)),
ANNOUNCEMENTS!L96&amp;"-"&amp;ANNOUNCEMENTS!J96,0)</f>
        <v>SAE-Ridepooling</v>
      </c>
      <c r="C98">
        <f>IF(NOT(ISBLANK(ANNOUNCEMENTS!M96)),
ANNOUNCEMENTS!M96&amp;"-"&amp;ANNOUNCEMENTS!J96,0)</f>
        <v>0</v>
      </c>
      <c r="D98">
        <f>IF(NOT(ISBLANK(ANNOUNCEMENTS!N96)),
ANNOUNCEMENTS!N96&amp;"-"&amp;ANNOUNCEMENTS!J96,0)</f>
        <v>0</v>
      </c>
      <c r="G98" t="str">
        <v>Walmart-Trucking</v>
      </c>
      <c r="H98" t="str">
        <v>Mitsubishi-Last-Mile</v>
      </c>
      <c r="J98" t="str">
        <f t="shared" si="2"/>
        <v>Mitsubishi</v>
      </c>
      <c r="K98" t="str">
        <f t="shared" si="3"/>
        <v>Last-Mile</v>
      </c>
      <c r="N98" t="str">
        <v>NEVS</v>
      </c>
    </row>
    <row r="99" spans="1:14" ht="15" customHeight="1" x14ac:dyDescent="0.35">
      <c r="A99" t="str">
        <f>ANNOUNCEMENTS!E97&amp;"-"&amp;ANNOUNCEMENTS!J97</f>
        <v>Perrone Robotics-Ridepooling</v>
      </c>
      <c r="B99" s="284" t="str">
        <f>IF(NOT(ISBLANK(ANNOUNCEMENTS!L97)),
ANNOUNCEMENTS!L97&amp;"-"&amp;ANNOUNCEMENTS!J97,0)</f>
        <v>Tropos Technologies-Ridepooling</v>
      </c>
      <c r="C99">
        <f>IF(NOT(ISBLANK(ANNOUNCEMENTS!M97)),
ANNOUNCEMENTS!M97&amp;"-"&amp;ANNOUNCEMENTS!J97,0)</f>
        <v>0</v>
      </c>
      <c r="D99">
        <f>IF(NOT(ISBLANK(ANNOUNCEMENTS!N97)),
ANNOUNCEMENTS!N97&amp;"-"&amp;ANNOUNCEMENTS!J97,0)</f>
        <v>0</v>
      </c>
      <c r="G99" t="str">
        <v>ChargePoint-Trucking</v>
      </c>
      <c r="H99" t="str">
        <v>Mobileye-Last-Mile</v>
      </c>
      <c r="J99" t="str">
        <f t="shared" si="2"/>
        <v>Mobileye</v>
      </c>
      <c r="K99" t="str">
        <f t="shared" si="3"/>
        <v>Last-Mile</v>
      </c>
      <c r="N99" t="str">
        <v>Nickelytics</v>
      </c>
    </row>
    <row r="100" spans="1:14" ht="15" customHeight="1" x14ac:dyDescent="0.35">
      <c r="A100" t="str">
        <f>ANNOUNCEMENTS!E98&amp;"-"&amp;ANNOUNCEMENTS!J98</f>
        <v>Perrone Robotics-Ridepooling</v>
      </c>
      <c r="B100" s="284" t="str">
        <f>IF(NOT(ISBLANK(ANNOUNCEMENTS!L98)),
ANNOUNCEMENTS!L98&amp;"-"&amp;ANNOUNCEMENTS!J98,0)</f>
        <v>Tropos Technologies-Ridepooling</v>
      </c>
      <c r="C100">
        <f>IF(NOT(ISBLANK(ANNOUNCEMENTS!M98)),
ANNOUNCEMENTS!M98&amp;"-"&amp;ANNOUNCEMENTS!J98,0)</f>
        <v>0</v>
      </c>
      <c r="D100">
        <f>IF(NOT(ISBLANK(ANNOUNCEMENTS!N98)),
ANNOUNCEMENTS!N98&amp;"-"&amp;ANNOUNCEMENTS!J98,0)</f>
        <v>0</v>
      </c>
      <c r="G100" t="str">
        <v>Isuzu North America-Trucking</v>
      </c>
      <c r="H100" t="str">
        <v>Mobileye-Other</v>
      </c>
      <c r="J100" t="str">
        <f t="shared" si="2"/>
        <v>Mobileye</v>
      </c>
      <c r="K100" t="str">
        <f t="shared" si="3"/>
        <v>Other</v>
      </c>
      <c r="N100" t="str">
        <v>NIO</v>
      </c>
    </row>
    <row r="101" spans="1:14" ht="15" customHeight="1" x14ac:dyDescent="0.35">
      <c r="A101" t="str">
        <f>ANNOUNCEMENTS!E99&amp;"-"&amp;ANNOUNCEMENTS!J99</f>
        <v>Perrone Robotics-Ridepooling</v>
      </c>
      <c r="B101" s="284" t="str">
        <f>IF(NOT(ISBLANK(ANNOUNCEMENTS!L99)),
ANNOUNCEMENTS!L99&amp;"-"&amp;ANNOUNCEMENTS!J99,0)</f>
        <v>Greenpower-Ridepooling</v>
      </c>
      <c r="C101">
        <f>IF(NOT(ISBLANK(ANNOUNCEMENTS!M99)),
ANNOUNCEMENTS!M99&amp;"-"&amp;ANNOUNCEMENTS!J99,0)</f>
        <v>0</v>
      </c>
      <c r="D101">
        <f>IF(NOT(ISBLANK(ANNOUNCEMENTS!N99)),
ANNOUNCEMENTS!N99&amp;"-"&amp;ANNOUNCEMENTS!J99,0)</f>
        <v>0</v>
      </c>
      <c r="G101" t="str">
        <v>Pitney Bowes-Trucking</v>
      </c>
      <c r="H101" t="str">
        <v>Mobileye-Ridehailing</v>
      </c>
      <c r="J101" t="str">
        <f t="shared" si="2"/>
        <v>Mobileye</v>
      </c>
      <c r="K101" t="str">
        <f t="shared" si="3"/>
        <v>Ridehailing</v>
      </c>
      <c r="N101" t="str">
        <v>North Carolina Department of Transportation</v>
      </c>
    </row>
    <row r="102" spans="1:14" ht="15" customHeight="1" x14ac:dyDescent="0.35">
      <c r="A102" t="str">
        <f>ANNOUNCEMENTS!E100&amp;"-"&amp;ANNOUNCEMENTS!J100</f>
        <v>Perrone Robotics-Ridepooling</v>
      </c>
      <c r="B102" s="284" t="str">
        <f>IF(NOT(ISBLANK(ANNOUNCEMENTS!L100)),
ANNOUNCEMENTS!L100&amp;"-"&amp;ANNOUNCEMENTS!J100,0)</f>
        <v>Guident-Ridepooling</v>
      </c>
      <c r="C102">
        <f>IF(NOT(ISBLANK(ANNOUNCEMENTS!M100)),
ANNOUNCEMENTS!M100&amp;"-"&amp;ANNOUNCEMENTS!J100,0)</f>
        <v>0</v>
      </c>
      <c r="D102">
        <f>IF(NOT(ISBLANK(ANNOUNCEMENTS!N100)),
ANNOUNCEMENTS!N100&amp;"-"&amp;ANNOUNCEMENTS!J100,0)</f>
        <v>0</v>
      </c>
      <c r="G102" t="str">
        <v>Kroger-Trucking</v>
      </c>
      <c r="H102" t="str">
        <v>Mobileye-Ridepooling</v>
      </c>
      <c r="J102" t="str">
        <f t="shared" si="2"/>
        <v>Mobileye</v>
      </c>
      <c r="K102" t="str">
        <f t="shared" si="3"/>
        <v>Ridepooling</v>
      </c>
      <c r="N102" t="str">
        <v>Nuro</v>
      </c>
    </row>
    <row r="103" spans="1:14" ht="15" customHeight="1" x14ac:dyDescent="0.35">
      <c r="A103" t="str">
        <f>ANNOUNCEMENTS!E101&amp;"-"&amp;ANNOUNCEMENTS!J101</f>
        <v>Perrone Robotics-Ridepooling</v>
      </c>
      <c r="B103" s="284" t="str">
        <f>IF(NOT(ISBLANK(ANNOUNCEMENTS!L101)),
ANNOUNCEMENTS!L101&amp;"-"&amp;ANNOUNCEMENTS!J101,0)</f>
        <v>Lightning eMotors-Ridepooling</v>
      </c>
      <c r="C103">
        <f>IF(NOT(ISBLANK(ANNOUNCEMENTS!M101)),
ANNOUNCEMENTS!M101&amp;"-"&amp;ANNOUNCEMENTS!J101,0)</f>
        <v>0</v>
      </c>
      <c r="D103">
        <f>IF(NOT(ISBLANK(ANNOUNCEMENTS!N101)),
ANNOUNCEMENTS!N101&amp;"-"&amp;ANNOUNCEMENTS!J101,0)</f>
        <v>0</v>
      </c>
      <c r="G103" t="str">
        <v>Deutsche Bahn-Ridepooling</v>
      </c>
      <c r="H103" t="str">
        <v>MOIA-Ridepooling</v>
      </c>
      <c r="J103" t="str">
        <f t="shared" si="2"/>
        <v>MOIA</v>
      </c>
      <c r="K103" t="str">
        <f t="shared" si="3"/>
        <v>Ridepooling</v>
      </c>
      <c r="N103" t="str">
        <v>Oatly</v>
      </c>
    </row>
    <row r="104" spans="1:14" ht="15" customHeight="1" x14ac:dyDescent="0.35">
      <c r="A104" t="str">
        <f>ANNOUNCEMENTS!E102&amp;"-"&amp;ANNOUNCEMENTS!J102</f>
        <v>Perrone Robotics-Ridepooling</v>
      </c>
      <c r="B104" s="284" t="str">
        <f>IF(NOT(ISBLANK(ANNOUNCEMENTS!L102)),
ANNOUNCEMENTS!L102&amp;"-"&amp;ANNOUNCEMENTS!J102,0)</f>
        <v>University of California-Ridepooling</v>
      </c>
      <c r="C104">
        <f>IF(NOT(ISBLANK(ANNOUNCEMENTS!M102)),
ANNOUNCEMENTS!M102&amp;"-"&amp;ANNOUNCEMENTS!J102,0)</f>
        <v>0</v>
      </c>
      <c r="D104">
        <f>IF(NOT(ISBLANK(ANNOUNCEMENTS!N102)),
ANNOUNCEMENTS!N102&amp;"-"&amp;ANNOUNCEMENTS!J102,0)</f>
        <v>0</v>
      </c>
      <c r="G104" t="str">
        <v>MINGA-Ridepooling</v>
      </c>
      <c r="H104" t="str">
        <v>Moovit-Ridehailing</v>
      </c>
      <c r="J104" t="str">
        <f t="shared" si="2"/>
        <v>Moovit</v>
      </c>
      <c r="K104" t="str">
        <f t="shared" si="3"/>
        <v>Ridehailing</v>
      </c>
      <c r="N104" t="str">
        <v>Ocado Group</v>
      </c>
    </row>
    <row r="105" spans="1:14" ht="15" customHeight="1" x14ac:dyDescent="0.35">
      <c r="A105" t="str">
        <f>ANNOUNCEMENTS!E103&amp;"-"&amp;ANNOUNCEMENTS!J103</f>
        <v>Perrone Robotics-Ridepooling</v>
      </c>
      <c r="B105" s="284" t="str">
        <f>IF(NOT(ISBLANK(ANNOUNCEMENTS!L103)),
ANNOUNCEMENTS!L103&amp;"-"&amp;ANNOUNCEMENTS!J103,0)</f>
        <v>Sustainability Partners-Ridepooling</v>
      </c>
      <c r="C105">
        <f>IF(NOT(ISBLANK(ANNOUNCEMENTS!M103)),
ANNOUNCEMENTS!M103&amp;"-"&amp;ANNOUNCEMENTS!J103,0)</f>
        <v>0</v>
      </c>
      <c r="D105">
        <f>IF(NOT(ISBLANK(ANNOUNCEMENTS!N103)),
ANNOUNCEMENTS!N103&amp;"-"&amp;ANNOUNCEMENTS!J103,0)</f>
        <v>0</v>
      </c>
      <c r="G105" t="str">
        <v>Aramex-Last-Mile</v>
      </c>
      <c r="H105" t="str">
        <v>Mothers-Against-Drunk-Driving-Other</v>
      </c>
      <c r="J105" t="str">
        <f t="shared" si="2"/>
        <v>Mothers</v>
      </c>
      <c r="K105" t="str">
        <f t="shared" si="3"/>
        <v>Against-Drunk-Driving-Other</v>
      </c>
      <c r="N105" t="str">
        <v>Onsemi</v>
      </c>
    </row>
    <row r="106" spans="1:14" ht="15" customHeight="1" x14ac:dyDescent="0.35">
      <c r="A106" t="str">
        <f>ANNOUNCEMENTS!E104&amp;"-"&amp;ANNOUNCEMENTS!J104</f>
        <v>Perrone Robotics-Ridepooling</v>
      </c>
      <c r="B106" s="284" t="str">
        <f>IF(NOT(ISBLANK(ANNOUNCEMENTS!L104)),
ANNOUNCEMENTS!L104&amp;"-"&amp;ANNOUNCEMENTS!J104,0)</f>
        <v>Rampini-Ridepooling</v>
      </c>
      <c r="C106">
        <f>IF(NOT(ISBLANK(ANNOUNCEMENTS!M104)),
ANNOUNCEMENTS!M104&amp;"-"&amp;ANNOUNCEMENTS!J104,0)</f>
        <v>0</v>
      </c>
      <c r="D106">
        <f>IF(NOT(ISBLANK(ANNOUNCEMENTS!N104)),
ANNOUNCEMENTS!N104&amp;"-"&amp;ANNOUNCEMENTS!J104,0)</f>
        <v>0</v>
      </c>
      <c r="G106" t="str">
        <v>kineo-Last-Mile</v>
      </c>
      <c r="H106" t="str">
        <v>Motional-Last-Mile</v>
      </c>
      <c r="J106" t="str">
        <f t="shared" si="2"/>
        <v>Motional</v>
      </c>
      <c r="K106" t="str">
        <f t="shared" si="3"/>
        <v>Last-Mile</v>
      </c>
      <c r="N106" t="str">
        <v>Oxa</v>
      </c>
    </row>
    <row r="107" spans="1:14" ht="15" customHeight="1" x14ac:dyDescent="0.35">
      <c r="A107" t="str">
        <f>ANNOUNCEMENTS!E105&amp;"-"&amp;ANNOUNCEMENTS!J105</f>
        <v>Perrone Robotics-Ridepooling</v>
      </c>
      <c r="B107" s="284" t="str">
        <f>IF(NOT(ISBLANK(ANNOUNCEMENTS!L105)),
ANNOUNCEMENTS!L105&amp;"-"&amp;ANNOUNCEMENTS!J105,0)</f>
        <v>Tropos Technologies-Ridepooling</v>
      </c>
      <c r="C107">
        <f>IF(NOT(ISBLANK(ANNOUNCEMENTS!M105)),
ANNOUNCEMENTS!M105&amp;"-"&amp;ANNOUNCEMENTS!J105,0)</f>
        <v>0</v>
      </c>
      <c r="D107">
        <f>IF(NOT(ISBLANK(ANNOUNCEMENTS!N105)),
ANNOUNCEMENTS!N105&amp;"-"&amp;ANNOUNCEMENTS!J105,0)</f>
        <v>0</v>
      </c>
      <c r="G107" t="str">
        <v>Ten Roads Express-Trucking</v>
      </c>
      <c r="H107" t="str">
        <v>Motional-Ridehailing</v>
      </c>
      <c r="J107" t="str">
        <f t="shared" si="2"/>
        <v>Motional</v>
      </c>
      <c r="K107" t="str">
        <f t="shared" si="3"/>
        <v>Ridehailing</v>
      </c>
      <c r="N107" t="str">
        <v>Perrone Robotics</v>
      </c>
    </row>
    <row r="108" spans="1:14" ht="15" customHeight="1" x14ac:dyDescent="0.35">
      <c r="A108" t="str">
        <f>ANNOUNCEMENTS!E106&amp;"-"&amp;ANNOUNCEMENTS!J106</f>
        <v>Perrone Robotics-Ridepooling</v>
      </c>
      <c r="B108" s="284" t="str">
        <f>IF(NOT(ISBLANK(ANNOUNCEMENTS!L106)),
ANNOUNCEMENTS!L106&amp;"-"&amp;ANNOUNCEMENTS!J106,0)</f>
        <v>GreenPower-Ridepooling</v>
      </c>
      <c r="C108" t="str">
        <f>IF(NOT(ISBLANK(ANNOUNCEMENTS!M106)),
ANNOUNCEMENTS!M106&amp;"-"&amp;ANNOUNCEMENTS!J106,0)</f>
        <v>JTA-Ridepooling</v>
      </c>
      <c r="D108">
        <f>IF(NOT(ISBLANK(ANNOUNCEMENTS!N106)),
ANNOUNCEMENTS!N106&amp;"-"&amp;ANNOUNCEMENTS!J106,0)</f>
        <v>0</v>
      </c>
      <c r="G108" t="str">
        <v>Werner-Trucking</v>
      </c>
      <c r="H108" t="str">
        <v>Navistar-Trucking</v>
      </c>
      <c r="J108" t="str">
        <f t="shared" si="2"/>
        <v>Navistar</v>
      </c>
      <c r="K108" t="str">
        <f t="shared" si="3"/>
        <v>Trucking</v>
      </c>
      <c r="N108" t="str">
        <v>Phoenix Motorcars</v>
      </c>
    </row>
    <row r="109" spans="1:14" ht="15" customHeight="1" x14ac:dyDescent="0.35">
      <c r="A109" t="str">
        <f>ANNOUNCEMENTS!E107&amp;"-"&amp;ANNOUNCEMENTS!J107</f>
        <v>Perrone Robotics-Ridepooling</v>
      </c>
      <c r="B109" s="284" t="str">
        <f>IF(NOT(ISBLANK(ANNOUNCEMENTS!L107)),
ANNOUNCEMENTS!L107&amp;"-"&amp;ANNOUNCEMENTS!J107,0)</f>
        <v>UVA Foundation-Ridepooling</v>
      </c>
      <c r="C109">
        <f>IF(NOT(ISBLANK(ANNOUNCEMENTS!M107)),
ANNOUNCEMENTS!M107&amp;"-"&amp;ANNOUNCEMENTS!J107,0)</f>
        <v>0</v>
      </c>
      <c r="D109">
        <f>IF(NOT(ISBLANK(ANNOUNCEMENTS!N107)),
ANNOUNCEMENTS!N107&amp;"-"&amp;ANNOUNCEMENTS!J107,0)</f>
        <v>0</v>
      </c>
      <c r="G109" t="str">
        <v>Bridgestone-Ridehailing</v>
      </c>
      <c r="H109" t="str">
        <v>Navtech Radar-Other</v>
      </c>
      <c r="J109" t="str">
        <f t="shared" si="2"/>
        <v>Navtech Radar</v>
      </c>
      <c r="K109" t="str">
        <f t="shared" si="3"/>
        <v>Other</v>
      </c>
      <c r="N109" t="str">
        <v>Piestro</v>
      </c>
    </row>
    <row r="110" spans="1:14" ht="15" customHeight="1" x14ac:dyDescent="0.35">
      <c r="A110" t="str">
        <f>ANNOUNCEMENTS!E108&amp;"-"&amp;ANNOUNCEMENTS!J108</f>
        <v>Perrone Robotics-Ridepooling</v>
      </c>
      <c r="B110" s="284" t="str">
        <f>IF(NOT(ISBLANK(ANNOUNCEMENTS!L108)),
ANNOUNCEMENTS!L108&amp;"-"&amp;ANNOUNCEMENTS!J108,0)</f>
        <v>E Charger Systems-Ridepooling</v>
      </c>
      <c r="C110">
        <f>IF(NOT(ISBLANK(ANNOUNCEMENTS!M108)),
ANNOUNCEMENTS!M108&amp;"-"&amp;ANNOUNCEMENTS!J108,0)</f>
        <v>0</v>
      </c>
      <c r="D110">
        <f>IF(NOT(ISBLANK(ANNOUNCEMENTS!N108)),
ANNOUNCEMENTS!N108&amp;"-"&amp;ANNOUNCEMENTS!J108,0)</f>
        <v>0</v>
      </c>
      <c r="G110" t="str">
        <v>Stantec-Ridehailing</v>
      </c>
      <c r="H110" t="str">
        <v>Navya-Ridepooling</v>
      </c>
      <c r="J110" t="str">
        <f t="shared" si="2"/>
        <v>Navya</v>
      </c>
      <c r="K110" t="str">
        <f t="shared" si="3"/>
        <v>Ridepooling</v>
      </c>
      <c r="N110" t="str">
        <v>Pitney Bowes</v>
      </c>
    </row>
    <row r="111" spans="1:14" ht="15" customHeight="1" x14ac:dyDescent="0.35">
      <c r="A111" t="str">
        <f>ANNOUNCEMENTS!E109&amp;"-"&amp;ANNOUNCEMENTS!J109</f>
        <v>Plus.ai-Trucking</v>
      </c>
      <c r="B111" s="284" t="str">
        <f>IF(NOT(ISBLANK(ANNOUNCEMENTS!L109)),
ANNOUNCEMENTS!L109&amp;"-"&amp;ANNOUNCEMENTS!J109,0)</f>
        <v>Bosch-Trucking</v>
      </c>
      <c r="C111">
        <f>IF(NOT(ISBLANK(ANNOUNCEMENTS!M109)),
ANNOUNCEMENTS!M109&amp;"-"&amp;ANNOUNCEMENTS!J109,0)</f>
        <v>0</v>
      </c>
      <c r="D111">
        <f>IF(NOT(ISBLANK(ANNOUNCEMENTS!N109)),
ANNOUNCEMENTS!N109&amp;"-"&amp;ANNOUNCEMENTS!J109,0)</f>
        <v>0</v>
      </c>
      <c r="G111" t="str">
        <v>Spare-Ridehailing</v>
      </c>
      <c r="H111" t="str">
        <v>NEVS-Ridepooling</v>
      </c>
      <c r="J111" t="str">
        <f t="shared" si="2"/>
        <v>NEVS</v>
      </c>
      <c r="K111" t="str">
        <f t="shared" si="3"/>
        <v>Ridepooling</v>
      </c>
      <c r="N111" t="str">
        <v>Pizza Hut</v>
      </c>
    </row>
    <row r="112" spans="1:14" ht="15" customHeight="1" x14ac:dyDescent="0.35">
      <c r="A112" t="str">
        <f>ANNOUNCEMENTS!E110&amp;"-"&amp;ANNOUNCEMENTS!J110</f>
        <v>Plus.ai-Trucking</v>
      </c>
      <c r="B112" s="284" t="str">
        <f>IF(NOT(ISBLANK(ANNOUNCEMENTS!L110)),
ANNOUNCEMENTS!L110&amp;"-"&amp;ANNOUNCEMENTS!J110,0)</f>
        <v>Minnesota Department of Transportation-Trucking</v>
      </c>
      <c r="C112">
        <f>IF(NOT(ISBLANK(ANNOUNCEMENTS!M110)),
ANNOUNCEMENTS!M110&amp;"-"&amp;ANNOUNCEMENTS!J110,0)</f>
        <v>0</v>
      </c>
      <c r="D112">
        <f>IF(NOT(ISBLANK(ANNOUNCEMENTS!N110)),
ANNOUNCEMENTS!N110&amp;"-"&amp;ANNOUNCEMENTS!J110,0)</f>
        <v>0</v>
      </c>
      <c r="G112" t="str">
        <v>Moovit-Ridehailing</v>
      </c>
      <c r="H112" t="str">
        <v>Nickelytics-Last-Mile</v>
      </c>
      <c r="J112" t="str">
        <f t="shared" si="2"/>
        <v>Nickelytics</v>
      </c>
      <c r="K112" t="str">
        <f t="shared" si="3"/>
        <v>Last-Mile</v>
      </c>
      <c r="N112" t="str">
        <v>Plus.ai</v>
      </c>
    </row>
    <row r="113" spans="1:14" ht="15" customHeight="1" x14ac:dyDescent="0.35">
      <c r="A113" t="str">
        <f>ANNOUNCEMENTS!E111&amp;"-"&amp;ANNOUNCEMENTS!J111</f>
        <v>Plus.ai-Trucking</v>
      </c>
      <c r="B113" s="284" t="str">
        <f>IF(NOT(ISBLANK(ANNOUNCEMENTS!L111)),
ANNOUNCEMENTS!L111&amp;"-"&amp;ANNOUNCEMENTS!J111,0)</f>
        <v>Transurban-Trucking</v>
      </c>
      <c r="C113">
        <f>IF(NOT(ISBLANK(ANNOUNCEMENTS!M111)),
ANNOUNCEMENTS!M111&amp;"-"&amp;ANNOUNCEMENTS!J111,0)</f>
        <v>0</v>
      </c>
      <c r="D113">
        <f>IF(NOT(ISBLANK(ANNOUNCEMENTS!N111)),
ANNOUNCEMENTS!N111&amp;"-"&amp;ANNOUNCEMENTS!J111,0)</f>
        <v>0</v>
      </c>
      <c r="G113" t="str">
        <v>Liftango-Ridehailing</v>
      </c>
      <c r="H113" t="str">
        <v>NIO-Other</v>
      </c>
      <c r="J113" t="str">
        <f t="shared" si="2"/>
        <v>NIO</v>
      </c>
      <c r="K113" t="str">
        <f t="shared" si="3"/>
        <v>Other</v>
      </c>
      <c r="N113" t="str">
        <v>Polarrenen</v>
      </c>
    </row>
    <row r="114" spans="1:14" ht="15" customHeight="1" x14ac:dyDescent="0.35">
      <c r="A114" t="str">
        <f>ANNOUNCEMENTS!E112&amp;"-"&amp;ANNOUNCEMENTS!J112</f>
        <v>Plus.ai-Trucking</v>
      </c>
      <c r="B114" s="284" t="str">
        <f>IF(NOT(ISBLANK(ANNOUNCEMENTS!L112)),
ANNOUNCEMENTS!L112&amp;"-"&amp;ANNOUNCEMENTS!J112,0)</f>
        <v>Goodyear-Trucking</v>
      </c>
      <c r="C114">
        <f>IF(NOT(ISBLANK(ANNOUNCEMENTS!M112)),
ANNOUNCEMENTS!M112&amp;"-"&amp;ANNOUNCEMENTS!J112,0)</f>
        <v>0</v>
      </c>
      <c r="D114">
        <f>IF(NOT(ISBLANK(ANNOUNCEMENTS!N112)),
ANNOUNCEMENTS!N112&amp;"-"&amp;ANNOUNCEMENTS!J112,0)</f>
        <v>0</v>
      </c>
      <c r="G114" t="str">
        <v>Via-Ridepooling</v>
      </c>
      <c r="H114" t="str">
        <v>North Carolina Department of Transportation-Ridepooling</v>
      </c>
      <c r="J114" t="str">
        <f t="shared" si="2"/>
        <v>North Carolina Department of Transportation</v>
      </c>
      <c r="K114" t="str">
        <f t="shared" si="3"/>
        <v>Ridepooling</v>
      </c>
      <c r="N114" t="str">
        <v>Pony.ai</v>
      </c>
    </row>
    <row r="115" spans="1:14" ht="15" customHeight="1" x14ac:dyDescent="0.35">
      <c r="A115" t="str">
        <f>ANNOUNCEMENTS!E113&amp;"-"&amp;ANNOUNCEMENTS!J113</f>
        <v>Plus.ai-Trucking</v>
      </c>
      <c r="B115" s="284" t="str">
        <f>IF(NOT(ISBLANK(ANNOUNCEMENTS!L113)),
ANNOUNCEMENTS!L113&amp;"-"&amp;ANNOUNCEMENTS!J113,0)</f>
        <v>IVECO-Trucking</v>
      </c>
      <c r="C115">
        <f>IF(NOT(ISBLANK(ANNOUNCEMENTS!M113)),
ANNOUNCEMENTS!M113&amp;"-"&amp;ANNOUNCEMENTS!J113,0)</f>
        <v>0</v>
      </c>
      <c r="D115">
        <f>IF(NOT(ISBLANK(ANNOUNCEMENTS!N113)),
ANNOUNCEMENTS!N113&amp;"-"&amp;ANNOUNCEMENTS!J113,0)</f>
        <v>0</v>
      </c>
      <c r="G115" t="str">
        <v>Mission Secure-Ridepooling</v>
      </c>
      <c r="H115" t="str">
        <v>Nuro-Last-Mile</v>
      </c>
      <c r="J115" t="str">
        <f t="shared" si="2"/>
        <v>Nuro</v>
      </c>
      <c r="K115" t="str">
        <f t="shared" si="3"/>
        <v>Last-Mile</v>
      </c>
      <c r="N115" t="str">
        <v>Porsche</v>
      </c>
    </row>
    <row r="116" spans="1:14" ht="15" customHeight="1" x14ac:dyDescent="0.35">
      <c r="A116" t="str">
        <f>ANNOUNCEMENTS!E114&amp;"-"&amp;ANNOUNCEMENTS!J114</f>
        <v>Plus.ai-Trucking</v>
      </c>
      <c r="B116" s="284" t="str">
        <f>IF(NOT(ISBLANK(ANNOUNCEMENTS!L114)),
ANNOUNCEMENTS!L114&amp;"-"&amp;ANNOUNCEMENTS!J114,0)</f>
        <v>Cummins-Trucking</v>
      </c>
      <c r="C116">
        <f>IF(NOT(ISBLANK(ANNOUNCEMENTS!M114)),
ANNOUNCEMENTS!M114&amp;"-"&amp;ANNOUNCEMENTS!J114,0)</f>
        <v>0</v>
      </c>
      <c r="D116">
        <f>IF(NOT(ISBLANK(ANNOUNCEMENTS!N114)),
ANNOUNCEMENTS!N114&amp;"-"&amp;ANNOUNCEMENTS!J114,0)</f>
        <v>0</v>
      </c>
      <c r="G116" t="str">
        <v>Goggo Network-Last-Mile</v>
      </c>
      <c r="H116" t="str">
        <v>Oatly-Trucking</v>
      </c>
      <c r="J116" t="str">
        <f t="shared" si="2"/>
        <v>Oatly</v>
      </c>
      <c r="K116" t="str">
        <f t="shared" si="3"/>
        <v>Trucking</v>
      </c>
      <c r="N116" t="str">
        <v>Rampini</v>
      </c>
    </row>
    <row r="117" spans="1:14" ht="15" customHeight="1" x14ac:dyDescent="0.35">
      <c r="A117" t="str">
        <f>ANNOUNCEMENTS!E115&amp;"-"&amp;ANNOUNCEMENTS!J115</f>
        <v>Plus.ai-Trucking</v>
      </c>
      <c r="B117" s="284" t="str">
        <f>IF(NOT(ISBLANK(ANNOUNCEMENTS!L115)),
ANNOUNCEMENTS!L115&amp;"-"&amp;ANNOUNCEMENTS!J115,0)</f>
        <v>Luminar-Trucking</v>
      </c>
      <c r="C117">
        <f>IF(NOT(ISBLANK(ANNOUNCEMENTS!M115)),
ANNOUNCEMENTS!M115&amp;"-"&amp;ANNOUNCEMENTS!J115,0)</f>
        <v>0</v>
      </c>
      <c r="D117">
        <f>IF(NOT(ISBLANK(ANNOUNCEMENTS!N115)),
ANNOUNCEMENTS!N115&amp;"-"&amp;ANNOUNCEMENTS!J115,0)</f>
        <v>0</v>
      </c>
      <c r="G117" t="str">
        <v>MAN Truck &amp; Bus-Ridepooling</v>
      </c>
      <c r="H117" t="str">
        <v>Ocado Group-Last-Mile</v>
      </c>
      <c r="J117" t="str">
        <f t="shared" si="2"/>
        <v>Ocado Group</v>
      </c>
      <c r="K117" t="str">
        <f t="shared" si="3"/>
        <v>Last-Mile</v>
      </c>
      <c r="N117" t="str">
        <v>Replate</v>
      </c>
    </row>
    <row r="118" spans="1:14" ht="15" customHeight="1" x14ac:dyDescent="0.35">
      <c r="A118" t="str">
        <f>ANNOUNCEMENTS!E116&amp;"-"&amp;ANNOUNCEMENTS!J116</f>
        <v>Pony.ai-Ridehailing</v>
      </c>
      <c r="B118" s="284" t="str">
        <f>IF(NOT(ISBLANK(ANNOUNCEMENTS!L116)),
ANNOUNCEMENTS!L116&amp;"-"&amp;ANNOUNCEMENTS!J116,0)</f>
        <v>Toyota-Ridehailing</v>
      </c>
      <c r="C118">
        <f>IF(NOT(ISBLANK(ANNOUNCEMENTS!M116)),
ANNOUNCEMENTS!M116&amp;"-"&amp;ANNOUNCEMENTS!J116,0)</f>
        <v>0</v>
      </c>
      <c r="D118">
        <f>IF(NOT(ISBLANK(ANNOUNCEMENTS!N116)),
ANNOUNCEMENTS!N116&amp;"-"&amp;ANNOUNCEMENTS!J116,0)</f>
        <v>0</v>
      </c>
      <c r="G118" t="str">
        <v>Porsche-Other</v>
      </c>
      <c r="H118" t="str">
        <v>Onsemi-Ridehailing</v>
      </c>
      <c r="J118" t="str">
        <f t="shared" si="2"/>
        <v>Onsemi</v>
      </c>
      <c r="K118" t="str">
        <f t="shared" si="3"/>
        <v>Ridehailing</v>
      </c>
      <c r="N118" t="str">
        <v>Ryder</v>
      </c>
    </row>
    <row r="119" spans="1:14" ht="15" customHeight="1" x14ac:dyDescent="0.35">
      <c r="A119" t="str">
        <f>ANNOUNCEMENTS!E117&amp;"-"&amp;ANNOUNCEMENTS!J117</f>
        <v>Pony.ai-Ridehailing</v>
      </c>
      <c r="B119" s="284" t="str">
        <f>IF(NOT(ISBLANK(ANNOUNCEMENTS!L117)),
ANNOUNCEMENTS!L117&amp;"-"&amp;ANNOUNCEMENTS!J117,0)</f>
        <v>Onsemi-Ridehailing</v>
      </c>
      <c r="C119">
        <f>IF(NOT(ISBLANK(ANNOUNCEMENTS!M117)),
ANNOUNCEMENTS!M117&amp;"-"&amp;ANNOUNCEMENTS!J117,0)</f>
        <v>0</v>
      </c>
      <c r="D119">
        <f>IF(NOT(ISBLANK(ANNOUNCEMENTS!N117)),
ANNOUNCEMENTS!N117&amp;"-"&amp;ANNOUNCEMENTS!J117,0)</f>
        <v>0</v>
      </c>
      <c r="G119" t="str">
        <v>Ecarx-Other</v>
      </c>
      <c r="H119" t="str">
        <v>Oxa-Last-Mile</v>
      </c>
      <c r="J119" t="str">
        <f t="shared" si="2"/>
        <v>Oxa</v>
      </c>
      <c r="K119" t="str">
        <f t="shared" si="3"/>
        <v>Last-Mile</v>
      </c>
      <c r="N119" t="str">
        <v>SAE</v>
      </c>
    </row>
    <row r="120" spans="1:14" ht="15" customHeight="1" x14ac:dyDescent="0.35">
      <c r="A120" t="str">
        <f>ANNOUNCEMENTS!E118&amp;"-"&amp;ANNOUNCEMENTS!J118</f>
        <v>Pony.ai-Ridehailing</v>
      </c>
      <c r="B120" s="284" t="str">
        <f>IF(NOT(ISBLANK(ANNOUNCEMENTS!L118)),
ANNOUNCEMENTS!L118&amp;"-"&amp;ANNOUNCEMENTS!J118,0)</f>
        <v>Horizon Robotics-Ridehailing</v>
      </c>
      <c r="C120">
        <f>IF(NOT(ISBLANK(ANNOUNCEMENTS!M118)),
ANNOUNCEMENTS!M118&amp;"-"&amp;ANNOUNCEMENTS!J118,0)</f>
        <v>0</v>
      </c>
      <c r="D120">
        <f>IF(NOT(ISBLANK(ANNOUNCEMENTS!N118)),
ANNOUNCEMENTS!N118&amp;"-"&amp;ANNOUNCEMENTS!J118,0)</f>
        <v>0</v>
      </c>
      <c r="G120" t="str">
        <v>FAW Group-Other</v>
      </c>
      <c r="H120" t="str">
        <v>Oxa-Other</v>
      </c>
      <c r="J120" t="str">
        <f t="shared" si="2"/>
        <v>Oxa</v>
      </c>
      <c r="K120" t="str">
        <f t="shared" si="3"/>
        <v>Other</v>
      </c>
      <c r="N120" t="str">
        <v>SANY Heavy Truck</v>
      </c>
    </row>
    <row r="121" spans="1:14" ht="15" customHeight="1" x14ac:dyDescent="0.35">
      <c r="A121" t="str">
        <f>ANNOUNCEMENTS!E119&amp;"-"&amp;ANNOUNCEMENTS!J119</f>
        <v>Pony.ai-Ridehailing</v>
      </c>
      <c r="B121" s="284" t="str">
        <f>IF(NOT(ISBLANK(ANNOUNCEMENTS!L119)),
ANNOUNCEMENTS!L119&amp;"-"&amp;ANNOUNCEMENTS!J119,0)</f>
        <v>Toyota-Ridehailing</v>
      </c>
      <c r="C121">
        <f>IF(NOT(ISBLANK(ANNOUNCEMENTS!M119)),
ANNOUNCEMENTS!M119&amp;"-"&amp;ANNOUNCEMENTS!J119,0)</f>
        <v>0</v>
      </c>
      <c r="D121">
        <f>IF(NOT(ISBLANK(ANNOUNCEMENTS!N119)),
ANNOUNCEMENTS!N119&amp;"-"&amp;ANNOUNCEMENTS!J119,0)</f>
        <v>0</v>
      </c>
      <c r="G121" t="str">
        <v>WILLER-Ridehailing</v>
      </c>
      <c r="H121" t="str">
        <v>Oxa-Ridepooling</v>
      </c>
      <c r="J121" t="str">
        <f t="shared" si="2"/>
        <v>Oxa</v>
      </c>
      <c r="K121" t="str">
        <f t="shared" si="3"/>
        <v>Ridepooling</v>
      </c>
      <c r="N121" t="str">
        <v>ServeRobotics</v>
      </c>
    </row>
    <row r="122" spans="1:14" ht="15" customHeight="1" x14ac:dyDescent="0.35">
      <c r="A122" t="str">
        <f>ANNOUNCEMENTS!E120&amp;"-"&amp;ANNOUNCEMENTS!J120</f>
        <v>Pony.ai-Ridehailing</v>
      </c>
      <c r="B122" s="284" t="str">
        <f>IF(NOT(ISBLANK(ANNOUNCEMENTS!L120)),
ANNOUNCEMENTS!L120&amp;"-"&amp;ANNOUNCEMENTS!J120,0)</f>
        <v>Luminar-Ridehailing</v>
      </c>
      <c r="C122">
        <f>IF(NOT(ISBLANK(ANNOUNCEMENTS!M120)),
ANNOUNCEMENTS!M120&amp;"-"&amp;ANNOUNCEMENTS!J120,0)</f>
        <v>0</v>
      </c>
      <c r="D122">
        <f>IF(NOT(ISBLANK(ANNOUNCEMENTS!N120)),
ANNOUNCEMENTS!N120&amp;"-"&amp;ANNOUNCEMENTS!J120,0)</f>
        <v>0</v>
      </c>
      <c r="G122" t="str">
        <v>Wistron NeWeb Corp -Other</v>
      </c>
      <c r="H122" t="str">
        <v>Perrone Robotics-Ridepooling</v>
      </c>
      <c r="J122" t="str">
        <f t="shared" si="2"/>
        <v>Perrone Robotics</v>
      </c>
      <c r="K122" t="str">
        <f t="shared" si="3"/>
        <v>Ridepooling</v>
      </c>
      <c r="N122" t="str">
        <v>Shanghai Jiading Industrial Zone</v>
      </c>
    </row>
    <row r="123" spans="1:14" ht="15" customHeight="1" x14ac:dyDescent="0.35">
      <c r="A123" t="str">
        <f>ANNOUNCEMENTS!E121&amp;"-"&amp;ANNOUNCEMENTS!J121</f>
        <v>Pony.ai-Ridehailing</v>
      </c>
      <c r="B123" s="284" t="str">
        <f>IF(NOT(ISBLANK(ANNOUNCEMENTS!L121)),
ANNOUNCEMENTS!L121&amp;"-"&amp;ANNOUNCEMENTS!J121,0)</f>
        <v>Sinotrans-Ridehailing</v>
      </c>
      <c r="C123">
        <f>IF(NOT(ISBLANK(ANNOUNCEMENTS!M121)),
ANNOUNCEMENTS!M121&amp;"-"&amp;ANNOUNCEMENTS!J121,0)</f>
        <v>0</v>
      </c>
      <c r="D123">
        <f>IF(NOT(ISBLANK(ANNOUNCEMENTS!N121)),
ANNOUNCEMENTS!N121&amp;"-"&amp;ANNOUNCEMENTS!J121,0)</f>
        <v>0</v>
      </c>
      <c r="G123" t="str">
        <v>Geely-Other</v>
      </c>
      <c r="H123" t="str">
        <v>Phoenix Motorcars-Ridepooling</v>
      </c>
      <c r="J123" t="str">
        <f t="shared" si="2"/>
        <v>Phoenix Motorcars</v>
      </c>
      <c r="K123" t="str">
        <f t="shared" si="3"/>
        <v>Ridepooling</v>
      </c>
      <c r="N123" t="str">
        <v>Sinotrans</v>
      </c>
    </row>
    <row r="124" spans="1:14" ht="15" customHeight="1" x14ac:dyDescent="0.35">
      <c r="A124" t="str">
        <f>ANNOUNCEMENTS!E122&amp;"-"&amp;ANNOUNCEMENTS!J122</f>
        <v>Pony.ai-Trucking</v>
      </c>
      <c r="B124" s="284" t="str">
        <f>IF(NOT(ISBLANK(ANNOUNCEMENTS!L122)),
ANNOUNCEMENTS!L122&amp;"-"&amp;ANNOUNCEMENTS!J122,0)</f>
        <v>SANY Heavy Truck-Trucking</v>
      </c>
      <c r="C124">
        <f>IF(NOT(ISBLANK(ANNOUNCEMENTS!M122)),
ANNOUNCEMENTS!M122&amp;"-"&amp;ANNOUNCEMENTS!J122,0)</f>
        <v>0</v>
      </c>
      <c r="D124">
        <f>IF(NOT(ISBLANK(ANNOUNCEMENTS!N122)),
ANNOUNCEMENTS!N122&amp;"-"&amp;ANNOUNCEMENTS!J122,0)</f>
        <v>0</v>
      </c>
      <c r="G124" t="str">
        <v>Zeekr-Other</v>
      </c>
      <c r="H124" t="str">
        <v>Piestro-Last-Mile</v>
      </c>
      <c r="J124" t="str">
        <f t="shared" si="2"/>
        <v>Piestro</v>
      </c>
      <c r="K124" t="str">
        <f t="shared" si="3"/>
        <v>Last-Mile</v>
      </c>
      <c r="N124" t="str">
        <v>SKF</v>
      </c>
    </row>
    <row r="125" spans="1:14" ht="15" customHeight="1" x14ac:dyDescent="0.35">
      <c r="A125" t="str">
        <f>ANNOUNCEMENTS!E123&amp;"-"&amp;ANNOUNCEMENTS!J123</f>
        <v>ServeRobotics-Last-Mile</v>
      </c>
      <c r="B125" s="284" t="str">
        <f>IF(NOT(ISBLANK(ANNOUNCEMENTS!L123)),
ANNOUNCEMENTS!L123&amp;"-"&amp;ANNOUNCEMENTS!J123,0)</f>
        <v>Nickelytics-Last-Mile</v>
      </c>
      <c r="C125" t="str">
        <f>IF(NOT(ISBLANK(ANNOUNCEMENTS!M123)),
ANNOUNCEMENTS!M123&amp;"-"&amp;ANNOUNCEMENTS!J123,0)</f>
        <v>The Ad Council-Last-Mile</v>
      </c>
      <c r="D125">
        <f>IF(NOT(ISBLANK(ANNOUNCEMENTS!N123)),
ANNOUNCEMENTS!N123&amp;"-"&amp;ANNOUNCEMENTS!J123,0)</f>
        <v>0</v>
      </c>
      <c r="G125" t="str">
        <v>Valeo-Other</v>
      </c>
      <c r="H125" t="str">
        <v>Pitney Bowes-Trucking</v>
      </c>
      <c r="J125" t="str">
        <f t="shared" si="2"/>
        <v>Pitney Bowes</v>
      </c>
      <c r="K125" t="str">
        <f t="shared" si="3"/>
        <v>Trucking</v>
      </c>
      <c r="N125" t="str">
        <v>SLTN</v>
      </c>
    </row>
    <row r="126" spans="1:14" ht="15" customHeight="1" x14ac:dyDescent="0.35">
      <c r="A126" t="str">
        <f>ANNOUNCEMENTS!E124&amp;"-"&amp;ANNOUNCEMENTS!J124</f>
        <v>ServeRobotics-Last-Mile</v>
      </c>
      <c r="B126" s="284" t="str">
        <f>IF(NOT(ISBLANK(ANNOUNCEMENTS!L124)),
ANNOUNCEMENTS!L124&amp;"-"&amp;ANNOUNCEMENTS!J124,0)</f>
        <v>Pizza Hut-Last-Mile</v>
      </c>
      <c r="C126">
        <f>IF(NOT(ISBLANK(ANNOUNCEMENTS!M124)),
ANNOUNCEMENTS!M124&amp;"-"&amp;ANNOUNCEMENTS!J124,0)</f>
        <v>0</v>
      </c>
      <c r="D126">
        <f>IF(NOT(ISBLANK(ANNOUNCEMENTS!N124)),
ANNOUNCEMENTS!N124&amp;"-"&amp;ANNOUNCEMENTS!J124,0)</f>
        <v>0</v>
      </c>
      <c r="G126" t="str">
        <v>HOCHBAHN-Ridepooling</v>
      </c>
      <c r="H126" t="str">
        <v>Pizza Hut-Last-Mile</v>
      </c>
      <c r="J126" t="str">
        <f t="shared" si="2"/>
        <v>Pizza Hut</v>
      </c>
      <c r="K126" t="str">
        <f t="shared" si="3"/>
        <v>Last-Mile</v>
      </c>
      <c r="N126" t="str">
        <v>SMRT</v>
      </c>
    </row>
    <row r="127" spans="1:14" ht="15" customHeight="1" x14ac:dyDescent="0.35">
      <c r="A127" t="str">
        <f>ANNOUNCEMENTS!E125&amp;"-"&amp;ANNOUNCEMENTS!J125</f>
        <v>ServeRobotics-Last-Mile</v>
      </c>
      <c r="B127" s="284" t="str">
        <f>IF(NOT(ISBLANK(ANNOUNCEMENTS!L125)),
ANNOUNCEMENTS!L125&amp;"-"&amp;ANNOUNCEMENTS!J125,0)</f>
        <v>Uber Eats-Last-Mile</v>
      </c>
      <c r="C127">
        <f>IF(NOT(ISBLANK(ANNOUNCEMENTS!M125)),
ANNOUNCEMENTS!M125&amp;"-"&amp;ANNOUNCEMENTS!J125,0)</f>
        <v>0</v>
      </c>
      <c r="D127">
        <f>IF(NOT(ISBLANK(ANNOUNCEMENTS!N125)),
ANNOUNCEMENTS!N125&amp;"-"&amp;ANNOUNCEMENTS!J125,0)</f>
        <v>0</v>
      </c>
      <c r="G127" t="str">
        <v>Derq-Ridehailing</v>
      </c>
      <c r="H127" t="str">
        <v>Plus.ai-Trucking</v>
      </c>
      <c r="J127" t="str">
        <f t="shared" si="2"/>
        <v>Plus.ai</v>
      </c>
      <c r="K127" t="str">
        <f t="shared" si="3"/>
        <v>Trucking</v>
      </c>
      <c r="N127" t="str">
        <v>Sono Motors</v>
      </c>
    </row>
    <row r="128" spans="1:14" ht="15" customHeight="1" x14ac:dyDescent="0.35">
      <c r="A128" t="str">
        <f>ANNOUNCEMENTS!E126&amp;"-"&amp;ANNOUNCEMENTS!J126</f>
        <v>ServeRobotics-Last-Mile</v>
      </c>
      <c r="B128" s="284" t="str">
        <f>IF(NOT(ISBLANK(ANNOUNCEMENTS!L126)),
ANNOUNCEMENTS!L126&amp;"-"&amp;ANNOUNCEMENTS!J126,0)</f>
        <v>Piestro-Last-Mile</v>
      </c>
      <c r="C128">
        <f>IF(NOT(ISBLANK(ANNOUNCEMENTS!M126)),
ANNOUNCEMENTS!M126&amp;"-"&amp;ANNOUNCEMENTS!J126,0)</f>
        <v>0</v>
      </c>
      <c r="D128">
        <f>IF(NOT(ISBLANK(ANNOUNCEMENTS!N126)),
ANNOUNCEMENTS!N126&amp;"-"&amp;ANNOUNCEMENTS!J126,0)</f>
        <v>0</v>
      </c>
      <c r="G128" t="str">
        <v>Boston University-Ridehailing</v>
      </c>
      <c r="H128" t="str">
        <v>Polarrenen-Trucking</v>
      </c>
      <c r="J128" t="str">
        <f t="shared" si="2"/>
        <v>Polarrenen</v>
      </c>
      <c r="K128" t="str">
        <f t="shared" si="3"/>
        <v>Trucking</v>
      </c>
      <c r="N128" t="str">
        <v>Spare</v>
      </c>
    </row>
    <row r="129" spans="1:14" ht="15" customHeight="1" x14ac:dyDescent="0.35">
      <c r="A129" t="str">
        <f>ANNOUNCEMENTS!E127&amp;"-"&amp;ANNOUNCEMENTS!J127</f>
        <v>Torc-Trucking</v>
      </c>
      <c r="B129" s="284" t="str">
        <f>IF(NOT(ISBLANK(ANNOUNCEMENTS!L127)),
ANNOUNCEMENTS!L127&amp;"-"&amp;ANNOUNCEMENTS!J127,0)</f>
        <v>Daimler Truck-Trucking</v>
      </c>
      <c r="C129">
        <f>IF(NOT(ISBLANK(ANNOUNCEMENTS!M127)),
ANNOUNCEMENTS!M127&amp;"-"&amp;ANNOUNCEMENTS!J127,0)</f>
        <v>0</v>
      </c>
      <c r="D129">
        <f>IF(NOT(ISBLANK(ANNOUNCEMENTS!N127)),
ANNOUNCEMENTS!N127&amp;"-"&amp;ANNOUNCEMENTS!J127,0)</f>
        <v>0</v>
      </c>
      <c r="G129" t="str">
        <v>tfnsw-Ridehailing</v>
      </c>
      <c r="H129" t="str">
        <v>Pony.ai-Ridehailing</v>
      </c>
      <c r="J129" t="str">
        <f t="shared" si="2"/>
        <v>Pony.ai</v>
      </c>
      <c r="K129" t="str">
        <f t="shared" si="3"/>
        <v>Ridehailing</v>
      </c>
      <c r="N129" t="str">
        <v>Stantec</v>
      </c>
    </row>
    <row r="130" spans="1:14" ht="15" customHeight="1" x14ac:dyDescent="0.35">
      <c r="A130" t="str">
        <f>ANNOUNCEMENTS!E128&amp;"-"&amp;ANNOUNCEMENTS!J128</f>
        <v>Torc-Trucking</v>
      </c>
      <c r="B130" s="284" t="str">
        <f>IF(NOT(ISBLANK(ANNOUNCEMENTS!L128)),
ANNOUNCEMENTS!L128&amp;"-"&amp;ANNOUNCEMENTS!J128,0)</f>
        <v>Applied Intuition-Trucking</v>
      </c>
      <c r="C130">
        <f>IF(NOT(ISBLANK(ANNOUNCEMENTS!M128)),
ANNOUNCEMENTS!M128&amp;"-"&amp;ANNOUNCEMENTS!J128,0)</f>
        <v>0</v>
      </c>
      <c r="D130">
        <f>IF(NOT(ISBLANK(ANNOUNCEMENTS!N128)),
ANNOUNCEMENTS!N128&amp;"-"&amp;ANNOUNCEMENTS!J128,0)</f>
        <v>0</v>
      </c>
      <c r="G130" t="str">
        <v>Uber-Last-Mile</v>
      </c>
      <c r="H130" t="str">
        <v>Pony.ai-Trucking</v>
      </c>
      <c r="J130" t="str">
        <f t="shared" si="2"/>
        <v>Pony.ai</v>
      </c>
      <c r="K130" t="str">
        <f t="shared" si="3"/>
        <v>Trucking</v>
      </c>
      <c r="N130" t="str">
        <v>Starship Technologies</v>
      </c>
    </row>
    <row r="131" spans="1:14" ht="15" customHeight="1" x14ac:dyDescent="0.35">
      <c r="A131" t="str">
        <f>ANNOUNCEMENTS!E129&amp;"-"&amp;ANNOUNCEMENTS!J129</f>
        <v>Torc-Trucking</v>
      </c>
      <c r="B131" s="284" t="str">
        <f>IF(NOT(ISBLANK(ANNOUNCEMENTS!L129)),
ANNOUNCEMENTS!L129&amp;"-"&amp;ANNOUNCEMENTS!J129,0)</f>
        <v>Daimler Truck-Trucking</v>
      </c>
      <c r="C131" t="str">
        <f>IF(NOT(ISBLANK(ANNOUNCEMENTS!M129)),
ANNOUNCEMENTS!M129&amp;"-"&amp;ANNOUNCEMENTS!J129,0)</f>
        <v>Luminar-Trucking</v>
      </c>
      <c r="D131">
        <f>IF(NOT(ISBLANK(ANNOUNCEMENTS!N129)),
ANNOUNCEMENTS!N129&amp;"-"&amp;ANNOUNCEMENTS!J129,0)</f>
        <v>0</v>
      </c>
      <c r="G131" t="str">
        <v>Valeo-Ridepooling</v>
      </c>
      <c r="H131" t="str">
        <v>Porsche-Other</v>
      </c>
      <c r="J131" t="str">
        <f t="shared" si="2"/>
        <v>Porsche</v>
      </c>
      <c r="K131" t="str">
        <f t="shared" si="3"/>
        <v>Other</v>
      </c>
      <c r="N131" t="str">
        <v>Sustainability Partners</v>
      </c>
    </row>
    <row r="132" spans="1:14" ht="15" customHeight="1" x14ac:dyDescent="0.35">
      <c r="A132" t="str">
        <f>ANNOUNCEMENTS!E130&amp;"-"&amp;ANNOUNCEMENTS!J130</f>
        <v>Transdev-Ridepooling</v>
      </c>
      <c r="B132" s="284" t="str">
        <f>IF(NOT(ISBLANK(ANNOUNCEMENTS!L130)),
ANNOUNCEMENTS!L130&amp;"-"&amp;ANNOUNCEMENTS!J130,0)</f>
        <v>Torc-Ridepooling</v>
      </c>
      <c r="C132">
        <f>IF(NOT(ISBLANK(ANNOUNCEMENTS!M130)),
ANNOUNCEMENTS!M130&amp;"-"&amp;ANNOUNCEMENTS!J130,0)</f>
        <v>0</v>
      </c>
      <c r="D132">
        <f>IF(NOT(ISBLANK(ANNOUNCEMENTS!N130)),
ANNOUNCEMENTS!N130&amp;"-"&amp;ANNOUNCEMENTS!J130,0)</f>
        <v>0</v>
      </c>
      <c r="G132" t="str">
        <v>Ion-Ridepooling</v>
      </c>
      <c r="H132" t="str">
        <v>Rampini-Ridepooling</v>
      </c>
      <c r="J132" t="str">
        <f t="shared" ref="J132:J195" si="4">LEFT(H132,SEARCH("-",H132)-1)</f>
        <v>Rampini</v>
      </c>
      <c r="K132" t="str">
        <f t="shared" ref="K132:K195" si="5">RIGHT(H132,LEN(H132)-SEARCH("-",H132))</f>
        <v>Ridepooling</v>
      </c>
      <c r="N132" t="str">
        <v>Svenska Retursystem</v>
      </c>
    </row>
    <row r="133" spans="1:14" ht="15" customHeight="1" x14ac:dyDescent="0.35">
      <c r="A133" t="str">
        <f>ANNOUNCEMENTS!E131&amp;"-"&amp;ANNOUNCEMENTS!J131</f>
        <v>Transdev-Ridepooling</v>
      </c>
      <c r="B133" s="284" t="str">
        <f>IF(NOT(ISBLANK(ANNOUNCEMENTS!L131)),
ANNOUNCEMENTS!L131&amp;"-"&amp;ANNOUNCEMENTS!J131,0)</f>
        <v>LAVTA-Ridepooling</v>
      </c>
      <c r="C133">
        <f>IF(NOT(ISBLANK(ANNOUNCEMENTS!M131)),
ANNOUNCEMENTS!M131&amp;"-"&amp;ANNOUNCEMENTS!J131,0)</f>
        <v>0</v>
      </c>
      <c r="D133">
        <f>IF(NOT(ISBLANK(ANNOUNCEMENTS!N131)),
ANNOUNCEMENTS!N131&amp;"-"&amp;ANNOUNCEMENTS!J131,0)</f>
        <v>0</v>
      </c>
      <c r="G133" t="str">
        <v>Lohr-Ridepooling</v>
      </c>
      <c r="H133" t="str">
        <v>Replate-Last-Mile</v>
      </c>
      <c r="J133" t="str">
        <f t="shared" si="4"/>
        <v>Replate</v>
      </c>
      <c r="K133" t="str">
        <f t="shared" si="5"/>
        <v>Last-Mile</v>
      </c>
      <c r="N133" t="str">
        <v>Swiss Re</v>
      </c>
    </row>
    <row r="134" spans="1:14" ht="15" customHeight="1" x14ac:dyDescent="0.35">
      <c r="A134" t="str">
        <f>ANNOUNCEMENTS!E132&amp;"-"&amp;ANNOUNCEMENTS!J132</f>
        <v>Transdev-Ridepooling</v>
      </c>
      <c r="B134" s="284" t="str">
        <f>IF(NOT(ISBLANK(ANNOUNCEMENTS!L132)),
ANNOUNCEMENTS!L132&amp;"-"&amp;ANNOUNCEMENTS!J132,0)</f>
        <v>Delphi-Ridepooling</v>
      </c>
      <c r="C134">
        <f>IF(NOT(ISBLANK(ANNOUNCEMENTS!M132)),
ANNOUNCEMENTS!M132&amp;"-"&amp;ANNOUNCEMENTS!J132,0)</f>
        <v>0</v>
      </c>
      <c r="D134">
        <f>IF(NOT(ISBLANK(ANNOUNCEMENTS!N132)),
ANNOUNCEMENTS!N132&amp;"-"&amp;ANNOUNCEMENTS!J132,0)</f>
        <v>0</v>
      </c>
      <c r="G134" t="str">
        <v>Michelin-Ridepooling</v>
      </c>
      <c r="H134" t="str">
        <v>Ryder-Trucking</v>
      </c>
      <c r="J134" t="str">
        <f t="shared" si="4"/>
        <v>Ryder</v>
      </c>
      <c r="K134" t="str">
        <f t="shared" si="5"/>
        <v>Trucking</v>
      </c>
      <c r="N134" t="str">
        <v>Telia</v>
      </c>
    </row>
    <row r="135" spans="1:14" ht="15" customHeight="1" x14ac:dyDescent="0.35">
      <c r="A135" t="str">
        <f>ANNOUNCEMENTS!E133&amp;"-"&amp;ANNOUNCEMENTS!J133</f>
        <v>Transdev-Ridepooling</v>
      </c>
      <c r="B135" s="284" t="str">
        <f>IF(NOT(ISBLANK(ANNOUNCEMENTS!L133)),
ANNOUNCEMENTS!L133&amp;"-"&amp;ANNOUNCEMENTS!J133,0)</f>
        <v>ZF-Ridepooling</v>
      </c>
      <c r="C135" t="str">
        <f>IF(NOT(ISBLANK(ANNOUNCEMENTS!M133)),
ANNOUNCEMENTS!M133&amp;"-"&amp;ANNOUNCEMENTS!J133,0)</f>
        <v>e.GO-Ridepooling</v>
      </c>
      <c r="D135">
        <f>IF(NOT(ISBLANK(ANNOUNCEMENTS!N133)),
ANNOUNCEMENTS!N133&amp;"-"&amp;ANNOUNCEMENTS!J133,0)</f>
        <v>0</v>
      </c>
      <c r="G135" t="str">
        <v>Uber Eats-Last-Mile</v>
      </c>
      <c r="H135" t="str">
        <v>SAE-Ridepooling</v>
      </c>
      <c r="J135" t="str">
        <f t="shared" si="4"/>
        <v>SAE</v>
      </c>
      <c r="K135" t="str">
        <f t="shared" si="5"/>
        <v>Ridepooling</v>
      </c>
      <c r="N135" t="str">
        <v>Ten Roads Express</v>
      </c>
    </row>
    <row r="136" spans="1:14" ht="15" customHeight="1" x14ac:dyDescent="0.35">
      <c r="A136" t="str">
        <f>ANNOUNCEMENTS!E134&amp;"-"&amp;ANNOUNCEMENTS!J134</f>
        <v>TuSimple-Trucking</v>
      </c>
      <c r="B136" s="284" t="str">
        <f>IF(NOT(ISBLANK(ANNOUNCEMENTS!L134)),
ANNOUNCEMENTS!L134&amp;"-"&amp;ANNOUNCEMENTS!J134,0)</f>
        <v>ZF-Trucking</v>
      </c>
      <c r="C136">
        <f>IF(NOT(ISBLANK(ANNOUNCEMENTS!M134)),
ANNOUNCEMENTS!M134&amp;"-"&amp;ANNOUNCEMENTS!J134,0)</f>
        <v>0</v>
      </c>
      <c r="D136">
        <f>IF(NOT(ISBLANK(ANNOUNCEMENTS!N134)),
ANNOUNCEMENTS!N134&amp;"-"&amp;ANNOUNCEMENTS!J134,0)</f>
        <v>0</v>
      </c>
      <c r="G136" t="str">
        <v>eVersum-Ridepooling</v>
      </c>
      <c r="H136" t="str">
        <v>SANY Heavy Truck-Trucking</v>
      </c>
      <c r="J136" t="str">
        <f t="shared" si="4"/>
        <v>SANY Heavy Truck</v>
      </c>
      <c r="K136" t="str">
        <f t="shared" si="5"/>
        <v>Trucking</v>
      </c>
      <c r="N136" t="str">
        <v>tfnsw</v>
      </c>
    </row>
    <row r="137" spans="1:14" ht="15" customHeight="1" x14ac:dyDescent="0.35">
      <c r="A137" t="str">
        <f>ANNOUNCEMENTS!E135&amp;"-"&amp;ANNOUNCEMENTS!J135</f>
        <v>TuSimple-Trucking</v>
      </c>
      <c r="B137" s="284" t="str">
        <f>IF(NOT(ISBLANK(ANNOUNCEMENTS!L135)),
ANNOUNCEMENTS!L135&amp;"-"&amp;ANNOUNCEMENTS!J135,0)</f>
        <v>Navistar-Trucking</v>
      </c>
      <c r="C137">
        <f>IF(NOT(ISBLANK(ANNOUNCEMENTS!M135)),
ANNOUNCEMENTS!M135&amp;"-"&amp;ANNOUNCEMENTS!J135,0)</f>
        <v>0</v>
      </c>
      <c r="D137">
        <f>IF(NOT(ISBLANK(ANNOUNCEMENTS!N135)),
ANNOUNCEMENTS!N135&amp;"-"&amp;ANNOUNCEMENTS!J135,0)</f>
        <v>0</v>
      </c>
      <c r="G137" t="str">
        <v>Navtech Radar-Other</v>
      </c>
      <c r="H137" t="str">
        <v>ServeRobotics-Last-Mile</v>
      </c>
      <c r="J137" t="str">
        <f t="shared" si="4"/>
        <v>ServeRobotics</v>
      </c>
      <c r="K137" t="str">
        <f t="shared" si="5"/>
        <v>Last-Mile</v>
      </c>
      <c r="N137" t="str">
        <v>The Ad Council</v>
      </c>
    </row>
    <row r="138" spans="1:14" ht="15" customHeight="1" x14ac:dyDescent="0.35">
      <c r="A138" t="str">
        <f>ANNOUNCEMENTS!E136&amp;"-"&amp;ANNOUNCEMENTS!J136</f>
        <v>TuSimple-Trucking</v>
      </c>
      <c r="B138" s="284" t="str">
        <f>IF(NOT(ISBLANK(ANNOUNCEMENTS!L136)),
ANNOUNCEMENTS!L136&amp;"-"&amp;ANNOUNCEMENTS!J136,0)</f>
        <v>Traton-Trucking</v>
      </c>
      <c r="C138">
        <f>IF(NOT(ISBLANK(ANNOUNCEMENTS!M136)),
ANNOUNCEMENTS!M136&amp;"-"&amp;ANNOUNCEMENTS!J136,0)</f>
        <v>0</v>
      </c>
      <c r="D138">
        <f>IF(NOT(ISBLANK(ANNOUNCEMENTS!N136)),
ANNOUNCEMENTS!N136&amp;"-"&amp;ANNOUNCEMENTS!J136,0)</f>
        <v>0</v>
      </c>
      <c r="G138" t="str">
        <v>NEVS-Ridepooling</v>
      </c>
      <c r="H138" t="str">
        <v>Shanghai Jiading Industrial Zone-Ridepooling</v>
      </c>
      <c r="J138" t="str">
        <f t="shared" si="4"/>
        <v>Shanghai Jiading Industrial Zone</v>
      </c>
      <c r="K138" t="str">
        <f t="shared" si="5"/>
        <v>Ridepooling</v>
      </c>
      <c r="N138" t="str">
        <v>Torc</v>
      </c>
    </row>
    <row r="139" spans="1:14" ht="15" customHeight="1" x14ac:dyDescent="0.35">
      <c r="A139" t="str">
        <f>ANNOUNCEMENTS!E137&amp;"-"&amp;ANNOUNCEMENTS!J137</f>
        <v>TuSimple-Trucking</v>
      </c>
      <c r="B139" s="284" t="str">
        <f>IF(NOT(ISBLANK(ANNOUNCEMENTS!L137)),
ANNOUNCEMENTS!L137&amp;"-"&amp;ANNOUNCEMENTS!J137,0)</f>
        <v>Goodyear-Trucking</v>
      </c>
      <c r="C139">
        <f>IF(NOT(ISBLANK(ANNOUNCEMENTS!M137)),
ANNOUNCEMENTS!M137&amp;"-"&amp;ANNOUNCEMENTS!J137,0)</f>
        <v>0</v>
      </c>
      <c r="D139">
        <f>IF(NOT(ISBLANK(ANNOUNCEMENTS!N137)),
ANNOUNCEMENTS!N137&amp;"-"&amp;ANNOUNCEMENTS!J137,0)</f>
        <v>0</v>
      </c>
      <c r="G139" t="str">
        <v>Ocado Group-Last-Mile</v>
      </c>
      <c r="H139" t="str">
        <v>Sinotrans-Ridehailing</v>
      </c>
      <c r="J139" t="str">
        <f t="shared" si="4"/>
        <v>Sinotrans</v>
      </c>
      <c r="K139" t="str">
        <f t="shared" si="5"/>
        <v>Ridehailing</v>
      </c>
      <c r="N139" t="str">
        <v>Toyota</v>
      </c>
    </row>
    <row r="140" spans="1:14" ht="15" customHeight="1" x14ac:dyDescent="0.35">
      <c r="A140" t="str">
        <f>ANNOUNCEMENTS!E138&amp;"-"&amp;ANNOUNCEMENTS!J138</f>
        <v>TuSimple-Trucking</v>
      </c>
      <c r="B140" s="284" t="str">
        <f>IF(NOT(ISBLANK(ANNOUNCEMENTS!L138)),
ANNOUNCEMENTS!L138&amp;"-"&amp;ANNOUNCEMENTS!J138,0)</f>
        <v>Liberty Mutual Insurance-Trucking</v>
      </c>
      <c r="C140">
        <f>IF(NOT(ISBLANK(ANNOUNCEMENTS!M138)),
ANNOUNCEMENTS!M138&amp;"-"&amp;ANNOUNCEMENTS!J138,0)</f>
        <v>0</v>
      </c>
      <c r="D140">
        <f>IF(NOT(ISBLANK(ANNOUNCEMENTS!N138)),
ANNOUNCEMENTS!N138&amp;"-"&amp;ANNOUNCEMENTS!J138,0)</f>
        <v>0</v>
      </c>
      <c r="G140" t="str">
        <v>Global Finance Group-Ridepooling</v>
      </c>
      <c r="H140" t="str">
        <v>SKF-Trucking</v>
      </c>
      <c r="J140" t="str">
        <f t="shared" si="4"/>
        <v>SKF</v>
      </c>
      <c r="K140" t="str">
        <f t="shared" si="5"/>
        <v>Trucking</v>
      </c>
      <c r="N140" t="str">
        <v>Transdev</v>
      </c>
    </row>
    <row r="141" spans="1:14" ht="15" customHeight="1" x14ac:dyDescent="0.35">
      <c r="A141" t="str">
        <f>ANNOUNCEMENTS!E139&amp;"-"&amp;ANNOUNCEMENTS!J139</f>
        <v>TuSimple-Trucking</v>
      </c>
      <c r="B141" s="284" t="str">
        <f>IF(NOT(ISBLANK(ANNOUNCEMENTS!L139)),
ANNOUNCEMENTS!L139&amp;"-"&amp;ANNOUNCEMENTS!J139,0)</f>
        <v>Ryder-Trucking</v>
      </c>
      <c r="C141">
        <f>IF(NOT(ISBLANK(ANNOUNCEMENTS!M139)),
ANNOUNCEMENTS!M139&amp;"-"&amp;ANNOUNCEMENTS!J139,0)</f>
        <v>0</v>
      </c>
      <c r="D141">
        <f>IF(NOT(ISBLANK(ANNOUNCEMENTS!N139)),
ANNOUNCEMENTS!N139&amp;"-"&amp;ANNOUNCEMENTS!J139,0)</f>
        <v>0</v>
      </c>
      <c r="G141" t="str">
        <v>Western Reserve Transit Authority-Ridepooling</v>
      </c>
      <c r="H141" t="str">
        <v>SLTN-Ridepooling</v>
      </c>
      <c r="J141" t="str">
        <f t="shared" si="4"/>
        <v>SLTN</v>
      </c>
      <c r="K141" t="str">
        <f t="shared" si="5"/>
        <v>Ridepooling</v>
      </c>
      <c r="N141" t="str">
        <v>Transurban</v>
      </c>
    </row>
    <row r="142" spans="1:14" ht="15" customHeight="1" x14ac:dyDescent="0.35">
      <c r="A142" t="str">
        <f>ANNOUNCEMENTS!E140&amp;"-"&amp;ANNOUNCEMENTS!J140</f>
        <v>TuSimple-Trucking</v>
      </c>
      <c r="B142" s="284" t="str">
        <f>IF(NOT(ISBLANK(ANNOUNCEMENTS!L140)),
ANNOUNCEMENTS!L140&amp;"-"&amp;ANNOUNCEMENTS!J140,0)</f>
        <v>Loadsmith-Trucking</v>
      </c>
      <c r="C142">
        <f>IF(NOT(ISBLANK(ANNOUNCEMENTS!M140)),
ANNOUNCEMENTS!M140&amp;"-"&amp;ANNOUNCEMENTS!J140,0)</f>
        <v>0</v>
      </c>
      <c r="D142">
        <f>IF(NOT(ISBLANK(ANNOUNCEMENTS!N140)),
ANNOUNCEMENTS!N140&amp;"-"&amp;ANNOUNCEMENTS!J140,0)</f>
        <v>0</v>
      </c>
      <c r="G142" t="str">
        <v>SAE-Ridepooling</v>
      </c>
      <c r="H142" t="str">
        <v>SMRT-Ridepooling</v>
      </c>
      <c r="J142" t="str">
        <f t="shared" si="4"/>
        <v>SMRT</v>
      </c>
      <c r="K142" t="str">
        <f t="shared" si="5"/>
        <v>Ridepooling</v>
      </c>
      <c r="N142" t="str">
        <v>Traton</v>
      </c>
    </row>
    <row r="143" spans="1:14" ht="15" customHeight="1" x14ac:dyDescent="0.35">
      <c r="A143" t="str">
        <f>ANNOUNCEMENTS!E141&amp;"-"&amp;ANNOUNCEMENTS!J141</f>
        <v>TuSimple-Trucking</v>
      </c>
      <c r="B143" s="284" t="str">
        <f>IF(NOT(ISBLANK(ANNOUNCEMENTS!L141)),
ANNOUNCEMENTS!L141&amp;"-"&amp;ANNOUNCEMENTS!J141,0)</f>
        <v>Hegelmann Group-Trucking</v>
      </c>
      <c r="C143">
        <f>IF(NOT(ISBLANK(ANNOUNCEMENTS!M141)),
ANNOUNCEMENTS!M141&amp;"-"&amp;ANNOUNCEMENTS!J141,0)</f>
        <v>0</v>
      </c>
      <c r="D143">
        <f>IF(NOT(ISBLANK(ANNOUNCEMENTS!N141)),
ANNOUNCEMENTS!N141&amp;"-"&amp;ANNOUNCEMENTS!J141,0)</f>
        <v>0</v>
      </c>
      <c r="G143" t="str">
        <v>Tropos Technologies-Ridepooling</v>
      </c>
      <c r="H143" t="str">
        <v>Sono Motors-Ridepooling</v>
      </c>
      <c r="J143" t="str">
        <f t="shared" si="4"/>
        <v>Sono Motors</v>
      </c>
      <c r="K143" t="str">
        <f t="shared" si="5"/>
        <v>Ridepooling</v>
      </c>
      <c r="N143" t="str">
        <v>Tropos Technologies</v>
      </c>
    </row>
    <row r="144" spans="1:14" ht="15" customHeight="1" x14ac:dyDescent="0.35">
      <c r="A144" t="str">
        <f>ANNOUNCEMENTS!E142&amp;"-"&amp;ANNOUNCEMENTS!J142</f>
        <v>TuSimple-Trucking</v>
      </c>
      <c r="B144" s="284" t="str">
        <f>IF(NOT(ISBLANK(ANNOUNCEMENTS!L142)),
ANNOUNCEMENTS!L142&amp;"-"&amp;ANNOUNCEMENTS!J142,0)</f>
        <v>DHL-Trucking</v>
      </c>
      <c r="C144">
        <f>IF(NOT(ISBLANK(ANNOUNCEMENTS!M142)),
ANNOUNCEMENTS!M142&amp;"-"&amp;ANNOUNCEMENTS!J142,0)</f>
        <v>0</v>
      </c>
      <c r="D144">
        <f>IF(NOT(ISBLANK(ANNOUNCEMENTS!N142)),
ANNOUNCEMENTS!N142&amp;"-"&amp;ANNOUNCEMENTS!J142,0)</f>
        <v>0</v>
      </c>
      <c r="G144" t="str">
        <v>Greenpower-Ridepooling</v>
      </c>
      <c r="H144" t="str">
        <v>Spare-Ridehailing</v>
      </c>
      <c r="J144" t="str">
        <f t="shared" si="4"/>
        <v>Spare</v>
      </c>
      <c r="K144" t="str">
        <f t="shared" si="5"/>
        <v>Ridehailing</v>
      </c>
      <c r="N144" t="str">
        <v>TrustInSoft</v>
      </c>
    </row>
    <row r="145" spans="1:14" ht="15" customHeight="1" x14ac:dyDescent="0.35">
      <c r="A145" t="str">
        <f>ANNOUNCEMENTS!E143&amp;"-"&amp;ANNOUNCEMENTS!J143</f>
        <v>Uber-Ridehailing</v>
      </c>
      <c r="B145" s="284" t="str">
        <f>IF(NOT(ISBLANK(ANNOUNCEMENTS!L143)),
ANNOUNCEMENTS!L143&amp;"-"&amp;ANNOUNCEMENTS!J143,0)</f>
        <v>Toyota-Ridehailing</v>
      </c>
      <c r="C145">
        <f>IF(NOT(ISBLANK(ANNOUNCEMENTS!M143)),
ANNOUNCEMENTS!M143&amp;"-"&amp;ANNOUNCEMENTS!J143,0)</f>
        <v>0</v>
      </c>
      <c r="D145">
        <f>IF(NOT(ISBLANK(ANNOUNCEMENTS!N143)),
ANNOUNCEMENTS!N143&amp;"-"&amp;ANNOUNCEMENTS!J143,0)</f>
        <v>0</v>
      </c>
      <c r="G145" t="str">
        <v>Guident-Ridepooling</v>
      </c>
      <c r="H145" t="str">
        <v>Stantec-Ridehailing</v>
      </c>
      <c r="J145" t="str">
        <f t="shared" si="4"/>
        <v>Stantec</v>
      </c>
      <c r="K145" t="str">
        <f t="shared" si="5"/>
        <v>Ridehailing</v>
      </c>
      <c r="N145" t="str">
        <v>TuSimple</v>
      </c>
    </row>
    <row r="146" spans="1:14" ht="15" customHeight="1" x14ac:dyDescent="0.35">
      <c r="A146" t="str">
        <f>ANNOUNCEMENTS!E144&amp;"-"&amp;ANNOUNCEMENTS!J144</f>
        <v>Uber Freight-Trucking</v>
      </c>
      <c r="B146" s="284" t="str">
        <f>IF(NOT(ISBLANK(ANNOUNCEMENTS!L144)),
ANNOUNCEMENTS!L144&amp;"-"&amp;ANNOUNCEMENTS!J144,0)</f>
        <v>Volvo Autonomous Solutions-Trucking</v>
      </c>
      <c r="C146">
        <f>IF(NOT(ISBLANK(ANNOUNCEMENTS!M144)),
ANNOUNCEMENTS!M144&amp;"-"&amp;ANNOUNCEMENTS!J144,0)</f>
        <v>0</v>
      </c>
      <c r="D146">
        <f>IF(NOT(ISBLANK(ANNOUNCEMENTS!N144)),
ANNOUNCEMENTS!N144&amp;"-"&amp;ANNOUNCEMENTS!J144,0)</f>
        <v>0</v>
      </c>
      <c r="G146" t="str">
        <v>Lightning eMotors-Ridepooling</v>
      </c>
      <c r="H146" t="str">
        <v>Starship Technologies-Last-Mile</v>
      </c>
      <c r="J146" t="str">
        <f t="shared" si="4"/>
        <v>Starship Technologies</v>
      </c>
      <c r="K146" t="str">
        <f t="shared" si="5"/>
        <v>Last-Mile</v>
      </c>
      <c r="N146" t="str">
        <v>U.S. Xpress</v>
      </c>
    </row>
    <row r="147" spans="1:14" ht="15" customHeight="1" x14ac:dyDescent="0.35">
      <c r="A147" t="str">
        <f>ANNOUNCEMENTS!E145&amp;"-"&amp;ANNOUNCEMENTS!J145</f>
        <v>Uber Freight-Trucking</v>
      </c>
      <c r="B147" s="284" t="str">
        <f>IF(NOT(ISBLANK(ANNOUNCEMENTS!L145)),
ANNOUNCEMENTS!L145&amp;"-"&amp;ANNOUNCEMENTS!J145,0)</f>
        <v>Waymo-Trucking</v>
      </c>
      <c r="C147">
        <f>IF(NOT(ISBLANK(ANNOUNCEMENTS!M145)),
ANNOUNCEMENTS!M145&amp;"-"&amp;ANNOUNCEMENTS!J145,0)</f>
        <v>0</v>
      </c>
      <c r="D147">
        <f>IF(NOT(ISBLANK(ANNOUNCEMENTS!N145)),
ANNOUNCEMENTS!N145&amp;"-"&amp;ANNOUNCEMENTS!J145,0)</f>
        <v>0</v>
      </c>
      <c r="G147" t="str">
        <v>University of California-Ridepooling</v>
      </c>
      <c r="H147" t="str">
        <v>Sustainability Partners-Ridepooling</v>
      </c>
      <c r="J147" t="str">
        <f t="shared" si="4"/>
        <v>Sustainability Partners</v>
      </c>
      <c r="K147" t="str">
        <f t="shared" si="5"/>
        <v>Ridepooling</v>
      </c>
      <c r="N147" t="str">
        <v>UAE Ministry of Energy and Infrastructure</v>
      </c>
    </row>
    <row r="148" spans="1:14" ht="15" customHeight="1" x14ac:dyDescent="0.35">
      <c r="A148" t="str">
        <f>ANNOUNCEMENTS!E146&amp;"-"&amp;ANNOUNCEMENTS!J146</f>
        <v>Udelv-Last-Mile</v>
      </c>
      <c r="B148" s="284" t="str">
        <f>IF(NOT(ISBLANK(ANNOUNCEMENTS!L146)),
ANNOUNCEMENTS!L146&amp;"-"&amp;ANNOUNCEMENTS!J146,0)</f>
        <v>Walmart-Last-Mile</v>
      </c>
      <c r="C148">
        <f>IF(NOT(ISBLANK(ANNOUNCEMENTS!M146)),
ANNOUNCEMENTS!M146&amp;"-"&amp;ANNOUNCEMENTS!J146,0)</f>
        <v>0</v>
      </c>
      <c r="D148">
        <f>IF(NOT(ISBLANK(ANNOUNCEMENTS!N146)),
ANNOUNCEMENTS!N146&amp;"-"&amp;ANNOUNCEMENTS!J146,0)</f>
        <v>0</v>
      </c>
      <c r="G148" t="str">
        <v>Sustainability Partners-Ridepooling</v>
      </c>
      <c r="H148" t="str">
        <v>Svenska Retursystem-Trucking</v>
      </c>
      <c r="J148" t="str">
        <f t="shared" si="4"/>
        <v>Svenska Retursystem</v>
      </c>
      <c r="K148" t="str">
        <f t="shared" si="5"/>
        <v>Trucking</v>
      </c>
      <c r="N148" t="str">
        <v>Uber Eats</v>
      </c>
    </row>
    <row r="149" spans="1:14" ht="15" customHeight="1" x14ac:dyDescent="0.35">
      <c r="A149" t="str">
        <f>ANNOUNCEMENTS!E147&amp;"-"&amp;ANNOUNCEMENTS!J147</f>
        <v>Udelv-Last-Mile</v>
      </c>
      <c r="B149" s="284" t="str">
        <f>IF(NOT(ISBLANK(ANNOUNCEMENTS!L147)),
ANNOUNCEMENTS!L147&amp;"-"&amp;ANNOUNCEMENTS!J147,0)</f>
        <v>Farmstead-Last-Mile</v>
      </c>
      <c r="C149">
        <f>IF(NOT(ISBLANK(ANNOUNCEMENTS!M147)),
ANNOUNCEMENTS!M147&amp;"-"&amp;ANNOUNCEMENTS!J147,0)</f>
        <v>0</v>
      </c>
      <c r="D149">
        <f>IF(NOT(ISBLANK(ANNOUNCEMENTS!N147)),
ANNOUNCEMENTS!N147&amp;"-"&amp;ANNOUNCEMENTS!J147,0)</f>
        <v>0</v>
      </c>
      <c r="G149" t="str">
        <v>Rampini-Ridepooling</v>
      </c>
      <c r="H149" t="str">
        <v>Swiss Re-Other</v>
      </c>
      <c r="J149" t="str">
        <f t="shared" si="4"/>
        <v>Swiss Re</v>
      </c>
      <c r="K149" t="str">
        <f t="shared" si="5"/>
        <v>Other</v>
      </c>
      <c r="N149" t="str">
        <v>Uber Freight</v>
      </c>
    </row>
    <row r="150" spans="1:14" ht="15" customHeight="1" x14ac:dyDescent="0.35">
      <c r="A150" t="str">
        <f>ANNOUNCEMENTS!E148&amp;"-"&amp;ANNOUNCEMENTS!J148</f>
        <v>Udelv-Last-Mile</v>
      </c>
      <c r="B150" s="284" t="str">
        <f>IF(NOT(ISBLANK(ANNOUNCEMENTS!L148)),
ANNOUNCEMENTS!L148&amp;"-"&amp;ANNOUNCEMENTS!J148,0)</f>
        <v>H-E-B-Last-Mile</v>
      </c>
      <c r="C150">
        <f>IF(NOT(ISBLANK(ANNOUNCEMENTS!M148)),
ANNOUNCEMENTS!M148&amp;"-"&amp;ANNOUNCEMENTS!J148,0)</f>
        <v>0</v>
      </c>
      <c r="D150">
        <f>IF(NOT(ISBLANK(ANNOUNCEMENTS!N148)),
ANNOUNCEMENTS!N148&amp;"-"&amp;ANNOUNCEMENTS!J148,0)</f>
        <v>0</v>
      </c>
      <c r="G150" t="str">
        <v>UVA Foundation-Ridepooling</v>
      </c>
      <c r="H150" t="str">
        <v>Telia-Trucking</v>
      </c>
      <c r="J150" t="str">
        <f t="shared" si="4"/>
        <v>Telia</v>
      </c>
      <c r="K150" t="str">
        <f t="shared" si="5"/>
        <v>Trucking</v>
      </c>
      <c r="N150" t="str">
        <v>Uber</v>
      </c>
    </row>
    <row r="151" spans="1:14" ht="15" customHeight="1" x14ac:dyDescent="0.35">
      <c r="A151" t="str">
        <f>ANNOUNCEMENTS!E149&amp;"-"&amp;ANNOUNCEMENTS!J149</f>
        <v>Udelv-Last-Mile</v>
      </c>
      <c r="B151" s="284" t="str">
        <f>IF(NOT(ISBLANK(ANNOUNCEMENTS!L149)),
ANNOUNCEMENTS!L149&amp;"-"&amp;ANNOUNCEMENTS!J149,0)</f>
        <v>Mobileye-Last-Mile</v>
      </c>
      <c r="C151">
        <f>IF(NOT(ISBLANK(ANNOUNCEMENTS!M149)),
ANNOUNCEMENTS!M149&amp;"-"&amp;ANNOUNCEMENTS!J149,0)</f>
        <v>0</v>
      </c>
      <c r="D151">
        <f>IF(NOT(ISBLANK(ANNOUNCEMENTS!N149)),
ANNOUNCEMENTS!N149&amp;"-"&amp;ANNOUNCEMENTS!J149,0)</f>
        <v>0</v>
      </c>
      <c r="G151" t="str">
        <v>E Charger Systems-Ridepooling</v>
      </c>
      <c r="H151" t="str">
        <v>Ten Roads Express-Trucking</v>
      </c>
      <c r="J151" t="str">
        <f t="shared" si="4"/>
        <v>Ten Roads Express</v>
      </c>
      <c r="K151" t="str">
        <f t="shared" si="5"/>
        <v>Trucking</v>
      </c>
      <c r="N151" t="str">
        <v>Udelv</v>
      </c>
    </row>
    <row r="152" spans="1:14" ht="15" customHeight="1" x14ac:dyDescent="0.35">
      <c r="A152" t="str">
        <f>ANNOUNCEMENTS!E150&amp;"-"&amp;ANNOUNCEMENTS!J150</f>
        <v>Waabi-Trucking</v>
      </c>
      <c r="B152" s="284" t="str">
        <f>IF(NOT(ISBLANK(ANNOUNCEMENTS!L150)),
ANNOUNCEMENTS!L150&amp;"-"&amp;ANNOUNCEMENTS!J150,0)</f>
        <v>MIT Center for Transportation &amp; Logistics-Trucking</v>
      </c>
      <c r="C152">
        <f>IF(NOT(ISBLANK(ANNOUNCEMENTS!M150)),
ANNOUNCEMENTS!M150&amp;"-"&amp;ANNOUNCEMENTS!J150,0)</f>
        <v>0</v>
      </c>
      <c r="D152">
        <f>IF(NOT(ISBLANK(ANNOUNCEMENTS!N150)),
ANNOUNCEMENTS!N150&amp;"-"&amp;ANNOUNCEMENTS!J150,0)</f>
        <v>0</v>
      </c>
      <c r="G152" t="str">
        <v>Bosch-Trucking</v>
      </c>
      <c r="H152" t="str">
        <v>tfnsw-Ridehailing</v>
      </c>
      <c r="J152" t="str">
        <f t="shared" si="4"/>
        <v>tfnsw</v>
      </c>
      <c r="K152" t="str">
        <f t="shared" si="5"/>
        <v>Ridehailing</v>
      </c>
      <c r="N152" t="str">
        <v>United Technical Services</v>
      </c>
    </row>
    <row r="153" spans="1:14" ht="15" customHeight="1" x14ac:dyDescent="0.35">
      <c r="A153" t="str">
        <f>ANNOUNCEMENTS!E151&amp;"-"&amp;ANNOUNCEMENTS!J151</f>
        <v>Waabi-Trucking</v>
      </c>
      <c r="B153" s="284" t="str">
        <f>IF(NOT(ISBLANK(ANNOUNCEMENTS!L151)),
ANNOUNCEMENTS!L151&amp;"-"&amp;ANNOUNCEMENTS!J151,0)</f>
        <v>Uber Freight-Trucking</v>
      </c>
      <c r="C153">
        <f>IF(NOT(ISBLANK(ANNOUNCEMENTS!M151)),
ANNOUNCEMENTS!M151&amp;"-"&amp;ANNOUNCEMENTS!J151,0)</f>
        <v>0</v>
      </c>
      <c r="D153">
        <f>IF(NOT(ISBLANK(ANNOUNCEMENTS!N151)),
ANNOUNCEMENTS!N151&amp;"-"&amp;ANNOUNCEMENTS!J151,0)</f>
        <v>0</v>
      </c>
      <c r="G153" t="str">
        <v>Minnesota Department of Transportation-Trucking</v>
      </c>
      <c r="H153" t="str">
        <v>The Ad Council-Last-Mile</v>
      </c>
      <c r="J153" t="str">
        <f t="shared" si="4"/>
        <v>The Ad Council</v>
      </c>
      <c r="K153" t="str">
        <f t="shared" si="5"/>
        <v>Last-Mile</v>
      </c>
      <c r="N153" t="str">
        <v>University of California</v>
      </c>
    </row>
    <row r="154" spans="1:14" ht="15" customHeight="1" x14ac:dyDescent="0.35">
      <c r="A154" t="str">
        <f>ANNOUNCEMENTS!E152&amp;"-"&amp;ANNOUNCEMENTS!J152</f>
        <v>Waymo-Ridehailing</v>
      </c>
      <c r="B154" s="284" t="str">
        <f>IF(NOT(ISBLANK(ANNOUNCEMENTS!L152)),
ANNOUNCEMENTS!L152&amp;"-"&amp;ANNOUNCEMENTS!J152,0)</f>
        <v>Fiat Chrysler Automobiles-Ridehailing</v>
      </c>
      <c r="C154">
        <f>IF(NOT(ISBLANK(ANNOUNCEMENTS!M152)),
ANNOUNCEMENTS!M152&amp;"-"&amp;ANNOUNCEMENTS!J152,0)</f>
        <v>0</v>
      </c>
      <c r="D154">
        <f>IF(NOT(ISBLANK(ANNOUNCEMENTS!N152)),
ANNOUNCEMENTS!N152&amp;"-"&amp;ANNOUNCEMENTS!J152,0)</f>
        <v>0</v>
      </c>
      <c r="G154" t="str">
        <v>Transurban-Trucking</v>
      </c>
      <c r="H154" t="str">
        <v>Torc-Ridepooling</v>
      </c>
      <c r="J154" t="str">
        <f t="shared" si="4"/>
        <v>Torc</v>
      </c>
      <c r="K154" t="str">
        <f t="shared" si="5"/>
        <v>Ridepooling</v>
      </c>
      <c r="N154" t="str">
        <v>UVA Foundation</v>
      </c>
    </row>
    <row r="155" spans="1:14" ht="15" customHeight="1" x14ac:dyDescent="0.35">
      <c r="A155" t="str">
        <f>ANNOUNCEMENTS!E153&amp;"-"&amp;ANNOUNCEMENTS!J153</f>
        <v>Waymo-Other</v>
      </c>
      <c r="B155" s="284" t="str">
        <f>IF(NOT(ISBLANK(ANNOUNCEMENTS!L153)),
ANNOUNCEMENTS!L153&amp;"-"&amp;ANNOUNCEMENTS!J153,0)</f>
        <v>Verily-Other</v>
      </c>
      <c r="C155">
        <f>IF(NOT(ISBLANK(ANNOUNCEMENTS!M153)),
ANNOUNCEMENTS!M153&amp;"-"&amp;ANNOUNCEMENTS!J153,0)</f>
        <v>0</v>
      </c>
      <c r="D155">
        <f>IF(NOT(ISBLANK(ANNOUNCEMENTS!N153)),
ANNOUNCEMENTS!N153&amp;"-"&amp;ANNOUNCEMENTS!J153,0)</f>
        <v>0</v>
      </c>
      <c r="G155" t="str">
        <v>IVECO-Trucking</v>
      </c>
      <c r="H155" t="str">
        <v>Torc-Trucking</v>
      </c>
      <c r="J155" t="str">
        <f t="shared" si="4"/>
        <v>Torc</v>
      </c>
      <c r="K155" t="str">
        <f t="shared" si="5"/>
        <v>Trucking</v>
      </c>
      <c r="N155" t="str">
        <v>Valeo</v>
      </c>
    </row>
    <row r="156" spans="1:14" ht="15" customHeight="1" x14ac:dyDescent="0.35">
      <c r="A156" t="str">
        <f>ANNOUNCEMENTS!E154&amp;"-"&amp;ANNOUNCEMENTS!J154</f>
        <v>Waymo-Other</v>
      </c>
      <c r="B156" s="284" t="str">
        <f>IF(NOT(ISBLANK(ANNOUNCEMENTS!L154)),
ANNOUNCEMENTS!L154&amp;"-"&amp;ANNOUNCEMENTS!J154,0)</f>
        <v>Swiss Re-Other</v>
      </c>
      <c r="C156">
        <f>IF(NOT(ISBLANK(ANNOUNCEMENTS!M154)),
ANNOUNCEMENTS!M154&amp;"-"&amp;ANNOUNCEMENTS!J154,0)</f>
        <v>0</v>
      </c>
      <c r="D156">
        <f>IF(NOT(ISBLANK(ANNOUNCEMENTS!N154)),
ANNOUNCEMENTS!N154&amp;"-"&amp;ANNOUNCEMENTS!J154,0)</f>
        <v>0</v>
      </c>
      <c r="G156" t="str">
        <v>Cummins-Trucking</v>
      </c>
      <c r="H156" t="str">
        <v>Toyota-Ridehailing</v>
      </c>
      <c r="J156" t="str">
        <f t="shared" si="4"/>
        <v>Toyota</v>
      </c>
      <c r="K156" t="str">
        <f t="shared" si="5"/>
        <v>Ridehailing</v>
      </c>
      <c r="N156" t="str">
        <v>Valley Metro</v>
      </c>
    </row>
    <row r="157" spans="1:14" ht="15" customHeight="1" x14ac:dyDescent="0.35">
      <c r="A157" t="str">
        <f>ANNOUNCEMENTS!E155&amp;"-"&amp;ANNOUNCEMENTS!J155</f>
        <v>Waymo-Other</v>
      </c>
      <c r="B157" s="284" t="str">
        <f>IF(NOT(ISBLANK(ANNOUNCEMENTS!L155)),
ANNOUNCEMENTS!L155&amp;"-"&amp;ANNOUNCEMENTS!J155,0)</f>
        <v>AAA Northern California, Nevada &amp; Utah-Other</v>
      </c>
      <c r="C157">
        <f>IF(NOT(ISBLANK(ANNOUNCEMENTS!M155)),
ANNOUNCEMENTS!M155&amp;"-"&amp;ANNOUNCEMENTS!J155,0)</f>
        <v>0</v>
      </c>
      <c r="D157">
        <f>IF(NOT(ISBLANK(ANNOUNCEMENTS!N155)),
ANNOUNCEMENTS!N155&amp;"-"&amp;ANNOUNCEMENTS!J155,0)</f>
        <v>0</v>
      </c>
      <c r="G157" t="str">
        <v>Luminar-Trucking</v>
      </c>
      <c r="H157" t="str">
        <v>Transdev-Ridepooling</v>
      </c>
      <c r="J157" t="str">
        <f t="shared" si="4"/>
        <v>Transdev</v>
      </c>
      <c r="K157" t="str">
        <f t="shared" si="5"/>
        <v>Ridepooling</v>
      </c>
      <c r="N157" t="str">
        <v>Verily</v>
      </c>
    </row>
    <row r="158" spans="1:14" ht="15" customHeight="1" x14ac:dyDescent="0.35">
      <c r="A158" t="str">
        <f>ANNOUNCEMENTS!E156&amp;"-"&amp;ANNOUNCEMENTS!J156</f>
        <v>Waymo-Ridehailing</v>
      </c>
      <c r="B158" s="284" t="str">
        <f>IF(NOT(ISBLANK(ANNOUNCEMENTS!L156)),
ANNOUNCEMENTS!L156&amp;"-"&amp;ANNOUNCEMENTS!J156,0)</f>
        <v>Avis-Ridehailing</v>
      </c>
      <c r="C158">
        <f>IF(NOT(ISBLANK(ANNOUNCEMENTS!M156)),
ANNOUNCEMENTS!M156&amp;"-"&amp;ANNOUNCEMENTS!J156,0)</f>
        <v>0</v>
      </c>
      <c r="D158">
        <f>IF(NOT(ISBLANK(ANNOUNCEMENTS!N156)),
ANNOUNCEMENTS!N156&amp;"-"&amp;ANNOUNCEMENTS!J156,0)</f>
        <v>0</v>
      </c>
      <c r="G158" t="str">
        <v>Toyota-Ridehailing</v>
      </c>
      <c r="H158" t="str">
        <v>Transurban-Trucking</v>
      </c>
      <c r="J158" t="str">
        <f t="shared" si="4"/>
        <v>Transurban</v>
      </c>
      <c r="K158" t="str">
        <f t="shared" si="5"/>
        <v>Trucking</v>
      </c>
      <c r="N158" t="str">
        <v>Via</v>
      </c>
    </row>
    <row r="159" spans="1:14" ht="15" customHeight="1" x14ac:dyDescent="0.35">
      <c r="A159" t="str">
        <f>ANNOUNCEMENTS!E157&amp;"-"&amp;ANNOUNCEMENTS!J157</f>
        <v>Waymo-Ridehailing</v>
      </c>
      <c r="B159" s="284" t="str">
        <f>IF(NOT(ISBLANK(ANNOUNCEMENTS!L157)),
ANNOUNCEMENTS!L157&amp;"-"&amp;ANNOUNCEMENTS!J157,0)</f>
        <v>Valley Metro-Ridehailing</v>
      </c>
      <c r="C159">
        <f>IF(NOT(ISBLANK(ANNOUNCEMENTS!M157)),
ANNOUNCEMENTS!M157&amp;"-"&amp;ANNOUNCEMENTS!J157,0)</f>
        <v>0</v>
      </c>
      <c r="D159">
        <f>IF(NOT(ISBLANK(ANNOUNCEMENTS!N157)),
ANNOUNCEMENTS!N157&amp;"-"&amp;ANNOUNCEMENTS!J157,0)</f>
        <v>0</v>
      </c>
      <c r="G159" t="str">
        <v>Onsemi-Ridehailing</v>
      </c>
      <c r="H159" t="str">
        <v>Traton-Trucking</v>
      </c>
      <c r="J159" t="str">
        <f t="shared" si="4"/>
        <v>Traton</v>
      </c>
      <c r="K159" t="str">
        <f t="shared" si="5"/>
        <v>Trucking</v>
      </c>
      <c r="N159" t="str">
        <v>Vicinity Motor Corp.</v>
      </c>
    </row>
    <row r="160" spans="1:14" ht="15" customHeight="1" x14ac:dyDescent="0.35">
      <c r="A160" t="str">
        <f>ANNOUNCEMENTS!E158&amp;"-"&amp;ANNOUNCEMENTS!J158</f>
        <v>Waymo-Ridehailing</v>
      </c>
      <c r="B160" s="284" t="str">
        <f>IF(NOT(ISBLANK(ANNOUNCEMENTS!L158)),
ANNOUNCEMENTS!L158&amp;"-"&amp;ANNOUNCEMENTS!J158,0)</f>
        <v>Lyft-Ridehailing</v>
      </c>
      <c r="C160">
        <f>IF(NOT(ISBLANK(ANNOUNCEMENTS!M158)),
ANNOUNCEMENTS!M158&amp;"-"&amp;ANNOUNCEMENTS!J158,0)</f>
        <v>0</v>
      </c>
      <c r="D160">
        <f>IF(NOT(ISBLANK(ANNOUNCEMENTS!N158)),
ANNOUNCEMENTS!N158&amp;"-"&amp;ANNOUNCEMENTS!J158,0)</f>
        <v>0</v>
      </c>
      <c r="G160" t="str">
        <v>Horizon Robotics-Ridehailing</v>
      </c>
      <c r="H160" t="str">
        <v>Tropos Technologies-Ridepooling</v>
      </c>
      <c r="J160" t="str">
        <f t="shared" si="4"/>
        <v>Tropos Technologies</v>
      </c>
      <c r="K160" t="str">
        <f t="shared" si="5"/>
        <v>Ridepooling</v>
      </c>
      <c r="N160" t="str">
        <v>Volkswagen Commercial Vehicles</v>
      </c>
    </row>
    <row r="161" spans="1:14" ht="15" customHeight="1" x14ac:dyDescent="0.35">
      <c r="A161" t="str">
        <f>ANNOUNCEMENTS!E159&amp;"-"&amp;ANNOUNCEMENTS!J159</f>
        <v>Waymo-Ridehailing</v>
      </c>
      <c r="B161" s="284" t="str">
        <f>IF(NOT(ISBLANK(ANNOUNCEMENTS!L159)),
ANNOUNCEMENTS!L159&amp;"-"&amp;ANNOUNCEMENTS!J159,0)</f>
        <v>Alliance Ventures (Renault, Nissan, Mitsubishi)-Ridehailing</v>
      </c>
      <c r="C161">
        <f>IF(NOT(ISBLANK(ANNOUNCEMENTS!M159)),
ANNOUNCEMENTS!M159&amp;"-"&amp;ANNOUNCEMENTS!J159,0)</f>
        <v>0</v>
      </c>
      <c r="D161">
        <f>IF(NOT(ISBLANK(ANNOUNCEMENTS!N159)),
ANNOUNCEMENTS!N159&amp;"-"&amp;ANNOUNCEMENTS!J159,0)</f>
        <v>0</v>
      </c>
      <c r="G161" t="str">
        <v>Luminar-Ridehailing</v>
      </c>
      <c r="H161" t="str">
        <v>TrustInSoft-Ridepooling</v>
      </c>
      <c r="J161" t="str">
        <f t="shared" si="4"/>
        <v>TrustInSoft</v>
      </c>
      <c r="K161" t="str">
        <f t="shared" si="5"/>
        <v>Ridepooling</v>
      </c>
      <c r="N161" t="str">
        <v>Volvo Autonomous Solutions</v>
      </c>
    </row>
    <row r="162" spans="1:14" ht="15" customHeight="1" x14ac:dyDescent="0.35">
      <c r="A162" t="str">
        <f>ANNOUNCEMENTS!E160&amp;"-"&amp;ANNOUNCEMENTS!J160</f>
        <v>Waymo-Ridehailing</v>
      </c>
      <c r="B162" s="284" t="str">
        <f>IF(NOT(ISBLANK(ANNOUNCEMENTS!L160)),
ANNOUNCEMENTS!L160&amp;"-"&amp;ANNOUNCEMENTS!J160,0)</f>
        <v>Volvo Car Group-Ridehailing</v>
      </c>
      <c r="C162">
        <f>IF(NOT(ISBLANK(ANNOUNCEMENTS!M160)),
ANNOUNCEMENTS!M160&amp;"-"&amp;ANNOUNCEMENTS!J160,0)</f>
        <v>0</v>
      </c>
      <c r="D162">
        <f>IF(NOT(ISBLANK(ANNOUNCEMENTS!N160)),
ANNOUNCEMENTS!N160&amp;"-"&amp;ANNOUNCEMENTS!J160,0)</f>
        <v>0</v>
      </c>
      <c r="G162" t="str">
        <v>Sinotrans-Ridehailing</v>
      </c>
      <c r="H162" t="str">
        <v>TuSimple-Trucking</v>
      </c>
      <c r="J162" t="str">
        <f t="shared" si="4"/>
        <v>TuSimple</v>
      </c>
      <c r="K162" t="str">
        <f t="shared" si="5"/>
        <v>Trucking</v>
      </c>
      <c r="N162" t="str">
        <v>Volvo Car Group</v>
      </c>
    </row>
    <row r="163" spans="1:14" ht="15" customHeight="1" x14ac:dyDescent="0.35">
      <c r="A163" t="str">
        <f>ANNOUNCEMENTS!E161&amp;"-"&amp;ANNOUNCEMENTS!J161</f>
        <v>Wayve-Last-Mile</v>
      </c>
      <c r="B163" s="284" t="str">
        <f>IF(NOT(ISBLANK(ANNOUNCEMENTS!L161)),
ANNOUNCEMENTS!L161&amp;"-"&amp;ANNOUNCEMENTS!J161,0)</f>
        <v>Asda-Last-Mile</v>
      </c>
      <c r="C163">
        <f>IF(NOT(ISBLANK(ANNOUNCEMENTS!M161)),
ANNOUNCEMENTS!M161&amp;"-"&amp;ANNOUNCEMENTS!J161,0)</f>
        <v>0</v>
      </c>
      <c r="D163">
        <f>IF(NOT(ISBLANK(ANNOUNCEMENTS!N161)),
ANNOUNCEMENTS!N161&amp;"-"&amp;ANNOUNCEMENTS!J161,0)</f>
        <v>0</v>
      </c>
      <c r="G163" t="str">
        <v>SANY Heavy Truck-Trucking</v>
      </c>
      <c r="H163" t="str">
        <v>U.S. Xpress-Trucking</v>
      </c>
      <c r="J163" t="str">
        <f t="shared" si="4"/>
        <v>U.S. Xpress</v>
      </c>
      <c r="K163" t="str">
        <f t="shared" si="5"/>
        <v>Trucking</v>
      </c>
      <c r="N163" t="str">
        <v>Waabi</v>
      </c>
    </row>
    <row r="164" spans="1:14" ht="15" customHeight="1" x14ac:dyDescent="0.35">
      <c r="A164" t="str">
        <f>ANNOUNCEMENTS!E162&amp;"-"&amp;ANNOUNCEMENTS!J162</f>
        <v>Wayve-Last-Mile</v>
      </c>
      <c r="B164" s="284" t="str">
        <f>IF(NOT(ISBLANK(ANNOUNCEMENTS!L162)),
ANNOUNCEMENTS!L162&amp;"-"&amp;ANNOUNCEMENTS!J162,0)</f>
        <v>Ocado Group-Last-Mile</v>
      </c>
      <c r="C164">
        <f>IF(NOT(ISBLANK(ANNOUNCEMENTS!M162)),
ANNOUNCEMENTS!M162&amp;"-"&amp;ANNOUNCEMENTS!J162,0)</f>
        <v>0</v>
      </c>
      <c r="D164">
        <f>IF(NOT(ISBLANK(ANNOUNCEMENTS!N162)),
ANNOUNCEMENTS!N162&amp;"-"&amp;ANNOUNCEMENTS!J162,0)</f>
        <v>0</v>
      </c>
      <c r="G164" t="str">
        <v>Nickelytics-Last-Mile</v>
      </c>
      <c r="H164" t="str">
        <v>UAE Ministry of Energy and Infrastructure-Trucking</v>
      </c>
      <c r="J164" t="str">
        <f t="shared" si="4"/>
        <v>UAE Ministry of Energy and Infrastructure</v>
      </c>
      <c r="K164" t="str">
        <f t="shared" si="5"/>
        <v>Trucking</v>
      </c>
      <c r="N164" t="str">
        <v>Walmart</v>
      </c>
    </row>
    <row r="165" spans="1:14" ht="15" customHeight="1" x14ac:dyDescent="0.35">
      <c r="A165" t="str">
        <f>ANNOUNCEMENTS!E163&amp;"-"&amp;ANNOUNCEMENTS!J163</f>
        <v>ZF-Other</v>
      </c>
      <c r="B165" s="284" t="str">
        <f>IF(NOT(ISBLANK(ANNOUNCEMENTS!L163)),
ANNOUNCEMENTS!L163&amp;"-"&amp;ANNOUNCEMENTS!J163,0)</f>
        <v>NIO-Other</v>
      </c>
      <c r="C165">
        <f>IF(NOT(ISBLANK(ANNOUNCEMENTS!M163)),
ANNOUNCEMENTS!M163&amp;"-"&amp;ANNOUNCEMENTS!J163,0)</f>
        <v>0</v>
      </c>
      <c r="D165">
        <f>IF(NOT(ISBLANK(ANNOUNCEMENTS!N163)),
ANNOUNCEMENTS!N163&amp;"-"&amp;ANNOUNCEMENTS!J163,0)</f>
        <v>0</v>
      </c>
      <c r="G165" t="str">
        <v>Pizza Hut-Last-Mile</v>
      </c>
      <c r="H165" t="str">
        <v>Uber Eats-Last-Mile</v>
      </c>
      <c r="J165" t="str">
        <f t="shared" si="4"/>
        <v>Uber Eats</v>
      </c>
      <c r="K165" t="str">
        <f t="shared" si="5"/>
        <v>Last-Mile</v>
      </c>
      <c r="N165" t="str">
        <v>Waymo</v>
      </c>
    </row>
    <row r="166" spans="1:14" ht="15" customHeight="1" x14ac:dyDescent="0.35">
      <c r="A166" t="str">
        <f>ANNOUNCEMENTS!E164&amp;"-"&amp;ANNOUNCEMENTS!J164</f>
        <v>ZF-Ridepooling</v>
      </c>
      <c r="B166" s="284" t="str">
        <f>IF(NOT(ISBLANK(ANNOUNCEMENTS!L164)),
ANNOUNCEMENTS!L164&amp;"-"&amp;ANNOUNCEMENTS!J164,0)</f>
        <v>Anheuser - Busch InBev-Ridepooling</v>
      </c>
      <c r="C166" t="str">
        <f>IF(NOT(ISBLANK(ANNOUNCEMENTS!M164)),
ANNOUNCEMENTS!M164&amp;"-"&amp;ANNOUNCEMENTS!J164,0)</f>
        <v>Bosch-Ridepooling</v>
      </c>
      <c r="D166" t="str">
        <f>IF(NOT(ISBLANK(ANNOUNCEMENTS!N164)),
ANNOUNCEMENTS!N164&amp;"-"&amp;ANNOUNCEMENTS!J164,0)</f>
        <v>Microsoft-Ridepooling</v>
      </c>
      <c r="G166" t="str">
        <v>Piestro-Last-Mile</v>
      </c>
      <c r="H166" t="str">
        <v>Uber Freight-Trucking</v>
      </c>
      <c r="J166" t="str">
        <f t="shared" si="4"/>
        <v>Uber Freight</v>
      </c>
      <c r="K166" t="str">
        <f t="shared" si="5"/>
        <v>Trucking</v>
      </c>
      <c r="N166" t="str">
        <v>Wayve</v>
      </c>
    </row>
    <row r="167" spans="1:14" ht="15" customHeight="1" x14ac:dyDescent="0.35">
      <c r="A167" t="str">
        <f>ANNOUNCEMENTS!E165&amp;"-"&amp;ANNOUNCEMENTS!J165</f>
        <v>ZF-Ridepooling</v>
      </c>
      <c r="B167" s="284" t="str">
        <f>IF(NOT(ISBLANK(ANNOUNCEMENTS!L165)),
ANNOUNCEMENTS!L165&amp;"-"&amp;ANNOUNCEMENTS!J165,0)</f>
        <v>DB Regio-Ridepooling</v>
      </c>
      <c r="C167">
        <f>IF(NOT(ISBLANK(ANNOUNCEMENTS!M165)),
ANNOUNCEMENTS!M165&amp;"-"&amp;ANNOUNCEMENTS!J165,0)</f>
        <v>0</v>
      </c>
      <c r="D167">
        <f>IF(NOT(ISBLANK(ANNOUNCEMENTS!N165)),
ANNOUNCEMENTS!N165&amp;"-"&amp;ANNOUNCEMENTS!J165,0)</f>
        <v>0</v>
      </c>
      <c r="G167" t="str">
        <v>Daimler Truck-Trucking</v>
      </c>
      <c r="H167" t="str">
        <v>Uber-Last-Mile</v>
      </c>
      <c r="J167" t="str">
        <f t="shared" si="4"/>
        <v>Uber</v>
      </c>
      <c r="K167" t="str">
        <f t="shared" si="5"/>
        <v>Last-Mile</v>
      </c>
      <c r="N167" t="str">
        <v>Werner</v>
      </c>
    </row>
    <row r="168" spans="1:14" ht="15" customHeight="1" x14ac:dyDescent="0.35">
      <c r="A168" t="str">
        <f>ANNOUNCEMENTS!E166&amp;"-"&amp;ANNOUNCEMENTS!J166</f>
        <v>ZF-Ridepooling</v>
      </c>
      <c r="B168" s="284" t="str">
        <f>IF(NOT(ISBLANK(ANNOUNCEMENTS!L166)),
ANNOUNCEMENTS!L166&amp;"-"&amp;ANNOUNCEMENTS!J166,0)</f>
        <v>Beep-Ridepooling</v>
      </c>
      <c r="C168">
        <f>IF(NOT(ISBLANK(ANNOUNCEMENTS!M166)),
ANNOUNCEMENTS!M166&amp;"-"&amp;ANNOUNCEMENTS!J166,0)</f>
        <v>0</v>
      </c>
      <c r="D168">
        <f>IF(NOT(ISBLANK(ANNOUNCEMENTS!N166)),
ANNOUNCEMENTS!N166&amp;"-"&amp;ANNOUNCEMENTS!J166,0)</f>
        <v>0</v>
      </c>
      <c r="G168" t="str">
        <v>Applied Intuition-Trucking</v>
      </c>
      <c r="H168" t="str">
        <v>Uber-Ridehailing</v>
      </c>
      <c r="J168" t="str">
        <f t="shared" si="4"/>
        <v>Uber</v>
      </c>
      <c r="K168" t="str">
        <f t="shared" si="5"/>
        <v>Ridehailing</v>
      </c>
      <c r="N168" t="str">
        <v>Western Reserve Transit Authority</v>
      </c>
    </row>
    <row r="169" spans="1:14" ht="15" customHeight="1" x14ac:dyDescent="0.35">
      <c r="A169" t="str">
        <f>ANNOUNCEMENTS!E167&amp;"-"&amp;ANNOUNCEMENTS!J167</f>
        <v>Oxa-Ridepooling</v>
      </c>
      <c r="B169" s="284" t="str">
        <f>IF(NOT(ISBLANK(ANNOUNCEMENTS!L167)),
ANNOUNCEMENTS!L167&amp;"-"&amp;ANNOUNCEMENTS!J167,0)</f>
        <v>Beep-Ridepooling</v>
      </c>
      <c r="C169">
        <f>IF(NOT(ISBLANK(ANNOUNCEMENTS!M167)),
ANNOUNCEMENTS!M167&amp;"-"&amp;ANNOUNCEMENTS!J167,0)</f>
        <v>0</v>
      </c>
      <c r="D169">
        <f>IF(NOT(ISBLANK(ANNOUNCEMENTS!N167)),
ANNOUNCEMENTS!N167&amp;"-"&amp;ANNOUNCEMENTS!J167,0)</f>
        <v>0</v>
      </c>
      <c r="G169" t="str">
        <v>Torc-Ridepooling</v>
      </c>
      <c r="H169" t="str">
        <v>Udelv-Last-Mile</v>
      </c>
      <c r="J169" t="str">
        <f t="shared" si="4"/>
        <v>Udelv</v>
      </c>
      <c r="K169" t="str">
        <f t="shared" si="5"/>
        <v>Last-Mile</v>
      </c>
      <c r="N169" t="str">
        <v>WILLER</v>
      </c>
    </row>
    <row r="170" spans="1:14" ht="15" customHeight="1" x14ac:dyDescent="0.35">
      <c r="A170" t="str">
        <f>ANNOUNCEMENTS!E168&amp;"-"&amp;ANNOUNCEMENTS!J168</f>
        <v>Starship Technologies-Last-Mile</v>
      </c>
      <c r="B170" s="284" t="str">
        <f>IF(NOT(ISBLANK(ANNOUNCEMENTS!L168)),
ANNOUNCEMENTS!L168&amp;"-"&amp;ANNOUNCEMENTS!J168,0)</f>
        <v>Bolt-Last-Mile</v>
      </c>
      <c r="C170">
        <f>IF(NOT(ISBLANK(ANNOUNCEMENTS!M168)),
ANNOUNCEMENTS!M168&amp;"-"&amp;ANNOUNCEMENTS!J168,0)</f>
        <v>0</v>
      </c>
      <c r="D170">
        <f>IF(NOT(ISBLANK(ANNOUNCEMENTS!N168)),
ANNOUNCEMENTS!N168&amp;"-"&amp;ANNOUNCEMENTS!J168,0)</f>
        <v>0</v>
      </c>
      <c r="G170" t="str">
        <v>LAVTA-Ridepooling</v>
      </c>
      <c r="H170" t="str">
        <v>United Technical Services-Ridepooling</v>
      </c>
      <c r="J170" t="str">
        <f t="shared" si="4"/>
        <v>United Technical Services</v>
      </c>
      <c r="K170" t="str">
        <f t="shared" si="5"/>
        <v>Ridepooling</v>
      </c>
      <c r="N170" t="str">
        <v xml:space="preserve">Wistron NeWeb Corp </v>
      </c>
    </row>
    <row r="171" spans="1:14" ht="15" customHeight="1" x14ac:dyDescent="0.35">
      <c r="A171" t="str">
        <f>ANNOUNCEMENTS!E169&amp;"-"&amp;ANNOUNCEMENTS!J169</f>
        <v>Via-Ridepooling</v>
      </c>
      <c r="B171" s="284" t="str">
        <f>IF(NOT(ISBLANK(ANNOUNCEMENTS!L169)),
ANNOUNCEMENTS!L169&amp;"-"&amp;ANNOUNCEMENTS!J169,0)</f>
        <v>May Mobility-Ridepooling</v>
      </c>
      <c r="C171">
        <f>IF(NOT(ISBLANK(ANNOUNCEMENTS!M169)),
ANNOUNCEMENTS!M169&amp;"-"&amp;ANNOUNCEMENTS!J169,0)</f>
        <v>0</v>
      </c>
      <c r="D171">
        <f>IF(NOT(ISBLANK(ANNOUNCEMENTS!N169)),
ANNOUNCEMENTS!N169&amp;"-"&amp;ANNOUNCEMENTS!J169,0)</f>
        <v>0</v>
      </c>
      <c r="G171" t="str">
        <v>Delphi-Ridepooling</v>
      </c>
      <c r="H171" t="str">
        <v>University of California-Ridepooling</v>
      </c>
      <c r="J171" t="str">
        <f t="shared" si="4"/>
        <v>University of California</v>
      </c>
      <c r="K171" t="str">
        <f t="shared" si="5"/>
        <v>Ridepooling</v>
      </c>
      <c r="N171" t="str">
        <v>Zeekr</v>
      </c>
    </row>
    <row r="172" spans="1:14" ht="15" customHeight="1" x14ac:dyDescent="0.35">
      <c r="A172" t="str">
        <f>ANNOUNCEMENTS!E170&amp;"-"&amp;ANNOUNCEMENTS!J170</f>
        <v>Lohr-Ridepooling</v>
      </c>
      <c r="B172" s="284" t="str">
        <f>IF(NOT(ISBLANK(ANNOUNCEMENTS!L170)),
ANNOUNCEMENTS!L170&amp;"-"&amp;ANNOUNCEMENTS!J170,0)</f>
        <v>Navya-Ridepooling</v>
      </c>
      <c r="C172">
        <f>IF(NOT(ISBLANK(ANNOUNCEMENTS!M170)),
ANNOUNCEMENTS!M170&amp;"-"&amp;ANNOUNCEMENTS!J170,0)</f>
        <v>0</v>
      </c>
      <c r="D172">
        <f>IF(NOT(ISBLANK(ANNOUNCEMENTS!N170)),
ANNOUNCEMENTS!N170&amp;"-"&amp;ANNOUNCEMENTS!J170,0)</f>
        <v>0</v>
      </c>
      <c r="G172" t="str">
        <v>ZF-Trucking</v>
      </c>
      <c r="H172" t="str">
        <v>UVA Foundation-Ridepooling</v>
      </c>
      <c r="J172" t="str">
        <f t="shared" si="4"/>
        <v>UVA Foundation</v>
      </c>
      <c r="K172" t="str">
        <f t="shared" si="5"/>
        <v>Ridepooling</v>
      </c>
      <c r="N172" t="str">
        <v>ZF</v>
      </c>
    </row>
    <row r="173" spans="1:14" ht="15" customHeight="1" x14ac:dyDescent="0.35">
      <c r="A173" t="str">
        <f>ANNOUNCEMENTS!E171&amp;"-"&amp;ANNOUNCEMENTS!J171</f>
        <v>Uber Eats-Last-Mile</v>
      </c>
      <c r="B173" s="284" t="str">
        <f>IF(NOT(ISBLANK(ANNOUNCEMENTS!L171)),
ANNOUNCEMENTS!L171&amp;"-"&amp;ANNOUNCEMENTS!J171,0)</f>
        <v>Nuro-Last-Mile</v>
      </c>
      <c r="C173">
        <f>IF(NOT(ISBLANK(ANNOUNCEMENTS!M171)),
ANNOUNCEMENTS!M171&amp;"-"&amp;ANNOUNCEMENTS!J171,0)</f>
        <v>0</v>
      </c>
      <c r="D173">
        <f>IF(NOT(ISBLANK(ANNOUNCEMENTS!N171)),
ANNOUNCEMENTS!N171&amp;"-"&amp;ANNOUNCEMENTS!J171,0)</f>
        <v>0</v>
      </c>
      <c r="G173" t="str">
        <v>Navistar-Trucking</v>
      </c>
      <c r="H173" t="str">
        <v>Valeo-Other</v>
      </c>
      <c r="J173" t="str">
        <f t="shared" si="4"/>
        <v>Valeo</v>
      </c>
      <c r="K173" t="str">
        <f t="shared" si="5"/>
        <v>Other</v>
      </c>
      <c r="N173">
        <v>0</v>
      </c>
    </row>
    <row r="174" spans="1:14" ht="15" customHeight="1" x14ac:dyDescent="0.35">
      <c r="A174" t="str">
        <f>ANNOUNCEMENTS!E172&amp;"-"&amp;ANNOUNCEMENTS!J172</f>
        <v>Uber Eats-Last-Mile</v>
      </c>
      <c r="B174" s="284" t="str">
        <f>IF(NOT(ISBLANK(ANNOUNCEMENTS!L172)),
ANNOUNCEMENTS!L172&amp;"-"&amp;ANNOUNCEMENTS!J172,0)</f>
        <v>ServeRobotics-Last-Mile</v>
      </c>
      <c r="C174">
        <f>IF(NOT(ISBLANK(ANNOUNCEMENTS!M172)),
ANNOUNCEMENTS!M172&amp;"-"&amp;ANNOUNCEMENTS!J172,0)</f>
        <v>0</v>
      </c>
      <c r="D174">
        <f>IF(NOT(ISBLANK(ANNOUNCEMENTS!N172)),
ANNOUNCEMENTS!N172&amp;"-"&amp;ANNOUNCEMENTS!J172,0)</f>
        <v>0</v>
      </c>
      <c r="G174" t="str">
        <v>Traton-Trucking</v>
      </c>
      <c r="H174" t="str">
        <v>Valeo-Ridepooling</v>
      </c>
      <c r="J174" t="str">
        <f t="shared" si="4"/>
        <v>Valeo</v>
      </c>
      <c r="K174" t="str">
        <f t="shared" si="5"/>
        <v>Ridepooling</v>
      </c>
    </row>
    <row r="175" spans="1:14" ht="15" customHeight="1" x14ac:dyDescent="0.35">
      <c r="A175" t="str">
        <f>ANNOUNCEMENTS!E173&amp;"-"&amp;ANNOUNCEMENTS!J173</f>
        <v>Torc-Ridepooling</v>
      </c>
      <c r="B175" s="284" t="str">
        <f>IF(NOT(ISBLANK(ANNOUNCEMENTS!L173)),
ANNOUNCEMENTS!L173&amp;"-"&amp;ANNOUNCEMENTS!J173,0)</f>
        <v>Transdev-Ridepooling</v>
      </c>
      <c r="C175">
        <f>IF(NOT(ISBLANK(ANNOUNCEMENTS!M173)),
ANNOUNCEMENTS!M173&amp;"-"&amp;ANNOUNCEMENTS!J173,0)</f>
        <v>0</v>
      </c>
      <c r="D175">
        <f>IF(NOT(ISBLANK(ANNOUNCEMENTS!N173)),
ANNOUNCEMENTS!N173&amp;"-"&amp;ANNOUNCEMENTS!J173,0)</f>
        <v>0</v>
      </c>
      <c r="G175" t="str">
        <v>Liberty Mutual Insurance-Trucking</v>
      </c>
      <c r="H175" t="str">
        <v>Valley Metro-Ridehailing</v>
      </c>
      <c r="J175" t="str">
        <f t="shared" si="4"/>
        <v>Valley Metro</v>
      </c>
      <c r="K175" t="str">
        <f t="shared" si="5"/>
        <v>Ridehailing</v>
      </c>
    </row>
    <row r="176" spans="1:14" ht="15" customHeight="1" x14ac:dyDescent="0.35">
      <c r="A176" t="str">
        <f>ANNOUNCEMENTS!E174&amp;"-"&amp;ANNOUNCEMENTS!J174</f>
        <v>ZF-Ridepooling</v>
      </c>
      <c r="B176" s="284" t="str">
        <f>IF(NOT(ISBLANK(ANNOUNCEMENTS!L174)),
ANNOUNCEMENTS!L174&amp;"-"&amp;ANNOUNCEMENTS!J174,0)</f>
        <v>Transdev-Ridepooling</v>
      </c>
      <c r="C176" t="str">
        <f>IF(NOT(ISBLANK(ANNOUNCEMENTS!M174)),
ANNOUNCEMENTS!M174&amp;"-"&amp;ANNOUNCEMENTS!J174,0)</f>
        <v>e.GO-Ridepooling</v>
      </c>
      <c r="D176">
        <f>IF(NOT(ISBLANK(ANNOUNCEMENTS!N174)),
ANNOUNCEMENTS!N174&amp;"-"&amp;ANNOUNCEMENTS!J174,0)</f>
        <v>0</v>
      </c>
      <c r="G176" t="str">
        <v>Loadsmith-Trucking</v>
      </c>
      <c r="H176" t="str">
        <v>Verily-Other</v>
      </c>
      <c r="J176" t="str">
        <f t="shared" si="4"/>
        <v>Verily</v>
      </c>
      <c r="K176" t="str">
        <f t="shared" si="5"/>
        <v>Other</v>
      </c>
    </row>
    <row r="177" spans="1:11" ht="15" customHeight="1" x14ac:dyDescent="0.35">
      <c r="A177" t="str">
        <f>ANNOUNCEMENTS!E175&amp;"-"&amp;ANNOUNCEMENTS!J175</f>
        <v>ZF-Trucking</v>
      </c>
      <c r="B177" s="284" t="str">
        <f>IF(NOT(ISBLANK(ANNOUNCEMENTS!L175)),
ANNOUNCEMENTS!L175&amp;"-"&amp;ANNOUNCEMENTS!J175,0)</f>
        <v>TuSimple-Trucking</v>
      </c>
      <c r="C177">
        <f>IF(NOT(ISBLANK(ANNOUNCEMENTS!M175)),
ANNOUNCEMENTS!M175&amp;"-"&amp;ANNOUNCEMENTS!J175,0)</f>
        <v>0</v>
      </c>
      <c r="D177">
        <f>IF(NOT(ISBLANK(ANNOUNCEMENTS!N175)),
ANNOUNCEMENTS!N175&amp;"-"&amp;ANNOUNCEMENTS!J175,0)</f>
        <v>0</v>
      </c>
      <c r="G177" t="str">
        <v>Hegelmann Group-Trucking</v>
      </c>
      <c r="H177" t="str">
        <v>Via-Ridepooling</v>
      </c>
      <c r="J177" t="str">
        <f t="shared" si="4"/>
        <v>Via</v>
      </c>
      <c r="K177" t="str">
        <f t="shared" si="5"/>
        <v>Ridepooling</v>
      </c>
    </row>
    <row r="178" spans="1:11" ht="15" customHeight="1" x14ac:dyDescent="0.35">
      <c r="A178" t="str">
        <f>ANNOUNCEMENTS!E176&amp;"-"&amp;ANNOUNCEMENTS!J176</f>
        <v>Waymo-Trucking</v>
      </c>
      <c r="B178" s="284" t="str">
        <f>IF(NOT(ISBLANK(ANNOUNCEMENTS!L176)),
ANNOUNCEMENTS!L176&amp;"-"&amp;ANNOUNCEMENTS!J176,0)</f>
        <v>Uber Freight-Trucking</v>
      </c>
      <c r="C178">
        <f>IF(NOT(ISBLANK(ANNOUNCEMENTS!M176)),
ANNOUNCEMENTS!M176&amp;"-"&amp;ANNOUNCEMENTS!J176,0)</f>
        <v>0</v>
      </c>
      <c r="D178">
        <f>IF(NOT(ISBLANK(ANNOUNCEMENTS!N176)),
ANNOUNCEMENTS!N176&amp;"-"&amp;ANNOUNCEMENTS!J176,0)</f>
        <v>0</v>
      </c>
      <c r="G178" t="str">
        <v>DHL-Trucking</v>
      </c>
      <c r="H178" t="str">
        <v>Vicinity Motor Corp.-Ridepooling</v>
      </c>
      <c r="J178" t="str">
        <f t="shared" si="4"/>
        <v>Vicinity Motor Corp.</v>
      </c>
      <c r="K178" t="str">
        <f t="shared" si="5"/>
        <v>Ridepooling</v>
      </c>
    </row>
    <row r="179" spans="1:11" ht="15" customHeight="1" x14ac:dyDescent="0.35">
      <c r="A179" t="str">
        <f>ANNOUNCEMENTS!E177&amp;"-"&amp;ANNOUNCEMENTS!J177</f>
        <v>Uber Freight-Trucking</v>
      </c>
      <c r="B179" s="284" t="str">
        <f>IF(NOT(ISBLANK(ANNOUNCEMENTS!L177)),
ANNOUNCEMENTS!L177&amp;"-"&amp;ANNOUNCEMENTS!J177,0)</f>
        <v>Waabi-Trucking</v>
      </c>
      <c r="C179">
        <f>IF(NOT(ISBLANK(ANNOUNCEMENTS!M177)),
ANNOUNCEMENTS!M177&amp;"-"&amp;ANNOUNCEMENTS!J177,0)</f>
        <v>0</v>
      </c>
      <c r="D179">
        <f>IF(NOT(ISBLANK(ANNOUNCEMENTS!N177)),
ANNOUNCEMENTS!N177&amp;"-"&amp;ANNOUNCEMENTS!J177,0)</f>
        <v>0</v>
      </c>
      <c r="G179" t="str">
        <v>Volvo Autonomous Solutions-Trucking</v>
      </c>
      <c r="H179" t="str">
        <v>Volkswagen Commercial Vehicles-Ridepooling</v>
      </c>
      <c r="J179" t="str">
        <f t="shared" si="4"/>
        <v>Volkswagen Commercial Vehicles</v>
      </c>
      <c r="K179" t="str">
        <f t="shared" si="5"/>
        <v>Ridepooling</v>
      </c>
    </row>
    <row r="180" spans="1:11" ht="15" customHeight="1" x14ac:dyDescent="0.35">
      <c r="A180" t="str">
        <f>ANNOUNCEMENTS!E178&amp;"-"&amp;ANNOUNCEMENTS!J178</f>
        <v>Lyft-Ridehailing</v>
      </c>
      <c r="B180" s="284" t="str">
        <f>IF(NOT(ISBLANK(ANNOUNCEMENTS!L178)),
ANNOUNCEMENTS!L178&amp;"-"&amp;ANNOUNCEMENTS!J178,0)</f>
        <v>Waymo-Ridehailing</v>
      </c>
      <c r="C180">
        <f>IF(NOT(ISBLANK(ANNOUNCEMENTS!M178)),
ANNOUNCEMENTS!M178&amp;"-"&amp;ANNOUNCEMENTS!J178,0)</f>
        <v>0</v>
      </c>
      <c r="D180">
        <f>IF(NOT(ISBLANK(ANNOUNCEMENTS!N178)),
ANNOUNCEMENTS!N178&amp;"-"&amp;ANNOUNCEMENTS!J178,0)</f>
        <v>0</v>
      </c>
      <c r="G180" t="str">
        <v>Waymo-Trucking</v>
      </c>
      <c r="H180" t="str">
        <v>Volvo Autonomous Solutions-Trucking</v>
      </c>
      <c r="J180" t="str">
        <f t="shared" si="4"/>
        <v>Volvo Autonomous Solutions</v>
      </c>
      <c r="K180" t="str">
        <f t="shared" si="5"/>
        <v>Trucking</v>
      </c>
    </row>
    <row r="181" spans="1:11" ht="15" customHeight="1" x14ac:dyDescent="0.35">
      <c r="A181" t="str">
        <f>ANNOUNCEMENTS!E179&amp;"-"&amp;ANNOUNCEMENTS!J179</f>
        <v>Waymo-Last-Mile</v>
      </c>
      <c r="B181" s="284" t="str">
        <f>IF(NOT(ISBLANK(ANNOUNCEMENTS!L179)),
ANNOUNCEMENTS!L179&amp;"-"&amp;ANNOUNCEMENTS!J179,0)</f>
        <v>Alliance Ventures (Renault, Nissan, Mitsubishi)-Last-Mile</v>
      </c>
      <c r="C181">
        <f>IF(NOT(ISBLANK(ANNOUNCEMENTS!M179)),
ANNOUNCEMENTS!M179&amp;"-"&amp;ANNOUNCEMENTS!J179,0)</f>
        <v>0</v>
      </c>
      <c r="D181">
        <f>IF(NOT(ISBLANK(ANNOUNCEMENTS!N179)),
ANNOUNCEMENTS!N179&amp;"-"&amp;ANNOUNCEMENTS!J179,0)</f>
        <v>0</v>
      </c>
      <c r="G181" t="str">
        <v>Farmstead-Last-Mile</v>
      </c>
      <c r="H181" t="str">
        <v>Volvo Car Group-Ridehailing</v>
      </c>
      <c r="J181" t="str">
        <f t="shared" si="4"/>
        <v>Volvo Car Group</v>
      </c>
      <c r="K181" t="str">
        <f t="shared" si="5"/>
        <v>Ridehailing</v>
      </c>
    </row>
    <row r="182" spans="1:11" ht="15" customHeight="1" x14ac:dyDescent="0.35">
      <c r="A182" t="str">
        <f>ANNOUNCEMENTS!E180&amp;"-"&amp;ANNOUNCEMENTS!J180</f>
        <v>Mobileye-Ridepooling</v>
      </c>
      <c r="B182" s="284" t="str">
        <f>IF(NOT(ISBLANK(ANNOUNCEMENTS!L180)),
ANNOUNCEMENTS!L180&amp;"-"&amp;ANNOUNCEMENTS!J180,0)</f>
        <v>WILLER-Ridepooling</v>
      </c>
      <c r="C182">
        <f>IF(NOT(ISBLANK(ANNOUNCEMENTS!M180)),
ANNOUNCEMENTS!M180&amp;"-"&amp;ANNOUNCEMENTS!J180,0)</f>
        <v>0</v>
      </c>
      <c r="D182">
        <f>IF(NOT(ISBLANK(ANNOUNCEMENTS!N180)),
ANNOUNCEMENTS!N180&amp;"-"&amp;ANNOUNCEMENTS!J180,0)</f>
        <v>0</v>
      </c>
      <c r="G182" t="str">
        <v>H-E-B-Last-Mile</v>
      </c>
      <c r="H182" t="str">
        <v>Waabi-Trucking</v>
      </c>
      <c r="J182" t="str">
        <f t="shared" si="4"/>
        <v>Waabi</v>
      </c>
      <c r="K182" t="str">
        <f t="shared" si="5"/>
        <v>Trucking</v>
      </c>
    </row>
    <row r="183" spans="1:11" ht="15" customHeight="1" x14ac:dyDescent="0.35">
      <c r="G183" t="str">
        <v>Mobileye-Last-Mile</v>
      </c>
      <c r="H183" t="str">
        <v>Walmart-Last-Mile</v>
      </c>
      <c r="J183" t="str">
        <f t="shared" si="4"/>
        <v>Walmart</v>
      </c>
      <c r="K183" t="str">
        <f t="shared" si="5"/>
        <v>Last-Mile</v>
      </c>
    </row>
    <row r="184" spans="1:11" ht="15" customHeight="1" x14ac:dyDescent="0.35">
      <c r="G184" t="str">
        <v>MIT Center for Transportation &amp; Logistics-Trucking</v>
      </c>
      <c r="H184" t="str">
        <v>Walmart-Trucking</v>
      </c>
      <c r="J184" t="str">
        <f t="shared" si="4"/>
        <v>Walmart</v>
      </c>
      <c r="K184" t="str">
        <f t="shared" si="5"/>
        <v>Trucking</v>
      </c>
    </row>
    <row r="185" spans="1:11" ht="15" customHeight="1" x14ac:dyDescent="0.35">
      <c r="G185" t="str">
        <v>Uber Freight-Trucking</v>
      </c>
      <c r="H185" t="str">
        <v>Waymo-Last-Mile</v>
      </c>
      <c r="J185" t="str">
        <f t="shared" si="4"/>
        <v>Waymo</v>
      </c>
      <c r="K185" t="str">
        <f t="shared" si="5"/>
        <v>Last-Mile</v>
      </c>
    </row>
    <row r="186" spans="1:11" ht="15" customHeight="1" x14ac:dyDescent="0.35">
      <c r="G186" t="str">
        <v>Fiat Chrysler Automobiles-Ridehailing</v>
      </c>
      <c r="H186" t="str">
        <v>Waymo-Other</v>
      </c>
      <c r="J186" t="str">
        <f t="shared" si="4"/>
        <v>Waymo</v>
      </c>
      <c r="K186" t="str">
        <f t="shared" si="5"/>
        <v>Other</v>
      </c>
    </row>
    <row r="187" spans="1:11" ht="15" customHeight="1" x14ac:dyDescent="0.35">
      <c r="G187" t="str">
        <v>Verily-Other</v>
      </c>
      <c r="H187" t="str">
        <v>Waymo-Ridehailing</v>
      </c>
      <c r="J187" t="str">
        <f t="shared" si="4"/>
        <v>Waymo</v>
      </c>
      <c r="K187" t="str">
        <f t="shared" si="5"/>
        <v>Ridehailing</v>
      </c>
    </row>
    <row r="188" spans="1:11" ht="15" customHeight="1" x14ac:dyDescent="0.35">
      <c r="G188" t="str">
        <v>Swiss Re-Other</v>
      </c>
      <c r="H188" t="str">
        <v>Waymo-Trucking</v>
      </c>
      <c r="J188" t="str">
        <f t="shared" si="4"/>
        <v>Waymo</v>
      </c>
      <c r="K188" t="str">
        <f t="shared" si="5"/>
        <v>Trucking</v>
      </c>
    </row>
    <row r="189" spans="1:11" ht="15" customHeight="1" x14ac:dyDescent="0.35">
      <c r="G189" t="str">
        <v>AAA Northern California, Nevada &amp; Utah-Other</v>
      </c>
      <c r="H189" t="str">
        <v>Wayve-Last-Mile</v>
      </c>
      <c r="J189" t="str">
        <f t="shared" si="4"/>
        <v>Wayve</v>
      </c>
      <c r="K189" t="str">
        <f t="shared" si="5"/>
        <v>Last-Mile</v>
      </c>
    </row>
    <row r="190" spans="1:11" ht="15" customHeight="1" x14ac:dyDescent="0.35">
      <c r="G190" t="str">
        <v>Avis-Ridehailing</v>
      </c>
      <c r="H190" t="str">
        <v>Werner-Trucking</v>
      </c>
      <c r="J190" t="str">
        <f t="shared" si="4"/>
        <v>Werner</v>
      </c>
      <c r="K190" t="str">
        <f t="shared" si="5"/>
        <v>Trucking</v>
      </c>
    </row>
    <row r="191" spans="1:11" ht="15" customHeight="1" x14ac:dyDescent="0.35">
      <c r="G191" t="str">
        <v>Valley Metro-Ridehailing</v>
      </c>
      <c r="H191" t="str">
        <v>Western Reserve Transit Authority-Ridepooling</v>
      </c>
      <c r="J191" t="str">
        <f t="shared" si="4"/>
        <v>Western Reserve Transit Authority</v>
      </c>
      <c r="K191" t="str">
        <f t="shared" si="5"/>
        <v>Ridepooling</v>
      </c>
    </row>
    <row r="192" spans="1:11" ht="15" customHeight="1" x14ac:dyDescent="0.35">
      <c r="G192" t="str">
        <v>Lyft-Ridehailing</v>
      </c>
      <c r="H192" t="str">
        <v>WILLER-Ridehailing</v>
      </c>
      <c r="J192" t="str">
        <f t="shared" si="4"/>
        <v>WILLER</v>
      </c>
      <c r="K192" t="str">
        <f t="shared" si="5"/>
        <v>Ridehailing</v>
      </c>
    </row>
    <row r="193" spans="7:11" ht="15" customHeight="1" x14ac:dyDescent="0.35">
      <c r="G193" t="str">
        <v>Alliance Ventures (Renault, Nissan, Mitsubishi)-Ridehailing</v>
      </c>
      <c r="H193" t="str">
        <v>WILLER-Ridepooling</v>
      </c>
      <c r="J193" t="str">
        <f t="shared" si="4"/>
        <v>WILLER</v>
      </c>
      <c r="K193" t="str">
        <f t="shared" si="5"/>
        <v>Ridepooling</v>
      </c>
    </row>
    <row r="194" spans="7:11" ht="15" customHeight="1" x14ac:dyDescent="0.35">
      <c r="G194" t="str">
        <v>Volvo Car Group-Ridehailing</v>
      </c>
      <c r="H194" t="str">
        <v>Wistron NeWeb Corp -Other</v>
      </c>
      <c r="J194" t="str">
        <f t="shared" si="4"/>
        <v xml:space="preserve">Wistron NeWeb Corp </v>
      </c>
      <c r="K194" t="str">
        <f t="shared" si="5"/>
        <v>Other</v>
      </c>
    </row>
    <row r="195" spans="7:11" ht="15" customHeight="1" x14ac:dyDescent="0.35">
      <c r="G195" t="str">
        <v>Asda-Last-Mile</v>
      </c>
      <c r="H195" t="str">
        <v>Zeekr-Other</v>
      </c>
      <c r="J195" t="str">
        <f t="shared" si="4"/>
        <v>Zeekr</v>
      </c>
      <c r="K195" t="str">
        <f t="shared" si="5"/>
        <v>Other</v>
      </c>
    </row>
    <row r="196" spans="7:11" ht="15" customHeight="1" x14ac:dyDescent="0.35">
      <c r="G196" t="str">
        <v>NIO-Other</v>
      </c>
      <c r="H196" t="str">
        <v>ZF-Other</v>
      </c>
      <c r="J196" t="str">
        <f t="shared" ref="J196:J198" si="6">LEFT(H196,SEARCH("-",H196)-1)</f>
        <v>ZF</v>
      </c>
      <c r="K196" t="str">
        <f t="shared" ref="K196:K198" si="7">RIGHT(H196,LEN(H196)-SEARCH("-",H196))</f>
        <v>Other</v>
      </c>
    </row>
    <row r="197" spans="7:11" ht="15" customHeight="1" x14ac:dyDescent="0.35">
      <c r="G197" t="str">
        <v>Anheuser - Busch InBev-Ridepooling</v>
      </c>
      <c r="H197" t="str">
        <v>ZF-Ridepooling</v>
      </c>
      <c r="J197" t="str">
        <f t="shared" si="6"/>
        <v>ZF</v>
      </c>
      <c r="K197" t="str">
        <f t="shared" si="7"/>
        <v>Ridepooling</v>
      </c>
    </row>
    <row r="198" spans="7:11" ht="15" customHeight="1" x14ac:dyDescent="0.35">
      <c r="G198" t="str">
        <v>DB Regio-Ridepooling</v>
      </c>
      <c r="H198" t="str">
        <v>ZF-Trucking</v>
      </c>
      <c r="J198" t="str">
        <f t="shared" si="6"/>
        <v>ZF</v>
      </c>
      <c r="K198" t="str">
        <f t="shared" si="7"/>
        <v>Trucking</v>
      </c>
    </row>
    <row r="199" spans="7:11" ht="15" customHeight="1" x14ac:dyDescent="0.35">
      <c r="G199" t="str">
        <v>Beep-Ridepooling</v>
      </c>
    </row>
    <row r="200" spans="7:11" ht="15" customHeight="1" x14ac:dyDescent="0.35">
      <c r="G200" t="str">
        <v>Bolt-Last-Mile</v>
      </c>
    </row>
    <row r="201" spans="7:11" ht="15" customHeight="1" x14ac:dyDescent="0.35">
      <c r="G201" t="str">
        <v>May Mobility-Ridepooling</v>
      </c>
    </row>
    <row r="202" spans="7:11" ht="15" customHeight="1" x14ac:dyDescent="0.35">
      <c r="G202" t="str">
        <v>Navya-Ridepooling</v>
      </c>
    </row>
    <row r="203" spans="7:11" ht="15" customHeight="1" x14ac:dyDescent="0.35">
      <c r="G203" t="str">
        <v>Nuro-Last-Mile</v>
      </c>
    </row>
    <row r="204" spans="7:11" ht="15" customHeight="1" x14ac:dyDescent="0.35">
      <c r="G204" t="str">
        <v>ServeRobotics-Last-Mile</v>
      </c>
    </row>
    <row r="205" spans="7:11" ht="15" customHeight="1" x14ac:dyDescent="0.35">
      <c r="G205" t="str">
        <v>Transdev-Ridepooling</v>
      </c>
    </row>
    <row r="206" spans="7:11" ht="15" customHeight="1" x14ac:dyDescent="0.35">
      <c r="G206" t="str">
        <v>TuSimple-Trucking</v>
      </c>
    </row>
    <row r="207" spans="7:11" ht="15" customHeight="1" x14ac:dyDescent="0.35">
      <c r="G207" t="str">
        <v>Waabi-Trucking</v>
      </c>
    </row>
    <row r="208" spans="7:11" ht="15" customHeight="1" x14ac:dyDescent="0.35">
      <c r="G208" t="str">
        <v>Waymo-Ridehailing</v>
      </c>
    </row>
    <row r="209" spans="7:7" ht="15" customHeight="1" x14ac:dyDescent="0.35">
      <c r="G209" t="str">
        <v>Alliance Ventures (Renault, Nissan, Mitsubishi)-Last-Mile</v>
      </c>
    </row>
    <row r="210" spans="7:7" ht="15" customHeight="1" x14ac:dyDescent="0.35">
      <c r="G210" t="str">
        <v>WILLER-Ridepooling</v>
      </c>
    </row>
    <row r="211" spans="7:7" ht="15" customHeight="1" x14ac:dyDescent="0.35">
      <c r="G211" t="str" cm="1">
        <f t="array" ref="G211:G223">_xlfn._xlws.FILTER(_xlfn.UNIQUE(C4:C182),_xlfn.UNIQUE(C4:C182)&lt;&gt;0)</f>
        <v>Microsoft-Ridehailing</v>
      </c>
    </row>
    <row r="212" spans="7:7" ht="15" customHeight="1" x14ac:dyDescent="0.35">
      <c r="G212" t="str">
        <v>Shanghai Jiading Industrial Zone-Ridepooling</v>
      </c>
    </row>
    <row r="213" spans="7:7" ht="15" customHeight="1" x14ac:dyDescent="0.35">
      <c r="G213" t="str">
        <v>Bridgestone-Trucking</v>
      </c>
    </row>
    <row r="214" spans="7:7" ht="15" customHeight="1" x14ac:dyDescent="0.35">
      <c r="G214" t="str">
        <v>Telia-Trucking</v>
      </c>
    </row>
    <row r="215" spans="7:7" ht="15" customHeight="1" x14ac:dyDescent="0.35">
      <c r="G215" t="str">
        <v>Berliner Verkehrsbetriebe-Ridepooling</v>
      </c>
    </row>
    <row r="216" spans="7:7" ht="15" customHeight="1" x14ac:dyDescent="0.35">
      <c r="G216" t="str">
        <v>Volkswagen Commercial Vehicles-Ridepooling</v>
      </c>
    </row>
    <row r="217" spans="7:7" ht="15" customHeight="1" x14ac:dyDescent="0.35">
      <c r="G217" t="str">
        <v>Beti-Ridepooling</v>
      </c>
    </row>
    <row r="218" spans="7:7" ht="15" customHeight="1" x14ac:dyDescent="0.35">
      <c r="G218" t="str">
        <v>GreenPower-Ridepooling</v>
      </c>
    </row>
    <row r="219" spans="7:7" ht="15" customHeight="1" x14ac:dyDescent="0.35">
      <c r="G219" t="str">
        <v>JTA-Ridepooling</v>
      </c>
    </row>
    <row r="220" spans="7:7" ht="15" customHeight="1" x14ac:dyDescent="0.35">
      <c r="G220" t="str">
        <v>The Ad Council-Last-Mile</v>
      </c>
    </row>
    <row r="221" spans="7:7" ht="15" customHeight="1" x14ac:dyDescent="0.35">
      <c r="G221" t="str">
        <v>Luminar-Trucking</v>
      </c>
    </row>
    <row r="222" spans="7:7" ht="15" customHeight="1" x14ac:dyDescent="0.35">
      <c r="G222" t="str">
        <v>e.GO-Ridepooling</v>
      </c>
    </row>
    <row r="223" spans="7:7" ht="15" customHeight="1" x14ac:dyDescent="0.35">
      <c r="G223" t="str">
        <v>Bosch-Ridepooling</v>
      </c>
    </row>
    <row r="224" spans="7:7" ht="15" customHeight="1" x14ac:dyDescent="0.35">
      <c r="G224" t="str" cm="1">
        <f t="array" ref="G224">_xlfn._xlws.FILTER(_xlfn.UNIQUE(D4:D182),_xlfn.UNIQUE(D4:D182)&lt;&gt;0)</f>
        <v>Microsoft-Ridepooling</v>
      </c>
    </row>
  </sheetData>
  <conditionalFormatting sqref="J1:J1048576">
    <cfRule type="duplicateValues" dxfId="0" priority="1"/>
  </conditionalFormatting>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ANNOUNCEMENTS</vt:lpstr>
      <vt:lpstr>Summary per Company and Use Cas</vt:lpstr>
      <vt:lpstr>Company Summary</vt:lpstr>
      <vt:lpstr>HardCopy Company summar</vt:lpstr>
      <vt:lpstr>EXCERPT LIVE</vt:lpstr>
      <vt:lpstr>Hardcopy</vt:lpstr>
      <vt:lpstr>SUMMARY SAV partnership</vt:lpstr>
      <vt:lpstr>SUMMARY ATV partnership</vt:lpstr>
      <vt:lpstr>Correlation Overview</vt:lpstr>
      <vt:lpstr>SUMMARY _ Ridepooling</vt:lpstr>
      <vt:lpstr>Ridepooling Correlation</vt:lpstr>
      <vt:lpstr>SUMMARY _ Ridehailing</vt:lpstr>
      <vt:lpstr>Ridehailing Correlation</vt:lpstr>
      <vt:lpstr>SUMMARY _ Trucking</vt:lpstr>
      <vt:lpstr>Trucking Correlation</vt:lpstr>
      <vt:lpstr>SUMMARY _ Last-Mile</vt:lpstr>
      <vt:lpstr>Last-Mile Correlation</vt:lpstr>
      <vt:lpstr>Correlation all</vt:lpstr>
      <vt:lpstr>Correlating all statistics </vt:lpstr>
      <vt:lpstr>Counts Industries</vt:lpstr>
      <vt:lpstr>Industries all mentioned partne</vt:lpstr>
      <vt:lpstr>CBIMPORT</vt:lpstr>
      <vt:lpstr>LDA Input</vt:lpstr>
      <vt:lpstr>LDA Coherence - Perpl</vt:lpstr>
      <vt:lpstr>Topics, LDA t=5</vt:lpstr>
      <vt:lpstr>GEPHI_NODES</vt:lpstr>
      <vt:lpstr>Node Preparation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Eino Schulze-Steinen</dc:creator>
  <cp:lastModifiedBy>Eino Schulze-Steinen</cp:lastModifiedBy>
  <cp:lastPrinted>2024-03-06T12:03:09Z</cp:lastPrinted>
  <dcterms:created xsi:type="dcterms:W3CDTF">2024-01-31T16:10:55Z</dcterms:created>
  <dcterms:modified xsi:type="dcterms:W3CDTF">2024-03-21T23:38:05Z</dcterms:modified>
</cp:coreProperties>
</file>