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Taeyoon\Documents\Jupyter_note\INPUT\"/>
    </mc:Choice>
  </mc:AlternateContent>
  <xr:revisionPtr revIDLastSave="0" documentId="8_{5C57D545-1F3E-443D-B433-AA77D210BDAF}" xr6:coauthVersionLast="47" xr6:coauthVersionMax="47" xr10:uidLastSave="{00000000-0000-0000-0000-000000000000}"/>
  <bookViews>
    <workbookView xWindow="28680" yWindow="-120" windowWidth="38640" windowHeight="15990" activeTab="3" xr2:uid="{1282CF9E-70E6-48C5-ABBD-EA09D298A685}"/>
  </bookViews>
  <sheets>
    <sheet name="PB10X" sheetId="1" r:id="rId1"/>
    <sheet name="PB20X" sheetId="3" r:id="rId2"/>
    <sheet name="Sheet1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3" l="1"/>
  <c r="L12" i="3"/>
  <c r="G12" i="3"/>
  <c r="H12" i="3" s="1"/>
  <c r="F12" i="3"/>
  <c r="N11" i="3"/>
  <c r="F11" i="3"/>
  <c r="N10" i="3"/>
  <c r="F10" i="3"/>
  <c r="N9" i="3"/>
  <c r="L9" i="3"/>
  <c r="H9" i="3"/>
  <c r="G9" i="3"/>
  <c r="F9" i="3"/>
  <c r="N8" i="3"/>
  <c r="F8" i="3"/>
  <c r="N7" i="3"/>
  <c r="H7" i="3"/>
  <c r="F7" i="3"/>
  <c r="N6" i="3"/>
  <c r="F6" i="3"/>
  <c r="H6" i="3" s="1"/>
  <c r="L5" i="3"/>
  <c r="G5" i="3"/>
  <c r="H5" i="3" s="1"/>
  <c r="F5" i="3"/>
  <c r="L4" i="3"/>
  <c r="H4" i="3"/>
  <c r="G4" i="3"/>
  <c r="F4" i="3"/>
  <c r="L3" i="3"/>
  <c r="G3" i="3"/>
  <c r="F3" i="3"/>
  <c r="E58" i="2"/>
  <c r="E55" i="2"/>
  <c r="E51" i="2"/>
  <c r="E50" i="2"/>
  <c r="E49" i="2"/>
  <c r="K47" i="2"/>
  <c r="G47" i="2"/>
  <c r="F47" i="2"/>
  <c r="E47" i="2"/>
  <c r="E46" i="2"/>
  <c r="E45" i="2"/>
  <c r="K44" i="2"/>
  <c r="G44" i="2"/>
  <c r="F44" i="2"/>
  <c r="E44" i="2"/>
  <c r="E43" i="2"/>
  <c r="G42" i="2"/>
  <c r="E42" i="2"/>
  <c r="G41" i="2"/>
  <c r="E41" i="2"/>
  <c r="K40" i="2"/>
  <c r="G40" i="2"/>
  <c r="F40" i="2"/>
  <c r="E40" i="2"/>
  <c r="K39" i="2"/>
  <c r="G39" i="2"/>
  <c r="F39" i="2"/>
  <c r="E39" i="2"/>
  <c r="K38" i="2"/>
  <c r="G38" i="2"/>
  <c r="F38" i="2"/>
  <c r="E38" i="2"/>
  <c r="K34" i="2"/>
  <c r="G34" i="2"/>
  <c r="F34" i="2"/>
  <c r="E34" i="2"/>
  <c r="K33" i="2"/>
  <c r="G33" i="2"/>
  <c r="F33" i="2"/>
  <c r="E33" i="2"/>
  <c r="K32" i="2"/>
  <c r="G32" i="2"/>
  <c r="F32" i="2"/>
  <c r="E32" i="2"/>
  <c r="K31" i="2"/>
  <c r="G31" i="2"/>
  <c r="F31" i="2"/>
  <c r="E31" i="2"/>
  <c r="K30" i="2"/>
  <c r="G30" i="2"/>
  <c r="F30" i="2"/>
  <c r="E30" i="2"/>
  <c r="K29" i="2"/>
  <c r="G29" i="2"/>
  <c r="F29" i="2"/>
  <c r="E29" i="2"/>
  <c r="K28" i="2"/>
  <c r="G28" i="2"/>
  <c r="F28" i="2"/>
  <c r="E28" i="2"/>
  <c r="K27" i="2"/>
  <c r="G27" i="2"/>
  <c r="F27" i="2"/>
  <c r="E27" i="2"/>
  <c r="H65" i="1"/>
  <c r="L68" i="1"/>
  <c r="L67" i="1"/>
  <c r="L66" i="1"/>
  <c r="L65" i="1"/>
  <c r="L64" i="1"/>
  <c r="L63" i="1"/>
  <c r="L62" i="1"/>
  <c r="L61" i="1"/>
  <c r="H62" i="1"/>
  <c r="H63" i="1"/>
  <c r="H64" i="1"/>
  <c r="H66" i="1"/>
  <c r="H67" i="1"/>
  <c r="H68" i="1"/>
  <c r="H61" i="1"/>
  <c r="F62" i="1"/>
  <c r="F63" i="1"/>
  <c r="F64" i="1"/>
  <c r="F65" i="1"/>
  <c r="F66" i="1"/>
  <c r="F67" i="1"/>
  <c r="F68" i="1"/>
  <c r="F61" i="1"/>
  <c r="G68" i="1"/>
  <c r="G67" i="1"/>
  <c r="G66" i="1"/>
  <c r="G65" i="1"/>
  <c r="G64" i="1"/>
  <c r="G63" i="1"/>
  <c r="G62" i="1"/>
  <c r="G61" i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3" i="2"/>
  <c r="U23" i="2"/>
  <c r="T23" i="2"/>
  <c r="O23" i="2"/>
  <c r="N23" i="2"/>
  <c r="L23" i="2"/>
  <c r="E23" i="2"/>
  <c r="Z23" i="2" s="1"/>
  <c r="U22" i="2"/>
  <c r="T22" i="2"/>
  <c r="O22" i="2"/>
  <c r="N22" i="2"/>
  <c r="L22" i="2"/>
  <c r="K22" i="2"/>
  <c r="F22" i="2"/>
  <c r="E22" i="2"/>
  <c r="Z22" i="2" s="1"/>
  <c r="U21" i="2"/>
  <c r="T21" i="2"/>
  <c r="O21" i="2"/>
  <c r="N21" i="2"/>
  <c r="L21" i="2"/>
  <c r="K21" i="2"/>
  <c r="F21" i="2"/>
  <c r="E21" i="2"/>
  <c r="Z21" i="2" s="1"/>
  <c r="U20" i="2"/>
  <c r="T20" i="2"/>
  <c r="O20" i="2"/>
  <c r="N20" i="2"/>
  <c r="L20" i="2"/>
  <c r="E20" i="2"/>
  <c r="Z20" i="2" s="1"/>
  <c r="U19" i="2"/>
  <c r="T19" i="2"/>
  <c r="O19" i="2"/>
  <c r="N19" i="2"/>
  <c r="L19" i="2"/>
  <c r="K19" i="2"/>
  <c r="F19" i="2"/>
  <c r="E19" i="2"/>
  <c r="Z19" i="2" s="1"/>
  <c r="U18" i="2"/>
  <c r="T18" i="2"/>
  <c r="O18" i="2"/>
  <c r="N18" i="2"/>
  <c r="L18" i="2"/>
  <c r="K18" i="2"/>
  <c r="F18" i="2"/>
  <c r="E18" i="2"/>
  <c r="Z18" i="2" s="1"/>
  <c r="U17" i="2"/>
  <c r="T17" i="2"/>
  <c r="O17" i="2"/>
  <c r="N17" i="2"/>
  <c r="L17" i="2"/>
  <c r="E17" i="2"/>
  <c r="Z17" i="2" s="1"/>
  <c r="U16" i="2"/>
  <c r="T16" i="2"/>
  <c r="O16" i="2"/>
  <c r="N16" i="2"/>
  <c r="L16" i="2"/>
  <c r="E16" i="2"/>
  <c r="Z16" i="2" s="1"/>
  <c r="U15" i="2"/>
  <c r="T15" i="2"/>
  <c r="O15" i="2"/>
  <c r="N15" i="2"/>
  <c r="L15" i="2"/>
  <c r="E15" i="2"/>
  <c r="Z15" i="2" s="1"/>
  <c r="U14" i="2"/>
  <c r="T14" i="2"/>
  <c r="O14" i="2"/>
  <c r="N14" i="2"/>
  <c r="L14" i="2"/>
  <c r="K14" i="2"/>
  <c r="H14" i="2"/>
  <c r="F14" i="2"/>
  <c r="E14" i="2"/>
  <c r="Z14" i="2" s="1"/>
  <c r="U13" i="2"/>
  <c r="T13" i="2"/>
  <c r="O13" i="2"/>
  <c r="N13" i="2"/>
  <c r="L13" i="2"/>
  <c r="E13" i="2"/>
  <c r="Z13" i="2" s="1"/>
  <c r="U12" i="2"/>
  <c r="T12" i="2"/>
  <c r="O12" i="2"/>
  <c r="N12" i="2"/>
  <c r="L12" i="2"/>
  <c r="K12" i="2"/>
  <c r="F12" i="2"/>
  <c r="E12" i="2"/>
  <c r="Z12" i="2" s="1"/>
  <c r="U11" i="2"/>
  <c r="T11" i="2"/>
  <c r="O11" i="2"/>
  <c r="N11" i="2"/>
  <c r="L11" i="2"/>
  <c r="K11" i="2"/>
  <c r="F11" i="2"/>
  <c r="E11" i="2"/>
  <c r="Z11" i="2" s="1"/>
  <c r="U10" i="2"/>
  <c r="T10" i="2"/>
  <c r="O10" i="2"/>
  <c r="N10" i="2"/>
  <c r="L10" i="2"/>
  <c r="K10" i="2"/>
  <c r="J10" i="2"/>
  <c r="H10" i="2"/>
  <c r="F10" i="2"/>
  <c r="E10" i="2"/>
  <c r="Z10" i="2" s="1"/>
  <c r="U9" i="2"/>
  <c r="T9" i="2"/>
  <c r="O9" i="2"/>
  <c r="N9" i="2"/>
  <c r="L9" i="2"/>
  <c r="K9" i="2"/>
  <c r="J9" i="2"/>
  <c r="H9" i="2"/>
  <c r="F9" i="2"/>
  <c r="E9" i="2"/>
  <c r="Z9" i="2" s="1"/>
  <c r="U8" i="2"/>
  <c r="T8" i="2"/>
  <c r="O8" i="2"/>
  <c r="N8" i="2"/>
  <c r="L8" i="2"/>
  <c r="K8" i="2"/>
  <c r="F8" i="2"/>
  <c r="E8" i="2"/>
  <c r="Z8" i="2" s="1"/>
  <c r="U7" i="2"/>
  <c r="T7" i="2"/>
  <c r="O7" i="2"/>
  <c r="N7" i="2"/>
  <c r="L7" i="2"/>
  <c r="K7" i="2"/>
  <c r="H7" i="2"/>
  <c r="F7" i="2"/>
  <c r="E7" i="2"/>
  <c r="Z7" i="2" s="1"/>
  <c r="U6" i="2"/>
  <c r="T6" i="2"/>
  <c r="O6" i="2"/>
  <c r="N6" i="2"/>
  <c r="L6" i="2"/>
  <c r="K6" i="2"/>
  <c r="H6" i="2"/>
  <c r="F6" i="2"/>
  <c r="E6" i="2"/>
  <c r="Z6" i="2" s="1"/>
  <c r="U5" i="2"/>
  <c r="T5" i="2"/>
  <c r="O5" i="2"/>
  <c r="N5" i="2"/>
  <c r="L5" i="2"/>
  <c r="K5" i="2"/>
  <c r="F5" i="2"/>
  <c r="E5" i="2"/>
  <c r="Z5" i="2" s="1"/>
  <c r="U4" i="2"/>
  <c r="T4" i="2"/>
  <c r="O4" i="2"/>
  <c r="N4" i="2"/>
  <c r="L4" i="2"/>
  <c r="K4" i="2"/>
  <c r="H4" i="2"/>
  <c r="F4" i="2"/>
  <c r="E4" i="2"/>
  <c r="Z4" i="2" s="1"/>
  <c r="U3" i="2"/>
  <c r="T3" i="2"/>
  <c r="O3" i="2"/>
  <c r="N3" i="2"/>
  <c r="L3" i="2"/>
  <c r="K3" i="2"/>
  <c r="F3" i="2"/>
  <c r="E3" i="2"/>
  <c r="Z3" i="2" s="1"/>
  <c r="V46" i="1"/>
  <c r="W46" i="1" s="1"/>
  <c r="V55" i="1"/>
  <c r="W41" i="1"/>
  <c r="W42" i="1"/>
  <c r="W43" i="1"/>
  <c r="W44" i="1"/>
  <c r="W45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40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33" i="1"/>
  <c r="P60" i="1"/>
  <c r="P59" i="1"/>
  <c r="P58" i="1"/>
  <c r="P57" i="1"/>
  <c r="P56" i="1"/>
  <c r="P55" i="1"/>
  <c r="P54" i="1"/>
  <c r="P53" i="1"/>
  <c r="P52" i="1"/>
  <c r="P51" i="1"/>
  <c r="P50" i="1"/>
  <c r="P49" i="1"/>
  <c r="P47" i="1"/>
  <c r="P48" i="1"/>
  <c r="P46" i="1"/>
  <c r="P45" i="1"/>
  <c r="P44" i="1"/>
  <c r="P43" i="1"/>
  <c r="P42" i="1"/>
  <c r="P41" i="1"/>
  <c r="P40" i="1"/>
  <c r="R39" i="1"/>
  <c r="R38" i="1"/>
  <c r="R37" i="1"/>
  <c r="R36" i="1"/>
  <c r="R35" i="1"/>
  <c r="R34" i="1"/>
  <c r="R33" i="1"/>
  <c r="V59" i="1"/>
  <c r="V58" i="1"/>
  <c r="V56" i="1"/>
  <c r="V54" i="1"/>
  <c r="V53" i="1"/>
  <c r="V52" i="1"/>
  <c r="V57" i="1"/>
  <c r="V60" i="1"/>
  <c r="V51" i="1"/>
  <c r="V50" i="1"/>
  <c r="V49" i="1"/>
  <c r="V48" i="1"/>
  <c r="V47" i="1"/>
  <c r="V45" i="1"/>
  <c r="V44" i="1"/>
  <c r="V43" i="1"/>
  <c r="V42" i="1"/>
  <c r="V41" i="1"/>
  <c r="V40" i="1"/>
  <c r="M60" i="1"/>
  <c r="N60" i="1" s="1"/>
  <c r="M59" i="1"/>
  <c r="M58" i="1"/>
  <c r="M57" i="1"/>
  <c r="N57" i="1" s="1"/>
  <c r="M56" i="1"/>
  <c r="M55" i="1"/>
  <c r="M54" i="1"/>
  <c r="N54" i="1" s="1"/>
  <c r="M53" i="1"/>
  <c r="N53" i="1" s="1"/>
  <c r="M52" i="1"/>
  <c r="N52" i="1" s="1"/>
  <c r="M51" i="1"/>
  <c r="M50" i="1"/>
  <c r="N50" i="1" s="1"/>
  <c r="M49" i="1"/>
  <c r="M48" i="1"/>
  <c r="M47" i="1"/>
  <c r="M46" i="1"/>
  <c r="M45" i="1"/>
  <c r="M44" i="1"/>
  <c r="M43" i="1"/>
  <c r="M42" i="1"/>
  <c r="M41" i="1"/>
  <c r="M40" i="1"/>
  <c r="L59" i="1"/>
  <c r="L58" i="1"/>
  <c r="L56" i="1"/>
  <c r="L55" i="1"/>
  <c r="L51" i="1"/>
  <c r="L49" i="1"/>
  <c r="L48" i="1"/>
  <c r="L47" i="1"/>
  <c r="L46" i="1"/>
  <c r="L45" i="1"/>
  <c r="L44" i="1"/>
  <c r="L43" i="1"/>
  <c r="L42" i="1"/>
  <c r="L41" i="1"/>
  <c r="L40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I51" i="1"/>
  <c r="K47" i="1"/>
  <c r="I47" i="1"/>
  <c r="K46" i="1"/>
  <c r="I46" i="1"/>
  <c r="I44" i="1"/>
  <c r="I43" i="1"/>
  <c r="I41" i="1"/>
  <c r="G56" i="1"/>
  <c r="G55" i="1"/>
  <c r="G51" i="1"/>
  <c r="G47" i="1"/>
  <c r="G45" i="1"/>
  <c r="G42" i="1"/>
  <c r="G40" i="1"/>
  <c r="G59" i="1"/>
  <c r="G58" i="1"/>
  <c r="G49" i="1"/>
  <c r="G48" i="1"/>
  <c r="G46" i="1"/>
  <c r="G44" i="1"/>
  <c r="G43" i="1"/>
  <c r="G41" i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1" i="1"/>
  <c r="H11" i="1" s="1"/>
  <c r="F12" i="1"/>
  <c r="H12" i="1" s="1"/>
  <c r="F13" i="1"/>
  <c r="H13" i="1" s="1"/>
  <c r="F14" i="1"/>
  <c r="H14" i="1" s="1"/>
  <c r="F16" i="1"/>
  <c r="H16" i="1" s="1"/>
  <c r="F18" i="1"/>
  <c r="H18" i="1" s="1"/>
  <c r="F20" i="1"/>
  <c r="H20" i="1" s="1"/>
  <c r="F22" i="1"/>
  <c r="H22" i="1" s="1"/>
  <c r="F24" i="1"/>
  <c r="H24" i="1" s="1"/>
  <c r="F25" i="1"/>
  <c r="H25" i="1" s="1"/>
  <c r="F27" i="1"/>
  <c r="H27" i="1" s="1"/>
  <c r="F29" i="1"/>
  <c r="H29" i="1" s="1"/>
  <c r="F30" i="1"/>
  <c r="H30" i="1" s="1"/>
  <c r="F31" i="1"/>
  <c r="H31" i="1" s="1"/>
  <c r="F32" i="1"/>
  <c r="H32" i="1" s="1"/>
  <c r="F10" i="1"/>
  <c r="H10" i="1" s="1"/>
  <c r="F19" i="1"/>
  <c r="H19" i="1" s="1"/>
  <c r="F21" i="1"/>
  <c r="H21" i="1" s="1"/>
  <c r="F26" i="1"/>
  <c r="H26" i="1" s="1"/>
  <c r="F28" i="1"/>
  <c r="H28" i="1" s="1"/>
  <c r="F15" i="1"/>
  <c r="H15" i="1" s="1"/>
  <c r="F17" i="1"/>
  <c r="H17" i="1" s="1"/>
  <c r="F23" i="1"/>
  <c r="H23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60" i="1"/>
  <c r="H60" i="1" s="1"/>
  <c r="F50" i="1"/>
  <c r="H50" i="1" s="1"/>
  <c r="F52" i="1"/>
  <c r="H52" i="1" s="1"/>
  <c r="F53" i="1"/>
  <c r="H53" i="1" s="1"/>
  <c r="F54" i="1"/>
  <c r="H54" i="1" s="1"/>
  <c r="F57" i="1"/>
  <c r="H57" i="1" s="1"/>
  <c r="F41" i="1"/>
  <c r="H41" i="1" s="1"/>
  <c r="F43" i="1"/>
  <c r="F44" i="1"/>
  <c r="F46" i="1"/>
  <c r="F48" i="1"/>
  <c r="F49" i="1"/>
  <c r="F58" i="1"/>
  <c r="F59" i="1"/>
  <c r="F40" i="1"/>
  <c r="H40" i="1" s="1"/>
  <c r="F42" i="1"/>
  <c r="F45" i="1"/>
  <c r="F47" i="1"/>
  <c r="F51" i="1"/>
  <c r="F55" i="1"/>
  <c r="F56" i="1"/>
  <c r="F3" i="1"/>
  <c r="H3" i="1" s="1"/>
  <c r="I22" i="1"/>
  <c r="I14" i="1"/>
  <c r="I16" i="1"/>
  <c r="K9" i="1"/>
  <c r="I9" i="1"/>
  <c r="I6" i="1"/>
  <c r="I13" i="1"/>
  <c r="H3" i="3" l="1"/>
  <c r="G3" i="2"/>
  <c r="G4" i="2"/>
  <c r="G7" i="2"/>
  <c r="G15" i="2"/>
  <c r="G5" i="2"/>
  <c r="G6" i="2"/>
  <c r="G8" i="2"/>
  <c r="G21" i="2"/>
  <c r="G22" i="2"/>
  <c r="G10" i="2"/>
  <c r="G17" i="2"/>
  <c r="G19" i="2"/>
  <c r="G20" i="2"/>
  <c r="G9" i="2"/>
  <c r="G18" i="2"/>
  <c r="G23" i="2"/>
  <c r="G14" i="2"/>
  <c r="G16" i="2"/>
  <c r="G11" i="2"/>
  <c r="G12" i="2"/>
  <c r="G13" i="2"/>
  <c r="N44" i="1"/>
  <c r="N45" i="1"/>
  <c r="N41" i="1"/>
  <c r="N43" i="1"/>
  <c r="N46" i="1"/>
  <c r="N55" i="1"/>
  <c r="N56" i="1"/>
  <c r="N49" i="1"/>
  <c r="N42" i="1"/>
  <c r="N58" i="1"/>
  <c r="N59" i="1"/>
  <c r="N51" i="1"/>
  <c r="N47" i="1"/>
  <c r="N40" i="1"/>
  <c r="N48" i="1"/>
  <c r="H49" i="1"/>
  <c r="H55" i="1"/>
  <c r="H58" i="1"/>
  <c r="H51" i="1"/>
  <c r="H48" i="1"/>
  <c r="H43" i="1"/>
  <c r="H44" i="1"/>
  <c r="H59" i="1"/>
  <c r="H42" i="1"/>
  <c r="H46" i="1"/>
  <c r="H47" i="1"/>
  <c r="H45" i="1"/>
  <c r="H56" i="1"/>
</calcChain>
</file>

<file path=xl/sharedStrings.xml><?xml version="1.0" encoding="utf-8"?>
<sst xmlns="http://schemas.openxmlformats.org/spreadsheetml/2006/main" count="1068" uniqueCount="197">
  <si>
    <t>Titer (g/L)</t>
    <phoneticPr fontId="1" type="noConversion"/>
  </si>
  <si>
    <t>HCCF</t>
    <phoneticPr fontId="1" type="noConversion"/>
  </si>
  <si>
    <t>2nd chromatography</t>
    <phoneticPr fontId="1" type="noConversion"/>
  </si>
  <si>
    <t>Protein A chromatography</t>
    <phoneticPr fontId="1" type="noConversion"/>
  </si>
  <si>
    <t>HMWS
(%)</t>
    <phoneticPr fontId="1" type="noConversion"/>
  </si>
  <si>
    <t>Monomer
(%)</t>
    <phoneticPr fontId="1" type="noConversion"/>
  </si>
  <si>
    <t>LMWS
(%)</t>
    <phoneticPr fontId="1" type="noConversion"/>
  </si>
  <si>
    <t>Step yield
(%)</t>
    <phoneticPr fontId="1" type="noConversion"/>
  </si>
  <si>
    <t>Eluate amounts
(mg)</t>
    <phoneticPr fontId="1" type="noConversion"/>
  </si>
  <si>
    <t>Load amounts
(mg)</t>
    <phoneticPr fontId="1" type="noConversion"/>
  </si>
  <si>
    <t>Constructs</t>
    <phoneticPr fontId="1" type="noConversion"/>
  </si>
  <si>
    <t>Code</t>
    <phoneticPr fontId="1" type="noConversion"/>
  </si>
  <si>
    <t>H-11A1</t>
    <phoneticPr fontId="1" type="noConversion"/>
  </si>
  <si>
    <t>Purification
final date</t>
    <phoneticPr fontId="1" type="noConversion"/>
  </si>
  <si>
    <t>H-01C01</t>
  </si>
  <si>
    <t>H-01C1</t>
    <phoneticPr fontId="1" type="noConversion"/>
  </si>
  <si>
    <t>PB101</t>
  </si>
  <si>
    <t>VEGF-Grab1</t>
    <phoneticPr fontId="1" type="noConversion"/>
  </si>
  <si>
    <t>H-01C04</t>
    <phoneticPr fontId="1" type="noConversion"/>
  </si>
  <si>
    <t>H-01C05</t>
  </si>
  <si>
    <t>H-01C06</t>
  </si>
  <si>
    <t>H-01C07</t>
  </si>
  <si>
    <t>H-01C08</t>
    <phoneticPr fontId="1" type="noConversion"/>
  </si>
  <si>
    <t>H-01C09</t>
  </si>
  <si>
    <t>H-01C10</t>
  </si>
  <si>
    <t>H-01C11</t>
  </si>
  <si>
    <t>H-01C12</t>
  </si>
  <si>
    <t>H-01C13</t>
    <phoneticPr fontId="1" type="noConversion"/>
  </si>
  <si>
    <t>H-01C14</t>
    <phoneticPr fontId="1" type="noConversion"/>
  </si>
  <si>
    <t>H-01C15</t>
  </si>
  <si>
    <t>H-01C16</t>
  </si>
  <si>
    <t>H-01C17</t>
    <phoneticPr fontId="1" type="noConversion"/>
  </si>
  <si>
    <t>H-01C18</t>
  </si>
  <si>
    <t>H-01C19</t>
  </si>
  <si>
    <t>H-01C20</t>
  </si>
  <si>
    <t>H-01C21</t>
  </si>
  <si>
    <t>H-01C22</t>
    <phoneticPr fontId="1" type="noConversion"/>
  </si>
  <si>
    <t>H-01C23</t>
  </si>
  <si>
    <t>H-01C24</t>
  </si>
  <si>
    <t>N-term &amp; Hinge</t>
    <phoneticPr fontId="1" type="noConversion"/>
  </si>
  <si>
    <t>Surface charge</t>
    <phoneticPr fontId="1" type="noConversion"/>
  </si>
  <si>
    <t>DS bond</t>
    <phoneticPr fontId="1" type="noConversion"/>
  </si>
  <si>
    <t>L258S</t>
    <phoneticPr fontId="1" type="noConversion"/>
  </si>
  <si>
    <t>L258A</t>
    <phoneticPr fontId="1" type="noConversion"/>
  </si>
  <si>
    <t>Q225V</t>
    <phoneticPr fontId="1" type="noConversion"/>
  </si>
  <si>
    <t>Q225R</t>
    <phoneticPr fontId="1" type="noConversion"/>
  </si>
  <si>
    <t>Q225H</t>
    <phoneticPr fontId="1" type="noConversion"/>
  </si>
  <si>
    <t>Q225V/L258S</t>
    <phoneticPr fontId="1" type="noConversion"/>
  </si>
  <si>
    <t>Volume
(mL)</t>
    <phoneticPr fontId="1" type="noConversion"/>
  </si>
  <si>
    <t>H-01C15</t>
    <phoneticPr fontId="1" type="noConversion"/>
  </si>
  <si>
    <t>H-01C16</t>
    <phoneticPr fontId="1" type="noConversion"/>
  </si>
  <si>
    <t>H-01C19</t>
    <phoneticPr fontId="1" type="noConversion"/>
  </si>
  <si>
    <t>H-01C20</t>
    <phoneticPr fontId="1" type="noConversion"/>
  </si>
  <si>
    <t>H-01C25</t>
    <phoneticPr fontId="1" type="noConversion"/>
  </si>
  <si>
    <t>H-01C26</t>
    <phoneticPr fontId="1" type="noConversion"/>
  </si>
  <si>
    <t>H-01C27</t>
  </si>
  <si>
    <t>H-01C28</t>
  </si>
  <si>
    <t>H-01C29</t>
  </si>
  <si>
    <t>H-01C30</t>
  </si>
  <si>
    <t>H-01C31</t>
  </si>
  <si>
    <t>Surface charge &amp; L258A</t>
    <phoneticPr fontId="1" type="noConversion"/>
  </si>
  <si>
    <t>N/A</t>
    <phoneticPr fontId="1" type="noConversion"/>
  </si>
  <si>
    <t>H-01C42</t>
    <phoneticPr fontId="1" type="noConversion"/>
  </si>
  <si>
    <t>H-01C45</t>
    <phoneticPr fontId="1" type="noConversion"/>
  </si>
  <si>
    <t>H-01C44</t>
    <phoneticPr fontId="1" type="noConversion"/>
  </si>
  <si>
    <t>H-01C46</t>
    <phoneticPr fontId="1" type="noConversion"/>
  </si>
  <si>
    <t>H-01C49</t>
    <phoneticPr fontId="1" type="noConversion"/>
  </si>
  <si>
    <t>PB101-NH29(GS/IgG4)</t>
  </si>
  <si>
    <t>PB101-NH35PP(DTPPT)</t>
  </si>
  <si>
    <t>PB101-NH20-GSSG_EPKS-DATP</t>
  </si>
  <si>
    <t>PB101-NH20-GSSG_EPKS-DSTY</t>
  </si>
  <si>
    <t>PB101-NH20Y_L114CG202C(L114C2C)</t>
  </si>
  <si>
    <t>H-01C33</t>
    <phoneticPr fontId="1" type="noConversion"/>
  </si>
  <si>
    <t>H-01C35</t>
    <phoneticPr fontId="1" type="noConversion"/>
  </si>
  <si>
    <t>PB101-GSSG_SPPS(C211S/C214S)</t>
  </si>
  <si>
    <t>PB101-GSSG_upperH(EPKSS)/H214Y/SPPS</t>
  </si>
  <si>
    <t>PB101-NH20</t>
  </si>
  <si>
    <t>PB101-NH20Y(DKTYT/H218Y)</t>
  </si>
  <si>
    <t>PB101-NH20PP(DTPPT/K216T/T217P/H218P)</t>
  </si>
  <si>
    <t>PB101-NH35Y(DKTYT)</t>
  </si>
  <si>
    <t>PB101-NH20Y_T112CS203C(T112CC)</t>
  </si>
  <si>
    <t>PB101-NH20Y_L114CY200C(L114CC)</t>
  </si>
  <si>
    <t>PB101-NH20Y_R115CY200C (R115CC)</t>
  </si>
  <si>
    <t>H-01C32</t>
    <phoneticPr fontId="1" type="noConversion"/>
  </si>
  <si>
    <t>H-01C34</t>
    <phoneticPr fontId="1" type="noConversion"/>
  </si>
  <si>
    <t>H-01C37</t>
    <phoneticPr fontId="1" type="noConversion"/>
  </si>
  <si>
    <t>H-01C39</t>
    <phoneticPr fontId="1" type="noConversion"/>
  </si>
  <si>
    <t>H-01C43</t>
    <phoneticPr fontId="1" type="noConversion"/>
  </si>
  <si>
    <t>H-01C47</t>
    <phoneticPr fontId="1" type="noConversion"/>
  </si>
  <si>
    <t>H-01C48</t>
    <phoneticPr fontId="1" type="noConversion"/>
  </si>
  <si>
    <t>H-01C36</t>
    <phoneticPr fontId="1" type="noConversion"/>
  </si>
  <si>
    <t>H-01C38</t>
    <phoneticPr fontId="1" type="noConversion"/>
  </si>
  <si>
    <t>H-01C40</t>
    <phoneticPr fontId="1" type="noConversion"/>
  </si>
  <si>
    <t>H-01C41</t>
    <phoneticPr fontId="1" type="noConversion"/>
  </si>
  <si>
    <t>H-01C50</t>
    <phoneticPr fontId="1" type="noConversion"/>
  </si>
  <si>
    <t>H-01C51</t>
    <phoneticPr fontId="1" type="noConversion"/>
  </si>
  <si>
    <t>Neutralization/Concentration</t>
    <phoneticPr fontId="1" type="noConversion"/>
  </si>
  <si>
    <t>Load amounts
(mg)3</t>
    <phoneticPr fontId="1" type="noConversion"/>
  </si>
  <si>
    <t>Eluate amounts
(mg)3</t>
    <phoneticPr fontId="1" type="noConversion"/>
  </si>
  <si>
    <t>Step yield
(%)3</t>
    <phoneticPr fontId="1" type="noConversion"/>
  </si>
  <si>
    <t>Load amounts
(mg)2</t>
    <phoneticPr fontId="1" type="noConversion"/>
  </si>
  <si>
    <t>Eluate amounts
(mg)2</t>
    <phoneticPr fontId="1" type="noConversion"/>
  </si>
  <si>
    <t>Step yield
(%)2</t>
    <phoneticPr fontId="1" type="noConversion"/>
  </si>
  <si>
    <t>HMWS
(%)3</t>
    <phoneticPr fontId="1" type="noConversion"/>
  </si>
  <si>
    <t>Monomer
(%)3</t>
    <phoneticPr fontId="1" type="noConversion"/>
  </si>
  <si>
    <t>LMWS
(%)3</t>
    <phoneticPr fontId="1" type="noConversion"/>
  </si>
  <si>
    <t>N/A</t>
    <phoneticPr fontId="1" type="noConversion"/>
  </si>
  <si>
    <t>2nd chromatography: SEC, protein A eluate aggregates during concentration using Amicon
Protein A eluate color is deep yellow</t>
    <phoneticPr fontId="1" type="noConversion"/>
  </si>
  <si>
    <t>2nd chromatography: SEC, protein A eluateaggregates during concentration using Amicon
Protein A eluate color is deep yellow</t>
    <phoneticPr fontId="1" type="noConversion"/>
  </si>
  <si>
    <t>2nd chromatography: SEC, protein A eluate aggregates during concentration using Amicon</t>
    <phoneticPr fontId="1" type="noConversion"/>
  </si>
  <si>
    <t>2nd chromatography: SEC, protein A eluate aggregates during concentration using Amicon
Protein A eluate color is yellow
SEC processing raw data is 01C50(well no. 1:C,5) from 210823_PB10X_SEC</t>
    <phoneticPr fontId="1" type="noConversion"/>
  </si>
  <si>
    <t>2nd chromatography: SEC, protein A eluate aggregates during concentration using Amicon
Protein A eluate color is deep yellow
SEC processing raw data is 01C49(well no. 1:C,4) from 210823_PB10X_SEC</t>
    <phoneticPr fontId="1" type="noConversion"/>
  </si>
  <si>
    <t>2nd chromatography: SEC, protein A eluate aggregates during concentration using Amicon
Protein A eluate color is deep yellow
SEC processing raw data is 01C48(well no. 1:C,3) from 210823_PB10X_SEC</t>
    <phoneticPr fontId="1" type="noConversion"/>
  </si>
  <si>
    <t>2nd chromatography: SEC, protein A eluate aggregates during concentration using Amicon
Protein A eluate color is deep yellow
SEC processing raw data is 01C47(well no. 1:C,2) from 210823_PB10X_SEC</t>
    <phoneticPr fontId="1" type="noConversion"/>
  </si>
  <si>
    <t>2nd chromatography: SEC, protein A eluate aggregates during concentration using Amicon
SEC processing raw data is 01C45(well no. 1:B,5) from 210823_PB10X_SEC</t>
    <phoneticPr fontId="1" type="noConversion"/>
  </si>
  <si>
    <t>2nd chromatography: SEC, protein A eluate aggregates during concentration using Amicon
Protein A eluate color is yellow
SEC purity is 100.0% but it may two peaks</t>
    <phoneticPr fontId="1" type="noConversion"/>
  </si>
  <si>
    <t>2nd chromatography: SEC, protein A eluate aggregates during concentration using Amicon
Protein A eluate color is deep yellow
SEC purity is 100.0% but it is two peaks</t>
    <phoneticPr fontId="1" type="noConversion"/>
  </si>
  <si>
    <t>2nd chromatography: SEC, protein A eluate aggregates during concentration using Amicon
Protein A eluate color is yellow
SEC processing raw data is 01C46(well no. 1:C,1) from 210823_PB10X_SEC
SEC purity is 100.0% but it is two peaks</t>
    <phoneticPr fontId="1" type="noConversion"/>
  </si>
  <si>
    <t>2nd chromatography: SEC, protein A eluate aggregates during concentration using Amicon
Protein A eluate color is deep yellow
SEC purity is 100.0% but it may two peaks</t>
    <phoneticPr fontId="1" type="noConversion"/>
  </si>
  <si>
    <t>Note</t>
    <phoneticPr fontId="1" type="noConversion"/>
  </si>
  <si>
    <t>UF/DF</t>
    <phoneticPr fontId="1" type="noConversion"/>
  </si>
  <si>
    <t>Load amounts
(mg)4</t>
    <phoneticPr fontId="1" type="noConversion"/>
  </si>
  <si>
    <t>Eluate amounts
(mg)4</t>
    <phoneticPr fontId="1" type="noConversion"/>
  </si>
  <si>
    <t>Step yield
(%)4</t>
    <phoneticPr fontId="1" type="noConversion"/>
  </si>
  <si>
    <t>HMWS
(%)4</t>
    <phoneticPr fontId="1" type="noConversion"/>
  </si>
  <si>
    <t>Monomer
(%)4</t>
    <phoneticPr fontId="1" type="noConversion"/>
  </si>
  <si>
    <t>LMWS
(%)4</t>
    <phoneticPr fontId="1" type="noConversion"/>
  </si>
  <si>
    <t>Final yield</t>
    <phoneticPr fontId="1" type="noConversion"/>
  </si>
  <si>
    <t>H-11A1</t>
    <phoneticPr fontId="1" type="noConversion"/>
  </si>
  <si>
    <t>PB101</t>
    <phoneticPr fontId="1" type="noConversion"/>
  </si>
  <si>
    <t>H-01C52</t>
    <phoneticPr fontId="1" type="noConversion"/>
  </si>
  <si>
    <t>H-01C55</t>
    <phoneticPr fontId="1" type="noConversion"/>
  </si>
  <si>
    <t>H-01C56</t>
  </si>
  <si>
    <t>H-01C57</t>
  </si>
  <si>
    <t>H-01C58</t>
  </si>
  <si>
    <t>H-01C59</t>
  </si>
  <si>
    <t>H-01C60</t>
  </si>
  <si>
    <t>H-12B1</t>
    <phoneticPr fontId="1" type="noConversion"/>
  </si>
  <si>
    <t>H-12C25</t>
    <phoneticPr fontId="1" type="noConversion"/>
  </si>
  <si>
    <t>H-12C26</t>
    <phoneticPr fontId="1" type="noConversion"/>
  </si>
  <si>
    <t>H-12C27</t>
  </si>
  <si>
    <t>H-12C28</t>
  </si>
  <si>
    <t>H-12C29</t>
  </si>
  <si>
    <t>H-12C30</t>
  </si>
  <si>
    <t>H-12C31</t>
  </si>
  <si>
    <t>H-12C32</t>
  </si>
  <si>
    <t>H-12C33</t>
  </si>
  <si>
    <t>Panitumab-PB101</t>
    <phoneticPr fontId="1" type="noConversion"/>
  </si>
  <si>
    <t>PB101-NH20_nonglycosylation(NG)</t>
  </si>
  <si>
    <t>NH20_GS+IgG1</t>
  </si>
  <si>
    <t>NH36_modi</t>
  </si>
  <si>
    <t>vector seq1</t>
  </si>
  <si>
    <t>vector seq2</t>
  </si>
  <si>
    <t>vector seq3</t>
  </si>
  <si>
    <t>vector seq4</t>
  </si>
  <si>
    <t>TBD</t>
    <phoneticPr fontId="1" type="noConversion"/>
  </si>
  <si>
    <t>N/D</t>
    <phoneticPr fontId="1" type="noConversion"/>
  </si>
  <si>
    <t>v1/ori/none/none/H-01C27</t>
    <phoneticPr fontId="1" type="noConversion"/>
  </si>
  <si>
    <t>v1/NH29/none/none/H-01C27</t>
    <phoneticPr fontId="1" type="noConversion"/>
  </si>
  <si>
    <t>v2/NH29/none/none/H-01C27</t>
    <phoneticPr fontId="1" type="noConversion"/>
  </si>
  <si>
    <t>v1/NH29/G44C/Q(G)100C/H-01C27</t>
    <phoneticPr fontId="1" type="noConversion"/>
  </si>
  <si>
    <t>v1/NH29/Q105C/K42C/H-01C27</t>
    <phoneticPr fontId="1" type="noConversion"/>
  </si>
  <si>
    <t>v1/NH29/P41C/G41C/H-01C27</t>
    <phoneticPr fontId="1" type="noConversion"/>
  </si>
  <si>
    <t>v1/NH29/G44CQ105C/Q(G)100CK42C/H-01C27</t>
    <phoneticPr fontId="1" type="noConversion"/>
  </si>
  <si>
    <t>v1/NH29/G44CP41C/Q(G)100CG41C/H-01C27</t>
    <phoneticPr fontId="1" type="noConversion"/>
  </si>
  <si>
    <t>GS/NH29/none/none/H-01C27</t>
    <phoneticPr fontId="1" type="noConversion"/>
  </si>
  <si>
    <t>Panitumumab-PB101</t>
    <phoneticPr fontId="1" type="noConversion"/>
  </si>
  <si>
    <t>H-11A1</t>
  </si>
  <si>
    <t>H-01C52</t>
  </si>
  <si>
    <t>H-01C55</t>
  </si>
  <si>
    <t>PB10X</t>
    <phoneticPr fontId="1" type="noConversion"/>
  </si>
  <si>
    <t>H-12B1</t>
  </si>
  <si>
    <t>Panitumumab-PB101</t>
  </si>
  <si>
    <t>H-12C25</t>
  </si>
  <si>
    <t>v1/ori/none/none/H-01C27</t>
  </si>
  <si>
    <t>H-12C26</t>
  </si>
  <si>
    <t>v1/NH29/none/none/H-01C27</t>
  </si>
  <si>
    <t>v2/NH29/none/none/H-01C27</t>
  </si>
  <si>
    <t>v1/NH29/G44C/Q(G)100C/H-01C27</t>
  </si>
  <si>
    <t>v1/NH29/Q105C/K42C/H-01C27</t>
  </si>
  <si>
    <t>v1/NH29/P41C/G41C/H-01C27</t>
  </si>
  <si>
    <t>v1/NH29/G44CQ105C/Q(G)100CK42C/H-01C27</t>
  </si>
  <si>
    <t>v1/NH29/G44CP41C/Q(G)100CG41C/H-01C27</t>
  </si>
  <si>
    <t>GS/NH29/none/none/H-01C27</t>
  </si>
  <si>
    <t>PB20X</t>
  </si>
  <si>
    <t>PB20X</t>
    <phoneticPr fontId="1" type="noConversion"/>
  </si>
  <si>
    <t>category</t>
    <phoneticPr fontId="1" type="noConversion"/>
  </si>
  <si>
    <t>name</t>
    <phoneticPr fontId="1" type="noConversion"/>
  </si>
  <si>
    <t>construct</t>
    <phoneticPr fontId="1" type="noConversion"/>
  </si>
  <si>
    <t>Titer(g/L)</t>
    <phoneticPr fontId="1" type="noConversion"/>
  </si>
  <si>
    <t>Volume</t>
    <phoneticPr fontId="1" type="noConversion"/>
  </si>
  <si>
    <t>Load amounts
(mg)</t>
  </si>
  <si>
    <t>Eluate amounts
(mg)</t>
  </si>
  <si>
    <t>Step yield
(%)</t>
  </si>
  <si>
    <t>HMWS
(%)</t>
  </si>
  <si>
    <t>Monomer
(%)</t>
  </si>
  <si>
    <t>LMWS
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</si>
</sst>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0_);[Red]\(0.000\)"/>
    <numFmt numFmtId="178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4"/>
      <color theme="1"/>
      <name val="맑은 고딕"/>
      <family val="3"/>
      <charset val="129"/>
      <scheme val="minor"/>
    </font>
    <font>
      <sz val="14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14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>
      <alignment vertical="center"/>
    </xf>
    <xf numFmtId="17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 wrapText="1"/>
    </xf>
    <xf numFmtId="177" fontId="4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78" fontId="4" fillId="2" borderId="3" xfId="0" applyNumberFormat="1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176" fontId="4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8" fontId="6" fillId="0" borderId="0" xfId="0" applyNumberFormat="1" applyFont="1" applyBorder="1" applyAlignment="1">
      <alignment horizontal="right" vertical="center"/>
    </xf>
    <xf numFmtId="176" fontId="6" fillId="0" borderId="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 wrapText="1" readingOrder="1"/>
    </xf>
    <xf numFmtId="0" fontId="6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7" fillId="0" borderId="0" xfId="0" applyFont="1" applyFill="1" applyBorder="1">
      <alignment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Fill="1" applyBorder="1">
      <alignment vertical="center"/>
    </xf>
    <xf numFmtId="0" fontId="0" fillId="0" borderId="0" xfId="0" applyFill="1" applyBorder="1" applyAlignment="1">
      <alignment vertical="center" wrapText="1"/>
    </xf>
    <xf numFmtId="176" fontId="4" fillId="2" borderId="5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0" borderId="0" xfId="0" applyNumberFormat="1" applyBorder="1" applyAlignment="1">
      <alignment horizontal="right" vertical="center"/>
    </xf>
    <xf numFmtId="176" fontId="0" fillId="0" borderId="0" xfId="0" applyNumberFormat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horizontal="right" vertical="center"/>
    </xf>
    <xf numFmtId="176" fontId="9" fillId="0" borderId="0" xfId="0" applyNumberFormat="1" applyFont="1" applyAlignment="1">
      <alignment horizontal="right" vertical="center"/>
    </xf>
    <xf numFmtId="176" fontId="9" fillId="0" borderId="0" xfId="0" applyNumberFormat="1" applyFont="1" applyFill="1" applyBorder="1" applyAlignment="1">
      <alignment horizontal="right" vertical="center"/>
    </xf>
    <xf numFmtId="177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 wrapText="1" readingOrder="1"/>
    </xf>
    <xf numFmtId="14" fontId="11" fillId="0" borderId="0" xfId="0" applyNumberFormat="1" applyFont="1" applyAlignment="1">
      <alignment horizontal="center" vertical="center"/>
    </xf>
    <xf numFmtId="0" fontId="12" fillId="0" borderId="0" xfId="0" applyFont="1" applyBorder="1" applyAlignment="1">
      <alignment horizontal="left" vertical="center" wrapText="1" readingOrder="1"/>
    </xf>
    <xf numFmtId="0" fontId="11" fillId="0" borderId="0" xfId="0" applyFont="1" applyFill="1" applyBorder="1" applyAlignment="1">
      <alignment horizontal="left" vertical="center"/>
    </xf>
    <xf numFmtId="177" fontId="11" fillId="0" borderId="0" xfId="0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78" fontId="11" fillId="0" borderId="0" xfId="0" applyNumberFormat="1" applyFont="1" applyFill="1" applyBorder="1" applyAlignment="1">
      <alignment horizontal="right" vertical="center"/>
    </xf>
    <xf numFmtId="178" fontId="11" fillId="0" borderId="0" xfId="0" applyNumberFormat="1" applyFont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176" fontId="11" fillId="0" borderId="0" xfId="0" applyNumberFormat="1" applyFont="1" applyFill="1" applyBorder="1" applyAlignment="1">
      <alignment horizontal="right" vertical="center"/>
    </xf>
    <xf numFmtId="177" fontId="11" fillId="0" borderId="0" xfId="0" applyNumberFormat="1" applyFont="1" applyFill="1" applyBorder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 wrapText="1" readingOrder="1"/>
    </xf>
    <xf numFmtId="0" fontId="14" fillId="0" borderId="0" xfId="0" applyFont="1" applyBorder="1" applyAlignment="1">
      <alignment horizontal="left" vertical="center"/>
    </xf>
    <xf numFmtId="178" fontId="11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 wrapText="1" readingOrder="1"/>
    </xf>
    <xf numFmtId="14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wrapText="1" readingOrder="1"/>
    </xf>
    <xf numFmtId="0" fontId="15" fillId="0" borderId="0" xfId="0" applyFont="1" applyFill="1" applyBorder="1">
      <alignment vertical="center"/>
    </xf>
    <xf numFmtId="176" fontId="11" fillId="0" borderId="0" xfId="0" applyNumberFormat="1" applyFont="1" applyFill="1" applyBorder="1" applyAlignment="1">
      <alignment horizontal="right" vertical="center" wrapText="1"/>
    </xf>
    <xf numFmtId="0" fontId="1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176" fontId="11" fillId="0" borderId="0" xfId="0" applyNumberFormat="1" applyFont="1" applyBorder="1" applyAlignment="1">
      <alignment horizontal="right" vertical="center"/>
    </xf>
    <xf numFmtId="0" fontId="7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6" fillId="2" borderId="0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16" fillId="2" borderId="3" xfId="0" applyFont="1" applyFill="1" applyBorder="1" applyAlignment="1">
      <alignment horizontal="center" vertical="center"/>
    </xf>
    <xf numFmtId="177" fontId="16" fillId="2" borderId="3" xfId="0" applyNumberFormat="1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178" fontId="16" fillId="2" borderId="3" xfId="0" applyNumberFormat="1" applyFont="1" applyFill="1" applyBorder="1" applyAlignment="1">
      <alignment horizontal="center" vertical="center" wrapText="1"/>
    </xf>
    <xf numFmtId="176" fontId="16" fillId="2" borderId="3" xfId="0" applyNumberFormat="1" applyFont="1" applyFill="1" applyBorder="1" applyAlignment="1">
      <alignment horizontal="center" vertical="center" wrapText="1"/>
    </xf>
    <xf numFmtId="176" fontId="16" fillId="2" borderId="4" xfId="0" applyNumberFormat="1" applyFont="1" applyFill="1" applyBorder="1" applyAlignment="1">
      <alignment horizontal="center" vertical="center" wrapText="1"/>
    </xf>
    <xf numFmtId="176" fontId="9" fillId="0" borderId="0" xfId="0" applyNumberFormat="1" applyFont="1">
      <alignment vertical="center"/>
    </xf>
    <xf numFmtId="177" fontId="5" fillId="2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8" fontId="5" fillId="2" borderId="6" xfId="0" applyNumberFormat="1" applyFont="1" applyFill="1" applyBorder="1" applyAlignment="1">
      <alignment horizontal="center" vertical="center"/>
    </xf>
    <xf numFmtId="178" fontId="5" fillId="2" borderId="7" xfId="0" applyNumberFormat="1" applyFont="1" applyFill="1" applyBorder="1" applyAlignment="1">
      <alignment horizontal="center" vertical="center"/>
    </xf>
    <xf numFmtId="178" fontId="5" fillId="2" borderId="8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77" fontId="17" fillId="2" borderId="1" xfId="0" applyNumberFormat="1" applyFont="1" applyFill="1" applyBorder="1" applyAlignment="1">
      <alignment horizontal="center" vertical="center"/>
    </xf>
    <xf numFmtId="178" fontId="17" fillId="2" borderId="1" xfId="0" applyNumberFormat="1" applyFont="1" applyFill="1" applyBorder="1" applyAlignment="1">
      <alignment horizontal="center" vertical="center"/>
    </xf>
    <xf numFmtId="178" fontId="17" fillId="2" borderId="6" xfId="0" applyNumberFormat="1" applyFont="1" applyFill="1" applyBorder="1" applyAlignment="1">
      <alignment horizontal="center" vertical="center"/>
    </xf>
    <xf numFmtId="178" fontId="17" fillId="2" borderId="7" xfId="0" applyNumberFormat="1" applyFont="1" applyFill="1" applyBorder="1" applyAlignment="1">
      <alignment horizontal="center" vertical="center"/>
    </xf>
    <xf numFmtId="178" fontId="17" fillId="2" borderId="8" xfId="0" applyNumberFormat="1" applyFont="1" applyFill="1" applyBorder="1" applyAlignment="1">
      <alignment horizontal="center" vertical="center"/>
    </xf>
    <xf numFmtId="176" fontId="17" fillId="2" borderId="1" xfId="0" applyNumberFormat="1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 readingOrder="1"/>
    </xf>
  </cellXfs>
  <cellStyles count="1">
    <cellStyle name="표준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8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8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8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8" formatCode="0.0_);[Red]\(0.0\)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8" formatCode="0.0_);[Red]\(0.0\)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8" formatCode="0.0_);[Red]\(0.0\)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8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8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8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7" formatCode="0.000_);[Red]\(0.0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맑은 고딕"/>
        <family val="3"/>
        <charset val="129"/>
        <scheme val="none"/>
      </font>
      <fill>
        <patternFill patternType="none">
          <fgColor rgb="FF000000"/>
          <bgColor auto="1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176" formatCode="0.0_ 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6" formatCode="0.0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8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8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8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8" formatCode="0.0_);[Red]\(0.0\)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8" formatCode="0.0_);[Red]\(0.0\)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8" formatCode="0.0_);[Red]\(0.0\)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8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8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8" formatCode="0.0_);[Red]\(0.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77" formatCode="0.000_);[Red]\(0.0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맑은 고딕"/>
        <family val="3"/>
        <charset val="129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176" formatCode="0.0_ 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6B362E-489D-48B1-86D5-8B598A214BCC}" name="표2" displayName="표2" ref="A2:AA80" totalsRowShown="0" headerRowDxfId="63" dataDxfId="61" headerRowBorderDxfId="62" tableBorderDxfId="60" totalsRowBorderDxfId="59">
  <autoFilter ref="A2:AA80" xr:uid="{706B362E-489D-48B1-86D5-8B598A214BCC}"/>
  <sortState xmlns:xlrd2="http://schemas.microsoft.com/office/spreadsheetml/2017/richdata2" ref="A3:X71">
    <sortCondition ref="B2:B71"/>
  </sortState>
  <tableColumns count="27">
    <tableColumn id="1" xr3:uid="{B7D26393-F638-4C8E-916F-B2E7C851B3B5}" name="Purification_x000a_final date" dataDxfId="58"/>
    <tableColumn id="2" xr3:uid="{015B50AF-226C-45A3-8B45-680A258319C7}" name="Code" dataDxfId="57"/>
    <tableColumn id="3" xr3:uid="{E3A16E1A-89FF-4D1E-AF3F-7094CEBA590A}" name="Constructs" dataDxfId="56"/>
    <tableColumn id="4" xr3:uid="{B0931F74-DEF1-45C5-B3B3-6F5CBEB7B053}" name="Titer (g/L)" dataDxfId="55"/>
    <tableColumn id="5" xr3:uid="{217C6F34-0AAD-41A6-BB03-BB9D6F9AA1C6}" name="Volume_x000a_(mL)" dataDxfId="54"/>
    <tableColumn id="6" xr3:uid="{28B1277A-9035-4C5C-B403-618080C880C5}" name="Load amounts_x000a_(mg)" dataDxfId="53"/>
    <tableColumn id="7" xr3:uid="{3D15CCFF-01A1-4CB6-B5E8-0B7259F1580D}" name="Eluate amounts_x000a_(mg)" dataDxfId="52"/>
    <tableColumn id="8" xr3:uid="{97B0827D-5839-458C-BBF6-5FBE8D30E93A}" name="Step yield_x000a_(%)" dataDxfId="51"/>
    <tableColumn id="9" xr3:uid="{16F9C0FC-9207-4936-8523-61E75C9C3676}" name="HMWS_x000a_(%)" dataDxfId="50"/>
    <tableColumn id="10" xr3:uid="{C44B66EA-D816-421E-BDB8-20B04C954C6C}" name="Monomer_x000a_(%)" dataDxfId="49"/>
    <tableColumn id="11" xr3:uid="{D4B2F9D6-C2B9-4359-9295-B638E699003F}" name="LMWS_x000a_(%)" dataDxfId="48"/>
    <tableColumn id="19" xr3:uid="{9610441F-2F05-4E08-AB40-4F19DF80A494}" name="Load amounts_x000a_(mg)2" dataDxfId="47"/>
    <tableColumn id="20" xr3:uid="{090FACFE-A557-4E93-8348-0F567D0C9EE7}" name="Eluate amounts_x000a_(mg)2" dataDxfId="46"/>
    <tableColumn id="21" xr3:uid="{19C84141-346F-4BBD-8F8D-18F480A96967}" name="Step yield_x000a_(%)2" dataDxfId="45">
      <calculatedColumnFormula>표2[[#This Row],[Eluate amounts
(mg)2]]/표2[[#This Row],[Load amounts
(mg)2]]*100</calculatedColumnFormula>
    </tableColumn>
    <tableColumn id="12" xr3:uid="{D950C201-4C03-44DE-B689-CAA8A6A8BCBD}" name="Load amounts_x000a_(mg)3" dataDxfId="44"/>
    <tableColumn id="13" xr3:uid="{C70C736A-4EF4-47E5-9E55-26F2A4F102A3}" name="Eluate amounts_x000a_(mg)3" dataDxfId="43"/>
    <tableColumn id="14" xr3:uid="{F6C22AF1-50A7-4D86-91C2-51D7481B5B03}" name="Step yield_x000a_(%)3" dataDxfId="42"/>
    <tableColumn id="15" xr3:uid="{D33260FA-EBDD-45C0-81AD-CF45F7BF2FF7}" name="HMWS_x000a_(%)3" dataDxfId="41"/>
    <tableColumn id="16" xr3:uid="{8551CB14-525B-4E84-BDB2-83B911CE9B59}" name="Monomer_x000a_(%)3" dataDxfId="40"/>
    <tableColumn id="17" xr3:uid="{982AD6C0-642C-473B-A6D4-4E8F1C20178A}" name="LMWS_x000a_(%)3" dataDxfId="39"/>
    <tableColumn id="23" xr3:uid="{B9BE7ADD-1B8C-48BC-9B52-CF561B997A7B}" name="Load amounts_x000a_(mg)4" dataDxfId="38"/>
    <tableColumn id="24" xr3:uid="{032B77FB-46ED-456E-AF7D-F8AFCC3400D0}" name="Eluate amounts_x000a_(mg)4" dataDxfId="37"/>
    <tableColumn id="25" xr3:uid="{839D8A2D-27FB-48E9-9015-0944F37D5FC0}" name="Step yield_x000a_(%)4" dataDxfId="36"/>
    <tableColumn id="18" xr3:uid="{92FC1B84-4F34-4269-8988-9D5EA8491767}" name="HMWS_x000a_(%)4" dataDxfId="35"/>
    <tableColumn id="22" xr3:uid="{9ACB1BC2-A7F1-485F-BFB4-16B23D85B119}" name="Monomer_x000a_(%)4" dataDxfId="34"/>
    <tableColumn id="26" xr3:uid="{39CF608D-A47C-45DA-BCEF-C38B2FB6AEE2}" name="LMWS_x000a_(%)4" dataDxfId="33"/>
    <tableColumn id="27" xr3:uid="{E7714279-33A5-483F-9E72-2B90B910687A}" name="Note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0C35DB-ED25-4CE2-8D29-E268CE3EEE15}" name="표2_2" displayName="표2_2" ref="A2:AA14" totalsRowShown="0" headerRowDxfId="31" dataDxfId="29" headerRowBorderDxfId="30" tableBorderDxfId="28" totalsRowBorderDxfId="27">
  <autoFilter ref="A2:AA14" xr:uid="{706B362E-489D-48B1-86D5-8B598A214BCC}"/>
  <sortState xmlns:xlrd2="http://schemas.microsoft.com/office/spreadsheetml/2017/richdata2" ref="A3:X5">
    <sortCondition ref="B2:B5"/>
  </sortState>
  <tableColumns count="27">
    <tableColumn id="1" xr3:uid="{FCA368EF-95A8-4EE6-9F25-120121CEA246}" name="Purification_x000a_final date" dataDxfId="26"/>
    <tableColumn id="2" xr3:uid="{693CDE65-D15B-4A0B-9DC1-20D731B4C09E}" name="Code" dataDxfId="25"/>
    <tableColumn id="3" xr3:uid="{ECE11246-8E49-453B-A00D-D46F4D2192DB}" name="Constructs" dataDxfId="24"/>
    <tableColumn id="4" xr3:uid="{6081507D-0700-434D-8B28-B5D023A1A54A}" name="Titer (g/L)" dataDxfId="23"/>
    <tableColumn id="5" xr3:uid="{FE348333-CEB8-49A7-B4AB-E822BD7BBAA8}" name="Volume_x000a_(mL)" dataDxfId="22"/>
    <tableColumn id="6" xr3:uid="{4AF2E14E-A290-43DC-A4E8-A76E1A85E217}" name="Load amounts_x000a_(mg)" dataDxfId="21"/>
    <tableColumn id="7" xr3:uid="{F60D4775-E2FD-4FE1-932C-66C777669B66}" name="Eluate amounts_x000a_(mg)" dataDxfId="20"/>
    <tableColumn id="8" xr3:uid="{3FF4A320-65A5-4C6F-BB74-21F2B1CCEA8A}" name="Step yield_x000a_(%)" dataDxfId="19"/>
    <tableColumn id="9" xr3:uid="{20F7359C-8E50-41A3-AB52-BAB73D21EBBA}" name="HMWS_x000a_(%)" dataDxfId="18"/>
    <tableColumn id="10" xr3:uid="{00FB7694-1DD8-4003-A6E5-E73F311259CF}" name="Monomer_x000a_(%)" dataDxfId="17"/>
    <tableColumn id="11" xr3:uid="{8AABC4BD-97EF-4F40-943F-07EC856D3A75}" name="LMWS_x000a_(%)" dataDxfId="16"/>
    <tableColumn id="19" xr3:uid="{07AA5693-9266-4693-9A62-622E9EFC38B9}" name="Load amounts_x000a_(mg)2" dataDxfId="15"/>
    <tableColumn id="20" xr3:uid="{3C6EC056-AFB6-4BE1-9A57-D25739FA542A}" name="Eluate amounts_x000a_(mg)2" dataDxfId="14"/>
    <tableColumn id="21" xr3:uid="{473D6543-17A1-4094-9434-9762FA2911D1}" name="Step yield_x000a_(%)2" dataDxfId="13">
      <calculatedColumnFormula>표2_2[[#This Row],[Eluate amounts
(mg)2]]/표2_2[[#This Row],[Load amounts
(mg)2]]*100</calculatedColumnFormula>
    </tableColumn>
    <tableColumn id="12" xr3:uid="{9CE0C489-5CEA-4C5F-AD59-497732C5D512}" name="Load amounts_x000a_(mg)3" dataDxfId="12"/>
    <tableColumn id="13" xr3:uid="{AE9F5E40-18A2-4507-B413-BBF96ED0172C}" name="Eluate amounts_x000a_(mg)3" dataDxfId="11"/>
    <tableColumn id="14" xr3:uid="{80D36159-6B50-4259-80A8-A444B1B83281}" name="Step yield_x000a_(%)3" dataDxfId="10"/>
    <tableColumn id="15" xr3:uid="{92D0ACCD-6245-49C0-87CE-4A6D9735C9F1}" name="HMWS_x000a_(%)3" dataDxfId="9"/>
    <tableColumn id="16" xr3:uid="{556FB1CA-1869-4F39-B9BF-F4C95A3C6473}" name="Monomer_x000a_(%)3" dataDxfId="8"/>
    <tableColumn id="17" xr3:uid="{7460768F-17F5-4C14-8F4C-63E3CF46F805}" name="LMWS_x000a_(%)3" dataDxfId="7"/>
    <tableColumn id="23" xr3:uid="{61EB79CF-2BA2-4B59-B1A1-3C6D83AF667F}" name="Load amounts_x000a_(mg)4" dataDxfId="6"/>
    <tableColumn id="24" xr3:uid="{6010AE9B-6154-4777-94B8-0022D41B5132}" name="Eluate amounts_x000a_(mg)4" dataDxfId="5"/>
    <tableColumn id="25" xr3:uid="{21A4D109-3A09-40A8-9606-759E3CF50488}" name="Step yield_x000a_(%)4" dataDxfId="4"/>
    <tableColumn id="18" xr3:uid="{D5863E12-35F3-467D-9C48-B5456AA8424D}" name="HMWS_x000a_(%)4" dataDxfId="3"/>
    <tableColumn id="22" xr3:uid="{6757D2DC-7B6D-4A3B-81DF-59E6ADEB44FF}" name="Monomer_x000a_(%)4" dataDxfId="2"/>
    <tableColumn id="26" xr3:uid="{8B488989-B427-4DC5-868C-67F1BAB57D35}" name="LMWS_x000a_(%)4" dataDxfId="1"/>
    <tableColumn id="27" xr3:uid="{1DF06030-E3DA-4488-910F-A01A169FA2CF}" name="No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D8B9C-0D4D-4E70-BD6E-12EF4F3BD0F4}">
  <dimension ref="A1:AA82"/>
  <sheetViews>
    <sheetView zoomScale="70" zoomScaleNormal="70" workbookViewId="0">
      <pane ySplit="2" topLeftCell="A45" activePane="bottomLeft" state="frozen"/>
      <selection pane="bottomLeft" activeCell="L68" sqref="B61:L68"/>
    </sheetView>
  </sheetViews>
  <sheetFormatPr defaultRowHeight="17.399999999999999" x14ac:dyDescent="0.4"/>
  <cols>
    <col min="1" max="1" width="16.3984375" style="4" bestFit="1" customWidth="1"/>
    <col min="2" max="2" width="11.8984375" style="8" bestFit="1" customWidth="1"/>
    <col min="3" max="3" width="41" style="9" bestFit="1" customWidth="1"/>
    <col min="4" max="4" width="9.19921875" style="3" bestFit="1" customWidth="1"/>
    <col min="5" max="5" width="8.796875" style="1" bestFit="1" customWidth="1"/>
    <col min="6" max="6" width="15.3984375" style="10" bestFit="1" customWidth="1"/>
    <col min="7" max="7" width="16.3984375" style="10" bestFit="1" customWidth="1"/>
    <col min="8" max="8" width="10.796875" style="10" bestFit="1" customWidth="1"/>
    <col min="9" max="9" width="8.19921875" style="10" bestFit="1" customWidth="1"/>
    <col min="10" max="10" width="10.796875" style="10" bestFit="1" customWidth="1"/>
    <col min="11" max="11" width="7.796875" style="10" bestFit="1" customWidth="1"/>
    <col min="12" max="13" width="11.59765625" style="10" bestFit="1" customWidth="1"/>
    <col min="14" max="14" width="11.3984375" style="10" bestFit="1" customWidth="1"/>
    <col min="15" max="15" width="10.8984375" style="11" customWidth="1"/>
    <col min="16" max="16" width="11.69921875" style="11" customWidth="1"/>
    <col min="17" max="17" width="10.796875" style="11" bestFit="1" customWidth="1"/>
    <col min="18" max="18" width="8.19921875" style="11" bestFit="1" customWidth="1"/>
    <col min="19" max="19" width="10.796875" style="11" bestFit="1" customWidth="1"/>
    <col min="20" max="20" width="11" style="11" bestFit="1" customWidth="1"/>
    <col min="21" max="21" width="9.296875" style="2" customWidth="1"/>
    <col min="22" max="22" width="8.8984375" style="2" customWidth="1"/>
    <col min="23" max="23" width="11.19921875" style="36" customWidth="1"/>
    <col min="24" max="24" width="11" style="2" customWidth="1"/>
    <col min="25" max="25" width="10.796875" style="2" customWidth="1"/>
    <col min="26" max="26" width="9.796875" style="2" customWidth="1"/>
    <col min="27" max="16384" width="8.796875" style="2"/>
  </cols>
  <sheetData>
    <row r="1" spans="1:27" s="12" customFormat="1" x14ac:dyDescent="0.4">
      <c r="A1" s="5"/>
      <c r="B1" s="6"/>
      <c r="C1" s="7"/>
      <c r="D1" s="84" t="s">
        <v>1</v>
      </c>
      <c r="E1" s="84"/>
      <c r="F1" s="85" t="s">
        <v>3</v>
      </c>
      <c r="G1" s="85"/>
      <c r="H1" s="85"/>
      <c r="I1" s="85"/>
      <c r="J1" s="85"/>
      <c r="K1" s="85"/>
      <c r="L1" s="87" t="s">
        <v>96</v>
      </c>
      <c r="M1" s="88"/>
      <c r="N1" s="89"/>
      <c r="O1" s="86" t="s">
        <v>2</v>
      </c>
      <c r="P1" s="86"/>
      <c r="Q1" s="86"/>
      <c r="R1" s="86"/>
      <c r="S1" s="86"/>
      <c r="T1" s="86"/>
      <c r="U1" s="90" t="s">
        <v>120</v>
      </c>
      <c r="V1" s="91"/>
      <c r="W1" s="91"/>
      <c r="X1" s="91"/>
      <c r="Y1" s="91"/>
      <c r="Z1" s="91"/>
    </row>
    <row r="2" spans="1:27" s="20" customFormat="1" ht="52.2" x14ac:dyDescent="0.4">
      <c r="A2" s="14" t="s">
        <v>13</v>
      </c>
      <c r="B2" s="13" t="s">
        <v>11</v>
      </c>
      <c r="C2" s="13" t="s">
        <v>10</v>
      </c>
      <c r="D2" s="15" t="s">
        <v>0</v>
      </c>
      <c r="E2" s="16" t="s">
        <v>48</v>
      </c>
      <c r="F2" s="17" t="s">
        <v>9</v>
      </c>
      <c r="G2" s="17" t="s">
        <v>8</v>
      </c>
      <c r="H2" s="17" t="s">
        <v>7</v>
      </c>
      <c r="I2" s="17" t="s">
        <v>4</v>
      </c>
      <c r="J2" s="17" t="s">
        <v>5</v>
      </c>
      <c r="K2" s="17" t="s">
        <v>6</v>
      </c>
      <c r="L2" s="17" t="s">
        <v>100</v>
      </c>
      <c r="M2" s="17" t="s">
        <v>101</v>
      </c>
      <c r="N2" s="17" t="s">
        <v>102</v>
      </c>
      <c r="O2" s="18" t="s">
        <v>97</v>
      </c>
      <c r="P2" s="18" t="s">
        <v>98</v>
      </c>
      <c r="Q2" s="18" t="s">
        <v>99</v>
      </c>
      <c r="R2" s="18" t="s">
        <v>103</v>
      </c>
      <c r="S2" s="18" t="s">
        <v>104</v>
      </c>
      <c r="T2" s="19" t="s">
        <v>105</v>
      </c>
      <c r="U2" s="18" t="s">
        <v>121</v>
      </c>
      <c r="V2" s="18" t="s">
        <v>122</v>
      </c>
      <c r="W2" s="18" t="s">
        <v>123</v>
      </c>
      <c r="X2" s="18" t="s">
        <v>124</v>
      </c>
      <c r="Y2" s="18" t="s">
        <v>125</v>
      </c>
      <c r="Z2" s="37" t="s">
        <v>126</v>
      </c>
      <c r="AA2" s="37" t="s">
        <v>119</v>
      </c>
    </row>
    <row r="3" spans="1:27" ht="21" x14ac:dyDescent="0.4">
      <c r="A3" s="51">
        <v>44290</v>
      </c>
      <c r="B3" s="52" t="s">
        <v>14</v>
      </c>
      <c r="C3" s="53" t="s">
        <v>17</v>
      </c>
      <c r="D3" s="54">
        <v>0.52700000000000002</v>
      </c>
      <c r="E3" s="55">
        <v>35</v>
      </c>
      <c r="F3" s="56">
        <f>표2[[#This Row],[Titer (g/L)]]*표2[[#This Row],[Volume
(mL)]]</f>
        <v>18.445</v>
      </c>
      <c r="G3" s="56">
        <v>8.6180000000000003</v>
      </c>
      <c r="H3" s="56">
        <f>G3/표2[[#This Row],[Load amounts
(mg)]]*100</f>
        <v>46.72268907563025</v>
      </c>
      <c r="I3" s="57">
        <v>33.119999999999997</v>
      </c>
      <c r="J3" s="57">
        <v>43.04</v>
      </c>
      <c r="K3" s="57">
        <v>23.84</v>
      </c>
      <c r="L3" s="57" t="s">
        <v>106</v>
      </c>
      <c r="M3" s="57" t="s">
        <v>106</v>
      </c>
      <c r="N3" s="57" t="s">
        <v>106</v>
      </c>
      <c r="O3" s="58" t="s">
        <v>61</v>
      </c>
      <c r="P3" s="58" t="s">
        <v>61</v>
      </c>
      <c r="Q3" s="58" t="s">
        <v>61</v>
      </c>
      <c r="R3" s="58" t="s">
        <v>61</v>
      </c>
      <c r="S3" s="58" t="s">
        <v>61</v>
      </c>
      <c r="T3" s="58" t="s">
        <v>61</v>
      </c>
      <c r="U3" s="58" t="s">
        <v>61</v>
      </c>
      <c r="V3" s="58" t="s">
        <v>61</v>
      </c>
      <c r="W3" s="58" t="s">
        <v>61</v>
      </c>
      <c r="X3" s="58" t="s">
        <v>61</v>
      </c>
      <c r="Y3" s="58" t="s">
        <v>61</v>
      </c>
      <c r="Z3" s="58" t="s">
        <v>61</v>
      </c>
      <c r="AA3" s="59"/>
    </row>
    <row r="4" spans="1:27" ht="21" x14ac:dyDescent="0.4">
      <c r="A4" s="51">
        <v>44290</v>
      </c>
      <c r="B4" s="52" t="s">
        <v>18</v>
      </c>
      <c r="C4" s="53" t="s">
        <v>39</v>
      </c>
      <c r="D4" s="60">
        <v>0.312</v>
      </c>
      <c r="E4" s="55">
        <v>35</v>
      </c>
      <c r="F4" s="56">
        <f>표2[[#This Row],[Titer (g/L)]]*표2[[#This Row],[Volume
(mL)]]</f>
        <v>10.92</v>
      </c>
      <c r="G4" s="56">
        <v>6.17</v>
      </c>
      <c r="H4" s="56">
        <f>G4/표2[[#This Row],[Load amounts
(mg)]]*100</f>
        <v>56.501831501831504</v>
      </c>
      <c r="I4" s="57">
        <v>43.42</v>
      </c>
      <c r="J4" s="57">
        <v>35.729999999999997</v>
      </c>
      <c r="K4" s="57">
        <v>20.86</v>
      </c>
      <c r="L4" s="57" t="s">
        <v>106</v>
      </c>
      <c r="M4" s="57" t="s">
        <v>106</v>
      </c>
      <c r="N4" s="57" t="s">
        <v>106</v>
      </c>
      <c r="O4" s="58" t="s">
        <v>61</v>
      </c>
      <c r="P4" s="58" t="s">
        <v>61</v>
      </c>
      <c r="Q4" s="58" t="s">
        <v>61</v>
      </c>
      <c r="R4" s="58" t="s">
        <v>61</v>
      </c>
      <c r="S4" s="58" t="s">
        <v>61</v>
      </c>
      <c r="T4" s="58" t="s">
        <v>61</v>
      </c>
      <c r="U4" s="58" t="s">
        <v>61</v>
      </c>
      <c r="V4" s="58" t="s">
        <v>61</v>
      </c>
      <c r="W4" s="58" t="s">
        <v>61</v>
      </c>
      <c r="X4" s="58" t="s">
        <v>61</v>
      </c>
      <c r="Y4" s="58" t="s">
        <v>61</v>
      </c>
      <c r="Z4" s="58" t="s">
        <v>61</v>
      </c>
      <c r="AA4" s="59"/>
    </row>
    <row r="5" spans="1:27" ht="21" x14ac:dyDescent="0.4">
      <c r="A5" s="51">
        <v>44290</v>
      </c>
      <c r="B5" s="52" t="s">
        <v>19</v>
      </c>
      <c r="C5" s="53" t="s">
        <v>39</v>
      </c>
      <c r="D5" s="61">
        <v>0.54500000000000004</v>
      </c>
      <c r="E5" s="55">
        <v>35</v>
      </c>
      <c r="F5" s="56">
        <f>표2[[#This Row],[Titer (g/L)]]*표2[[#This Row],[Volume
(mL)]]</f>
        <v>19.075000000000003</v>
      </c>
      <c r="G5" s="56">
        <v>7.968</v>
      </c>
      <c r="H5" s="56">
        <f>G5/표2[[#This Row],[Load amounts
(mg)]]*100</f>
        <v>41.771952817824371</v>
      </c>
      <c r="I5" s="57">
        <v>51.14</v>
      </c>
      <c r="J5" s="57">
        <v>41.91</v>
      </c>
      <c r="K5" s="57">
        <v>7</v>
      </c>
      <c r="L5" s="57" t="s">
        <v>106</v>
      </c>
      <c r="M5" s="57" t="s">
        <v>106</v>
      </c>
      <c r="N5" s="57" t="s">
        <v>106</v>
      </c>
      <c r="O5" s="58" t="s">
        <v>61</v>
      </c>
      <c r="P5" s="58" t="s">
        <v>61</v>
      </c>
      <c r="Q5" s="58" t="s">
        <v>61</v>
      </c>
      <c r="R5" s="58" t="s">
        <v>61</v>
      </c>
      <c r="S5" s="58" t="s">
        <v>61</v>
      </c>
      <c r="T5" s="58" t="s">
        <v>61</v>
      </c>
      <c r="U5" s="58" t="s">
        <v>61</v>
      </c>
      <c r="V5" s="58" t="s">
        <v>61</v>
      </c>
      <c r="W5" s="58" t="s">
        <v>61</v>
      </c>
      <c r="X5" s="58" t="s">
        <v>61</v>
      </c>
      <c r="Y5" s="58" t="s">
        <v>61</v>
      </c>
      <c r="Z5" s="58" t="s">
        <v>61</v>
      </c>
      <c r="AA5" s="59"/>
    </row>
    <row r="6" spans="1:27" ht="21" x14ac:dyDescent="0.4">
      <c r="A6" s="51">
        <v>44290</v>
      </c>
      <c r="B6" s="52" t="s">
        <v>20</v>
      </c>
      <c r="C6" s="53" t="s">
        <v>39</v>
      </c>
      <c r="D6" s="61">
        <v>0.46800000000000003</v>
      </c>
      <c r="E6" s="55">
        <v>35</v>
      </c>
      <c r="F6" s="56">
        <f>표2[[#This Row],[Titer (g/L)]]*표2[[#This Row],[Volume
(mL)]]</f>
        <v>16.380000000000003</v>
      </c>
      <c r="G6" s="56">
        <v>7.3490000000000002</v>
      </c>
      <c r="H6" s="56">
        <f>G6/표2[[#This Row],[Load amounts
(mg)]]*100</f>
        <v>44.865689865689859</v>
      </c>
      <c r="I6" s="57">
        <f>0.03+39.85+10.18</f>
        <v>50.06</v>
      </c>
      <c r="J6" s="57">
        <v>45.89</v>
      </c>
      <c r="K6" s="57">
        <v>4.0599999999999996</v>
      </c>
      <c r="L6" s="57" t="s">
        <v>106</v>
      </c>
      <c r="M6" s="57" t="s">
        <v>106</v>
      </c>
      <c r="N6" s="57" t="s">
        <v>106</v>
      </c>
      <c r="O6" s="58" t="s">
        <v>61</v>
      </c>
      <c r="P6" s="58" t="s">
        <v>61</v>
      </c>
      <c r="Q6" s="58" t="s">
        <v>61</v>
      </c>
      <c r="R6" s="58" t="s">
        <v>61</v>
      </c>
      <c r="S6" s="58" t="s">
        <v>61</v>
      </c>
      <c r="T6" s="58" t="s">
        <v>61</v>
      </c>
      <c r="U6" s="58" t="s">
        <v>61</v>
      </c>
      <c r="V6" s="58" t="s">
        <v>61</v>
      </c>
      <c r="W6" s="58" t="s">
        <v>61</v>
      </c>
      <c r="X6" s="58" t="s">
        <v>61</v>
      </c>
      <c r="Y6" s="58" t="s">
        <v>61</v>
      </c>
      <c r="Z6" s="58" t="s">
        <v>61</v>
      </c>
      <c r="AA6" s="59"/>
    </row>
    <row r="7" spans="1:27" ht="21" x14ac:dyDescent="0.4">
      <c r="A7" s="51">
        <v>44290</v>
      </c>
      <c r="B7" s="52" t="s">
        <v>21</v>
      </c>
      <c r="C7" s="53" t="s">
        <v>39</v>
      </c>
      <c r="D7" s="61">
        <v>0.34</v>
      </c>
      <c r="E7" s="55">
        <v>35</v>
      </c>
      <c r="F7" s="56">
        <f>표2[[#This Row],[Titer (g/L)]]*표2[[#This Row],[Volume
(mL)]]</f>
        <v>11.9</v>
      </c>
      <c r="G7" s="56">
        <v>7.6079999999999997</v>
      </c>
      <c r="H7" s="56">
        <f>G7/표2[[#This Row],[Load amounts
(mg)]]*100</f>
        <v>63.932773109243691</v>
      </c>
      <c r="I7" s="57">
        <v>52.4</v>
      </c>
      <c r="J7" s="57">
        <v>42.17</v>
      </c>
      <c r="K7" s="57">
        <v>5.43</v>
      </c>
      <c r="L7" s="57" t="s">
        <v>106</v>
      </c>
      <c r="M7" s="57" t="s">
        <v>106</v>
      </c>
      <c r="N7" s="57" t="s">
        <v>106</v>
      </c>
      <c r="O7" s="58" t="s">
        <v>61</v>
      </c>
      <c r="P7" s="58" t="s">
        <v>61</v>
      </c>
      <c r="Q7" s="58" t="s">
        <v>61</v>
      </c>
      <c r="R7" s="58" t="s">
        <v>61</v>
      </c>
      <c r="S7" s="58" t="s">
        <v>61</v>
      </c>
      <c r="T7" s="58" t="s">
        <v>61</v>
      </c>
      <c r="U7" s="58" t="s">
        <v>61</v>
      </c>
      <c r="V7" s="58" t="s">
        <v>61</v>
      </c>
      <c r="W7" s="58" t="s">
        <v>61</v>
      </c>
      <c r="X7" s="58" t="s">
        <v>61</v>
      </c>
      <c r="Y7" s="58" t="s">
        <v>61</v>
      </c>
      <c r="Z7" s="58" t="s">
        <v>61</v>
      </c>
      <c r="AA7" s="59"/>
    </row>
    <row r="8" spans="1:27" ht="21" x14ac:dyDescent="0.4">
      <c r="A8" s="51">
        <v>44290</v>
      </c>
      <c r="B8" s="52" t="s">
        <v>22</v>
      </c>
      <c r="C8" s="53" t="s">
        <v>39</v>
      </c>
      <c r="D8" s="60">
        <v>0.30499999999999999</v>
      </c>
      <c r="E8" s="55">
        <v>35</v>
      </c>
      <c r="F8" s="56">
        <f>표2[[#This Row],[Titer (g/L)]]*표2[[#This Row],[Volume
(mL)]]</f>
        <v>10.674999999999999</v>
      </c>
      <c r="G8" s="56">
        <v>7.65</v>
      </c>
      <c r="H8" s="56">
        <f>G8/표2[[#This Row],[Load amounts
(mg)]]*100</f>
        <v>71.662763466042165</v>
      </c>
      <c r="I8" s="57">
        <v>35.380000000000003</v>
      </c>
      <c r="J8" s="57">
        <v>32.799999999999997</v>
      </c>
      <c r="K8" s="57">
        <v>13.78</v>
      </c>
      <c r="L8" s="57" t="s">
        <v>106</v>
      </c>
      <c r="M8" s="57" t="s">
        <v>106</v>
      </c>
      <c r="N8" s="57" t="s">
        <v>106</v>
      </c>
      <c r="O8" s="58" t="s">
        <v>61</v>
      </c>
      <c r="P8" s="58" t="s">
        <v>61</v>
      </c>
      <c r="Q8" s="58" t="s">
        <v>61</v>
      </c>
      <c r="R8" s="58" t="s">
        <v>61</v>
      </c>
      <c r="S8" s="58" t="s">
        <v>61</v>
      </c>
      <c r="T8" s="58" t="s">
        <v>61</v>
      </c>
      <c r="U8" s="58" t="s">
        <v>61</v>
      </c>
      <c r="V8" s="58" t="s">
        <v>61</v>
      </c>
      <c r="W8" s="58" t="s">
        <v>61</v>
      </c>
      <c r="X8" s="58" t="s">
        <v>61</v>
      </c>
      <c r="Y8" s="58" t="s">
        <v>61</v>
      </c>
      <c r="Z8" s="58" t="s">
        <v>61</v>
      </c>
      <c r="AA8" s="59"/>
    </row>
    <row r="9" spans="1:27" ht="21" x14ac:dyDescent="0.4">
      <c r="A9" s="51">
        <v>44290</v>
      </c>
      <c r="B9" s="52" t="s">
        <v>23</v>
      </c>
      <c r="C9" s="53" t="s">
        <v>39</v>
      </c>
      <c r="D9" s="61">
        <v>0.42899999999999999</v>
      </c>
      <c r="E9" s="55">
        <v>35</v>
      </c>
      <c r="F9" s="56">
        <f>표2[[#This Row],[Titer (g/L)]]*표2[[#This Row],[Volume
(mL)]]</f>
        <v>15.015000000000001</v>
      </c>
      <c r="G9" s="56">
        <v>7.7389999999999999</v>
      </c>
      <c r="H9" s="56">
        <f>G9/표2[[#This Row],[Load amounts
(mg)]]*100</f>
        <v>51.54179154179154</v>
      </c>
      <c r="I9" s="57">
        <f>0.14+45.74</f>
        <v>45.88</v>
      </c>
      <c r="J9" s="57">
        <v>33.99</v>
      </c>
      <c r="K9" s="57">
        <f>10.76+3.16+6.2</f>
        <v>20.12</v>
      </c>
      <c r="L9" s="57" t="s">
        <v>106</v>
      </c>
      <c r="M9" s="57" t="s">
        <v>106</v>
      </c>
      <c r="N9" s="57" t="s">
        <v>106</v>
      </c>
      <c r="O9" s="58" t="s">
        <v>61</v>
      </c>
      <c r="P9" s="58" t="s">
        <v>61</v>
      </c>
      <c r="Q9" s="58" t="s">
        <v>61</v>
      </c>
      <c r="R9" s="58" t="s">
        <v>61</v>
      </c>
      <c r="S9" s="58" t="s">
        <v>61</v>
      </c>
      <c r="T9" s="58" t="s">
        <v>61</v>
      </c>
      <c r="U9" s="58" t="s">
        <v>61</v>
      </c>
      <c r="V9" s="58" t="s">
        <v>61</v>
      </c>
      <c r="W9" s="58" t="s">
        <v>61</v>
      </c>
      <c r="X9" s="58" t="s">
        <v>61</v>
      </c>
      <c r="Y9" s="58" t="s">
        <v>61</v>
      </c>
      <c r="Z9" s="58" t="s">
        <v>61</v>
      </c>
      <c r="AA9" s="59"/>
    </row>
    <row r="10" spans="1:27" ht="21" x14ac:dyDescent="0.4">
      <c r="A10" s="51">
        <v>44302</v>
      </c>
      <c r="B10" s="62" t="s">
        <v>15</v>
      </c>
      <c r="C10" s="53" t="s">
        <v>17</v>
      </c>
      <c r="D10" s="54">
        <v>0.52700000000000002</v>
      </c>
      <c r="E10" s="55">
        <v>35</v>
      </c>
      <c r="F10" s="56">
        <f>표2[[#This Row],[Titer (g/L)]]*표2[[#This Row],[Volume
(mL)]]</f>
        <v>18.445</v>
      </c>
      <c r="G10" s="57">
        <v>8.6180000000000003</v>
      </c>
      <c r="H10" s="56">
        <f>G10/표2[[#This Row],[Load amounts
(mg)]]*100</f>
        <v>46.72268907563025</v>
      </c>
      <c r="I10" s="57">
        <v>34.722000000000001</v>
      </c>
      <c r="J10" s="57">
        <v>52.48</v>
      </c>
      <c r="K10" s="57">
        <v>12.8</v>
      </c>
      <c r="L10" s="57" t="s">
        <v>106</v>
      </c>
      <c r="M10" s="57" t="s">
        <v>106</v>
      </c>
      <c r="N10" s="57" t="s">
        <v>106</v>
      </c>
      <c r="O10" s="58" t="s">
        <v>61</v>
      </c>
      <c r="P10" s="58" t="s">
        <v>61</v>
      </c>
      <c r="Q10" s="58" t="s">
        <v>61</v>
      </c>
      <c r="R10" s="58" t="s">
        <v>61</v>
      </c>
      <c r="S10" s="58" t="s">
        <v>61</v>
      </c>
      <c r="T10" s="58" t="s">
        <v>61</v>
      </c>
      <c r="U10" s="58" t="s">
        <v>61</v>
      </c>
      <c r="V10" s="58" t="s">
        <v>61</v>
      </c>
      <c r="W10" s="58" t="s">
        <v>61</v>
      </c>
      <c r="X10" s="58" t="s">
        <v>61</v>
      </c>
      <c r="Y10" s="58" t="s">
        <v>61</v>
      </c>
      <c r="Z10" s="58" t="s">
        <v>61</v>
      </c>
      <c r="AA10" s="59"/>
    </row>
    <row r="11" spans="1:27" ht="21" x14ac:dyDescent="0.4">
      <c r="A11" s="51">
        <v>44290</v>
      </c>
      <c r="B11" s="52" t="s">
        <v>24</v>
      </c>
      <c r="C11" s="53" t="s">
        <v>40</v>
      </c>
      <c r="D11" s="61">
        <v>0.64700000000000002</v>
      </c>
      <c r="E11" s="55">
        <v>35</v>
      </c>
      <c r="F11" s="56">
        <f>표2[[#This Row],[Titer (g/L)]]*표2[[#This Row],[Volume
(mL)]]</f>
        <v>22.645</v>
      </c>
      <c r="G11" s="56">
        <v>11.098000000000001</v>
      </c>
      <c r="H11" s="56">
        <f>G11/표2[[#This Row],[Load amounts
(mg)]]*100</f>
        <v>49.008611172444247</v>
      </c>
      <c r="I11" s="57">
        <v>47.91</v>
      </c>
      <c r="J11" s="57">
        <v>39.979999999999997</v>
      </c>
      <c r="K11" s="57">
        <v>12.1</v>
      </c>
      <c r="L11" s="57" t="s">
        <v>106</v>
      </c>
      <c r="M11" s="57" t="s">
        <v>106</v>
      </c>
      <c r="N11" s="57" t="s">
        <v>106</v>
      </c>
      <c r="O11" s="58" t="s">
        <v>61</v>
      </c>
      <c r="P11" s="58" t="s">
        <v>61</v>
      </c>
      <c r="Q11" s="58" t="s">
        <v>61</v>
      </c>
      <c r="R11" s="58" t="s">
        <v>61</v>
      </c>
      <c r="S11" s="58" t="s">
        <v>61</v>
      </c>
      <c r="T11" s="58" t="s">
        <v>61</v>
      </c>
      <c r="U11" s="58" t="s">
        <v>61</v>
      </c>
      <c r="V11" s="58" t="s">
        <v>61</v>
      </c>
      <c r="W11" s="58" t="s">
        <v>61</v>
      </c>
      <c r="X11" s="58" t="s">
        <v>61</v>
      </c>
      <c r="Y11" s="58" t="s">
        <v>61</v>
      </c>
      <c r="Z11" s="58" t="s">
        <v>61</v>
      </c>
      <c r="AA11" s="59"/>
    </row>
    <row r="12" spans="1:27" ht="21" x14ac:dyDescent="0.4">
      <c r="A12" s="51">
        <v>44290</v>
      </c>
      <c r="B12" s="52" t="s">
        <v>25</v>
      </c>
      <c r="C12" s="53" t="s">
        <v>40</v>
      </c>
      <c r="D12" s="61">
        <v>0.60199999999999998</v>
      </c>
      <c r="E12" s="55">
        <v>35</v>
      </c>
      <c r="F12" s="56">
        <f>표2[[#This Row],[Titer (g/L)]]*표2[[#This Row],[Volume
(mL)]]</f>
        <v>21.07</v>
      </c>
      <c r="G12" s="56">
        <v>11.108000000000001</v>
      </c>
      <c r="H12" s="56">
        <f>G12/표2[[#This Row],[Load amounts
(mg)]]*100</f>
        <v>52.719506407214048</v>
      </c>
      <c r="I12" s="57">
        <v>52.23</v>
      </c>
      <c r="J12" s="57">
        <v>45.06</v>
      </c>
      <c r="K12" s="57">
        <v>2.71</v>
      </c>
      <c r="L12" s="57" t="s">
        <v>106</v>
      </c>
      <c r="M12" s="57" t="s">
        <v>106</v>
      </c>
      <c r="N12" s="57" t="s">
        <v>106</v>
      </c>
      <c r="O12" s="58" t="s">
        <v>61</v>
      </c>
      <c r="P12" s="58" t="s">
        <v>61</v>
      </c>
      <c r="Q12" s="58" t="s">
        <v>61</v>
      </c>
      <c r="R12" s="58" t="s">
        <v>61</v>
      </c>
      <c r="S12" s="58" t="s">
        <v>61</v>
      </c>
      <c r="T12" s="58" t="s">
        <v>61</v>
      </c>
      <c r="U12" s="58" t="s">
        <v>61</v>
      </c>
      <c r="V12" s="58" t="s">
        <v>61</v>
      </c>
      <c r="W12" s="58" t="s">
        <v>61</v>
      </c>
      <c r="X12" s="58" t="s">
        <v>61</v>
      </c>
      <c r="Y12" s="58" t="s">
        <v>61</v>
      </c>
      <c r="Z12" s="58" t="s">
        <v>61</v>
      </c>
      <c r="AA12" s="59"/>
    </row>
    <row r="13" spans="1:27" ht="21" x14ac:dyDescent="0.4">
      <c r="A13" s="51">
        <v>44290</v>
      </c>
      <c r="B13" s="52" t="s">
        <v>26</v>
      </c>
      <c r="C13" s="53" t="s">
        <v>40</v>
      </c>
      <c r="D13" s="61">
        <v>0.67300000000000004</v>
      </c>
      <c r="E13" s="55">
        <v>35</v>
      </c>
      <c r="F13" s="56">
        <f>표2[[#This Row],[Titer (g/L)]]*표2[[#This Row],[Volume
(mL)]]</f>
        <v>23.555</v>
      </c>
      <c r="G13" s="56">
        <v>11.999000000000001</v>
      </c>
      <c r="H13" s="56">
        <f>G13/표2[[#This Row],[Load amounts
(mg)]]*100</f>
        <v>50.940352366801115</v>
      </c>
      <c r="I13" s="57">
        <f>57.21+8.25</f>
        <v>65.460000000000008</v>
      </c>
      <c r="J13" s="57">
        <v>30.14</v>
      </c>
      <c r="K13" s="57">
        <v>4.3899999999999997</v>
      </c>
      <c r="L13" s="57" t="s">
        <v>106</v>
      </c>
      <c r="M13" s="57" t="s">
        <v>106</v>
      </c>
      <c r="N13" s="57" t="s">
        <v>106</v>
      </c>
      <c r="O13" s="58" t="s">
        <v>61</v>
      </c>
      <c r="P13" s="58" t="s">
        <v>61</v>
      </c>
      <c r="Q13" s="58" t="s">
        <v>61</v>
      </c>
      <c r="R13" s="58" t="s">
        <v>61</v>
      </c>
      <c r="S13" s="58" t="s">
        <v>61</v>
      </c>
      <c r="T13" s="58" t="s">
        <v>61</v>
      </c>
      <c r="U13" s="58" t="s">
        <v>61</v>
      </c>
      <c r="V13" s="58" t="s">
        <v>61</v>
      </c>
      <c r="W13" s="58" t="s">
        <v>61</v>
      </c>
      <c r="X13" s="58" t="s">
        <v>61</v>
      </c>
      <c r="Y13" s="58" t="s">
        <v>61</v>
      </c>
      <c r="Z13" s="58" t="s">
        <v>61</v>
      </c>
      <c r="AA13" s="59"/>
    </row>
    <row r="14" spans="1:27" ht="21" x14ac:dyDescent="0.4">
      <c r="A14" s="51">
        <v>44290</v>
      </c>
      <c r="B14" s="52" t="s">
        <v>27</v>
      </c>
      <c r="C14" s="53" t="s">
        <v>40</v>
      </c>
      <c r="D14" s="60">
        <v>0.752</v>
      </c>
      <c r="E14" s="55">
        <v>35</v>
      </c>
      <c r="F14" s="56">
        <f>표2[[#This Row],[Titer (g/L)]]*표2[[#This Row],[Volume
(mL)]]</f>
        <v>26.32</v>
      </c>
      <c r="G14" s="56">
        <v>12.88</v>
      </c>
      <c r="H14" s="56">
        <f>G14/표2[[#This Row],[Load amounts
(mg)]]*100</f>
        <v>48.936170212765958</v>
      </c>
      <c r="I14" s="57">
        <f>11.64+29.96+14.68</f>
        <v>56.28</v>
      </c>
      <c r="J14" s="57">
        <v>40.18</v>
      </c>
      <c r="K14" s="57">
        <v>2.91</v>
      </c>
      <c r="L14" s="57" t="s">
        <v>106</v>
      </c>
      <c r="M14" s="57" t="s">
        <v>106</v>
      </c>
      <c r="N14" s="57" t="s">
        <v>106</v>
      </c>
      <c r="O14" s="58" t="s">
        <v>61</v>
      </c>
      <c r="P14" s="58" t="s">
        <v>61</v>
      </c>
      <c r="Q14" s="58" t="s">
        <v>61</v>
      </c>
      <c r="R14" s="58" t="s">
        <v>61</v>
      </c>
      <c r="S14" s="58" t="s">
        <v>61</v>
      </c>
      <c r="T14" s="58" t="s">
        <v>61</v>
      </c>
      <c r="U14" s="58" t="s">
        <v>61</v>
      </c>
      <c r="V14" s="58" t="s">
        <v>61</v>
      </c>
      <c r="W14" s="58" t="s">
        <v>61</v>
      </c>
      <c r="X14" s="58" t="s">
        <v>61</v>
      </c>
      <c r="Y14" s="58" t="s">
        <v>61</v>
      </c>
      <c r="Z14" s="58" t="s">
        <v>61</v>
      </c>
      <c r="AA14" s="59"/>
    </row>
    <row r="15" spans="1:27" ht="21" x14ac:dyDescent="0.4">
      <c r="A15" s="51">
        <v>44308</v>
      </c>
      <c r="B15" s="62" t="s">
        <v>27</v>
      </c>
      <c r="C15" s="53" t="s">
        <v>40</v>
      </c>
      <c r="D15" s="54">
        <v>0.316</v>
      </c>
      <c r="E15" s="55">
        <v>35</v>
      </c>
      <c r="F15" s="56">
        <f>표2[[#This Row],[Titer (g/L)]]*표2[[#This Row],[Volume
(mL)]]</f>
        <v>11.06</v>
      </c>
      <c r="G15" s="57">
        <v>7.5720000000000001</v>
      </c>
      <c r="H15" s="56">
        <f>G15/표2[[#This Row],[Load amounts
(mg)]]*100</f>
        <v>68.4629294755877</v>
      </c>
      <c r="I15" s="57">
        <v>57.72</v>
      </c>
      <c r="J15" s="57">
        <v>42.3</v>
      </c>
      <c r="K15" s="57">
        <v>0</v>
      </c>
      <c r="L15" s="57" t="s">
        <v>106</v>
      </c>
      <c r="M15" s="57" t="s">
        <v>106</v>
      </c>
      <c r="N15" s="57" t="s">
        <v>106</v>
      </c>
      <c r="O15" s="58" t="s">
        <v>61</v>
      </c>
      <c r="P15" s="58" t="s">
        <v>61</v>
      </c>
      <c r="Q15" s="58" t="s">
        <v>61</v>
      </c>
      <c r="R15" s="58" t="s">
        <v>61</v>
      </c>
      <c r="S15" s="58" t="s">
        <v>61</v>
      </c>
      <c r="T15" s="58" t="s">
        <v>61</v>
      </c>
      <c r="U15" s="58" t="s">
        <v>61</v>
      </c>
      <c r="V15" s="58" t="s">
        <v>61</v>
      </c>
      <c r="W15" s="58" t="s">
        <v>61</v>
      </c>
      <c r="X15" s="58" t="s">
        <v>61</v>
      </c>
      <c r="Y15" s="58" t="s">
        <v>61</v>
      </c>
      <c r="Z15" s="58" t="s">
        <v>61</v>
      </c>
      <c r="AA15" s="59"/>
    </row>
    <row r="16" spans="1:27" ht="21" x14ac:dyDescent="0.4">
      <c r="A16" s="51">
        <v>44290</v>
      </c>
      <c r="B16" s="52" t="s">
        <v>28</v>
      </c>
      <c r="C16" s="53" t="s">
        <v>40</v>
      </c>
      <c r="D16" s="60">
        <v>0.76200000000000001</v>
      </c>
      <c r="E16" s="55">
        <v>35</v>
      </c>
      <c r="F16" s="56">
        <f>표2[[#This Row],[Titer (g/L)]]*표2[[#This Row],[Volume
(mL)]]</f>
        <v>26.67</v>
      </c>
      <c r="G16" s="56">
        <v>14.88</v>
      </c>
      <c r="H16" s="56">
        <f>G16/표2[[#This Row],[Load amounts
(mg)]]*100</f>
        <v>55.793025871766034</v>
      </c>
      <c r="I16" s="57">
        <f>45.47+12.55</f>
        <v>58.019999999999996</v>
      </c>
      <c r="J16" s="57">
        <v>38.19</v>
      </c>
      <c r="K16" s="57">
        <v>3.79</v>
      </c>
      <c r="L16" s="57" t="s">
        <v>106</v>
      </c>
      <c r="M16" s="57" t="s">
        <v>106</v>
      </c>
      <c r="N16" s="57" t="s">
        <v>106</v>
      </c>
      <c r="O16" s="58" t="s">
        <v>61</v>
      </c>
      <c r="P16" s="58" t="s">
        <v>61</v>
      </c>
      <c r="Q16" s="58" t="s">
        <v>61</v>
      </c>
      <c r="R16" s="58" t="s">
        <v>61</v>
      </c>
      <c r="S16" s="58" t="s">
        <v>61</v>
      </c>
      <c r="T16" s="58" t="s">
        <v>61</v>
      </c>
      <c r="U16" s="58" t="s">
        <v>61</v>
      </c>
      <c r="V16" s="58" t="s">
        <v>61</v>
      </c>
      <c r="W16" s="58" t="s">
        <v>61</v>
      </c>
      <c r="X16" s="58" t="s">
        <v>61</v>
      </c>
      <c r="Y16" s="58" t="s">
        <v>61</v>
      </c>
      <c r="Z16" s="58" t="s">
        <v>61</v>
      </c>
      <c r="AA16" s="59"/>
    </row>
    <row r="17" spans="1:27" ht="21" x14ac:dyDescent="0.4">
      <c r="A17" s="51">
        <v>44308</v>
      </c>
      <c r="B17" s="62" t="s">
        <v>28</v>
      </c>
      <c r="C17" s="53" t="s">
        <v>40</v>
      </c>
      <c r="D17" s="54">
        <v>0.47799999999999998</v>
      </c>
      <c r="E17" s="55">
        <v>35</v>
      </c>
      <c r="F17" s="56">
        <f>표2[[#This Row],[Titer (g/L)]]*표2[[#This Row],[Volume
(mL)]]</f>
        <v>16.73</v>
      </c>
      <c r="G17" s="57">
        <v>7.6139999999999999</v>
      </c>
      <c r="H17" s="56">
        <f>G17/표2[[#This Row],[Load amounts
(mg)]]*100</f>
        <v>45.511057979677219</v>
      </c>
      <c r="I17" s="57">
        <v>43.7</v>
      </c>
      <c r="J17" s="57">
        <v>55.54</v>
      </c>
      <c r="K17" s="57">
        <v>0.76</v>
      </c>
      <c r="L17" s="57" t="s">
        <v>106</v>
      </c>
      <c r="M17" s="57" t="s">
        <v>106</v>
      </c>
      <c r="N17" s="57" t="s">
        <v>106</v>
      </c>
      <c r="O17" s="58" t="s">
        <v>61</v>
      </c>
      <c r="P17" s="58" t="s">
        <v>61</v>
      </c>
      <c r="Q17" s="58" t="s">
        <v>61</v>
      </c>
      <c r="R17" s="58" t="s">
        <v>61</v>
      </c>
      <c r="S17" s="58" t="s">
        <v>61</v>
      </c>
      <c r="T17" s="58" t="s">
        <v>61</v>
      </c>
      <c r="U17" s="58" t="s">
        <v>61</v>
      </c>
      <c r="V17" s="58" t="s">
        <v>61</v>
      </c>
      <c r="W17" s="58" t="s">
        <v>61</v>
      </c>
      <c r="X17" s="58" t="s">
        <v>61</v>
      </c>
      <c r="Y17" s="58" t="s">
        <v>61</v>
      </c>
      <c r="Z17" s="58" t="s">
        <v>61</v>
      </c>
      <c r="AA17" s="59"/>
    </row>
    <row r="18" spans="1:27" ht="21" x14ac:dyDescent="0.4">
      <c r="A18" s="51">
        <v>44290</v>
      </c>
      <c r="B18" s="52" t="s">
        <v>29</v>
      </c>
      <c r="C18" s="53" t="s">
        <v>40</v>
      </c>
      <c r="D18" s="61">
        <v>0.64700000000000002</v>
      </c>
      <c r="E18" s="55">
        <v>35</v>
      </c>
      <c r="F18" s="56">
        <f>표2[[#This Row],[Titer (g/L)]]*표2[[#This Row],[Volume
(mL)]]</f>
        <v>22.645</v>
      </c>
      <c r="G18" s="56">
        <v>12.246</v>
      </c>
      <c r="H18" s="56">
        <f>G18/표2[[#This Row],[Load amounts
(mg)]]*100</f>
        <v>54.078162949878561</v>
      </c>
      <c r="I18" s="57">
        <v>44.48</v>
      </c>
      <c r="J18" s="57">
        <v>54.17</v>
      </c>
      <c r="K18" s="57">
        <v>2.2799999999999998</v>
      </c>
      <c r="L18" s="57" t="s">
        <v>106</v>
      </c>
      <c r="M18" s="57" t="s">
        <v>106</v>
      </c>
      <c r="N18" s="57" t="s">
        <v>106</v>
      </c>
      <c r="O18" s="58" t="s">
        <v>61</v>
      </c>
      <c r="P18" s="58" t="s">
        <v>61</v>
      </c>
      <c r="Q18" s="58" t="s">
        <v>61</v>
      </c>
      <c r="R18" s="58" t="s">
        <v>61</v>
      </c>
      <c r="S18" s="58" t="s">
        <v>61</v>
      </c>
      <c r="T18" s="58" t="s">
        <v>61</v>
      </c>
      <c r="U18" s="58" t="s">
        <v>61</v>
      </c>
      <c r="V18" s="58" t="s">
        <v>61</v>
      </c>
      <c r="W18" s="58" t="s">
        <v>61</v>
      </c>
      <c r="X18" s="58" t="s">
        <v>61</v>
      </c>
      <c r="Y18" s="58" t="s">
        <v>61</v>
      </c>
      <c r="Z18" s="58" t="s">
        <v>61</v>
      </c>
      <c r="AA18" s="59"/>
    </row>
    <row r="19" spans="1:27" ht="21" x14ac:dyDescent="0.4">
      <c r="A19" s="51">
        <v>44302</v>
      </c>
      <c r="B19" s="62" t="s">
        <v>49</v>
      </c>
      <c r="C19" s="53" t="s">
        <v>40</v>
      </c>
      <c r="D19" s="54">
        <v>0.64700000000000002</v>
      </c>
      <c r="E19" s="55">
        <v>35</v>
      </c>
      <c r="F19" s="56">
        <f>표2[[#This Row],[Titer (g/L)]]*표2[[#This Row],[Volume
(mL)]]</f>
        <v>22.645</v>
      </c>
      <c r="G19" s="57">
        <v>12.246</v>
      </c>
      <c r="H19" s="56">
        <f>G19/표2[[#This Row],[Load amounts
(mg)]]*100</f>
        <v>54.078162949878561</v>
      </c>
      <c r="I19" s="57">
        <v>46.14</v>
      </c>
      <c r="J19" s="57">
        <v>53.14</v>
      </c>
      <c r="K19" s="57">
        <v>0.72</v>
      </c>
      <c r="L19" s="57" t="s">
        <v>106</v>
      </c>
      <c r="M19" s="57" t="s">
        <v>106</v>
      </c>
      <c r="N19" s="57" t="s">
        <v>106</v>
      </c>
      <c r="O19" s="58" t="s">
        <v>61</v>
      </c>
      <c r="P19" s="58" t="s">
        <v>61</v>
      </c>
      <c r="Q19" s="58" t="s">
        <v>61</v>
      </c>
      <c r="R19" s="58" t="s">
        <v>61</v>
      </c>
      <c r="S19" s="58" t="s">
        <v>61</v>
      </c>
      <c r="T19" s="58" t="s">
        <v>61</v>
      </c>
      <c r="U19" s="58" t="s">
        <v>61</v>
      </c>
      <c r="V19" s="58" t="s">
        <v>61</v>
      </c>
      <c r="W19" s="58" t="s">
        <v>61</v>
      </c>
      <c r="X19" s="58" t="s">
        <v>61</v>
      </c>
      <c r="Y19" s="58" t="s">
        <v>61</v>
      </c>
      <c r="Z19" s="58" t="s">
        <v>61</v>
      </c>
      <c r="AA19" s="59"/>
    </row>
    <row r="20" spans="1:27" ht="21" x14ac:dyDescent="0.4">
      <c r="A20" s="51">
        <v>44290</v>
      </c>
      <c r="B20" s="52" t="s">
        <v>30</v>
      </c>
      <c r="C20" s="53" t="s">
        <v>40</v>
      </c>
      <c r="D20" s="61">
        <v>0.76400000000000001</v>
      </c>
      <c r="E20" s="55">
        <v>35</v>
      </c>
      <c r="F20" s="56">
        <f>표2[[#This Row],[Titer (g/L)]]*표2[[#This Row],[Volume
(mL)]]</f>
        <v>26.740000000000002</v>
      </c>
      <c r="G20" s="56">
        <v>10.557</v>
      </c>
      <c r="H20" s="56">
        <f>G20/표2[[#This Row],[Load amounts
(mg)]]*100</f>
        <v>39.480179506357516</v>
      </c>
      <c r="I20" s="57">
        <v>23.89</v>
      </c>
      <c r="J20" s="57">
        <v>60.38</v>
      </c>
      <c r="K20" s="57">
        <v>15.73</v>
      </c>
      <c r="L20" s="57" t="s">
        <v>106</v>
      </c>
      <c r="M20" s="57" t="s">
        <v>106</v>
      </c>
      <c r="N20" s="57" t="s">
        <v>106</v>
      </c>
      <c r="O20" s="58" t="s">
        <v>61</v>
      </c>
      <c r="P20" s="58" t="s">
        <v>61</v>
      </c>
      <c r="Q20" s="58" t="s">
        <v>61</v>
      </c>
      <c r="R20" s="58" t="s">
        <v>61</v>
      </c>
      <c r="S20" s="58" t="s">
        <v>61</v>
      </c>
      <c r="T20" s="58" t="s">
        <v>61</v>
      </c>
      <c r="U20" s="58" t="s">
        <v>61</v>
      </c>
      <c r="V20" s="58" t="s">
        <v>61</v>
      </c>
      <c r="W20" s="58" t="s">
        <v>61</v>
      </c>
      <c r="X20" s="58" t="s">
        <v>61</v>
      </c>
      <c r="Y20" s="58" t="s">
        <v>61</v>
      </c>
      <c r="Z20" s="58" t="s">
        <v>61</v>
      </c>
      <c r="AA20" s="59"/>
    </row>
    <row r="21" spans="1:27" ht="21" x14ac:dyDescent="0.4">
      <c r="A21" s="51">
        <v>44302</v>
      </c>
      <c r="B21" s="62" t="s">
        <v>50</v>
      </c>
      <c r="C21" s="53" t="s">
        <v>40</v>
      </c>
      <c r="D21" s="54">
        <v>0.76400000000000001</v>
      </c>
      <c r="E21" s="55">
        <v>35</v>
      </c>
      <c r="F21" s="56">
        <f>표2[[#This Row],[Titer (g/L)]]*표2[[#This Row],[Volume
(mL)]]</f>
        <v>26.740000000000002</v>
      </c>
      <c r="G21" s="57">
        <v>10.557</v>
      </c>
      <c r="H21" s="56">
        <f>G21/표2[[#This Row],[Load amounts
(mg)]]*100</f>
        <v>39.480179506357516</v>
      </c>
      <c r="I21" s="57">
        <v>33.979999999999997</v>
      </c>
      <c r="J21" s="57">
        <v>61.6</v>
      </c>
      <c r="K21" s="57">
        <v>4.43</v>
      </c>
      <c r="L21" s="57" t="s">
        <v>106</v>
      </c>
      <c r="M21" s="57" t="s">
        <v>106</v>
      </c>
      <c r="N21" s="57" t="s">
        <v>106</v>
      </c>
      <c r="O21" s="58" t="s">
        <v>61</v>
      </c>
      <c r="P21" s="58" t="s">
        <v>61</v>
      </c>
      <c r="Q21" s="58" t="s">
        <v>61</v>
      </c>
      <c r="R21" s="58" t="s">
        <v>61</v>
      </c>
      <c r="S21" s="58" t="s">
        <v>61</v>
      </c>
      <c r="T21" s="58" t="s">
        <v>61</v>
      </c>
      <c r="U21" s="58" t="s">
        <v>61</v>
      </c>
      <c r="V21" s="58" t="s">
        <v>61</v>
      </c>
      <c r="W21" s="58" t="s">
        <v>61</v>
      </c>
      <c r="X21" s="58" t="s">
        <v>61</v>
      </c>
      <c r="Y21" s="58" t="s">
        <v>61</v>
      </c>
      <c r="Z21" s="58" t="s">
        <v>61</v>
      </c>
      <c r="AA21" s="59"/>
    </row>
    <row r="22" spans="1:27" ht="21" x14ac:dyDescent="0.4">
      <c r="A22" s="51">
        <v>44290</v>
      </c>
      <c r="B22" s="52" t="s">
        <v>31</v>
      </c>
      <c r="C22" s="53" t="s">
        <v>40</v>
      </c>
      <c r="D22" s="60">
        <v>0.63200000000000001</v>
      </c>
      <c r="E22" s="55">
        <v>35</v>
      </c>
      <c r="F22" s="56">
        <f>표2[[#This Row],[Titer (g/L)]]*표2[[#This Row],[Volume
(mL)]]</f>
        <v>22.12</v>
      </c>
      <c r="G22" s="56">
        <v>12.72</v>
      </c>
      <c r="H22" s="56">
        <f>G22/표2[[#This Row],[Load amounts
(mg)]]*100</f>
        <v>57.504520795660042</v>
      </c>
      <c r="I22" s="57">
        <f>36.21+15.41</f>
        <v>51.620000000000005</v>
      </c>
      <c r="J22" s="57">
        <v>46.52</v>
      </c>
      <c r="K22" s="57">
        <v>1.86</v>
      </c>
      <c r="L22" s="57" t="s">
        <v>106</v>
      </c>
      <c r="M22" s="57" t="s">
        <v>106</v>
      </c>
      <c r="N22" s="57" t="s">
        <v>106</v>
      </c>
      <c r="O22" s="58" t="s">
        <v>61</v>
      </c>
      <c r="P22" s="58" t="s">
        <v>61</v>
      </c>
      <c r="Q22" s="58" t="s">
        <v>61</v>
      </c>
      <c r="R22" s="58" t="s">
        <v>61</v>
      </c>
      <c r="S22" s="58" t="s">
        <v>61</v>
      </c>
      <c r="T22" s="58" t="s">
        <v>61</v>
      </c>
      <c r="U22" s="58" t="s">
        <v>61</v>
      </c>
      <c r="V22" s="58" t="s">
        <v>61</v>
      </c>
      <c r="W22" s="58" t="s">
        <v>61</v>
      </c>
      <c r="X22" s="58" t="s">
        <v>61</v>
      </c>
      <c r="Y22" s="58" t="s">
        <v>61</v>
      </c>
      <c r="Z22" s="58" t="s">
        <v>61</v>
      </c>
      <c r="AA22" s="59"/>
    </row>
    <row r="23" spans="1:27" ht="21" x14ac:dyDescent="0.4">
      <c r="A23" s="51">
        <v>44308</v>
      </c>
      <c r="B23" s="62" t="s">
        <v>31</v>
      </c>
      <c r="C23" s="53" t="s">
        <v>40</v>
      </c>
      <c r="D23" s="54">
        <v>0.317</v>
      </c>
      <c r="E23" s="55">
        <v>35</v>
      </c>
      <c r="F23" s="56">
        <f>표2[[#This Row],[Titer (g/L)]]*표2[[#This Row],[Volume
(mL)]]</f>
        <v>11.095000000000001</v>
      </c>
      <c r="G23" s="57">
        <v>6.3659999999999997</v>
      </c>
      <c r="H23" s="56">
        <f>G23/표2[[#This Row],[Load amounts
(mg)]]*100</f>
        <v>57.377196935556555</v>
      </c>
      <c r="I23" s="57">
        <v>45.54</v>
      </c>
      <c r="J23" s="57">
        <v>54.34</v>
      </c>
      <c r="K23" s="57">
        <v>0.12</v>
      </c>
      <c r="L23" s="57" t="s">
        <v>106</v>
      </c>
      <c r="M23" s="57" t="s">
        <v>106</v>
      </c>
      <c r="N23" s="57" t="s">
        <v>106</v>
      </c>
      <c r="O23" s="58" t="s">
        <v>61</v>
      </c>
      <c r="P23" s="58" t="s">
        <v>61</v>
      </c>
      <c r="Q23" s="58" t="s">
        <v>61</v>
      </c>
      <c r="R23" s="58" t="s">
        <v>61</v>
      </c>
      <c r="S23" s="58" t="s">
        <v>61</v>
      </c>
      <c r="T23" s="58" t="s">
        <v>61</v>
      </c>
      <c r="U23" s="58" t="s">
        <v>61</v>
      </c>
      <c r="V23" s="58" t="s">
        <v>61</v>
      </c>
      <c r="W23" s="58" t="s">
        <v>61</v>
      </c>
      <c r="X23" s="58" t="s">
        <v>61</v>
      </c>
      <c r="Y23" s="58" t="s">
        <v>61</v>
      </c>
      <c r="Z23" s="58" t="s">
        <v>61</v>
      </c>
      <c r="AA23" s="59"/>
    </row>
    <row r="24" spans="1:27" ht="21" x14ac:dyDescent="0.4">
      <c r="A24" s="51">
        <v>44290</v>
      </c>
      <c r="B24" s="52" t="s">
        <v>32</v>
      </c>
      <c r="C24" s="53" t="s">
        <v>41</v>
      </c>
      <c r="D24" s="61">
        <v>0.56200000000000006</v>
      </c>
      <c r="E24" s="55">
        <v>35</v>
      </c>
      <c r="F24" s="56">
        <f>표2[[#This Row],[Titer (g/L)]]*표2[[#This Row],[Volume
(mL)]]</f>
        <v>19.670000000000002</v>
      </c>
      <c r="G24" s="56">
        <v>11.24</v>
      </c>
      <c r="H24" s="56">
        <f>G24/표2[[#This Row],[Load amounts
(mg)]]*100</f>
        <v>57.142857142857139</v>
      </c>
      <c r="I24" s="57">
        <v>67.13</v>
      </c>
      <c r="J24" s="57">
        <v>30.05</v>
      </c>
      <c r="K24" s="57">
        <v>2.82</v>
      </c>
      <c r="L24" s="57" t="s">
        <v>106</v>
      </c>
      <c r="M24" s="57" t="s">
        <v>106</v>
      </c>
      <c r="N24" s="57" t="s">
        <v>106</v>
      </c>
      <c r="O24" s="58" t="s">
        <v>61</v>
      </c>
      <c r="P24" s="58" t="s">
        <v>61</v>
      </c>
      <c r="Q24" s="58" t="s">
        <v>61</v>
      </c>
      <c r="R24" s="58" t="s">
        <v>61</v>
      </c>
      <c r="S24" s="58" t="s">
        <v>61</v>
      </c>
      <c r="T24" s="58" t="s">
        <v>61</v>
      </c>
      <c r="U24" s="58" t="s">
        <v>61</v>
      </c>
      <c r="V24" s="58" t="s">
        <v>61</v>
      </c>
      <c r="W24" s="58" t="s">
        <v>61</v>
      </c>
      <c r="X24" s="58" t="s">
        <v>61</v>
      </c>
      <c r="Y24" s="58" t="s">
        <v>61</v>
      </c>
      <c r="Z24" s="58" t="s">
        <v>61</v>
      </c>
      <c r="AA24" s="59"/>
    </row>
    <row r="25" spans="1:27" ht="21" x14ac:dyDescent="0.4">
      <c r="A25" s="51">
        <v>44290</v>
      </c>
      <c r="B25" s="52" t="s">
        <v>33</v>
      </c>
      <c r="C25" s="53" t="s">
        <v>42</v>
      </c>
      <c r="D25" s="61">
        <v>0.65200000000000002</v>
      </c>
      <c r="E25" s="55">
        <v>35</v>
      </c>
      <c r="F25" s="56">
        <f>표2[[#This Row],[Titer (g/L)]]*표2[[#This Row],[Volume
(mL)]]</f>
        <v>22.82</v>
      </c>
      <c r="G25" s="56">
        <v>11.388</v>
      </c>
      <c r="H25" s="56">
        <f>G25/표2[[#This Row],[Load amounts
(mg)]]*100</f>
        <v>49.903593339176162</v>
      </c>
      <c r="I25" s="57">
        <v>53.67</v>
      </c>
      <c r="J25" s="57">
        <v>41.46</v>
      </c>
      <c r="K25" s="57">
        <v>4.87</v>
      </c>
      <c r="L25" s="57" t="s">
        <v>106</v>
      </c>
      <c r="M25" s="57" t="s">
        <v>106</v>
      </c>
      <c r="N25" s="57" t="s">
        <v>106</v>
      </c>
      <c r="O25" s="58" t="s">
        <v>61</v>
      </c>
      <c r="P25" s="58" t="s">
        <v>61</v>
      </c>
      <c r="Q25" s="58" t="s">
        <v>61</v>
      </c>
      <c r="R25" s="58" t="s">
        <v>61</v>
      </c>
      <c r="S25" s="58" t="s">
        <v>61</v>
      </c>
      <c r="T25" s="58" t="s">
        <v>61</v>
      </c>
      <c r="U25" s="58" t="s">
        <v>61</v>
      </c>
      <c r="V25" s="58" t="s">
        <v>61</v>
      </c>
      <c r="W25" s="58" t="s">
        <v>61</v>
      </c>
      <c r="X25" s="58" t="s">
        <v>61</v>
      </c>
      <c r="Y25" s="58" t="s">
        <v>61</v>
      </c>
      <c r="Z25" s="58" t="s">
        <v>61</v>
      </c>
      <c r="AA25" s="59"/>
    </row>
    <row r="26" spans="1:27" ht="21" x14ac:dyDescent="0.4">
      <c r="A26" s="51">
        <v>44302</v>
      </c>
      <c r="B26" s="62" t="s">
        <v>51</v>
      </c>
      <c r="C26" s="53" t="s">
        <v>42</v>
      </c>
      <c r="D26" s="54">
        <v>0.65200000000000002</v>
      </c>
      <c r="E26" s="55">
        <v>35</v>
      </c>
      <c r="F26" s="56">
        <f>표2[[#This Row],[Titer (g/L)]]*표2[[#This Row],[Volume
(mL)]]</f>
        <v>22.82</v>
      </c>
      <c r="G26" s="57">
        <v>11.388</v>
      </c>
      <c r="H26" s="56">
        <f>G26/표2[[#This Row],[Load amounts
(mg)]]*100</f>
        <v>49.903593339176162</v>
      </c>
      <c r="I26" s="57">
        <v>45.35</v>
      </c>
      <c r="J26" s="57">
        <v>48.42</v>
      </c>
      <c r="K26" s="57">
        <v>6.23</v>
      </c>
      <c r="L26" s="57" t="s">
        <v>106</v>
      </c>
      <c r="M26" s="57" t="s">
        <v>106</v>
      </c>
      <c r="N26" s="57" t="s">
        <v>106</v>
      </c>
      <c r="O26" s="58" t="s">
        <v>61</v>
      </c>
      <c r="P26" s="58" t="s">
        <v>61</v>
      </c>
      <c r="Q26" s="58" t="s">
        <v>61</v>
      </c>
      <c r="R26" s="58" t="s">
        <v>61</v>
      </c>
      <c r="S26" s="58" t="s">
        <v>61</v>
      </c>
      <c r="T26" s="58" t="s">
        <v>61</v>
      </c>
      <c r="U26" s="58" t="s">
        <v>61</v>
      </c>
      <c r="V26" s="58" t="s">
        <v>61</v>
      </c>
      <c r="W26" s="58" t="s">
        <v>61</v>
      </c>
      <c r="X26" s="58" t="s">
        <v>61</v>
      </c>
      <c r="Y26" s="58" t="s">
        <v>61</v>
      </c>
      <c r="Z26" s="58" t="s">
        <v>61</v>
      </c>
      <c r="AA26" s="59"/>
    </row>
    <row r="27" spans="1:27" ht="21" x14ac:dyDescent="0.4">
      <c r="A27" s="51">
        <v>44290</v>
      </c>
      <c r="B27" s="52" t="s">
        <v>34</v>
      </c>
      <c r="C27" s="53" t="s">
        <v>43</v>
      </c>
      <c r="D27" s="61">
        <v>0.45500000000000002</v>
      </c>
      <c r="E27" s="55">
        <v>35</v>
      </c>
      <c r="F27" s="56">
        <f>표2[[#This Row],[Titer (g/L)]]*표2[[#This Row],[Volume
(mL)]]</f>
        <v>15.925000000000001</v>
      </c>
      <c r="G27" s="56">
        <v>8.1280000000000001</v>
      </c>
      <c r="H27" s="56">
        <f>G27/표2[[#This Row],[Load amounts
(mg)]]*100</f>
        <v>51.039246467817904</v>
      </c>
      <c r="I27" s="57">
        <v>49.1</v>
      </c>
      <c r="J27" s="57">
        <v>48.38</v>
      </c>
      <c r="K27" s="57">
        <v>2.52</v>
      </c>
      <c r="L27" s="57" t="s">
        <v>106</v>
      </c>
      <c r="M27" s="57" t="s">
        <v>106</v>
      </c>
      <c r="N27" s="57" t="s">
        <v>106</v>
      </c>
      <c r="O27" s="58" t="s">
        <v>61</v>
      </c>
      <c r="P27" s="58" t="s">
        <v>61</v>
      </c>
      <c r="Q27" s="58" t="s">
        <v>61</v>
      </c>
      <c r="R27" s="58" t="s">
        <v>61</v>
      </c>
      <c r="S27" s="58" t="s">
        <v>61</v>
      </c>
      <c r="T27" s="58" t="s">
        <v>61</v>
      </c>
      <c r="U27" s="58" t="s">
        <v>61</v>
      </c>
      <c r="V27" s="58" t="s">
        <v>61</v>
      </c>
      <c r="W27" s="58" t="s">
        <v>61</v>
      </c>
      <c r="X27" s="58" t="s">
        <v>61</v>
      </c>
      <c r="Y27" s="58" t="s">
        <v>61</v>
      </c>
      <c r="Z27" s="58" t="s">
        <v>61</v>
      </c>
      <c r="AA27" s="59"/>
    </row>
    <row r="28" spans="1:27" ht="21" x14ac:dyDescent="0.4">
      <c r="A28" s="51">
        <v>44302</v>
      </c>
      <c r="B28" s="62" t="s">
        <v>52</v>
      </c>
      <c r="C28" s="53" t="s">
        <v>43</v>
      </c>
      <c r="D28" s="54">
        <v>0.45500000000000002</v>
      </c>
      <c r="E28" s="55">
        <v>35</v>
      </c>
      <c r="F28" s="56">
        <f>표2[[#This Row],[Titer (g/L)]]*표2[[#This Row],[Volume
(mL)]]</f>
        <v>15.925000000000001</v>
      </c>
      <c r="G28" s="57">
        <v>8.1280000000000001</v>
      </c>
      <c r="H28" s="56">
        <f>G28/표2[[#This Row],[Load amounts
(mg)]]*100</f>
        <v>51.039246467817904</v>
      </c>
      <c r="I28" s="57">
        <v>39.04</v>
      </c>
      <c r="J28" s="57">
        <v>54.81</v>
      </c>
      <c r="K28" s="57">
        <v>6.15</v>
      </c>
      <c r="L28" s="57" t="s">
        <v>106</v>
      </c>
      <c r="M28" s="57" t="s">
        <v>106</v>
      </c>
      <c r="N28" s="57" t="s">
        <v>106</v>
      </c>
      <c r="O28" s="58" t="s">
        <v>61</v>
      </c>
      <c r="P28" s="58" t="s">
        <v>61</v>
      </c>
      <c r="Q28" s="58" t="s">
        <v>61</v>
      </c>
      <c r="R28" s="58" t="s">
        <v>61</v>
      </c>
      <c r="S28" s="58" t="s">
        <v>61</v>
      </c>
      <c r="T28" s="58" t="s">
        <v>61</v>
      </c>
      <c r="U28" s="58" t="s">
        <v>61</v>
      </c>
      <c r="V28" s="58" t="s">
        <v>61</v>
      </c>
      <c r="W28" s="58" t="s">
        <v>61</v>
      </c>
      <c r="X28" s="58" t="s">
        <v>61</v>
      </c>
      <c r="Y28" s="58" t="s">
        <v>61</v>
      </c>
      <c r="Z28" s="58" t="s">
        <v>61</v>
      </c>
      <c r="AA28" s="59"/>
    </row>
    <row r="29" spans="1:27" ht="21" x14ac:dyDescent="0.4">
      <c r="A29" s="51">
        <v>44290</v>
      </c>
      <c r="B29" s="52" t="s">
        <v>35</v>
      </c>
      <c r="C29" s="53" t="s">
        <v>44</v>
      </c>
      <c r="D29" s="61">
        <v>0.60399999999999998</v>
      </c>
      <c r="E29" s="55">
        <v>35</v>
      </c>
      <c r="F29" s="56">
        <f>표2[[#This Row],[Titer (g/L)]]*표2[[#This Row],[Volume
(mL)]]</f>
        <v>21.14</v>
      </c>
      <c r="G29" s="56">
        <v>12.587</v>
      </c>
      <c r="H29" s="56">
        <f>G29/표2[[#This Row],[Load amounts
(mg)]]*100</f>
        <v>59.541154210028381</v>
      </c>
      <c r="I29" s="57">
        <v>58.55</v>
      </c>
      <c r="J29" s="57">
        <v>35.72</v>
      </c>
      <c r="K29" s="57">
        <v>5.73</v>
      </c>
      <c r="L29" s="57" t="s">
        <v>106</v>
      </c>
      <c r="M29" s="57" t="s">
        <v>106</v>
      </c>
      <c r="N29" s="57" t="s">
        <v>106</v>
      </c>
      <c r="O29" s="58" t="s">
        <v>61</v>
      </c>
      <c r="P29" s="58" t="s">
        <v>61</v>
      </c>
      <c r="Q29" s="58" t="s">
        <v>61</v>
      </c>
      <c r="R29" s="58" t="s">
        <v>61</v>
      </c>
      <c r="S29" s="58" t="s">
        <v>61</v>
      </c>
      <c r="T29" s="58" t="s">
        <v>61</v>
      </c>
      <c r="U29" s="58" t="s">
        <v>61</v>
      </c>
      <c r="V29" s="58" t="s">
        <v>61</v>
      </c>
      <c r="W29" s="58" t="s">
        <v>61</v>
      </c>
      <c r="X29" s="58" t="s">
        <v>61</v>
      </c>
      <c r="Y29" s="58" t="s">
        <v>61</v>
      </c>
      <c r="Z29" s="58" t="s">
        <v>61</v>
      </c>
      <c r="AA29" s="59"/>
    </row>
    <row r="30" spans="1:27" ht="21" x14ac:dyDescent="0.4">
      <c r="A30" s="51">
        <v>44290</v>
      </c>
      <c r="B30" s="52" t="s">
        <v>36</v>
      </c>
      <c r="C30" s="53" t="s">
        <v>45</v>
      </c>
      <c r="D30" s="60">
        <v>0.28299999999999997</v>
      </c>
      <c r="E30" s="55">
        <v>35</v>
      </c>
      <c r="F30" s="56">
        <f>표2[[#This Row],[Titer (g/L)]]*표2[[#This Row],[Volume
(mL)]]</f>
        <v>9.9049999999999994</v>
      </c>
      <c r="G30" s="56">
        <v>6.13</v>
      </c>
      <c r="H30" s="56">
        <f>G30/표2[[#This Row],[Load amounts
(mg)]]*100</f>
        <v>61.8879353861686</v>
      </c>
      <c r="I30" s="57">
        <v>65.52</v>
      </c>
      <c r="J30" s="57">
        <v>32.78</v>
      </c>
      <c r="K30" s="57">
        <v>1.7</v>
      </c>
      <c r="L30" s="57" t="s">
        <v>106</v>
      </c>
      <c r="M30" s="57" t="s">
        <v>106</v>
      </c>
      <c r="N30" s="57" t="s">
        <v>106</v>
      </c>
      <c r="O30" s="58" t="s">
        <v>61</v>
      </c>
      <c r="P30" s="58" t="s">
        <v>61</v>
      </c>
      <c r="Q30" s="58" t="s">
        <v>61</v>
      </c>
      <c r="R30" s="58" t="s">
        <v>61</v>
      </c>
      <c r="S30" s="58" t="s">
        <v>61</v>
      </c>
      <c r="T30" s="58" t="s">
        <v>61</v>
      </c>
      <c r="U30" s="58" t="s">
        <v>61</v>
      </c>
      <c r="V30" s="58" t="s">
        <v>61</v>
      </c>
      <c r="W30" s="58" t="s">
        <v>61</v>
      </c>
      <c r="X30" s="58" t="s">
        <v>61</v>
      </c>
      <c r="Y30" s="58" t="s">
        <v>61</v>
      </c>
      <c r="Z30" s="58" t="s">
        <v>61</v>
      </c>
      <c r="AA30" s="59"/>
    </row>
    <row r="31" spans="1:27" ht="21" x14ac:dyDescent="0.4">
      <c r="A31" s="51">
        <v>44290</v>
      </c>
      <c r="B31" s="52" t="s">
        <v>37</v>
      </c>
      <c r="C31" s="53" t="s">
        <v>46</v>
      </c>
      <c r="D31" s="61">
        <v>0.54500000000000004</v>
      </c>
      <c r="E31" s="55">
        <v>35</v>
      </c>
      <c r="F31" s="56">
        <f>표2[[#This Row],[Titer (g/L)]]*표2[[#This Row],[Volume
(mL)]]</f>
        <v>19.075000000000003</v>
      </c>
      <c r="G31" s="56">
        <v>9.8089999999999993</v>
      </c>
      <c r="H31" s="56">
        <f>G31/표2[[#This Row],[Load amounts
(mg)]]*100</f>
        <v>51.423328964613354</v>
      </c>
      <c r="I31" s="57">
        <v>49.89</v>
      </c>
      <c r="J31" s="57">
        <v>44.96</v>
      </c>
      <c r="K31" s="57">
        <v>5.15</v>
      </c>
      <c r="L31" s="57" t="s">
        <v>106</v>
      </c>
      <c r="M31" s="57" t="s">
        <v>106</v>
      </c>
      <c r="N31" s="57" t="s">
        <v>106</v>
      </c>
      <c r="O31" s="58" t="s">
        <v>61</v>
      </c>
      <c r="P31" s="58" t="s">
        <v>61</v>
      </c>
      <c r="Q31" s="58" t="s">
        <v>61</v>
      </c>
      <c r="R31" s="58" t="s">
        <v>61</v>
      </c>
      <c r="S31" s="58" t="s">
        <v>61</v>
      </c>
      <c r="T31" s="58" t="s">
        <v>61</v>
      </c>
      <c r="U31" s="58" t="s">
        <v>61</v>
      </c>
      <c r="V31" s="58" t="s">
        <v>61</v>
      </c>
      <c r="W31" s="58" t="s">
        <v>61</v>
      </c>
      <c r="X31" s="58" t="s">
        <v>61</v>
      </c>
      <c r="Y31" s="58" t="s">
        <v>61</v>
      </c>
      <c r="Z31" s="58" t="s">
        <v>61</v>
      </c>
      <c r="AA31" s="59"/>
    </row>
    <row r="32" spans="1:27" ht="21" x14ac:dyDescent="0.4">
      <c r="A32" s="51">
        <v>44290</v>
      </c>
      <c r="B32" s="52" t="s">
        <v>38</v>
      </c>
      <c r="C32" s="53" t="s">
        <v>47</v>
      </c>
      <c r="D32" s="61">
        <v>0.55700000000000005</v>
      </c>
      <c r="E32" s="55">
        <v>35</v>
      </c>
      <c r="F32" s="56">
        <f>표2[[#This Row],[Titer (g/L)]]*표2[[#This Row],[Volume
(mL)]]</f>
        <v>19.495000000000001</v>
      </c>
      <c r="G32" s="56">
        <v>10.196999999999999</v>
      </c>
      <c r="H32" s="56">
        <f>G32/표2[[#This Row],[Load amounts
(mg)]]*100</f>
        <v>52.305719415234663</v>
      </c>
      <c r="I32" s="57">
        <v>55.64</v>
      </c>
      <c r="J32" s="57">
        <v>38.5</v>
      </c>
      <c r="K32" s="57">
        <v>5.88</v>
      </c>
      <c r="L32" s="57" t="s">
        <v>106</v>
      </c>
      <c r="M32" s="57" t="s">
        <v>106</v>
      </c>
      <c r="N32" s="57" t="s">
        <v>106</v>
      </c>
      <c r="O32" s="58" t="s">
        <v>61</v>
      </c>
      <c r="P32" s="58" t="s">
        <v>61</v>
      </c>
      <c r="Q32" s="58" t="s">
        <v>61</v>
      </c>
      <c r="R32" s="58" t="s">
        <v>61</v>
      </c>
      <c r="S32" s="58" t="s">
        <v>61</v>
      </c>
      <c r="T32" s="58" t="s">
        <v>61</v>
      </c>
      <c r="U32" s="58" t="s">
        <v>61</v>
      </c>
      <c r="V32" s="58" t="s">
        <v>61</v>
      </c>
      <c r="W32" s="58" t="s">
        <v>61</v>
      </c>
      <c r="X32" s="58" t="s">
        <v>61</v>
      </c>
      <c r="Y32" s="58" t="s">
        <v>61</v>
      </c>
      <c r="Z32" s="58" t="s">
        <v>61</v>
      </c>
      <c r="AA32" s="59"/>
    </row>
    <row r="33" spans="1:27" ht="21" x14ac:dyDescent="0.4">
      <c r="A33" s="51">
        <v>44355</v>
      </c>
      <c r="B33" s="62" t="s">
        <v>53</v>
      </c>
      <c r="C33" s="53" t="s">
        <v>60</v>
      </c>
      <c r="D33" s="54">
        <v>0.56499999999999995</v>
      </c>
      <c r="E33" s="55">
        <v>35</v>
      </c>
      <c r="F33" s="56">
        <f>표2[[#This Row],[Titer (g/L)]]*표2[[#This Row],[Volume
(mL)]]</f>
        <v>19.774999999999999</v>
      </c>
      <c r="G33" s="57">
        <v>7.99</v>
      </c>
      <c r="H33" s="56">
        <f>G33/표2[[#This Row],[Load amounts
(mg)]]*100</f>
        <v>40.40455120101138</v>
      </c>
      <c r="I33" s="57">
        <v>39.81</v>
      </c>
      <c r="J33" s="57">
        <v>60.05</v>
      </c>
      <c r="K33" s="57">
        <v>0.14000000000000001</v>
      </c>
      <c r="L33" s="57" t="s">
        <v>106</v>
      </c>
      <c r="M33" s="57" t="s">
        <v>106</v>
      </c>
      <c r="N33" s="57" t="s">
        <v>106</v>
      </c>
      <c r="O33" s="57">
        <v>7.99</v>
      </c>
      <c r="P33" s="58">
        <v>3.3</v>
      </c>
      <c r="Q33" s="58">
        <f>표2[[#This Row],[Eluate amounts
(mg)3]]/표2[[#This Row],[Load amounts
(mg)3]]*100</f>
        <v>41.301627033792236</v>
      </c>
      <c r="R33" s="58">
        <f t="shared" ref="R33:R39" si="0">100-S33</f>
        <v>1.3799999999999955</v>
      </c>
      <c r="S33" s="58">
        <v>98.62</v>
      </c>
      <c r="T33" s="58">
        <v>0</v>
      </c>
      <c r="U33" s="58" t="s">
        <v>61</v>
      </c>
      <c r="V33" s="58" t="s">
        <v>61</v>
      </c>
      <c r="W33" s="58" t="s">
        <v>61</v>
      </c>
      <c r="X33" s="58" t="s">
        <v>61</v>
      </c>
      <c r="Y33" s="58" t="s">
        <v>61</v>
      </c>
      <c r="Z33" s="58" t="s">
        <v>61</v>
      </c>
      <c r="AA33" s="59"/>
    </row>
    <row r="34" spans="1:27" ht="21" x14ac:dyDescent="0.4">
      <c r="A34" s="51">
        <v>44355</v>
      </c>
      <c r="B34" s="62" t="s">
        <v>54</v>
      </c>
      <c r="C34" s="53" t="s">
        <v>60</v>
      </c>
      <c r="D34" s="54">
        <v>0.434</v>
      </c>
      <c r="E34" s="55">
        <v>35</v>
      </c>
      <c r="F34" s="56">
        <f>표2[[#This Row],[Titer (g/L)]]*표2[[#This Row],[Volume
(mL)]]</f>
        <v>15.19</v>
      </c>
      <c r="G34" s="57">
        <v>7.07</v>
      </c>
      <c r="H34" s="56">
        <f>G34/표2[[#This Row],[Load amounts
(mg)]]*100</f>
        <v>46.543778801843324</v>
      </c>
      <c r="I34" s="57">
        <v>42.13</v>
      </c>
      <c r="J34" s="57">
        <v>57.06</v>
      </c>
      <c r="K34" s="57">
        <v>0.81</v>
      </c>
      <c r="L34" s="57" t="s">
        <v>106</v>
      </c>
      <c r="M34" s="57" t="s">
        <v>106</v>
      </c>
      <c r="N34" s="57" t="s">
        <v>106</v>
      </c>
      <c r="O34" s="57">
        <v>7.07</v>
      </c>
      <c r="P34" s="58">
        <v>2.29</v>
      </c>
      <c r="Q34" s="58">
        <f>표2[[#This Row],[Eluate amounts
(mg)3]]/표2[[#This Row],[Load amounts
(mg)3]]*100</f>
        <v>32.390381895332389</v>
      </c>
      <c r="R34" s="58">
        <f t="shared" si="0"/>
        <v>2.5300000000000011</v>
      </c>
      <c r="S34" s="58">
        <v>97.47</v>
      </c>
      <c r="T34" s="58">
        <v>0</v>
      </c>
      <c r="U34" s="58" t="s">
        <v>61</v>
      </c>
      <c r="V34" s="58" t="s">
        <v>61</v>
      </c>
      <c r="W34" s="58" t="s">
        <v>61</v>
      </c>
      <c r="X34" s="58" t="s">
        <v>61</v>
      </c>
      <c r="Y34" s="58" t="s">
        <v>61</v>
      </c>
      <c r="Z34" s="58" t="s">
        <v>61</v>
      </c>
      <c r="AA34" s="59"/>
    </row>
    <row r="35" spans="1:27" ht="21" x14ac:dyDescent="0.4">
      <c r="A35" s="51">
        <v>44355</v>
      </c>
      <c r="B35" s="62" t="s">
        <v>55</v>
      </c>
      <c r="C35" s="53" t="s">
        <v>60</v>
      </c>
      <c r="D35" s="54">
        <v>0.63200000000000001</v>
      </c>
      <c r="E35" s="55">
        <v>35</v>
      </c>
      <c r="F35" s="56">
        <f>표2[[#This Row],[Titer (g/L)]]*표2[[#This Row],[Volume
(mL)]]</f>
        <v>22.12</v>
      </c>
      <c r="G35" s="57">
        <v>7.04</v>
      </c>
      <c r="H35" s="56">
        <f>G35/표2[[#This Row],[Load amounts
(mg)]]*100</f>
        <v>31.826401446654611</v>
      </c>
      <c r="I35" s="57">
        <v>42.16</v>
      </c>
      <c r="J35" s="57">
        <v>57.14</v>
      </c>
      <c r="K35" s="57">
        <v>0.69</v>
      </c>
      <c r="L35" s="57" t="s">
        <v>106</v>
      </c>
      <c r="M35" s="57" t="s">
        <v>106</v>
      </c>
      <c r="N35" s="57" t="s">
        <v>106</v>
      </c>
      <c r="O35" s="57">
        <v>7.04</v>
      </c>
      <c r="P35" s="58">
        <v>3.81</v>
      </c>
      <c r="Q35" s="58">
        <f>표2[[#This Row],[Eluate amounts
(mg)3]]/표2[[#This Row],[Load amounts
(mg)3]]*100</f>
        <v>54.11931818181818</v>
      </c>
      <c r="R35" s="58">
        <f t="shared" si="0"/>
        <v>8.9099999999999966</v>
      </c>
      <c r="S35" s="58">
        <v>91.09</v>
      </c>
      <c r="T35" s="58">
        <v>0</v>
      </c>
      <c r="U35" s="58" t="s">
        <v>61</v>
      </c>
      <c r="V35" s="58" t="s">
        <v>61</v>
      </c>
      <c r="W35" s="58" t="s">
        <v>61</v>
      </c>
      <c r="X35" s="58" t="s">
        <v>61</v>
      </c>
      <c r="Y35" s="58" t="s">
        <v>61</v>
      </c>
      <c r="Z35" s="58" t="s">
        <v>61</v>
      </c>
      <c r="AA35" s="59"/>
    </row>
    <row r="36" spans="1:27" ht="21" x14ac:dyDescent="0.4">
      <c r="A36" s="51">
        <v>44355</v>
      </c>
      <c r="B36" s="62" t="s">
        <v>56</v>
      </c>
      <c r="C36" s="53" t="s">
        <v>60</v>
      </c>
      <c r="D36" s="54">
        <v>0.53600000000000003</v>
      </c>
      <c r="E36" s="55">
        <v>35</v>
      </c>
      <c r="F36" s="56">
        <f>표2[[#This Row],[Titer (g/L)]]*표2[[#This Row],[Volume
(mL)]]</f>
        <v>18.760000000000002</v>
      </c>
      <c r="G36" s="63">
        <v>7.49</v>
      </c>
      <c r="H36" s="56">
        <f>G36/표2[[#This Row],[Load amounts
(mg)]]*100</f>
        <v>39.925373134328353</v>
      </c>
      <c r="I36" s="63">
        <v>38.119999999999997</v>
      </c>
      <c r="J36" s="63">
        <v>61.14</v>
      </c>
      <c r="K36" s="63">
        <v>0.74</v>
      </c>
      <c r="L36" s="63" t="s">
        <v>106</v>
      </c>
      <c r="M36" s="57" t="s">
        <v>106</v>
      </c>
      <c r="N36" s="57" t="s">
        <v>106</v>
      </c>
      <c r="O36" s="57">
        <v>7.49</v>
      </c>
      <c r="P36" s="58">
        <v>3.99</v>
      </c>
      <c r="Q36" s="58">
        <f>표2[[#This Row],[Eluate amounts
(mg)3]]/표2[[#This Row],[Load amounts
(mg)3]]*100</f>
        <v>53.271028037383182</v>
      </c>
      <c r="R36" s="58">
        <f t="shared" si="0"/>
        <v>1.0400000000000063</v>
      </c>
      <c r="S36" s="58">
        <v>98.96</v>
      </c>
      <c r="T36" s="58">
        <v>0</v>
      </c>
      <c r="U36" s="58" t="s">
        <v>61</v>
      </c>
      <c r="V36" s="58" t="s">
        <v>61</v>
      </c>
      <c r="W36" s="58" t="s">
        <v>61</v>
      </c>
      <c r="X36" s="58" t="s">
        <v>61</v>
      </c>
      <c r="Y36" s="58" t="s">
        <v>61</v>
      </c>
      <c r="Z36" s="58" t="s">
        <v>61</v>
      </c>
      <c r="AA36" s="59"/>
    </row>
    <row r="37" spans="1:27" ht="21" x14ac:dyDescent="0.4">
      <c r="A37" s="51">
        <v>44355</v>
      </c>
      <c r="B37" s="62" t="s">
        <v>57</v>
      </c>
      <c r="C37" s="53" t="s">
        <v>60</v>
      </c>
      <c r="D37" s="54">
        <v>0.59099999999999997</v>
      </c>
      <c r="E37" s="55">
        <v>35</v>
      </c>
      <c r="F37" s="56">
        <f>표2[[#This Row],[Titer (g/L)]]*표2[[#This Row],[Volume
(mL)]]</f>
        <v>20.684999999999999</v>
      </c>
      <c r="G37" s="63">
        <v>8.2100000000000009</v>
      </c>
      <c r="H37" s="56">
        <f>G37/표2[[#This Row],[Load amounts
(mg)]]*100</f>
        <v>39.690597051003152</v>
      </c>
      <c r="I37" s="63">
        <v>34.74</v>
      </c>
      <c r="J37" s="63">
        <v>62.38</v>
      </c>
      <c r="K37" s="63">
        <v>2.87</v>
      </c>
      <c r="L37" s="63" t="s">
        <v>106</v>
      </c>
      <c r="M37" s="57" t="s">
        <v>106</v>
      </c>
      <c r="N37" s="57" t="s">
        <v>106</v>
      </c>
      <c r="O37" s="57">
        <v>8.2100000000000009</v>
      </c>
      <c r="P37" s="58">
        <v>3.85</v>
      </c>
      <c r="Q37" s="58">
        <f>표2[[#This Row],[Eluate amounts
(mg)3]]/표2[[#This Row],[Load amounts
(mg)3]]*100</f>
        <v>46.894031668696705</v>
      </c>
      <c r="R37" s="58">
        <f t="shared" si="0"/>
        <v>0</v>
      </c>
      <c r="S37" s="58">
        <v>100</v>
      </c>
      <c r="T37" s="58">
        <v>0</v>
      </c>
      <c r="U37" s="58" t="s">
        <v>61</v>
      </c>
      <c r="V37" s="58" t="s">
        <v>61</v>
      </c>
      <c r="W37" s="58" t="s">
        <v>61</v>
      </c>
      <c r="X37" s="58" t="s">
        <v>61</v>
      </c>
      <c r="Y37" s="58" t="s">
        <v>61</v>
      </c>
      <c r="Z37" s="58" t="s">
        <v>61</v>
      </c>
      <c r="AA37" s="59"/>
    </row>
    <row r="38" spans="1:27" ht="21" x14ac:dyDescent="0.4">
      <c r="A38" s="51">
        <v>44355</v>
      </c>
      <c r="B38" s="62" t="s">
        <v>58</v>
      </c>
      <c r="C38" s="53" t="s">
        <v>40</v>
      </c>
      <c r="D38" s="54">
        <v>0.48299999999999998</v>
      </c>
      <c r="E38" s="55">
        <v>35</v>
      </c>
      <c r="F38" s="56">
        <f>표2[[#This Row],[Titer (g/L)]]*표2[[#This Row],[Volume
(mL)]]</f>
        <v>16.905000000000001</v>
      </c>
      <c r="G38" s="63">
        <v>8.3000000000000007</v>
      </c>
      <c r="H38" s="56">
        <f>G38/표2[[#This Row],[Load amounts
(mg)]]*100</f>
        <v>49.097900029577055</v>
      </c>
      <c r="I38" s="64">
        <v>57.7</v>
      </c>
      <c r="J38" s="64">
        <v>41.3</v>
      </c>
      <c r="K38" s="64">
        <v>1</v>
      </c>
      <c r="L38" s="63" t="s">
        <v>106</v>
      </c>
      <c r="M38" s="57" t="s">
        <v>106</v>
      </c>
      <c r="N38" s="57" t="s">
        <v>106</v>
      </c>
      <c r="O38" s="57">
        <v>8.3000000000000007</v>
      </c>
      <c r="P38" s="58">
        <v>2.2000000000000002</v>
      </c>
      <c r="Q38" s="58">
        <f>표2[[#This Row],[Eluate amounts
(mg)3]]/표2[[#This Row],[Load amounts
(mg)3]]*100</f>
        <v>26.506024096385545</v>
      </c>
      <c r="R38" s="58">
        <f t="shared" si="0"/>
        <v>8.5900000000000034</v>
      </c>
      <c r="S38" s="58">
        <v>91.41</v>
      </c>
      <c r="T38" s="58">
        <v>0</v>
      </c>
      <c r="U38" s="58" t="s">
        <v>61</v>
      </c>
      <c r="V38" s="58" t="s">
        <v>61</v>
      </c>
      <c r="W38" s="58" t="s">
        <v>61</v>
      </c>
      <c r="X38" s="58" t="s">
        <v>61</v>
      </c>
      <c r="Y38" s="58" t="s">
        <v>61</v>
      </c>
      <c r="Z38" s="58" t="s">
        <v>61</v>
      </c>
      <c r="AA38" s="59"/>
    </row>
    <row r="39" spans="1:27" ht="21" x14ac:dyDescent="0.4">
      <c r="A39" s="51">
        <v>44355</v>
      </c>
      <c r="B39" s="62" t="s">
        <v>59</v>
      </c>
      <c r="C39" s="53" t="s">
        <v>60</v>
      </c>
      <c r="D39" s="54">
        <v>0.625</v>
      </c>
      <c r="E39" s="55">
        <v>35</v>
      </c>
      <c r="F39" s="56">
        <f>표2[[#This Row],[Titer (g/L)]]*표2[[#This Row],[Volume
(mL)]]</f>
        <v>21.875</v>
      </c>
      <c r="G39" s="63">
        <v>9.83</v>
      </c>
      <c r="H39" s="56">
        <f>G39/표2[[#This Row],[Load amounts
(mg)]]*100</f>
        <v>44.937142857142859</v>
      </c>
      <c r="I39" s="64">
        <v>41.1</v>
      </c>
      <c r="J39" s="64">
        <v>58.6</v>
      </c>
      <c r="K39" s="64">
        <v>0.4</v>
      </c>
      <c r="L39" s="63" t="s">
        <v>106</v>
      </c>
      <c r="M39" s="57" t="s">
        <v>106</v>
      </c>
      <c r="N39" s="57" t="s">
        <v>106</v>
      </c>
      <c r="O39" s="57">
        <v>9.83</v>
      </c>
      <c r="P39" s="58">
        <v>3.62</v>
      </c>
      <c r="Q39" s="58">
        <f>표2[[#This Row],[Eluate amounts
(mg)3]]/표2[[#This Row],[Load amounts
(mg)3]]*100</f>
        <v>36.826042726347914</v>
      </c>
      <c r="R39" s="58">
        <f t="shared" si="0"/>
        <v>4.4000000000000057</v>
      </c>
      <c r="S39" s="58">
        <v>95.6</v>
      </c>
      <c r="T39" s="58">
        <v>0</v>
      </c>
      <c r="U39" s="58" t="s">
        <v>61</v>
      </c>
      <c r="V39" s="58" t="s">
        <v>61</v>
      </c>
      <c r="W39" s="58" t="s">
        <v>61</v>
      </c>
      <c r="X39" s="58" t="s">
        <v>61</v>
      </c>
      <c r="Y39" s="58" t="s">
        <v>61</v>
      </c>
      <c r="Z39" s="58" t="s">
        <v>61</v>
      </c>
      <c r="AA39" s="59"/>
    </row>
    <row r="40" spans="1:27" ht="21.6" customHeight="1" x14ac:dyDescent="0.4">
      <c r="A40" s="65">
        <v>44428</v>
      </c>
      <c r="B40" s="66" t="s">
        <v>83</v>
      </c>
      <c r="C40" s="67" t="s">
        <v>74</v>
      </c>
      <c r="D40" s="60">
        <v>0.23599999999999999</v>
      </c>
      <c r="E40" s="55">
        <v>35</v>
      </c>
      <c r="F40" s="56">
        <f>표2[[#This Row],[Titer (g/L)]]*표2[[#This Row],[Volume
(mL)]]</f>
        <v>8.26</v>
      </c>
      <c r="G40" s="56">
        <f>1.15*6.4</f>
        <v>7.3599999999999994</v>
      </c>
      <c r="H40" s="56">
        <f>G40/표2[[#This Row],[Load amounts
(mg)]]*100</f>
        <v>89.104116222760283</v>
      </c>
      <c r="I40" s="56">
        <v>27</v>
      </c>
      <c r="J40" s="56">
        <v>63.4</v>
      </c>
      <c r="K40" s="56">
        <v>9.6</v>
      </c>
      <c r="L40" s="56">
        <f>1.15*6.4</f>
        <v>7.3599999999999994</v>
      </c>
      <c r="M40" s="58">
        <f>6.63*0.6</f>
        <v>3.9779999999999998</v>
      </c>
      <c r="N40" s="56">
        <f>표2[[#This Row],[Eluate amounts
(mg)2]]/표2[[#This Row],[Load amounts
(mg)2]]*100</f>
        <v>54.048913043478265</v>
      </c>
      <c r="O40" s="58">
        <f>6.63*0.6</f>
        <v>3.9779999999999998</v>
      </c>
      <c r="P40" s="59">
        <f>0.39*2</f>
        <v>0.78</v>
      </c>
      <c r="Q40" s="58">
        <f>표2[[#This Row],[Eluate amounts
(mg)3]]/표2[[#This Row],[Load amounts
(mg)3]]*100</f>
        <v>19.607843137254903</v>
      </c>
      <c r="R40" s="59">
        <v>0.41</v>
      </c>
      <c r="S40" s="59">
        <v>99.59</v>
      </c>
      <c r="T40" s="59">
        <v>0</v>
      </c>
      <c r="U40" s="59">
        <f>0.39*2</f>
        <v>0.78</v>
      </c>
      <c r="V40" s="58">
        <f>0.4*0.25</f>
        <v>0.1</v>
      </c>
      <c r="W40" s="58">
        <f>표2[[#This Row],[Eluate amounts
(mg)4]]/표2[[#This Row],[Load amounts
(mg)4]]*100</f>
        <v>12.820512820512823</v>
      </c>
      <c r="X40" s="58">
        <v>0</v>
      </c>
      <c r="Y40" s="58">
        <v>100</v>
      </c>
      <c r="Z40" s="58">
        <v>0</v>
      </c>
      <c r="AA40" s="68" t="s">
        <v>108</v>
      </c>
    </row>
    <row r="41" spans="1:27" ht="21.6" customHeight="1" x14ac:dyDescent="0.4">
      <c r="A41" s="65">
        <v>44428</v>
      </c>
      <c r="B41" s="67" t="s">
        <v>72</v>
      </c>
      <c r="C41" s="67" t="s">
        <v>74</v>
      </c>
      <c r="D41" s="60">
        <v>0.24</v>
      </c>
      <c r="E41" s="55">
        <v>35</v>
      </c>
      <c r="F41" s="56">
        <f>표2[[#This Row],[Titer (g/L)]]*표2[[#This Row],[Volume
(mL)]]</f>
        <v>8.4</v>
      </c>
      <c r="G41" s="56">
        <f>1.11*6.4</f>
        <v>7.104000000000001</v>
      </c>
      <c r="H41" s="56">
        <f>G41/표2[[#This Row],[Load amounts
(mg)]]*100</f>
        <v>84.571428571428569</v>
      </c>
      <c r="I41" s="56">
        <f>8.21+5.49+9.9</f>
        <v>23.6</v>
      </c>
      <c r="J41" s="56">
        <v>65.489999999999995</v>
      </c>
      <c r="K41" s="56">
        <v>10.92</v>
      </c>
      <c r="L41" s="56">
        <f>1.11*6.4</f>
        <v>7.104000000000001</v>
      </c>
      <c r="M41" s="58">
        <f>0.75*4.36</f>
        <v>3.2700000000000005</v>
      </c>
      <c r="N41" s="56">
        <f>표2[[#This Row],[Eluate amounts
(mg)2]]/표2[[#This Row],[Load amounts
(mg)2]]*100</f>
        <v>46.030405405405403</v>
      </c>
      <c r="O41" s="58">
        <f>0.75*4.36</f>
        <v>3.2700000000000005</v>
      </c>
      <c r="P41" s="59">
        <f>0.35*2</f>
        <v>0.7</v>
      </c>
      <c r="Q41" s="58">
        <f>표2[[#This Row],[Eluate amounts
(mg)3]]/표2[[#This Row],[Load amounts
(mg)3]]*100</f>
        <v>21.40672782874617</v>
      </c>
      <c r="R41" s="59">
        <v>0.23</v>
      </c>
      <c r="S41" s="59">
        <v>99.77</v>
      </c>
      <c r="T41" s="59">
        <v>0</v>
      </c>
      <c r="U41" s="59">
        <f>0.35*2</f>
        <v>0.7</v>
      </c>
      <c r="V41" s="58">
        <f>2.6*0.25</f>
        <v>0.65</v>
      </c>
      <c r="W41" s="58">
        <f>표2[[#This Row],[Eluate amounts
(mg)4]]/표2[[#This Row],[Load amounts
(mg)4]]*100</f>
        <v>92.857142857142875</v>
      </c>
      <c r="X41" s="58">
        <v>0</v>
      </c>
      <c r="Y41" s="58">
        <v>100</v>
      </c>
      <c r="Z41" s="58">
        <v>0</v>
      </c>
      <c r="AA41" s="68" t="s">
        <v>107</v>
      </c>
    </row>
    <row r="42" spans="1:27" ht="21.6" customHeight="1" x14ac:dyDescent="0.4">
      <c r="A42" s="65">
        <v>44428</v>
      </c>
      <c r="B42" s="66" t="s">
        <v>84</v>
      </c>
      <c r="C42" s="67" t="s">
        <v>75</v>
      </c>
      <c r="D42" s="60">
        <v>0.20699999999999999</v>
      </c>
      <c r="E42" s="55">
        <v>35</v>
      </c>
      <c r="F42" s="56">
        <f>표2[[#This Row],[Titer (g/L)]]*표2[[#This Row],[Volume
(mL)]]</f>
        <v>7.2449999999999992</v>
      </c>
      <c r="G42" s="56">
        <f>1.13*6.4</f>
        <v>7.2319999999999993</v>
      </c>
      <c r="H42" s="56">
        <f>G42/표2[[#This Row],[Load amounts
(mg)]]*100</f>
        <v>99.820565907522436</v>
      </c>
      <c r="I42" s="56">
        <v>29.78</v>
      </c>
      <c r="J42" s="56">
        <v>60.02</v>
      </c>
      <c r="K42" s="56">
        <v>10.199999999999999</v>
      </c>
      <c r="L42" s="56">
        <f>1.13*6.4</f>
        <v>7.2319999999999993</v>
      </c>
      <c r="M42" s="58">
        <f>0.6*6.77</f>
        <v>4.0619999999999994</v>
      </c>
      <c r="N42" s="56">
        <f>표2[[#This Row],[Eluate amounts
(mg)2]]/표2[[#This Row],[Load amounts
(mg)2]]*100</f>
        <v>56.167035398230084</v>
      </c>
      <c r="O42" s="58">
        <f>0.6*6.77</f>
        <v>4.0619999999999994</v>
      </c>
      <c r="P42" s="59">
        <f>0.39*2</f>
        <v>0.78</v>
      </c>
      <c r="Q42" s="58">
        <f>표2[[#This Row],[Eluate amounts
(mg)3]]/표2[[#This Row],[Load amounts
(mg)3]]*100</f>
        <v>19.202363367799116</v>
      </c>
      <c r="R42" s="59">
        <v>0.36</v>
      </c>
      <c r="S42" s="59">
        <v>99.64</v>
      </c>
      <c r="T42" s="59">
        <v>0</v>
      </c>
      <c r="U42" s="59">
        <f>0.39*2</f>
        <v>0.78</v>
      </c>
      <c r="V42" s="58">
        <f>2.3*0.2</f>
        <v>0.45999999999999996</v>
      </c>
      <c r="W42" s="58">
        <f>표2[[#This Row],[Eluate amounts
(mg)4]]/표2[[#This Row],[Load amounts
(mg)4]]*100</f>
        <v>58.974358974358964</v>
      </c>
      <c r="X42" s="58">
        <v>0</v>
      </c>
      <c r="Y42" s="58">
        <v>100</v>
      </c>
      <c r="Z42" s="58">
        <v>0</v>
      </c>
      <c r="AA42" s="68" t="s">
        <v>107</v>
      </c>
    </row>
    <row r="43" spans="1:27" ht="21.6" customHeight="1" x14ac:dyDescent="0.4">
      <c r="A43" s="65">
        <v>44428</v>
      </c>
      <c r="B43" s="67" t="s">
        <v>73</v>
      </c>
      <c r="C43" s="67" t="s">
        <v>75</v>
      </c>
      <c r="D43" s="60">
        <v>0.20899999999999999</v>
      </c>
      <c r="E43" s="55">
        <v>35</v>
      </c>
      <c r="F43" s="56">
        <f>표2[[#This Row],[Titer (g/L)]]*표2[[#This Row],[Volume
(mL)]]</f>
        <v>7.3149999999999995</v>
      </c>
      <c r="G43" s="56">
        <f>1.12*6.4</f>
        <v>7.168000000000001</v>
      </c>
      <c r="H43" s="56">
        <f>G43/표2[[#This Row],[Load amounts
(mg)]]*100</f>
        <v>97.990430622009598</v>
      </c>
      <c r="I43" s="56">
        <f>10.47+5.85+10.49</f>
        <v>26.810000000000002</v>
      </c>
      <c r="J43" s="56">
        <v>62.41</v>
      </c>
      <c r="K43" s="56">
        <v>10.78</v>
      </c>
      <c r="L43" s="56">
        <f>1.12*6.4</f>
        <v>7.168000000000001</v>
      </c>
      <c r="M43" s="58">
        <f>0.6*6.24</f>
        <v>3.7439999999999998</v>
      </c>
      <c r="N43" s="56">
        <f>표2[[#This Row],[Eluate amounts
(mg)2]]/표2[[#This Row],[Load amounts
(mg)2]]*100</f>
        <v>52.232142857142847</v>
      </c>
      <c r="O43" s="58">
        <f>0.6*6.24</f>
        <v>3.7439999999999998</v>
      </c>
      <c r="P43" s="59">
        <f>0.38*2</f>
        <v>0.76</v>
      </c>
      <c r="Q43" s="58">
        <f>표2[[#This Row],[Eluate amounts
(mg)3]]/표2[[#This Row],[Load amounts
(mg)3]]*100</f>
        <v>20.299145299145302</v>
      </c>
      <c r="R43" s="59">
        <v>0.28000000000000003</v>
      </c>
      <c r="S43" s="59">
        <v>99.72</v>
      </c>
      <c r="T43" s="59">
        <v>0</v>
      </c>
      <c r="U43" s="59">
        <f>0.38*2</f>
        <v>0.76</v>
      </c>
      <c r="V43" s="58">
        <f>2.7*0.25</f>
        <v>0.67500000000000004</v>
      </c>
      <c r="W43" s="58">
        <f>표2[[#This Row],[Eluate amounts
(mg)4]]/표2[[#This Row],[Load amounts
(mg)4]]*100</f>
        <v>88.81578947368422</v>
      </c>
      <c r="X43" s="58">
        <v>0</v>
      </c>
      <c r="Y43" s="58">
        <v>100</v>
      </c>
      <c r="Z43" s="58">
        <v>0</v>
      </c>
      <c r="AA43" s="68" t="s">
        <v>107</v>
      </c>
    </row>
    <row r="44" spans="1:27" ht="21.6" customHeight="1" x14ac:dyDescent="0.4">
      <c r="A44" s="65">
        <v>44428</v>
      </c>
      <c r="B44" s="66" t="s">
        <v>90</v>
      </c>
      <c r="C44" s="67" t="s">
        <v>76</v>
      </c>
      <c r="D44" s="60">
        <v>0.124</v>
      </c>
      <c r="E44" s="55">
        <v>35</v>
      </c>
      <c r="F44" s="56">
        <f>표2[[#This Row],[Titer (g/L)]]*표2[[#This Row],[Volume
(mL)]]</f>
        <v>4.34</v>
      </c>
      <c r="G44" s="56">
        <f>0.72*6.4</f>
        <v>4.6079999999999997</v>
      </c>
      <c r="H44" s="56">
        <f>G44/표2[[#This Row],[Load amounts
(mg)]]*100</f>
        <v>106.17511520737327</v>
      </c>
      <c r="I44" s="56">
        <f>24.67+10.87</f>
        <v>35.54</v>
      </c>
      <c r="J44" s="56">
        <v>50.88</v>
      </c>
      <c r="K44" s="56">
        <v>13.59</v>
      </c>
      <c r="L44" s="56">
        <f>0.72*6.4</f>
        <v>4.6079999999999997</v>
      </c>
      <c r="M44" s="58">
        <f>0.6*3.95</f>
        <v>2.37</v>
      </c>
      <c r="N44" s="56">
        <f>표2[[#This Row],[Eluate amounts
(mg)2]]/표2[[#This Row],[Load amounts
(mg)2]]*100</f>
        <v>51.432291666666671</v>
      </c>
      <c r="O44" s="58">
        <f>0.6*3.95</f>
        <v>2.37</v>
      </c>
      <c r="P44" s="59">
        <f>0.18*2</f>
        <v>0.36</v>
      </c>
      <c r="Q44" s="58">
        <f>표2[[#This Row],[Eluate amounts
(mg)3]]/표2[[#This Row],[Load amounts
(mg)3]]*100</f>
        <v>15.189873417721516</v>
      </c>
      <c r="R44" s="59">
        <v>0</v>
      </c>
      <c r="S44" s="59">
        <v>100</v>
      </c>
      <c r="T44" s="59">
        <v>0</v>
      </c>
      <c r="U44" s="59">
        <f>0.18*2</f>
        <v>0.36</v>
      </c>
      <c r="V44" s="58">
        <f>1.5*0.25</f>
        <v>0.375</v>
      </c>
      <c r="W44" s="58">
        <f>표2[[#This Row],[Eluate amounts
(mg)4]]/표2[[#This Row],[Load amounts
(mg)4]]*100</f>
        <v>104.16666666666667</v>
      </c>
      <c r="X44" s="58">
        <v>0</v>
      </c>
      <c r="Y44" s="58">
        <v>100</v>
      </c>
      <c r="Z44" s="58">
        <v>0</v>
      </c>
      <c r="AA44" s="68" t="s">
        <v>115</v>
      </c>
    </row>
    <row r="45" spans="1:27" ht="21.6" customHeight="1" x14ac:dyDescent="0.4">
      <c r="A45" s="65">
        <v>44428</v>
      </c>
      <c r="B45" s="66" t="s">
        <v>85</v>
      </c>
      <c r="C45" s="67" t="s">
        <v>77</v>
      </c>
      <c r="D45" s="60">
        <v>0.157</v>
      </c>
      <c r="E45" s="55">
        <v>35</v>
      </c>
      <c r="F45" s="56">
        <f>표2[[#This Row],[Titer (g/L)]]*표2[[#This Row],[Volume
(mL)]]</f>
        <v>5.4950000000000001</v>
      </c>
      <c r="G45" s="56">
        <f>0.82*6.4</f>
        <v>5.2480000000000002</v>
      </c>
      <c r="H45" s="56">
        <f>G45/표2[[#This Row],[Load amounts
(mg)]]*100</f>
        <v>95.505004549590538</v>
      </c>
      <c r="I45" s="56">
        <v>38.71</v>
      </c>
      <c r="J45" s="56">
        <v>48.4</v>
      </c>
      <c r="K45" s="56">
        <v>12.89</v>
      </c>
      <c r="L45" s="56">
        <f>0.82*6.4</f>
        <v>5.2480000000000002</v>
      </c>
      <c r="M45" s="58">
        <f>0.6*4.51</f>
        <v>2.706</v>
      </c>
      <c r="N45" s="56">
        <f>표2[[#This Row],[Eluate amounts
(mg)2]]/표2[[#This Row],[Load amounts
(mg)2]]*100</f>
        <v>51.5625</v>
      </c>
      <c r="O45" s="58">
        <f>0.6*4.51</f>
        <v>2.706</v>
      </c>
      <c r="P45" s="59">
        <f>0.21*2</f>
        <v>0.42</v>
      </c>
      <c r="Q45" s="58">
        <f>표2[[#This Row],[Eluate amounts
(mg)3]]/표2[[#This Row],[Load amounts
(mg)3]]*100</f>
        <v>15.521064301552107</v>
      </c>
      <c r="R45" s="59">
        <v>0</v>
      </c>
      <c r="S45" s="59">
        <v>100</v>
      </c>
      <c r="T45" s="59">
        <v>0</v>
      </c>
      <c r="U45" s="59">
        <f>0.21*2</f>
        <v>0.42</v>
      </c>
      <c r="V45" s="58">
        <f>1.1*0.25</f>
        <v>0.27500000000000002</v>
      </c>
      <c r="W45" s="58">
        <f>표2[[#This Row],[Eluate amounts
(mg)4]]/표2[[#This Row],[Load amounts
(mg)4]]*100</f>
        <v>65.476190476190482</v>
      </c>
      <c r="X45" s="58">
        <v>0</v>
      </c>
      <c r="Y45" s="58">
        <v>100</v>
      </c>
      <c r="Z45" s="58">
        <v>0</v>
      </c>
      <c r="AA45" s="68" t="s">
        <v>107</v>
      </c>
    </row>
    <row r="46" spans="1:27" ht="21.6" customHeight="1" x14ac:dyDescent="0.4">
      <c r="A46" s="65">
        <v>44428</v>
      </c>
      <c r="B46" s="66" t="s">
        <v>91</v>
      </c>
      <c r="C46" s="67" t="s">
        <v>77</v>
      </c>
      <c r="D46" s="60">
        <v>0.191</v>
      </c>
      <c r="E46" s="55">
        <v>35</v>
      </c>
      <c r="F46" s="56">
        <f>표2[[#This Row],[Titer (g/L)]]*표2[[#This Row],[Volume
(mL)]]</f>
        <v>6.6850000000000005</v>
      </c>
      <c r="G46" s="56">
        <f>0.89*6.4</f>
        <v>5.6960000000000006</v>
      </c>
      <c r="H46" s="56">
        <f>G46/표2[[#This Row],[Load amounts
(mg)]]*100</f>
        <v>85.205684367988027</v>
      </c>
      <c r="I46" s="56">
        <f>23.08+12.25</f>
        <v>35.33</v>
      </c>
      <c r="J46" s="56">
        <v>53.9</v>
      </c>
      <c r="K46" s="56">
        <f>2.86+7.91</f>
        <v>10.77</v>
      </c>
      <c r="L46" s="56">
        <f>0.89*6.4</f>
        <v>5.6960000000000006</v>
      </c>
      <c r="M46" s="58">
        <f>0.6*5.48</f>
        <v>3.2880000000000003</v>
      </c>
      <c r="N46" s="56">
        <f>표2[[#This Row],[Eluate amounts
(mg)2]]/표2[[#This Row],[Load amounts
(mg)2]]*100</f>
        <v>57.72471910112359</v>
      </c>
      <c r="O46" s="58">
        <f>0.6*5.48</f>
        <v>3.2880000000000003</v>
      </c>
      <c r="P46" s="59">
        <f>0.28*2</f>
        <v>0.56000000000000005</v>
      </c>
      <c r="Q46" s="58">
        <f>표2[[#This Row],[Eluate amounts
(mg)3]]/표2[[#This Row],[Load amounts
(mg)3]]*100</f>
        <v>17.031630170316305</v>
      </c>
      <c r="R46" s="59">
        <v>0</v>
      </c>
      <c r="S46" s="59">
        <v>100</v>
      </c>
      <c r="T46" s="59">
        <v>0</v>
      </c>
      <c r="U46" s="59">
        <f>0.28*2</f>
        <v>0.56000000000000005</v>
      </c>
      <c r="V46" s="58">
        <f>1.9*0.25</f>
        <v>0.47499999999999998</v>
      </c>
      <c r="W46" s="58">
        <f>표2[[#This Row],[Eluate amounts
(mg)4]]/표2[[#This Row],[Load amounts
(mg)4]]*100</f>
        <v>84.821428571428555</v>
      </c>
      <c r="X46" s="58">
        <v>0</v>
      </c>
      <c r="Y46" s="58">
        <v>100</v>
      </c>
      <c r="Z46" s="58">
        <v>0</v>
      </c>
      <c r="AA46" s="68" t="s">
        <v>109</v>
      </c>
    </row>
    <row r="47" spans="1:27" ht="21.6" customHeight="1" x14ac:dyDescent="0.4">
      <c r="A47" s="65">
        <v>44428</v>
      </c>
      <c r="B47" s="66" t="s">
        <v>86</v>
      </c>
      <c r="C47" s="67" t="s">
        <v>78</v>
      </c>
      <c r="D47" s="60">
        <v>0.27600000000000002</v>
      </c>
      <c r="E47" s="55">
        <v>35</v>
      </c>
      <c r="F47" s="56">
        <f>표2[[#This Row],[Titer (g/L)]]*표2[[#This Row],[Volume
(mL)]]</f>
        <v>9.66</v>
      </c>
      <c r="G47" s="56">
        <f>1.25*6.4</f>
        <v>8</v>
      </c>
      <c r="H47" s="56">
        <f>G47/표2[[#This Row],[Load amounts
(mg)]]*100</f>
        <v>82.815734989648021</v>
      </c>
      <c r="I47" s="56">
        <f>26.85+11.21</f>
        <v>38.06</v>
      </c>
      <c r="J47" s="56">
        <v>51.79</v>
      </c>
      <c r="K47" s="56">
        <f>2.72+7.43</f>
        <v>10.15</v>
      </c>
      <c r="L47" s="56">
        <f>1.25*6.4</f>
        <v>8</v>
      </c>
      <c r="M47" s="58">
        <f>0.8*6.49</f>
        <v>5.1920000000000002</v>
      </c>
      <c r="N47" s="56">
        <f>표2[[#This Row],[Eluate amounts
(mg)2]]/표2[[#This Row],[Load amounts
(mg)2]]*100</f>
        <v>64.900000000000006</v>
      </c>
      <c r="O47" s="58">
        <f>0.8*6.49</f>
        <v>5.1920000000000002</v>
      </c>
      <c r="P47" s="59">
        <f>0.53*2</f>
        <v>1.06</v>
      </c>
      <c r="Q47" s="58">
        <f>표2[[#This Row],[Eluate amounts
(mg)3]]/표2[[#This Row],[Load amounts
(mg)3]]*100</f>
        <v>20.416024653312789</v>
      </c>
      <c r="R47" s="59">
        <v>0.9</v>
      </c>
      <c r="S47" s="59">
        <v>99.1</v>
      </c>
      <c r="T47" s="59">
        <v>0</v>
      </c>
      <c r="U47" s="59">
        <f>0.53*2</f>
        <v>1.06</v>
      </c>
      <c r="V47" s="58">
        <f>4.08*0.25</f>
        <v>1.02</v>
      </c>
      <c r="W47" s="58">
        <f>표2[[#This Row],[Eluate amounts
(mg)4]]/표2[[#This Row],[Load amounts
(mg)4]]*100</f>
        <v>96.226415094339629</v>
      </c>
      <c r="X47" s="58">
        <v>0</v>
      </c>
      <c r="Y47" s="58">
        <v>100</v>
      </c>
      <c r="Z47" s="58">
        <v>0</v>
      </c>
      <c r="AA47" s="68" t="s">
        <v>118</v>
      </c>
    </row>
    <row r="48" spans="1:27" ht="21.6" customHeight="1" x14ac:dyDescent="0.4">
      <c r="A48" s="65">
        <v>44428</v>
      </c>
      <c r="B48" s="66" t="s">
        <v>92</v>
      </c>
      <c r="C48" s="67" t="s">
        <v>78</v>
      </c>
      <c r="D48" s="60">
        <v>0.28699999999999998</v>
      </c>
      <c r="E48" s="55">
        <v>35</v>
      </c>
      <c r="F48" s="56">
        <f>표2[[#This Row],[Titer (g/L)]]*표2[[#This Row],[Volume
(mL)]]</f>
        <v>10.045</v>
      </c>
      <c r="G48" s="56">
        <f>1.21*6.4</f>
        <v>7.7439999999999998</v>
      </c>
      <c r="H48" s="56">
        <f>G48/표2[[#This Row],[Load amounts
(mg)]]*100</f>
        <v>77.093081134892984</v>
      </c>
      <c r="I48" s="56">
        <v>33.5</v>
      </c>
      <c r="J48" s="56">
        <v>58.67</v>
      </c>
      <c r="K48" s="56">
        <v>7.83</v>
      </c>
      <c r="L48" s="56">
        <f>1.21*6.4</f>
        <v>7.7439999999999998</v>
      </c>
      <c r="M48" s="58">
        <f>0.6*9.15</f>
        <v>5.49</v>
      </c>
      <c r="N48" s="56">
        <f>표2[[#This Row],[Eluate amounts
(mg)2]]/표2[[#This Row],[Load amounts
(mg)2]]*100</f>
        <v>70.893595041322328</v>
      </c>
      <c r="O48" s="58">
        <f>0.6*9.15</f>
        <v>5.49</v>
      </c>
      <c r="P48" s="59">
        <f>0.41*2</f>
        <v>0.82</v>
      </c>
      <c r="Q48" s="58">
        <f>표2[[#This Row],[Eluate amounts
(mg)3]]/표2[[#This Row],[Load amounts
(mg)3]]*100</f>
        <v>14.936247723132967</v>
      </c>
      <c r="R48" s="59">
        <v>0</v>
      </c>
      <c r="S48" s="59">
        <v>100</v>
      </c>
      <c r="T48" s="59">
        <v>0</v>
      </c>
      <c r="U48" s="59">
        <f>0.41*2</f>
        <v>0.82</v>
      </c>
      <c r="V48" s="58">
        <f>4.67*0.2</f>
        <v>0.93400000000000005</v>
      </c>
      <c r="W48" s="58">
        <f>표2[[#This Row],[Eluate amounts
(mg)4]]/표2[[#This Row],[Load amounts
(mg)4]]*100</f>
        <v>113.90243902439026</v>
      </c>
      <c r="X48" s="58">
        <v>0</v>
      </c>
      <c r="Y48" s="58">
        <v>100</v>
      </c>
      <c r="Z48" s="58">
        <v>0</v>
      </c>
      <c r="AA48" s="68" t="s">
        <v>115</v>
      </c>
    </row>
    <row r="49" spans="1:27" ht="21.6" customHeight="1" x14ac:dyDescent="0.4">
      <c r="A49" s="65">
        <v>44428</v>
      </c>
      <c r="B49" s="66" t="s">
        <v>93</v>
      </c>
      <c r="C49" s="67" t="s">
        <v>67</v>
      </c>
      <c r="D49" s="60">
        <v>0.28100000000000003</v>
      </c>
      <c r="E49" s="55">
        <v>35</v>
      </c>
      <c r="F49" s="56">
        <f>표2[[#This Row],[Titer (g/L)]]*표2[[#This Row],[Volume
(mL)]]</f>
        <v>9.8350000000000009</v>
      </c>
      <c r="G49" s="56">
        <f>1.16*6.4</f>
        <v>7.4239999999999995</v>
      </c>
      <c r="H49" s="56">
        <f>G49/표2[[#This Row],[Load amounts
(mg)]]*100</f>
        <v>75.48551093035077</v>
      </c>
      <c r="I49" s="56">
        <v>33.340000000000003</v>
      </c>
      <c r="J49" s="56">
        <v>55.19</v>
      </c>
      <c r="K49" s="56">
        <v>11.47</v>
      </c>
      <c r="L49" s="56">
        <f>1.16*6.4</f>
        <v>7.4239999999999995</v>
      </c>
      <c r="M49" s="58">
        <f>0.6*8.91</f>
        <v>5.3460000000000001</v>
      </c>
      <c r="N49" s="56">
        <f>표2[[#This Row],[Eluate amounts
(mg)2]]/표2[[#This Row],[Load amounts
(mg)2]]*100</f>
        <v>72.009698275862078</v>
      </c>
      <c r="O49" s="58">
        <f>0.6*8.91</f>
        <v>5.3460000000000001</v>
      </c>
      <c r="P49" s="59">
        <f>0.48*2</f>
        <v>0.96</v>
      </c>
      <c r="Q49" s="58">
        <f>표2[[#This Row],[Eluate amounts
(mg)3]]/표2[[#This Row],[Load amounts
(mg)3]]*100</f>
        <v>17.957351290684624</v>
      </c>
      <c r="R49" s="59">
        <v>5.34</v>
      </c>
      <c r="S49" s="59">
        <v>94.66</v>
      </c>
      <c r="T49" s="59">
        <v>0</v>
      </c>
      <c r="U49" s="59">
        <f>0.48*2</f>
        <v>0.96</v>
      </c>
      <c r="V49" s="58">
        <f>2.1*0.45</f>
        <v>0.94500000000000006</v>
      </c>
      <c r="W49" s="58">
        <f>표2[[#This Row],[Eluate amounts
(mg)4]]/표2[[#This Row],[Load amounts
(mg)4]]*100</f>
        <v>98.437500000000014</v>
      </c>
      <c r="X49" s="58">
        <v>1.0900000000000001</v>
      </c>
      <c r="Y49" s="58">
        <v>98.91</v>
      </c>
      <c r="Z49" s="58">
        <v>0</v>
      </c>
      <c r="AA49" s="68" t="s">
        <v>109</v>
      </c>
    </row>
    <row r="50" spans="1:27" ht="21.6" customHeight="1" x14ac:dyDescent="0.4">
      <c r="A50" s="65">
        <v>44428</v>
      </c>
      <c r="B50" s="62" t="s">
        <v>62</v>
      </c>
      <c r="C50" s="69" t="s">
        <v>67</v>
      </c>
      <c r="D50" s="54">
        <v>0.20300000000000001</v>
      </c>
      <c r="E50" s="55">
        <v>35</v>
      </c>
      <c r="F50" s="56">
        <f>표2[[#This Row],[Titer (g/L)]]*표2[[#This Row],[Volume
(mL)]]</f>
        <v>7.1050000000000004</v>
      </c>
      <c r="G50" s="57">
        <v>5.12</v>
      </c>
      <c r="H50" s="56">
        <f>G50/표2[[#This Row],[Load amounts
(mg)]]*100</f>
        <v>72.061928219563683</v>
      </c>
      <c r="I50" s="57">
        <v>28.66</v>
      </c>
      <c r="J50" s="57">
        <v>61.7</v>
      </c>
      <c r="K50" s="57">
        <v>9.6</v>
      </c>
      <c r="L50" s="57">
        <v>5.12</v>
      </c>
      <c r="M50" s="58">
        <f>0.7*3.25</f>
        <v>2.2749999999999999</v>
      </c>
      <c r="N50" s="57">
        <f>표2[[#This Row],[Eluate amounts
(mg)2]]/표2[[#This Row],[Load amounts
(mg)2]]*100</f>
        <v>44.43359375</v>
      </c>
      <c r="O50" s="58">
        <f>0.7*3.25</f>
        <v>2.2749999999999999</v>
      </c>
      <c r="P50" s="59">
        <f>0.34*2</f>
        <v>0.68</v>
      </c>
      <c r="Q50" s="58">
        <f>표2[[#This Row],[Eluate amounts
(mg)3]]/표2[[#This Row],[Load amounts
(mg)3]]*100</f>
        <v>29.890109890109894</v>
      </c>
      <c r="R50" s="59">
        <v>5.34</v>
      </c>
      <c r="S50" s="59">
        <v>94.66</v>
      </c>
      <c r="T50" s="59">
        <v>0</v>
      </c>
      <c r="U50" s="59">
        <f>0.34*2</f>
        <v>0.68</v>
      </c>
      <c r="V50" s="58">
        <f>1.69*0.45</f>
        <v>0.76049999999999995</v>
      </c>
      <c r="W50" s="58">
        <f>표2[[#This Row],[Eluate amounts
(mg)4]]/표2[[#This Row],[Load amounts
(mg)4]]*100</f>
        <v>111.83823529411762</v>
      </c>
      <c r="X50" s="58">
        <v>2.67</v>
      </c>
      <c r="Y50" s="58">
        <v>97.33</v>
      </c>
      <c r="Z50" s="58">
        <v>0</v>
      </c>
      <c r="AA50" s="68" t="s">
        <v>109</v>
      </c>
    </row>
    <row r="51" spans="1:27" ht="21.6" customHeight="1" x14ac:dyDescent="0.4">
      <c r="A51" s="65">
        <v>44428</v>
      </c>
      <c r="B51" s="66" t="s">
        <v>87</v>
      </c>
      <c r="C51" s="67" t="s">
        <v>79</v>
      </c>
      <c r="D51" s="60">
        <v>0.308</v>
      </c>
      <c r="E51" s="55">
        <v>35</v>
      </c>
      <c r="F51" s="56">
        <f>표2[[#This Row],[Titer (g/L)]]*표2[[#This Row],[Volume
(mL)]]</f>
        <v>10.78</v>
      </c>
      <c r="G51" s="56">
        <f>1.36*6.4</f>
        <v>8.7040000000000006</v>
      </c>
      <c r="H51" s="56">
        <f>G51/표2[[#This Row],[Load amounts
(mg)]]*100</f>
        <v>80.742115027829314</v>
      </c>
      <c r="I51" s="56">
        <f>24.24+11.03</f>
        <v>35.269999999999996</v>
      </c>
      <c r="J51" s="56">
        <v>57.33</v>
      </c>
      <c r="K51" s="56">
        <v>7.4</v>
      </c>
      <c r="L51" s="56">
        <f>1.36*6.4</f>
        <v>8.7040000000000006</v>
      </c>
      <c r="M51" s="58">
        <f>0.8*7.33</f>
        <v>5.8640000000000008</v>
      </c>
      <c r="N51" s="56">
        <f>표2[[#This Row],[Eluate amounts
(mg)2]]/표2[[#This Row],[Load amounts
(mg)2]]*100</f>
        <v>67.371323529411768</v>
      </c>
      <c r="O51" s="58">
        <f>0.8*7.33</f>
        <v>5.8640000000000008</v>
      </c>
      <c r="P51" s="59">
        <f>0.48*2</f>
        <v>0.96</v>
      </c>
      <c r="Q51" s="58">
        <f>표2[[#This Row],[Eluate amounts
(mg)3]]/표2[[#This Row],[Load amounts
(mg)3]]*100</f>
        <v>16.371077762619372</v>
      </c>
      <c r="R51" s="59">
        <v>0</v>
      </c>
      <c r="S51" s="59">
        <v>91.08</v>
      </c>
      <c r="T51" s="59">
        <v>8.92</v>
      </c>
      <c r="U51" s="59">
        <f>0.48*2</f>
        <v>0.96</v>
      </c>
      <c r="V51" s="58">
        <f>4.15*0.25</f>
        <v>1.0375000000000001</v>
      </c>
      <c r="W51" s="58">
        <f>표2[[#This Row],[Eluate amounts
(mg)4]]/표2[[#This Row],[Load amounts
(mg)4]]*100</f>
        <v>108.07291666666667</v>
      </c>
      <c r="X51" s="58">
        <v>0</v>
      </c>
      <c r="Y51" s="58">
        <v>100</v>
      </c>
      <c r="Z51" s="58">
        <v>0</v>
      </c>
      <c r="AA51" s="68" t="s">
        <v>116</v>
      </c>
    </row>
    <row r="52" spans="1:27" ht="21.6" customHeight="1" x14ac:dyDescent="0.4">
      <c r="A52" s="65">
        <v>44428</v>
      </c>
      <c r="B52" s="62" t="s">
        <v>64</v>
      </c>
      <c r="C52" s="69" t="s">
        <v>68</v>
      </c>
      <c r="D52" s="54">
        <v>0.219</v>
      </c>
      <c r="E52" s="55">
        <v>35</v>
      </c>
      <c r="F52" s="56">
        <f>표2[[#This Row],[Titer (g/L)]]*표2[[#This Row],[Volume
(mL)]]</f>
        <v>7.665</v>
      </c>
      <c r="G52" s="57">
        <v>5.63</v>
      </c>
      <c r="H52" s="56">
        <f>G52/표2[[#This Row],[Load amounts
(mg)]]*100</f>
        <v>73.450750163078922</v>
      </c>
      <c r="I52" s="57">
        <v>30.93</v>
      </c>
      <c r="J52" s="57">
        <v>58.7</v>
      </c>
      <c r="K52" s="57">
        <v>10.35</v>
      </c>
      <c r="L52" s="57">
        <v>5.63</v>
      </c>
      <c r="M52" s="58">
        <f>0.8*4.13</f>
        <v>3.3040000000000003</v>
      </c>
      <c r="N52" s="57">
        <f>표2[[#This Row],[Eluate amounts
(mg)2]]/표2[[#This Row],[Load amounts
(mg)2]]*100</f>
        <v>58.685612788632334</v>
      </c>
      <c r="O52" s="58">
        <f>0.8*4.13</f>
        <v>3.3040000000000003</v>
      </c>
      <c r="P52" s="59">
        <f>0.62*2</f>
        <v>1.24</v>
      </c>
      <c r="Q52" s="58">
        <f>표2[[#This Row],[Eluate amounts
(mg)3]]/표2[[#This Row],[Load amounts
(mg)3]]*100</f>
        <v>37.530266343825666</v>
      </c>
      <c r="R52" s="59">
        <v>10.210000000000001</v>
      </c>
      <c r="S52" s="59">
        <v>89.79</v>
      </c>
      <c r="T52" s="59">
        <v>0</v>
      </c>
      <c r="U52" s="59">
        <f>0.62*2</f>
        <v>1.24</v>
      </c>
      <c r="V52" s="58">
        <f>3.17*0.25</f>
        <v>0.79249999999999998</v>
      </c>
      <c r="W52" s="58">
        <f>표2[[#This Row],[Eluate amounts
(mg)4]]/표2[[#This Row],[Load amounts
(mg)4]]*100</f>
        <v>63.911290322580648</v>
      </c>
      <c r="X52" s="58">
        <v>10.69</v>
      </c>
      <c r="Y52" s="58">
        <v>89.31</v>
      </c>
      <c r="Z52" s="58">
        <v>0</v>
      </c>
      <c r="AA52" s="68" t="s">
        <v>109</v>
      </c>
    </row>
    <row r="53" spans="1:27" ht="21.6" customHeight="1" x14ac:dyDescent="0.4">
      <c r="A53" s="65">
        <v>44428</v>
      </c>
      <c r="B53" s="70" t="s">
        <v>63</v>
      </c>
      <c r="C53" s="53" t="s">
        <v>69</v>
      </c>
      <c r="D53" s="60">
        <v>0.20599999999999999</v>
      </c>
      <c r="E53" s="55">
        <v>35</v>
      </c>
      <c r="F53" s="56">
        <f>표2[[#This Row],[Titer (g/L)]]*표2[[#This Row],[Volume
(mL)]]</f>
        <v>7.21</v>
      </c>
      <c r="G53" s="57">
        <v>5.31</v>
      </c>
      <c r="H53" s="56">
        <f>G53/표2[[#This Row],[Load amounts
(mg)]]*100</f>
        <v>73.647711511789169</v>
      </c>
      <c r="I53" s="57">
        <v>32.869999999999997</v>
      </c>
      <c r="J53" s="57">
        <v>67.099999999999994</v>
      </c>
      <c r="K53" s="57">
        <v>0</v>
      </c>
      <c r="L53" s="57">
        <v>5.31</v>
      </c>
      <c r="M53" s="58">
        <f>0.9*3.17</f>
        <v>2.8530000000000002</v>
      </c>
      <c r="N53" s="57">
        <f>표2[[#This Row],[Eluate amounts
(mg)2]]/표2[[#This Row],[Load amounts
(mg)2]]*100</f>
        <v>53.728813559322042</v>
      </c>
      <c r="O53" s="58">
        <f>0.9*3.17</f>
        <v>2.8530000000000002</v>
      </c>
      <c r="P53" s="59">
        <f>0.29*2</f>
        <v>0.57999999999999996</v>
      </c>
      <c r="Q53" s="58">
        <f>표2[[#This Row],[Eluate amounts
(mg)3]]/표2[[#This Row],[Load amounts
(mg)3]]*100</f>
        <v>20.329477742726951</v>
      </c>
      <c r="R53" s="59">
        <v>0</v>
      </c>
      <c r="S53" s="59">
        <v>100</v>
      </c>
      <c r="T53" s="59">
        <v>0</v>
      </c>
      <c r="U53" s="59">
        <f>0.29*2</f>
        <v>0.57999999999999996</v>
      </c>
      <c r="V53" s="58">
        <f>1.63*0.25</f>
        <v>0.40749999999999997</v>
      </c>
      <c r="W53" s="58">
        <f>표2[[#This Row],[Eluate amounts
(mg)4]]/표2[[#This Row],[Load amounts
(mg)4]]*100</f>
        <v>70.258620689655174</v>
      </c>
      <c r="X53" s="58">
        <v>0</v>
      </c>
      <c r="Y53" s="58">
        <v>100</v>
      </c>
      <c r="Z53" s="58">
        <v>0</v>
      </c>
      <c r="AA53" s="68" t="s">
        <v>109</v>
      </c>
    </row>
    <row r="54" spans="1:27" ht="21.6" customHeight="1" x14ac:dyDescent="0.4">
      <c r="A54" s="65">
        <v>44428</v>
      </c>
      <c r="B54" s="70" t="s">
        <v>65</v>
      </c>
      <c r="C54" s="53" t="s">
        <v>70</v>
      </c>
      <c r="D54" s="60">
        <v>0.24099999999999999</v>
      </c>
      <c r="E54" s="55">
        <v>35</v>
      </c>
      <c r="F54" s="56">
        <f>표2[[#This Row],[Titer (g/L)]]*표2[[#This Row],[Volume
(mL)]]</f>
        <v>8.4350000000000005</v>
      </c>
      <c r="G54" s="63">
        <v>5.44</v>
      </c>
      <c r="H54" s="56">
        <f>G54/표2[[#This Row],[Load amounts
(mg)]]*100</f>
        <v>64.493183165382334</v>
      </c>
      <c r="I54" s="63">
        <v>36.590000000000003</v>
      </c>
      <c r="J54" s="63">
        <v>63.4</v>
      </c>
      <c r="K54" s="63">
        <v>0</v>
      </c>
      <c r="L54" s="63">
        <v>5.44</v>
      </c>
      <c r="M54" s="71">
        <f>0.6*6.56</f>
        <v>3.9359999999999995</v>
      </c>
      <c r="N54" s="63">
        <f>표2[[#This Row],[Eluate amounts
(mg)2]]/표2[[#This Row],[Load amounts
(mg)2]]*100</f>
        <v>72.35294117647058</v>
      </c>
      <c r="O54" s="71">
        <f>0.6*6.56</f>
        <v>3.9359999999999995</v>
      </c>
      <c r="P54" s="59">
        <f>0.46*2</f>
        <v>0.92</v>
      </c>
      <c r="Q54" s="58">
        <f>표2[[#This Row],[Eluate amounts
(mg)3]]/표2[[#This Row],[Load amounts
(mg)3]]*100</f>
        <v>23.373983739837403</v>
      </c>
      <c r="R54" s="59">
        <v>0</v>
      </c>
      <c r="S54" s="59">
        <v>100</v>
      </c>
      <c r="T54" s="59">
        <v>0</v>
      </c>
      <c r="U54" s="59">
        <f>0.46*2</f>
        <v>0.92</v>
      </c>
      <c r="V54" s="71">
        <f>0.68*0.5</f>
        <v>0.34</v>
      </c>
      <c r="W54" s="58">
        <f>표2[[#This Row],[Eluate amounts
(mg)4]]/표2[[#This Row],[Load amounts
(mg)4]]*100</f>
        <v>36.956521739130437</v>
      </c>
      <c r="X54" s="71">
        <v>45.24</v>
      </c>
      <c r="Y54" s="71">
        <v>54.76</v>
      </c>
      <c r="Z54" s="71">
        <v>0</v>
      </c>
      <c r="AA54" s="68" t="s">
        <v>114</v>
      </c>
    </row>
    <row r="55" spans="1:27" ht="21.6" customHeight="1" x14ac:dyDescent="0.4">
      <c r="A55" s="65">
        <v>44428</v>
      </c>
      <c r="B55" s="66" t="s">
        <v>88</v>
      </c>
      <c r="C55" s="67" t="s">
        <v>80</v>
      </c>
      <c r="D55" s="60">
        <v>0.23</v>
      </c>
      <c r="E55" s="55">
        <v>35</v>
      </c>
      <c r="F55" s="56">
        <f>표2[[#This Row],[Titer (g/L)]]*표2[[#This Row],[Volume
(mL)]]</f>
        <v>8.0500000000000007</v>
      </c>
      <c r="G55" s="56">
        <f>1.11*6.4</f>
        <v>7.104000000000001</v>
      </c>
      <c r="H55" s="56">
        <f>G55/표2[[#This Row],[Load amounts
(mg)]]*100</f>
        <v>88.248447204968954</v>
      </c>
      <c r="I55" s="56">
        <v>35.78</v>
      </c>
      <c r="J55" s="56">
        <v>53.29</v>
      </c>
      <c r="K55" s="56">
        <v>10.93</v>
      </c>
      <c r="L55" s="56">
        <f>1.11*6.4</f>
        <v>7.104000000000001</v>
      </c>
      <c r="M55" s="58">
        <f>0.6*4.49</f>
        <v>2.694</v>
      </c>
      <c r="N55" s="56">
        <f>표2[[#This Row],[Eluate amounts
(mg)2]]/표2[[#This Row],[Load amounts
(mg)2]]*100</f>
        <v>37.922297297297291</v>
      </c>
      <c r="O55" s="58">
        <f>0.6*4.49</f>
        <v>2.694</v>
      </c>
      <c r="P55" s="59">
        <f>0.08*2</f>
        <v>0.16</v>
      </c>
      <c r="Q55" s="58">
        <f>표2[[#This Row],[Eluate amounts
(mg)3]]/표2[[#This Row],[Load amounts
(mg)3]]*100</f>
        <v>5.9391239792130666</v>
      </c>
      <c r="R55" s="59">
        <v>0</v>
      </c>
      <c r="S55" s="59">
        <v>100</v>
      </c>
      <c r="T55" s="59">
        <v>0</v>
      </c>
      <c r="U55" s="59">
        <f>0.08*2</f>
        <v>0.16</v>
      </c>
      <c r="V55" s="58">
        <f>3.06*0.3</f>
        <v>0.91799999999999993</v>
      </c>
      <c r="W55" s="58">
        <f>표2[[#This Row],[Eluate amounts
(mg)4]]/표2[[#This Row],[Load amounts
(mg)4]]*100</f>
        <v>573.75</v>
      </c>
      <c r="X55" s="58">
        <v>0</v>
      </c>
      <c r="Y55" s="58">
        <v>100</v>
      </c>
      <c r="Z55" s="58">
        <v>0</v>
      </c>
      <c r="AA55" s="68" t="s">
        <v>117</v>
      </c>
    </row>
    <row r="56" spans="1:27" ht="21.6" customHeight="1" x14ac:dyDescent="0.4">
      <c r="A56" s="65">
        <v>44428</v>
      </c>
      <c r="B56" s="66" t="s">
        <v>89</v>
      </c>
      <c r="C56" s="67" t="s">
        <v>81</v>
      </c>
      <c r="D56" s="60">
        <v>0.316</v>
      </c>
      <c r="E56" s="55">
        <v>35</v>
      </c>
      <c r="F56" s="56">
        <f>표2[[#This Row],[Titer (g/L)]]*표2[[#This Row],[Volume
(mL)]]</f>
        <v>11.06</v>
      </c>
      <c r="G56" s="56">
        <f>1.45*6.4</f>
        <v>9.2799999999999994</v>
      </c>
      <c r="H56" s="56">
        <f>G56/표2[[#This Row],[Load amounts
(mg)]]*100</f>
        <v>83.905967450271234</v>
      </c>
      <c r="I56" s="56">
        <v>46.59</v>
      </c>
      <c r="J56" s="56">
        <v>53.41</v>
      </c>
      <c r="K56" s="56">
        <v>0</v>
      </c>
      <c r="L56" s="56">
        <f>1.45*6.4</f>
        <v>9.2799999999999994</v>
      </c>
      <c r="M56" s="58">
        <f>0.6*9.55</f>
        <v>5.73</v>
      </c>
      <c r="N56" s="56">
        <f>표2[[#This Row],[Eluate amounts
(mg)2]]/표2[[#This Row],[Load amounts
(mg)2]]*100</f>
        <v>61.74568965517242</v>
      </c>
      <c r="O56" s="58">
        <f>0.6*9.55</f>
        <v>5.73</v>
      </c>
      <c r="P56" s="59">
        <f>0.92*2</f>
        <v>1.84</v>
      </c>
      <c r="Q56" s="58">
        <f>표2[[#This Row],[Eluate amounts
(mg)3]]/표2[[#This Row],[Load amounts
(mg)3]]*100</f>
        <v>32.111692844677137</v>
      </c>
      <c r="R56" s="59">
        <v>0</v>
      </c>
      <c r="S56" s="59">
        <v>100</v>
      </c>
      <c r="T56" s="59">
        <v>0</v>
      </c>
      <c r="U56" s="59">
        <f>0.92*2</f>
        <v>1.84</v>
      </c>
      <c r="V56" s="58">
        <f>5.11*0.3</f>
        <v>1.5330000000000001</v>
      </c>
      <c r="W56" s="58">
        <f>표2[[#This Row],[Eluate amounts
(mg)4]]/표2[[#This Row],[Load amounts
(mg)4]]*100</f>
        <v>83.315217391304358</v>
      </c>
      <c r="X56" s="58">
        <v>0</v>
      </c>
      <c r="Y56" s="58">
        <v>100</v>
      </c>
      <c r="Z56" s="58">
        <v>0</v>
      </c>
      <c r="AA56" s="68" t="s">
        <v>113</v>
      </c>
    </row>
    <row r="57" spans="1:27" ht="21.6" customHeight="1" x14ac:dyDescent="0.4">
      <c r="A57" s="65">
        <v>44428</v>
      </c>
      <c r="B57" s="70" t="s">
        <v>66</v>
      </c>
      <c r="C57" s="53" t="s">
        <v>71</v>
      </c>
      <c r="D57" s="60">
        <v>0.24299999999999999</v>
      </c>
      <c r="E57" s="55">
        <v>35</v>
      </c>
      <c r="F57" s="56">
        <f>표2[[#This Row],[Titer (g/L)]]*표2[[#This Row],[Volume
(mL)]]</f>
        <v>8.504999999999999</v>
      </c>
      <c r="G57" s="63">
        <v>5.12</v>
      </c>
      <c r="H57" s="56">
        <f>G57/표2[[#This Row],[Load amounts
(mg)]]*100</f>
        <v>60.199882422104658</v>
      </c>
      <c r="I57" s="63">
        <v>11.09</v>
      </c>
      <c r="J57" s="63">
        <v>88.9</v>
      </c>
      <c r="K57" s="63">
        <v>0</v>
      </c>
      <c r="L57" s="63">
        <v>5.12</v>
      </c>
      <c r="M57" s="71">
        <f>0.8*2.66</f>
        <v>2.1280000000000001</v>
      </c>
      <c r="N57" s="63">
        <f>표2[[#This Row],[Eluate amounts
(mg)2]]/표2[[#This Row],[Load amounts
(mg)2]]*100</f>
        <v>41.5625</v>
      </c>
      <c r="O57" s="71">
        <f>0.8*2.66</f>
        <v>2.1280000000000001</v>
      </c>
      <c r="P57" s="59">
        <f>0.36*2</f>
        <v>0.72</v>
      </c>
      <c r="Q57" s="58">
        <f>표2[[#This Row],[Eluate amounts
(mg)3]]/표2[[#This Row],[Load amounts
(mg)3]]*100</f>
        <v>33.834586466165412</v>
      </c>
      <c r="R57" s="59">
        <v>0</v>
      </c>
      <c r="S57" s="59">
        <v>100</v>
      </c>
      <c r="T57" s="59">
        <v>0</v>
      </c>
      <c r="U57" s="59">
        <f>0.36*2</f>
        <v>0.72</v>
      </c>
      <c r="V57" s="71">
        <f>0.23*0.25</f>
        <v>5.7500000000000002E-2</v>
      </c>
      <c r="W57" s="58">
        <f>표2[[#This Row],[Eluate amounts
(mg)4]]/표2[[#This Row],[Load amounts
(mg)4]]*100</f>
        <v>7.9861111111111116</v>
      </c>
      <c r="X57" s="58">
        <v>0</v>
      </c>
      <c r="Y57" s="58">
        <v>100</v>
      </c>
      <c r="Z57" s="58">
        <v>0</v>
      </c>
      <c r="AA57" s="68" t="s">
        <v>112</v>
      </c>
    </row>
    <row r="58" spans="1:27" ht="21.6" customHeight="1" x14ac:dyDescent="0.4">
      <c r="A58" s="65">
        <v>44428</v>
      </c>
      <c r="B58" s="66" t="s">
        <v>94</v>
      </c>
      <c r="C58" s="67" t="s">
        <v>71</v>
      </c>
      <c r="D58" s="60">
        <v>0.214</v>
      </c>
      <c r="E58" s="55">
        <v>35</v>
      </c>
      <c r="F58" s="56">
        <f>표2[[#This Row],[Titer (g/L)]]*표2[[#This Row],[Volume
(mL)]]</f>
        <v>7.49</v>
      </c>
      <c r="G58" s="56">
        <f>0.8*6.4</f>
        <v>5.120000000000001</v>
      </c>
      <c r="H58" s="56">
        <f>G58/표2[[#This Row],[Load amounts
(mg)]]*100</f>
        <v>68.35781041388519</v>
      </c>
      <c r="I58" s="56">
        <v>45.05</v>
      </c>
      <c r="J58" s="56">
        <v>54.94</v>
      </c>
      <c r="K58" s="56">
        <v>0.01</v>
      </c>
      <c r="L58" s="56">
        <f>0.8*6.4</f>
        <v>5.120000000000001</v>
      </c>
      <c r="M58" s="58">
        <f>0.6*7.73</f>
        <v>4.6379999999999999</v>
      </c>
      <c r="N58" s="56">
        <f>표2[[#This Row],[Eluate amounts
(mg)2]]/표2[[#This Row],[Load amounts
(mg)2]]*100</f>
        <v>90.585937499999986</v>
      </c>
      <c r="O58" s="58">
        <f>0.6*7.73</f>
        <v>4.6379999999999999</v>
      </c>
      <c r="P58" s="59">
        <f>0.3*2</f>
        <v>0.6</v>
      </c>
      <c r="Q58" s="58">
        <f>표2[[#This Row],[Eluate amounts
(mg)3]]/표2[[#This Row],[Load amounts
(mg)3]]*100</f>
        <v>12.936610608020699</v>
      </c>
      <c r="R58" s="59">
        <v>5.48</v>
      </c>
      <c r="S58" s="59">
        <v>94.52</v>
      </c>
      <c r="T58" s="59">
        <v>0</v>
      </c>
      <c r="U58" s="59">
        <f>0.3*2</f>
        <v>0.6</v>
      </c>
      <c r="V58" s="58">
        <f>3.36*0.15</f>
        <v>0.504</v>
      </c>
      <c r="W58" s="58">
        <f>표2[[#This Row],[Eluate amounts
(mg)4]]/표2[[#This Row],[Load amounts
(mg)4]]*100</f>
        <v>84.000000000000014</v>
      </c>
      <c r="X58" s="58">
        <v>7.75</v>
      </c>
      <c r="Y58" s="58">
        <v>92.25</v>
      </c>
      <c r="Z58" s="58">
        <v>0</v>
      </c>
      <c r="AA58" s="68" t="s">
        <v>111</v>
      </c>
    </row>
    <row r="59" spans="1:27" ht="21.6" customHeight="1" x14ac:dyDescent="0.4">
      <c r="A59" s="65">
        <v>44428</v>
      </c>
      <c r="B59" s="66" t="s">
        <v>95</v>
      </c>
      <c r="C59" s="67" t="s">
        <v>82</v>
      </c>
      <c r="D59" s="60">
        <v>0.156</v>
      </c>
      <c r="E59" s="55">
        <v>35</v>
      </c>
      <c r="F59" s="56">
        <f>표2[[#This Row],[Titer (g/L)]]*표2[[#This Row],[Volume
(mL)]]</f>
        <v>5.46</v>
      </c>
      <c r="G59" s="56">
        <f>1.05*6.4</f>
        <v>6.7200000000000006</v>
      </c>
      <c r="H59" s="56">
        <f>G59/표2[[#This Row],[Load amounts
(mg)]]*100</f>
        <v>123.07692307692308</v>
      </c>
      <c r="I59" s="56">
        <v>53.77</v>
      </c>
      <c r="J59" s="56">
        <v>46.23</v>
      </c>
      <c r="K59" s="56">
        <v>0</v>
      </c>
      <c r="L59" s="56">
        <f>1.05*6.4</f>
        <v>6.7200000000000006</v>
      </c>
      <c r="M59" s="58">
        <f>0.95*3.56</f>
        <v>3.3819999999999997</v>
      </c>
      <c r="N59" s="56">
        <f>표2[[#This Row],[Eluate amounts
(mg)2]]/표2[[#This Row],[Load amounts
(mg)2]]*100</f>
        <v>50.327380952380942</v>
      </c>
      <c r="O59" s="58">
        <f>0.95*3.56</f>
        <v>3.3819999999999997</v>
      </c>
      <c r="P59" s="59">
        <f>0.34*2</f>
        <v>0.68</v>
      </c>
      <c r="Q59" s="58">
        <f>표2[[#This Row],[Eluate amounts
(mg)3]]/표2[[#This Row],[Load amounts
(mg)3]]*100</f>
        <v>20.106445890005915</v>
      </c>
      <c r="R59" s="59">
        <v>2.59</v>
      </c>
      <c r="S59" s="59">
        <v>97.41</v>
      </c>
      <c r="T59" s="59">
        <v>0</v>
      </c>
      <c r="U59" s="59">
        <f>0.34*2</f>
        <v>0.68</v>
      </c>
      <c r="V59" s="58">
        <f>0.91*0.45</f>
        <v>0.40950000000000003</v>
      </c>
      <c r="W59" s="58">
        <f>표2[[#This Row],[Eluate amounts
(mg)4]]/표2[[#This Row],[Load amounts
(mg)4]]*100</f>
        <v>60.220588235294116</v>
      </c>
      <c r="X59" s="58">
        <v>0</v>
      </c>
      <c r="Y59" s="58">
        <v>100</v>
      </c>
      <c r="Z59" s="58">
        <v>0</v>
      </c>
      <c r="AA59" s="68" t="s">
        <v>110</v>
      </c>
    </row>
    <row r="60" spans="1:27" ht="21.6" customHeight="1" x14ac:dyDescent="0.4">
      <c r="A60" s="65">
        <v>44428</v>
      </c>
      <c r="B60" s="62" t="s">
        <v>12</v>
      </c>
      <c r="C60" s="69" t="s">
        <v>16</v>
      </c>
      <c r="D60" s="54">
        <v>0.35</v>
      </c>
      <c r="E60" s="55">
        <v>35</v>
      </c>
      <c r="F60" s="56">
        <f>표2[[#This Row],[Titer (g/L)]]*표2[[#This Row],[Volume
(mL)]]</f>
        <v>12.25</v>
      </c>
      <c r="G60" s="57">
        <v>7.23</v>
      </c>
      <c r="H60" s="56">
        <f>G60/표2[[#This Row],[Load amounts
(mg)]]*100</f>
        <v>59.020408163265316</v>
      </c>
      <c r="I60" s="57">
        <v>25.92</v>
      </c>
      <c r="J60" s="57">
        <v>71.3</v>
      </c>
      <c r="K60" s="57">
        <v>2.78</v>
      </c>
      <c r="L60" s="57">
        <v>7.23</v>
      </c>
      <c r="M60" s="58">
        <f>4.32*1</f>
        <v>4.32</v>
      </c>
      <c r="N60" s="57">
        <f>표2[[#This Row],[Eluate amounts
(mg)2]]/표2[[#This Row],[Load amounts
(mg)2]]*100</f>
        <v>59.751037344398341</v>
      </c>
      <c r="O60" s="58">
        <f>4.32*1</f>
        <v>4.32</v>
      </c>
      <c r="P60" s="59">
        <f>0.57*2</f>
        <v>1.1399999999999999</v>
      </c>
      <c r="Q60" s="58">
        <f>표2[[#This Row],[Eluate amounts
(mg)3]]/표2[[#This Row],[Load amounts
(mg)3]]*100</f>
        <v>26.388888888888886</v>
      </c>
      <c r="R60" s="59">
        <v>1.6</v>
      </c>
      <c r="S60" s="59">
        <v>98.4</v>
      </c>
      <c r="T60" s="59">
        <v>0</v>
      </c>
      <c r="U60" s="59">
        <f>0.57*2</f>
        <v>1.1399999999999999</v>
      </c>
      <c r="V60" s="58">
        <f>4.1*0.25</f>
        <v>1.0249999999999999</v>
      </c>
      <c r="W60" s="58">
        <f>표2[[#This Row],[Eluate amounts
(mg)4]]/표2[[#This Row],[Load amounts
(mg)4]]*100</f>
        <v>89.912280701754383</v>
      </c>
      <c r="X60" s="58">
        <v>0.06</v>
      </c>
      <c r="Y60" s="58">
        <v>99.94</v>
      </c>
      <c r="Z60" s="58">
        <v>0</v>
      </c>
      <c r="AA60" s="68" t="s">
        <v>109</v>
      </c>
    </row>
    <row r="61" spans="1:27" ht="21" x14ac:dyDescent="0.4">
      <c r="A61" s="65">
        <v>44449</v>
      </c>
      <c r="B61" s="66" t="s">
        <v>128</v>
      </c>
      <c r="C61" s="67" t="s">
        <v>129</v>
      </c>
      <c r="D61" s="60">
        <v>0.501</v>
      </c>
      <c r="E61" s="55">
        <v>32</v>
      </c>
      <c r="F61" s="56">
        <f>표2[[#This Row],[Volume
(mL)]]*표2[[#This Row],[Titer (g/L)]]</f>
        <v>16.032</v>
      </c>
      <c r="G61" s="56">
        <f>1.9*6</f>
        <v>11.399999999999999</v>
      </c>
      <c r="H61" s="56">
        <f>표2[[#This Row],[Eluate amounts
(mg)]]/표2[[#This Row],[Load amounts
(mg)]]*100</f>
        <v>71.107784431137716</v>
      </c>
      <c r="I61" s="56">
        <v>26.5</v>
      </c>
      <c r="J61" s="56">
        <v>71.239999999999995</v>
      </c>
      <c r="K61" s="56">
        <v>2.2599999999999998</v>
      </c>
      <c r="L61" s="56">
        <f>1.9*6</f>
        <v>11.399999999999999</v>
      </c>
      <c r="M61" s="56"/>
      <c r="N61" s="56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68"/>
      <c r="Z61" s="59"/>
      <c r="AA61" s="59"/>
    </row>
    <row r="62" spans="1:27" ht="21" x14ac:dyDescent="0.4">
      <c r="A62" s="65">
        <v>44449</v>
      </c>
      <c r="B62" s="66" t="s">
        <v>130</v>
      </c>
      <c r="C62" s="73" t="s">
        <v>148</v>
      </c>
      <c r="D62" s="60">
        <v>0.221</v>
      </c>
      <c r="E62" s="55">
        <v>34</v>
      </c>
      <c r="F62" s="56">
        <f>표2[[#This Row],[Volume
(mL)]]*표2[[#This Row],[Titer (g/L)]]</f>
        <v>7.5140000000000002</v>
      </c>
      <c r="G62" s="56">
        <f>1.51*6</f>
        <v>9.06</v>
      </c>
      <c r="H62" s="56">
        <f>표2[[#This Row],[Eluate amounts
(mg)]]/표2[[#This Row],[Load amounts
(mg)]]*100</f>
        <v>120.57492680330051</v>
      </c>
      <c r="I62" s="56">
        <v>25.19</v>
      </c>
      <c r="J62" s="56">
        <v>70.040000000000006</v>
      </c>
      <c r="K62" s="56">
        <v>4.7699999999999996</v>
      </c>
      <c r="L62" s="56">
        <f>1.51*6</f>
        <v>9.06</v>
      </c>
      <c r="M62" s="56"/>
      <c r="N62" s="56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68"/>
      <c r="Z62" s="59"/>
      <c r="AA62" s="59"/>
    </row>
    <row r="63" spans="1:27" ht="21" x14ac:dyDescent="0.4">
      <c r="A63" s="65">
        <v>44449</v>
      </c>
      <c r="B63" s="66" t="s">
        <v>131</v>
      </c>
      <c r="C63" s="73" t="s">
        <v>149</v>
      </c>
      <c r="D63" s="60">
        <v>0.28299999999999997</v>
      </c>
      <c r="E63" s="55">
        <v>33</v>
      </c>
      <c r="F63" s="56">
        <f>표2[[#This Row],[Volume
(mL)]]*표2[[#This Row],[Titer (g/L)]]</f>
        <v>9.3389999999999986</v>
      </c>
      <c r="G63" s="56">
        <f>1.52*6</f>
        <v>9.120000000000001</v>
      </c>
      <c r="H63" s="56">
        <f>표2[[#This Row],[Eluate amounts
(mg)]]/표2[[#This Row],[Load amounts
(mg)]]*100</f>
        <v>97.654995181496972</v>
      </c>
      <c r="I63" s="56">
        <v>25.47</v>
      </c>
      <c r="J63" s="56">
        <v>70.5</v>
      </c>
      <c r="K63" s="56">
        <v>4.03</v>
      </c>
      <c r="L63" s="56">
        <f>1.52*6</f>
        <v>9.120000000000001</v>
      </c>
      <c r="M63" s="56"/>
      <c r="N63" s="56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68"/>
      <c r="Z63" s="59"/>
      <c r="AA63" s="59"/>
    </row>
    <row r="64" spans="1:27" ht="21" x14ac:dyDescent="0.4">
      <c r="A64" s="65">
        <v>44449</v>
      </c>
      <c r="B64" s="66" t="s">
        <v>132</v>
      </c>
      <c r="C64" s="73" t="s">
        <v>150</v>
      </c>
      <c r="D64" s="60">
        <v>9.5000000000000001E-2</v>
      </c>
      <c r="E64" s="55">
        <v>32</v>
      </c>
      <c r="F64" s="56">
        <f>표2[[#This Row],[Volume
(mL)]]*표2[[#This Row],[Titer (g/L)]]</f>
        <v>3.04</v>
      </c>
      <c r="G64" s="56">
        <f>0.67*6</f>
        <v>4.0200000000000005</v>
      </c>
      <c r="H64" s="56">
        <f>표2[[#This Row],[Eluate amounts
(mg)]]/표2[[#This Row],[Load amounts
(mg)]]*100</f>
        <v>132.23684210526315</v>
      </c>
      <c r="I64" s="56">
        <v>33.340000000000003</v>
      </c>
      <c r="J64" s="56">
        <v>60.61</v>
      </c>
      <c r="K64" s="56">
        <v>6.05</v>
      </c>
      <c r="L64" s="56">
        <f>0.67*6</f>
        <v>4.0200000000000005</v>
      </c>
      <c r="M64" s="56"/>
      <c r="N64" s="56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68"/>
      <c r="Z64" s="59"/>
      <c r="AA64" s="59"/>
    </row>
    <row r="65" spans="1:27" ht="21" x14ac:dyDescent="0.4">
      <c r="A65" s="65">
        <v>44449</v>
      </c>
      <c r="B65" s="66" t="s">
        <v>133</v>
      </c>
      <c r="C65" s="73" t="s">
        <v>151</v>
      </c>
      <c r="D65" s="60">
        <v>0.223</v>
      </c>
      <c r="E65" s="55">
        <v>30</v>
      </c>
      <c r="F65" s="56">
        <f>표2[[#This Row],[Volume
(mL)]]*표2[[#This Row],[Titer (g/L)]]</f>
        <v>6.69</v>
      </c>
      <c r="G65" s="56">
        <f>1.5*6</f>
        <v>9</v>
      </c>
      <c r="H65" s="56">
        <f>표2[[#This Row],[Eluate amounts
(mg)]]/표2[[#This Row],[Load amounts
(mg)]]*100</f>
        <v>134.52914798206277</v>
      </c>
      <c r="I65" s="56">
        <v>30.86</v>
      </c>
      <c r="J65" s="56">
        <v>69.14</v>
      </c>
      <c r="K65" s="56">
        <v>0</v>
      </c>
      <c r="L65" s="56">
        <f>1.5*6</f>
        <v>9</v>
      </c>
      <c r="M65" s="56"/>
      <c r="N65" s="56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68"/>
      <c r="Z65" s="59"/>
      <c r="AA65" s="59"/>
    </row>
    <row r="66" spans="1:27" ht="21" x14ac:dyDescent="0.4">
      <c r="A66" s="65">
        <v>44449</v>
      </c>
      <c r="B66" s="66" t="s">
        <v>134</v>
      </c>
      <c r="C66" s="73" t="s">
        <v>152</v>
      </c>
      <c r="D66" s="60">
        <v>0.30399999999999999</v>
      </c>
      <c r="E66" s="55">
        <v>32</v>
      </c>
      <c r="F66" s="56">
        <f>표2[[#This Row],[Volume
(mL)]]*표2[[#This Row],[Titer (g/L)]]</f>
        <v>9.7279999999999998</v>
      </c>
      <c r="G66" s="56">
        <f>1.43*6</f>
        <v>8.58</v>
      </c>
      <c r="H66" s="56">
        <f>표2[[#This Row],[Eluate amounts
(mg)]]/표2[[#This Row],[Load amounts
(mg)]]*100</f>
        <v>88.19901315789474</v>
      </c>
      <c r="I66" s="56">
        <v>30.04</v>
      </c>
      <c r="J66" s="56">
        <v>68.739999999999995</v>
      </c>
      <c r="K66" s="56">
        <v>1.22</v>
      </c>
      <c r="L66" s="56">
        <f>1.43*6</f>
        <v>8.58</v>
      </c>
      <c r="M66" s="56"/>
      <c r="N66" s="56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68"/>
      <c r="Z66" s="59"/>
      <c r="AA66" s="59"/>
    </row>
    <row r="67" spans="1:27" ht="21" x14ac:dyDescent="0.4">
      <c r="A67" s="65">
        <v>44449</v>
      </c>
      <c r="B67" s="66" t="s">
        <v>135</v>
      </c>
      <c r="C67" s="73" t="s">
        <v>153</v>
      </c>
      <c r="D67" s="60">
        <v>0.30299999999999999</v>
      </c>
      <c r="E67" s="55">
        <v>32</v>
      </c>
      <c r="F67" s="56">
        <f>표2[[#This Row],[Volume
(mL)]]*표2[[#This Row],[Titer (g/L)]]</f>
        <v>9.6959999999999997</v>
      </c>
      <c r="G67" s="56">
        <f>1.42*6</f>
        <v>8.52</v>
      </c>
      <c r="H67" s="56">
        <f>표2[[#This Row],[Eluate amounts
(mg)]]/표2[[#This Row],[Load amounts
(mg)]]*100</f>
        <v>87.871287128712865</v>
      </c>
      <c r="I67" s="56">
        <v>32.5</v>
      </c>
      <c r="J67" s="56">
        <v>65.55</v>
      </c>
      <c r="K67" s="56">
        <v>1.96</v>
      </c>
      <c r="L67" s="56">
        <f>1.42*6</f>
        <v>8.52</v>
      </c>
      <c r="M67" s="56"/>
      <c r="N67" s="56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68"/>
      <c r="Z67" s="59"/>
      <c r="AA67" s="59"/>
    </row>
    <row r="68" spans="1:27" ht="21" x14ac:dyDescent="0.4">
      <c r="A68" s="65">
        <v>44449</v>
      </c>
      <c r="B68" s="66" t="s">
        <v>136</v>
      </c>
      <c r="C68" s="73" t="s">
        <v>154</v>
      </c>
      <c r="D68" s="60">
        <v>0.25900000000000001</v>
      </c>
      <c r="E68" s="55">
        <v>34</v>
      </c>
      <c r="F68" s="56">
        <f>표2[[#This Row],[Volume
(mL)]]*표2[[#This Row],[Titer (g/L)]]</f>
        <v>8.8060000000000009</v>
      </c>
      <c r="G68" s="56">
        <f>1.14*6</f>
        <v>6.84</v>
      </c>
      <c r="H68" s="56">
        <f>표2[[#This Row],[Eluate amounts
(mg)]]/표2[[#This Row],[Load amounts
(mg)]]*100</f>
        <v>77.674312968430598</v>
      </c>
      <c r="I68" s="56">
        <v>38.880000000000003</v>
      </c>
      <c r="J68" s="56">
        <v>59.51</v>
      </c>
      <c r="K68" s="56">
        <v>1.61</v>
      </c>
      <c r="L68" s="56">
        <f>1.14*6</f>
        <v>6.84</v>
      </c>
      <c r="M68" s="56"/>
      <c r="N68" s="56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68"/>
      <c r="Z68" s="59"/>
      <c r="AA68" s="59"/>
    </row>
    <row r="69" spans="1:27" ht="21" x14ac:dyDescent="0.4">
      <c r="A69" s="65"/>
      <c r="B69" s="66"/>
      <c r="C69" s="67"/>
      <c r="D69" s="60"/>
      <c r="E69" s="55"/>
      <c r="F69" s="56"/>
      <c r="G69" s="56"/>
      <c r="H69" s="56"/>
      <c r="I69" s="56"/>
      <c r="J69" s="56"/>
      <c r="K69" s="56"/>
      <c r="L69" s="56"/>
      <c r="M69" s="56"/>
      <c r="N69" s="56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68"/>
      <c r="Z69" s="59"/>
      <c r="AA69" s="59"/>
    </row>
    <row r="70" spans="1:27" ht="21" x14ac:dyDescent="0.4">
      <c r="A70" s="65"/>
      <c r="B70" s="66"/>
      <c r="C70" s="67"/>
      <c r="D70" s="60"/>
      <c r="E70" s="55"/>
      <c r="F70" s="56"/>
      <c r="G70" s="56"/>
      <c r="H70" s="56"/>
      <c r="I70" s="56"/>
      <c r="J70" s="56"/>
      <c r="K70" s="56"/>
      <c r="L70" s="56"/>
      <c r="M70" s="56"/>
      <c r="N70" s="56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68"/>
      <c r="Z70" s="59"/>
      <c r="AA70" s="59"/>
    </row>
    <row r="71" spans="1:27" ht="21" x14ac:dyDescent="0.4">
      <c r="A71" s="65"/>
      <c r="B71" s="66"/>
      <c r="C71" s="67"/>
      <c r="D71" s="60"/>
      <c r="E71" s="55"/>
      <c r="F71" s="56"/>
      <c r="G71" s="56"/>
      <c r="H71" s="56"/>
      <c r="I71" s="56"/>
      <c r="J71" s="56"/>
      <c r="K71" s="56"/>
      <c r="L71" s="56"/>
      <c r="M71" s="56"/>
      <c r="N71" s="56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68"/>
      <c r="Z71" s="59"/>
      <c r="AA71" s="59"/>
    </row>
    <row r="72" spans="1:27" ht="21" x14ac:dyDescent="0.4">
      <c r="A72" s="65"/>
      <c r="B72" s="66"/>
      <c r="C72" s="67"/>
      <c r="D72" s="60"/>
      <c r="E72" s="55"/>
      <c r="F72" s="56"/>
      <c r="G72" s="56"/>
      <c r="H72" s="56"/>
      <c r="I72" s="56"/>
      <c r="J72" s="56"/>
      <c r="K72" s="56"/>
      <c r="L72" s="56"/>
      <c r="M72" s="56"/>
      <c r="N72" s="56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68"/>
      <c r="Z72" s="59"/>
      <c r="AA72" s="59"/>
    </row>
    <row r="73" spans="1:27" ht="21" x14ac:dyDescent="0.4">
      <c r="A73" s="65"/>
      <c r="B73" s="66"/>
      <c r="C73" s="67"/>
      <c r="D73" s="60"/>
      <c r="E73" s="55"/>
      <c r="F73" s="56"/>
      <c r="G73" s="56"/>
      <c r="H73" s="56"/>
      <c r="I73" s="56"/>
      <c r="J73" s="56"/>
      <c r="K73" s="56"/>
      <c r="L73" s="56"/>
      <c r="M73" s="56"/>
      <c r="N73" s="56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68"/>
      <c r="Z73" s="59"/>
      <c r="AA73" s="59"/>
    </row>
    <row r="74" spans="1:27" ht="21" x14ac:dyDescent="0.4">
      <c r="A74" s="65"/>
      <c r="B74" s="66"/>
      <c r="C74" s="67"/>
      <c r="D74" s="60"/>
      <c r="E74" s="55"/>
      <c r="F74" s="56"/>
      <c r="G74" s="56"/>
      <c r="H74" s="56"/>
      <c r="I74" s="56"/>
      <c r="J74" s="56"/>
      <c r="K74" s="56"/>
      <c r="L74" s="56"/>
      <c r="M74" s="56"/>
      <c r="N74" s="56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68"/>
      <c r="Z74" s="59"/>
      <c r="AA74" s="59"/>
    </row>
    <row r="75" spans="1:27" ht="21" x14ac:dyDescent="0.4">
      <c r="A75" s="65"/>
      <c r="B75" s="66"/>
      <c r="C75" s="67"/>
      <c r="D75" s="60"/>
      <c r="E75" s="55"/>
      <c r="F75" s="56"/>
      <c r="G75" s="56"/>
      <c r="H75" s="56"/>
      <c r="I75" s="56"/>
      <c r="J75" s="56"/>
      <c r="K75" s="56"/>
      <c r="L75" s="56"/>
      <c r="M75" s="56"/>
      <c r="N75" s="56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68"/>
      <c r="Z75" s="59"/>
      <c r="AA75" s="59"/>
    </row>
    <row r="76" spans="1:27" ht="21" x14ac:dyDescent="0.4">
      <c r="A76" s="65"/>
      <c r="B76" s="66"/>
      <c r="C76" s="67"/>
      <c r="D76" s="60"/>
      <c r="E76" s="55"/>
      <c r="F76" s="56"/>
      <c r="G76" s="56"/>
      <c r="H76" s="56"/>
      <c r="I76" s="56"/>
      <c r="J76" s="56"/>
      <c r="K76" s="56"/>
      <c r="L76" s="56"/>
      <c r="M76" s="56"/>
      <c r="N76" s="56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68"/>
      <c r="Z76" s="59"/>
      <c r="AA76" s="59"/>
    </row>
    <row r="77" spans="1:27" ht="21" x14ac:dyDescent="0.4">
      <c r="A77" s="65"/>
      <c r="B77" s="66"/>
      <c r="C77" s="67"/>
      <c r="D77" s="60"/>
      <c r="E77" s="55"/>
      <c r="F77" s="56"/>
      <c r="G77" s="56"/>
      <c r="H77" s="56"/>
      <c r="I77" s="56"/>
      <c r="J77" s="56"/>
      <c r="K77" s="56"/>
      <c r="L77" s="56"/>
      <c r="M77" s="56"/>
      <c r="N77" s="56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68"/>
      <c r="Z77" s="59"/>
      <c r="AA77" s="59"/>
    </row>
    <row r="78" spans="1:27" ht="21" x14ac:dyDescent="0.4">
      <c r="A78" s="65"/>
      <c r="B78" s="66"/>
      <c r="C78" s="67"/>
      <c r="D78" s="60"/>
      <c r="E78" s="55"/>
      <c r="F78" s="56"/>
      <c r="G78" s="56"/>
      <c r="H78" s="56"/>
      <c r="I78" s="56"/>
      <c r="J78" s="56"/>
      <c r="K78" s="56"/>
      <c r="L78" s="56"/>
      <c r="M78" s="56"/>
      <c r="N78" s="56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68"/>
      <c r="Z78" s="59"/>
      <c r="AA78" s="59"/>
    </row>
    <row r="79" spans="1:27" ht="21" x14ac:dyDescent="0.4">
      <c r="A79" s="65"/>
      <c r="B79" s="66"/>
      <c r="C79" s="53"/>
      <c r="D79" s="60"/>
      <c r="E79" s="55"/>
      <c r="F79" s="56"/>
      <c r="G79" s="56"/>
      <c r="H79" s="56"/>
      <c r="I79" s="56"/>
      <c r="J79" s="56"/>
      <c r="K79" s="56"/>
      <c r="L79" s="56"/>
      <c r="M79" s="56"/>
      <c r="N79" s="56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68"/>
      <c r="Z79" s="59"/>
      <c r="AA79" s="59"/>
    </row>
    <row r="80" spans="1:27" ht="21" x14ac:dyDescent="0.4">
      <c r="A80" s="65"/>
      <c r="B80" s="66"/>
      <c r="C80" s="53"/>
      <c r="D80" s="60"/>
      <c r="E80" s="55"/>
      <c r="F80" s="56"/>
      <c r="G80" s="56"/>
      <c r="H80" s="56"/>
      <c r="I80" s="56"/>
      <c r="J80" s="56"/>
      <c r="K80" s="56"/>
      <c r="L80" s="56"/>
      <c r="M80" s="56"/>
      <c r="N80" s="56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68"/>
      <c r="Z80" s="59"/>
      <c r="AA80" s="59"/>
    </row>
    <row r="81" spans="1:20" x14ac:dyDescent="0.4">
      <c r="A81" s="39"/>
      <c r="C81" s="40"/>
      <c r="D81" s="41"/>
      <c r="E81" s="42"/>
      <c r="F81" s="43"/>
      <c r="G81" s="43"/>
      <c r="H81" s="43"/>
      <c r="I81" s="43"/>
      <c r="J81" s="43"/>
      <c r="K81" s="43"/>
      <c r="L81" s="43"/>
      <c r="M81" s="43"/>
      <c r="N81" s="43"/>
      <c r="O81" s="44"/>
      <c r="P81" s="44"/>
      <c r="Q81" s="44"/>
      <c r="R81" s="44"/>
      <c r="S81" s="44"/>
      <c r="T81" s="44"/>
    </row>
    <row r="82" spans="1:20" x14ac:dyDescent="0.4">
      <c r="A82" s="39"/>
      <c r="C82" s="40"/>
      <c r="D82" s="41"/>
      <c r="E82" s="42"/>
      <c r="F82" s="43"/>
      <c r="G82" s="43"/>
      <c r="H82" s="43"/>
      <c r="I82" s="43"/>
      <c r="J82" s="43"/>
      <c r="K82" s="43"/>
      <c r="L82" s="43"/>
      <c r="M82" s="43"/>
      <c r="N82" s="43"/>
      <c r="O82" s="44"/>
      <c r="P82" s="44"/>
      <c r="Q82" s="44"/>
      <c r="R82" s="44"/>
      <c r="S82" s="44"/>
      <c r="T82" s="44"/>
    </row>
  </sheetData>
  <mergeCells count="5">
    <mergeCell ref="D1:E1"/>
    <mergeCell ref="F1:K1"/>
    <mergeCell ref="O1:T1"/>
    <mergeCell ref="L1:N1"/>
    <mergeCell ref="U1:Z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AB6A3-7FBE-4156-BF92-FD50333AF10D}">
  <dimension ref="A1:AA60"/>
  <sheetViews>
    <sheetView zoomScale="70" zoomScaleNormal="70" workbookViewId="0">
      <pane ySplit="2" topLeftCell="A3" activePane="bottomLeft" state="frozen"/>
      <selection pane="bottomLeft" activeCell="F2" sqref="F2:K2"/>
    </sheetView>
  </sheetViews>
  <sheetFormatPr defaultRowHeight="17.399999999999999" x14ac:dyDescent="0.4"/>
  <cols>
    <col min="1" max="1" width="16.3984375" style="4" bestFit="1" customWidth="1"/>
    <col min="2" max="2" width="11.8984375" style="8" bestFit="1" customWidth="1"/>
    <col min="3" max="3" width="41" style="9" bestFit="1" customWidth="1"/>
    <col min="4" max="4" width="9.19921875" style="3" bestFit="1" customWidth="1"/>
    <col min="5" max="5" width="8.796875" style="1" bestFit="1" customWidth="1"/>
    <col min="6" max="6" width="15.3984375" style="10" bestFit="1" customWidth="1"/>
    <col min="7" max="7" width="16.3984375" style="10" bestFit="1" customWidth="1"/>
    <col min="8" max="8" width="10.796875" style="10" bestFit="1" customWidth="1"/>
    <col min="9" max="9" width="8.19921875" style="10" bestFit="1" customWidth="1"/>
    <col min="10" max="10" width="10.796875" style="10" bestFit="1" customWidth="1"/>
    <col min="11" max="11" width="7.796875" style="10" bestFit="1" customWidth="1"/>
    <col min="12" max="13" width="11.59765625" style="10" bestFit="1" customWidth="1"/>
    <col min="14" max="14" width="11.3984375" style="10" bestFit="1" customWidth="1"/>
    <col min="15" max="15" width="10.8984375" style="11" customWidth="1"/>
    <col min="16" max="16" width="11.69921875" style="11" customWidth="1"/>
    <col min="17" max="17" width="10.796875" style="11" bestFit="1" customWidth="1"/>
    <col min="18" max="18" width="8.19921875" style="11" bestFit="1" customWidth="1"/>
    <col min="19" max="19" width="10.796875" style="11" bestFit="1" customWidth="1"/>
    <col min="20" max="20" width="11" style="11" bestFit="1" customWidth="1"/>
    <col min="21" max="21" width="9.296875" style="2" customWidth="1"/>
    <col min="22" max="22" width="8.8984375" style="2" customWidth="1"/>
    <col min="23" max="23" width="11.19921875" style="36" customWidth="1"/>
    <col min="24" max="24" width="11" style="2" customWidth="1"/>
    <col min="25" max="25" width="10.796875" style="2" customWidth="1"/>
    <col min="26" max="26" width="9.796875" style="2" customWidth="1"/>
    <col min="27" max="16384" width="8.796875" style="2"/>
  </cols>
  <sheetData>
    <row r="1" spans="1:27" s="12" customFormat="1" x14ac:dyDescent="0.4">
      <c r="A1" s="5"/>
      <c r="B1" s="6"/>
      <c r="C1" s="7"/>
      <c r="D1" s="84" t="s">
        <v>1</v>
      </c>
      <c r="E1" s="84"/>
      <c r="F1" s="85" t="s">
        <v>3</v>
      </c>
      <c r="G1" s="85"/>
      <c r="H1" s="85"/>
      <c r="I1" s="85"/>
      <c r="J1" s="85"/>
      <c r="K1" s="85"/>
      <c r="L1" s="87" t="s">
        <v>96</v>
      </c>
      <c r="M1" s="88"/>
      <c r="N1" s="89"/>
      <c r="O1" s="86" t="s">
        <v>2</v>
      </c>
      <c r="P1" s="86"/>
      <c r="Q1" s="86"/>
      <c r="R1" s="86"/>
      <c r="S1" s="86"/>
      <c r="T1" s="86"/>
      <c r="U1" s="90" t="s">
        <v>120</v>
      </c>
      <c r="V1" s="91"/>
      <c r="W1" s="91"/>
      <c r="X1" s="91"/>
      <c r="Y1" s="91"/>
      <c r="Z1" s="91"/>
    </row>
    <row r="2" spans="1:27" s="20" customFormat="1" ht="52.2" x14ac:dyDescent="0.4">
      <c r="A2" s="14" t="s">
        <v>13</v>
      </c>
      <c r="B2" s="13" t="s">
        <v>11</v>
      </c>
      <c r="C2" s="13" t="s">
        <v>10</v>
      </c>
      <c r="D2" s="15" t="s">
        <v>0</v>
      </c>
      <c r="E2" s="16" t="s">
        <v>48</v>
      </c>
      <c r="F2" s="17" t="s">
        <v>9</v>
      </c>
      <c r="G2" s="17" t="s">
        <v>8</v>
      </c>
      <c r="H2" s="17" t="s">
        <v>7</v>
      </c>
      <c r="I2" s="17" t="s">
        <v>4</v>
      </c>
      <c r="J2" s="17" t="s">
        <v>5</v>
      </c>
      <c r="K2" s="17" t="s">
        <v>6</v>
      </c>
      <c r="L2" s="17" t="s">
        <v>100</v>
      </c>
      <c r="M2" s="17" t="s">
        <v>101</v>
      </c>
      <c r="N2" s="17" t="s">
        <v>102</v>
      </c>
      <c r="O2" s="18" t="s">
        <v>97</v>
      </c>
      <c r="P2" s="18" t="s">
        <v>98</v>
      </c>
      <c r="Q2" s="18" t="s">
        <v>99</v>
      </c>
      <c r="R2" s="18" t="s">
        <v>103</v>
      </c>
      <c r="S2" s="18" t="s">
        <v>104</v>
      </c>
      <c r="T2" s="19" t="s">
        <v>105</v>
      </c>
      <c r="U2" s="18" t="s">
        <v>121</v>
      </c>
      <c r="V2" s="18" t="s">
        <v>122</v>
      </c>
      <c r="W2" s="18" t="s">
        <v>123</v>
      </c>
      <c r="X2" s="18" t="s">
        <v>124</v>
      </c>
      <c r="Y2" s="18" t="s">
        <v>125</v>
      </c>
      <c r="Z2" s="37" t="s">
        <v>126</v>
      </c>
      <c r="AA2" s="37" t="s">
        <v>119</v>
      </c>
    </row>
    <row r="3" spans="1:27" ht="21" x14ac:dyDescent="0.4">
      <c r="A3" s="65">
        <v>44449</v>
      </c>
      <c r="B3" s="66" t="s">
        <v>137</v>
      </c>
      <c r="C3" s="67" t="s">
        <v>166</v>
      </c>
      <c r="D3" s="60">
        <v>0.161</v>
      </c>
      <c r="E3" s="55">
        <v>37</v>
      </c>
      <c r="F3" s="56">
        <f>표2_2[[#This Row],[Volume
(mL)]]*표2_2[[#This Row],[Titer (g/L)]]</f>
        <v>5.9569999999999999</v>
      </c>
      <c r="G3" s="56">
        <f>0.81*6</f>
        <v>4.8600000000000003</v>
      </c>
      <c r="H3" s="56">
        <f>표2_2[[#This Row],[Eluate amounts
(mg)]]/표2_2[[#This Row],[Load amounts
(mg)]]*100</f>
        <v>81.584690280342471</v>
      </c>
      <c r="I3" s="56">
        <v>52.51</v>
      </c>
      <c r="J3" s="56">
        <v>41.53</v>
      </c>
      <c r="K3" s="56">
        <v>5.96</v>
      </c>
      <c r="L3" s="56">
        <f>0.81*6</f>
        <v>4.8600000000000003</v>
      </c>
      <c r="M3" s="56"/>
      <c r="N3" s="56"/>
      <c r="O3" s="59"/>
      <c r="P3" s="59"/>
      <c r="Q3" s="59"/>
      <c r="R3" s="59"/>
      <c r="S3" s="59"/>
      <c r="T3" s="59"/>
      <c r="U3" s="59"/>
      <c r="V3" s="59"/>
      <c r="W3" s="59"/>
      <c r="X3" s="59"/>
      <c r="Y3" s="68"/>
      <c r="Z3" s="59"/>
      <c r="AA3" s="59"/>
    </row>
    <row r="4" spans="1:27" ht="21" x14ac:dyDescent="0.4">
      <c r="A4" s="65">
        <v>44449</v>
      </c>
      <c r="B4" s="66" t="s">
        <v>138</v>
      </c>
      <c r="C4" s="67" t="s">
        <v>157</v>
      </c>
      <c r="D4" s="60">
        <v>0.219</v>
      </c>
      <c r="E4" s="55">
        <v>33</v>
      </c>
      <c r="F4" s="56">
        <f>표2_2[[#This Row],[Volume
(mL)]]*표2_2[[#This Row],[Titer (g/L)]]</f>
        <v>7.2270000000000003</v>
      </c>
      <c r="G4" s="56">
        <f>1.12*6</f>
        <v>6.7200000000000006</v>
      </c>
      <c r="H4" s="56">
        <f>표2_2[[#This Row],[Eluate amounts
(mg)]]/표2_2[[#This Row],[Load amounts
(mg)]]*100</f>
        <v>92.984640929846421</v>
      </c>
      <c r="I4" s="56">
        <v>38.53</v>
      </c>
      <c r="J4" s="56">
        <v>61.47</v>
      </c>
      <c r="K4" s="56">
        <v>0</v>
      </c>
      <c r="L4" s="56">
        <f>1.12*6</f>
        <v>6.7200000000000006</v>
      </c>
      <c r="M4" s="56"/>
      <c r="N4" s="56"/>
      <c r="O4" s="59"/>
      <c r="P4" s="59"/>
      <c r="Q4" s="59"/>
      <c r="R4" s="59"/>
      <c r="S4" s="59"/>
      <c r="T4" s="59"/>
      <c r="U4" s="59"/>
      <c r="V4" s="59"/>
      <c r="W4" s="59"/>
      <c r="X4" s="59"/>
      <c r="Y4" s="68"/>
      <c r="Z4" s="59"/>
      <c r="AA4" s="59"/>
    </row>
    <row r="5" spans="1:27" ht="21" x14ac:dyDescent="0.4">
      <c r="A5" s="65">
        <v>44449</v>
      </c>
      <c r="B5" s="66" t="s">
        <v>139</v>
      </c>
      <c r="C5" s="67" t="s">
        <v>158</v>
      </c>
      <c r="D5" s="60">
        <v>0.19700000000000001</v>
      </c>
      <c r="E5" s="55">
        <v>23</v>
      </c>
      <c r="F5" s="56">
        <f>표2_2[[#This Row],[Volume
(mL)]]*표2_2[[#This Row],[Titer (g/L)]]</f>
        <v>4.5310000000000006</v>
      </c>
      <c r="G5" s="56">
        <f>3.2*1.5</f>
        <v>4.8000000000000007</v>
      </c>
      <c r="H5" s="56">
        <f>표2_2[[#This Row],[Eluate amounts
(mg)]]/표2_2[[#This Row],[Load amounts
(mg)]]*100</f>
        <v>105.93687927609798</v>
      </c>
      <c r="I5" s="56">
        <v>47.85</v>
      </c>
      <c r="J5" s="56">
        <v>50.57</v>
      </c>
      <c r="K5" s="56">
        <v>1.58</v>
      </c>
      <c r="L5" s="56">
        <f>3.2*1.5</f>
        <v>4.8000000000000007</v>
      </c>
      <c r="M5" s="56"/>
      <c r="N5" s="56"/>
      <c r="O5" s="59"/>
      <c r="P5" s="59"/>
      <c r="Q5" s="59"/>
      <c r="R5" s="59"/>
      <c r="S5" s="59"/>
      <c r="T5" s="59"/>
      <c r="U5" s="59"/>
      <c r="V5" s="59"/>
      <c r="W5" s="59"/>
      <c r="X5" s="59"/>
      <c r="Y5" s="68"/>
      <c r="Z5" s="59"/>
      <c r="AA5" s="59"/>
    </row>
    <row r="6" spans="1:27" ht="21" x14ac:dyDescent="0.4">
      <c r="A6" s="65">
        <v>44449</v>
      </c>
      <c r="B6" s="66" t="s">
        <v>140</v>
      </c>
      <c r="C6" s="67" t="s">
        <v>159</v>
      </c>
      <c r="D6" s="60" t="s">
        <v>155</v>
      </c>
      <c r="E6" s="55" t="s">
        <v>155</v>
      </c>
      <c r="F6" s="56" t="e">
        <f>표2_2[[#This Row],[Volume
(mL)]]*표2_2[[#This Row],[Titer (g/L)]]</f>
        <v>#VALUE!</v>
      </c>
      <c r="G6" s="56" t="s">
        <v>155</v>
      </c>
      <c r="H6" s="56" t="e">
        <f>표2_2[[#This Row],[Eluate amounts
(mg)]]/표2_2[[#This Row],[Load amounts
(mg)]]*100</f>
        <v>#VALUE!</v>
      </c>
      <c r="I6" s="56" t="s">
        <v>155</v>
      </c>
      <c r="J6" s="56" t="s">
        <v>155</v>
      </c>
      <c r="K6" s="56" t="s">
        <v>155</v>
      </c>
      <c r="L6" s="56" t="s">
        <v>155</v>
      </c>
      <c r="M6" s="56"/>
      <c r="N6" s="56" t="e">
        <f>표2_2[[#This Row],[Eluate amounts
(mg)2]]/표2_2[[#This Row],[Load amounts
(mg)2]]*100</f>
        <v>#VALUE!</v>
      </c>
      <c r="O6" s="59"/>
      <c r="P6" s="59"/>
      <c r="Q6" s="59"/>
      <c r="R6" s="59"/>
      <c r="S6" s="59"/>
      <c r="T6" s="59"/>
      <c r="U6" s="59"/>
      <c r="V6" s="59"/>
      <c r="W6" s="59"/>
      <c r="X6" s="59"/>
      <c r="Y6" s="68"/>
      <c r="Z6" s="59"/>
      <c r="AA6" s="59"/>
    </row>
    <row r="7" spans="1:27" ht="21" x14ac:dyDescent="0.4">
      <c r="A7" s="65">
        <v>44449</v>
      </c>
      <c r="B7" s="66" t="s">
        <v>141</v>
      </c>
      <c r="C7" s="67" t="s">
        <v>160</v>
      </c>
      <c r="D7" s="60">
        <v>6.6000000000000003E-2</v>
      </c>
      <c r="E7" s="55">
        <v>27</v>
      </c>
      <c r="F7" s="56">
        <f>표2_2[[#This Row],[Volume
(mL)]]*표2_2[[#This Row],[Titer (g/L)]]</f>
        <v>1.782</v>
      </c>
      <c r="G7" s="56" t="s">
        <v>156</v>
      </c>
      <c r="H7" s="56" t="e">
        <f>표2_2[[#This Row],[Eluate amounts
(mg)]]/표2_2[[#This Row],[Load amounts
(mg)]]*100</f>
        <v>#VALUE!</v>
      </c>
      <c r="I7" s="56" t="s">
        <v>156</v>
      </c>
      <c r="J7" s="56" t="s">
        <v>156</v>
      </c>
      <c r="K7" s="56" t="s">
        <v>156</v>
      </c>
      <c r="L7" s="56" t="s">
        <v>156</v>
      </c>
      <c r="M7" s="56"/>
      <c r="N7" s="56" t="e">
        <f>표2_2[[#This Row],[Eluate amounts
(mg)2]]/표2_2[[#This Row],[Load amounts
(mg)2]]*100</f>
        <v>#VALUE!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68"/>
      <c r="Z7" s="59"/>
      <c r="AA7" s="59"/>
    </row>
    <row r="8" spans="1:27" ht="21" x14ac:dyDescent="0.4">
      <c r="A8" s="65">
        <v>44449</v>
      </c>
      <c r="B8" s="66" t="s">
        <v>142</v>
      </c>
      <c r="C8" s="67" t="s">
        <v>161</v>
      </c>
      <c r="D8" s="60">
        <v>5.5E-2</v>
      </c>
      <c r="E8" s="55">
        <v>33</v>
      </c>
      <c r="F8" s="56">
        <f>표2_2[[#This Row],[Volume
(mL)]]*표2_2[[#This Row],[Titer (g/L)]]</f>
        <v>1.8149999999999999</v>
      </c>
      <c r="G8" s="56" t="s">
        <v>156</v>
      </c>
      <c r="H8" s="56">
        <v>0</v>
      </c>
      <c r="I8" s="56" t="s">
        <v>156</v>
      </c>
      <c r="J8" s="56" t="s">
        <v>156</v>
      </c>
      <c r="K8" s="56" t="s">
        <v>156</v>
      </c>
      <c r="L8" s="56" t="s">
        <v>156</v>
      </c>
      <c r="M8" s="56"/>
      <c r="N8" s="56" t="e">
        <f>표2_2[[#This Row],[Eluate amounts
(mg)2]]/표2_2[[#This Row],[Load amounts
(mg)2]]*100</f>
        <v>#VALUE!</v>
      </c>
      <c r="O8" s="59"/>
      <c r="P8" s="59"/>
      <c r="Q8" s="59"/>
      <c r="R8" s="59"/>
      <c r="S8" s="59"/>
      <c r="T8" s="59"/>
      <c r="U8" s="59"/>
      <c r="V8" s="59"/>
      <c r="W8" s="59"/>
      <c r="X8" s="59"/>
      <c r="Y8" s="68"/>
      <c r="Z8" s="59"/>
      <c r="AA8" s="59"/>
    </row>
    <row r="9" spans="1:27" ht="21" x14ac:dyDescent="0.4">
      <c r="A9" s="65">
        <v>44449</v>
      </c>
      <c r="B9" s="66" t="s">
        <v>143</v>
      </c>
      <c r="C9" s="67" t="s">
        <v>162</v>
      </c>
      <c r="D9" s="60">
        <v>0.01</v>
      </c>
      <c r="E9" s="55">
        <v>32</v>
      </c>
      <c r="F9" s="56">
        <f>표2_2[[#This Row],[Volume
(mL)]]*표2_2[[#This Row],[Titer (g/L)]]</f>
        <v>0.32</v>
      </c>
      <c r="G9" s="56">
        <f>0.07*6</f>
        <v>0.42000000000000004</v>
      </c>
      <c r="H9" s="56">
        <f>표2_2[[#This Row],[Eluate amounts
(mg)]]/표2_2[[#This Row],[Load amounts
(mg)]]*100</f>
        <v>131.25</v>
      </c>
      <c r="I9" s="56" t="s">
        <v>156</v>
      </c>
      <c r="J9" s="56" t="s">
        <v>156</v>
      </c>
      <c r="K9" s="56" t="s">
        <v>156</v>
      </c>
      <c r="L9" s="56">
        <f>0.07*6</f>
        <v>0.42000000000000004</v>
      </c>
      <c r="M9" s="56"/>
      <c r="N9" s="56">
        <f>표2_2[[#This Row],[Eluate amounts
(mg)2]]/표2_2[[#This Row],[Load amounts
(mg)2]]*100</f>
        <v>0</v>
      </c>
      <c r="O9" s="59"/>
      <c r="P9" s="59"/>
      <c r="Q9" s="59"/>
      <c r="R9" s="59"/>
      <c r="S9" s="59"/>
      <c r="T9" s="59"/>
      <c r="U9" s="59"/>
      <c r="V9" s="59"/>
      <c r="W9" s="59"/>
      <c r="X9" s="59"/>
      <c r="Y9" s="68"/>
      <c r="Z9" s="59"/>
      <c r="AA9" s="59"/>
    </row>
    <row r="10" spans="1:27" ht="21" x14ac:dyDescent="0.4">
      <c r="A10" s="65">
        <v>44449</v>
      </c>
      <c r="B10" s="66" t="s">
        <v>144</v>
      </c>
      <c r="C10" s="67" t="s">
        <v>163</v>
      </c>
      <c r="D10" s="60">
        <v>0</v>
      </c>
      <c r="E10" s="55">
        <v>33</v>
      </c>
      <c r="F10" s="56">
        <f>표2_2[[#This Row],[Volume
(mL)]]*표2_2[[#This Row],[Titer (g/L)]]</f>
        <v>0</v>
      </c>
      <c r="G10" s="56">
        <v>0</v>
      </c>
      <c r="H10" s="56">
        <v>0</v>
      </c>
      <c r="I10" s="56" t="s">
        <v>156</v>
      </c>
      <c r="J10" s="56" t="s">
        <v>156</v>
      </c>
      <c r="K10" s="56" t="s">
        <v>156</v>
      </c>
      <c r="L10" s="56">
        <v>0</v>
      </c>
      <c r="M10" s="56"/>
      <c r="N10" s="56" t="e">
        <f>표2_2[[#This Row],[Eluate amounts
(mg)2]]/표2_2[[#This Row],[Load amounts
(mg)2]]*100</f>
        <v>#DIV/0!</v>
      </c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68"/>
      <c r="Z10" s="59"/>
      <c r="AA10" s="59"/>
    </row>
    <row r="11" spans="1:27" ht="21" x14ac:dyDescent="0.4">
      <c r="A11" s="65">
        <v>44449</v>
      </c>
      <c r="B11" s="66" t="s">
        <v>145</v>
      </c>
      <c r="C11" s="67" t="s">
        <v>164</v>
      </c>
      <c r="D11" s="60">
        <v>0</v>
      </c>
      <c r="E11" s="55">
        <v>31</v>
      </c>
      <c r="F11" s="56">
        <f>표2_2[[#This Row],[Volume
(mL)]]*표2_2[[#This Row],[Titer (g/L)]]</f>
        <v>0</v>
      </c>
      <c r="G11" s="56">
        <v>0</v>
      </c>
      <c r="H11" s="56">
        <v>0</v>
      </c>
      <c r="I11" s="56" t="s">
        <v>156</v>
      </c>
      <c r="J11" s="56" t="s">
        <v>156</v>
      </c>
      <c r="K11" s="56" t="s">
        <v>156</v>
      </c>
      <c r="L11" s="56">
        <v>0</v>
      </c>
      <c r="M11" s="56"/>
      <c r="N11" s="56" t="e">
        <f>표2_2[[#This Row],[Eluate amounts
(mg)2]]/표2_2[[#This Row],[Load amounts
(mg)2]]*100</f>
        <v>#DIV/0!</v>
      </c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68"/>
      <c r="Z11" s="59"/>
      <c r="AA11" s="59"/>
    </row>
    <row r="12" spans="1:27" ht="21" x14ac:dyDescent="0.4">
      <c r="A12" s="65">
        <v>44449</v>
      </c>
      <c r="B12" s="66" t="s">
        <v>146</v>
      </c>
      <c r="C12" s="67" t="s">
        <v>165</v>
      </c>
      <c r="D12" s="60">
        <v>0.22600000000000001</v>
      </c>
      <c r="E12" s="55">
        <v>33</v>
      </c>
      <c r="F12" s="56">
        <f>표2_2[[#This Row],[Volume
(mL)]]*표2_2[[#This Row],[Titer (g/L)]]</f>
        <v>7.4580000000000002</v>
      </c>
      <c r="G12" s="56">
        <f>1.42*6</f>
        <v>8.52</v>
      </c>
      <c r="H12" s="56">
        <f>표2_2[[#This Row],[Eluate amounts
(mg)]]/표2_2[[#This Row],[Load amounts
(mg)]]*100</f>
        <v>114.23974255832663</v>
      </c>
      <c r="I12" s="56">
        <v>47.22</v>
      </c>
      <c r="J12" s="56">
        <v>51.44</v>
      </c>
      <c r="K12" s="56">
        <v>1.34</v>
      </c>
      <c r="L12" s="56">
        <f>1.42*6</f>
        <v>8.52</v>
      </c>
      <c r="M12" s="56"/>
      <c r="N12" s="56">
        <f>표2_2[[#This Row],[Eluate amounts
(mg)2]]/표2_2[[#This Row],[Load amounts
(mg)2]]*100</f>
        <v>0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68"/>
      <c r="Z12" s="59"/>
      <c r="AA12" s="59"/>
    </row>
    <row r="13" spans="1:27" ht="21" x14ac:dyDescent="0.4">
      <c r="A13" s="65"/>
      <c r="B13" s="66"/>
      <c r="C13" s="53"/>
      <c r="D13" s="60"/>
      <c r="E13" s="55"/>
      <c r="F13" s="56"/>
      <c r="G13" s="56"/>
      <c r="H13" s="56"/>
      <c r="I13" s="56"/>
      <c r="J13" s="56"/>
      <c r="K13" s="56"/>
      <c r="L13" s="56"/>
      <c r="M13" s="56"/>
      <c r="N13" s="56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68"/>
      <c r="Z13" s="59"/>
      <c r="AA13" s="59"/>
    </row>
    <row r="14" spans="1:27" ht="21" x14ac:dyDescent="0.4">
      <c r="A14" s="65"/>
      <c r="B14" s="66"/>
      <c r="C14" s="53"/>
      <c r="D14" s="60"/>
      <c r="E14" s="55"/>
      <c r="F14" s="56"/>
      <c r="G14" s="56"/>
      <c r="H14" s="56"/>
      <c r="I14" s="56"/>
      <c r="J14" s="56"/>
      <c r="K14" s="56"/>
      <c r="L14" s="56"/>
      <c r="M14" s="56"/>
      <c r="N14" s="56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68"/>
      <c r="Z14" s="59"/>
      <c r="AA14" s="59"/>
    </row>
    <row r="15" spans="1:27" x14ac:dyDescent="0.4">
      <c r="A15" s="39"/>
      <c r="C15" s="40"/>
      <c r="D15" s="41"/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4"/>
      <c r="Q15" s="44"/>
      <c r="R15" s="44"/>
      <c r="S15" s="44"/>
      <c r="T15" s="44"/>
    </row>
    <row r="16" spans="1:27" x14ac:dyDescent="0.4">
      <c r="A16" s="39"/>
      <c r="C16" s="40"/>
      <c r="D16" s="41"/>
      <c r="E16" s="42"/>
      <c r="F16" s="43"/>
      <c r="G16" s="43"/>
      <c r="H16" s="43"/>
      <c r="I16" s="43"/>
      <c r="J16" s="43"/>
      <c r="K16" s="43"/>
      <c r="L16" s="43"/>
      <c r="M16" s="43"/>
      <c r="N16" s="43"/>
      <c r="O16" s="44"/>
      <c r="P16" s="44"/>
      <c r="Q16" s="44"/>
      <c r="R16" s="44"/>
      <c r="S16" s="44"/>
      <c r="T16" s="44"/>
    </row>
    <row r="40" ht="21.6" customHeight="1" x14ac:dyDescent="0.4"/>
    <row r="41" ht="21.6" customHeight="1" x14ac:dyDescent="0.4"/>
    <row r="42" ht="21.6" customHeight="1" x14ac:dyDescent="0.4"/>
    <row r="43" ht="21.6" customHeight="1" x14ac:dyDescent="0.4"/>
    <row r="44" ht="21.6" customHeight="1" x14ac:dyDescent="0.4"/>
    <row r="45" ht="21.6" customHeight="1" x14ac:dyDescent="0.4"/>
    <row r="46" ht="21.6" customHeight="1" x14ac:dyDescent="0.4"/>
    <row r="47" ht="21.6" customHeight="1" x14ac:dyDescent="0.4"/>
    <row r="48" ht="21.6" customHeight="1" x14ac:dyDescent="0.4"/>
    <row r="49" ht="21.6" customHeight="1" x14ac:dyDescent="0.4"/>
    <row r="50" ht="21.6" customHeight="1" x14ac:dyDescent="0.4"/>
    <row r="51" ht="21.6" customHeight="1" x14ac:dyDescent="0.4"/>
    <row r="52" ht="21.6" customHeight="1" x14ac:dyDescent="0.4"/>
    <row r="53" ht="21.6" customHeight="1" x14ac:dyDescent="0.4"/>
    <row r="54" ht="21.6" customHeight="1" x14ac:dyDescent="0.4"/>
    <row r="55" ht="21.6" customHeight="1" x14ac:dyDescent="0.4"/>
    <row r="56" ht="21.6" customHeight="1" x14ac:dyDescent="0.4"/>
    <row r="57" ht="21.6" customHeight="1" x14ac:dyDescent="0.4"/>
    <row r="58" ht="21.6" customHeight="1" x14ac:dyDescent="0.4"/>
    <row r="59" ht="21.6" customHeight="1" x14ac:dyDescent="0.4"/>
    <row r="60" ht="21.6" customHeight="1" x14ac:dyDescent="0.4"/>
  </sheetData>
  <mergeCells count="5">
    <mergeCell ref="D1:E1"/>
    <mergeCell ref="F1:K1"/>
    <mergeCell ref="L1:N1"/>
    <mergeCell ref="O1:T1"/>
    <mergeCell ref="U1:Z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820F5-376C-4FA8-881B-8CA4AC80F90B}">
  <dimension ref="A1:Z58"/>
  <sheetViews>
    <sheetView topLeftCell="A31" zoomScale="70" zoomScaleNormal="70" workbookViewId="0">
      <selection activeCell="A49" sqref="A49:G58"/>
    </sheetView>
  </sheetViews>
  <sheetFormatPr defaultRowHeight="17.399999999999999" x14ac:dyDescent="0.4"/>
  <cols>
    <col min="2" max="2" width="37.5" bestFit="1" customWidth="1"/>
    <col min="9" max="9" width="9.5" customWidth="1"/>
    <col min="18" max="18" width="9.796875" customWidth="1"/>
    <col min="24" max="24" width="9.796875" customWidth="1"/>
  </cols>
  <sheetData>
    <row r="1" spans="1:26" x14ac:dyDescent="0.4">
      <c r="A1" s="6"/>
      <c r="B1" s="7"/>
      <c r="C1" s="84" t="s">
        <v>1</v>
      </c>
      <c r="D1" s="84"/>
      <c r="E1" s="85" t="s">
        <v>3</v>
      </c>
      <c r="F1" s="85"/>
      <c r="G1" s="85"/>
      <c r="H1" s="85"/>
      <c r="I1" s="85"/>
      <c r="J1" s="85"/>
      <c r="K1" s="87" t="s">
        <v>96</v>
      </c>
      <c r="L1" s="88"/>
      <c r="M1" s="89"/>
      <c r="N1" s="86" t="s">
        <v>2</v>
      </c>
      <c r="O1" s="86"/>
      <c r="P1" s="86"/>
      <c r="Q1" s="86"/>
      <c r="R1" s="86"/>
      <c r="S1" s="86"/>
      <c r="T1" s="90" t="s">
        <v>120</v>
      </c>
      <c r="U1" s="91"/>
      <c r="V1" s="91"/>
      <c r="W1" s="91"/>
      <c r="X1" s="91"/>
      <c r="Y1" s="91"/>
    </row>
    <row r="2" spans="1:26" ht="52.2" x14ac:dyDescent="0.4">
      <c r="A2" s="13" t="s">
        <v>11</v>
      </c>
      <c r="B2" s="13" t="s">
        <v>10</v>
      </c>
      <c r="C2" s="15" t="s">
        <v>0</v>
      </c>
      <c r="D2" s="16" t="s">
        <v>48</v>
      </c>
      <c r="E2" s="17" t="s">
        <v>9</v>
      </c>
      <c r="F2" s="17" t="s">
        <v>8</v>
      </c>
      <c r="G2" s="17" t="s">
        <v>7</v>
      </c>
      <c r="H2" s="17" t="s">
        <v>4</v>
      </c>
      <c r="I2" s="17" t="s">
        <v>5</v>
      </c>
      <c r="J2" s="17" t="s">
        <v>6</v>
      </c>
      <c r="K2" s="17" t="s">
        <v>100</v>
      </c>
      <c r="L2" s="17" t="s">
        <v>101</v>
      </c>
      <c r="M2" s="17" t="s">
        <v>102</v>
      </c>
      <c r="N2" s="18" t="s">
        <v>97</v>
      </c>
      <c r="O2" s="18" t="s">
        <v>98</v>
      </c>
      <c r="P2" s="18" t="s">
        <v>99</v>
      </c>
      <c r="Q2" s="18" t="s">
        <v>103</v>
      </c>
      <c r="R2" s="18" t="s">
        <v>104</v>
      </c>
      <c r="S2" s="19" t="s">
        <v>105</v>
      </c>
      <c r="T2" s="18" t="s">
        <v>121</v>
      </c>
      <c r="U2" s="18" t="s">
        <v>122</v>
      </c>
      <c r="V2" s="18" t="s">
        <v>123</v>
      </c>
      <c r="W2" s="18" t="s">
        <v>124</v>
      </c>
      <c r="X2" s="18" t="s">
        <v>125</v>
      </c>
      <c r="Y2" s="18" t="s">
        <v>126</v>
      </c>
      <c r="Z2" s="18" t="s">
        <v>127</v>
      </c>
    </row>
    <row r="3" spans="1:26" x14ac:dyDescent="0.4">
      <c r="A3" s="24" t="s">
        <v>83</v>
      </c>
      <c r="B3" s="30" t="s">
        <v>74</v>
      </c>
      <c r="C3" s="26">
        <v>0.23599999999999999</v>
      </c>
      <c r="D3" s="21">
        <v>35</v>
      </c>
      <c r="E3" s="27">
        <f>표2[[#This Row],[Titer (g/L)]]*표2[[#This Row],[Volume
(mL)]]</f>
        <v>18.445</v>
      </c>
      <c r="F3" s="27">
        <f>1.15*6.4</f>
        <v>7.3599999999999994</v>
      </c>
      <c r="G3" s="27">
        <f>F3/표2[[#This Row],[Load amounts
(mg)]]*100</f>
        <v>39.902412577934399</v>
      </c>
      <c r="H3" s="27">
        <v>14.93</v>
      </c>
      <c r="I3" s="27">
        <v>75.39</v>
      </c>
      <c r="J3" s="27">
        <v>9.68</v>
      </c>
      <c r="K3" s="27">
        <f>1.15*6.4</f>
        <v>7.3599999999999994</v>
      </c>
      <c r="L3" s="33">
        <f>6.63*0.6</f>
        <v>3.9779999999999998</v>
      </c>
      <c r="M3" s="27">
        <f>L3/K3*100</f>
        <v>54.048913043478265</v>
      </c>
      <c r="N3" s="33">
        <f>6.63*0.6</f>
        <v>3.9779999999999998</v>
      </c>
      <c r="O3" s="28">
        <f>0.39*2</f>
        <v>0.78</v>
      </c>
      <c r="P3" s="33">
        <f>O3/N3*100</f>
        <v>19.607843137254903</v>
      </c>
      <c r="Q3" s="28">
        <v>0.41</v>
      </c>
      <c r="R3" s="28">
        <v>99.59</v>
      </c>
      <c r="S3" s="28">
        <v>0</v>
      </c>
      <c r="T3" s="28">
        <f>0.39*2</f>
        <v>0.78</v>
      </c>
      <c r="U3" s="33">
        <f>0.4*0.25</f>
        <v>0.1</v>
      </c>
      <c r="V3" s="33">
        <f>U3/T3*100</f>
        <v>12.820512820512823</v>
      </c>
      <c r="W3" s="33">
        <v>0</v>
      </c>
      <c r="X3" s="33">
        <v>100</v>
      </c>
      <c r="Y3" s="33">
        <v>0</v>
      </c>
      <c r="Z3" s="38">
        <f>U3/E3*100</f>
        <v>0.5421523448088913</v>
      </c>
    </row>
    <row r="4" spans="1:26" x14ac:dyDescent="0.4">
      <c r="A4" s="35" t="s">
        <v>72</v>
      </c>
      <c r="B4" s="30" t="s">
        <v>74</v>
      </c>
      <c r="C4" s="26">
        <v>0.24</v>
      </c>
      <c r="D4" s="21">
        <v>35</v>
      </c>
      <c r="E4" s="27">
        <f>표2[[#This Row],[Titer (g/L)]]*표2[[#This Row],[Volume
(mL)]]</f>
        <v>10.92</v>
      </c>
      <c r="F4" s="27">
        <f>1.11*6.4</f>
        <v>7.104000000000001</v>
      </c>
      <c r="G4" s="27">
        <f>F4/표2[[#This Row],[Load amounts
(mg)]]*100</f>
        <v>65.054945054945065</v>
      </c>
      <c r="H4" s="27">
        <f>8.21+5.49+9.9</f>
        <v>23.6</v>
      </c>
      <c r="I4" s="27">
        <v>65.489999999999995</v>
      </c>
      <c r="J4" s="27">
        <v>10.92</v>
      </c>
      <c r="K4" s="27">
        <f>1.11*6.4</f>
        <v>7.104000000000001</v>
      </c>
      <c r="L4" s="33">
        <f>0.75*4.36</f>
        <v>3.2700000000000005</v>
      </c>
      <c r="M4" s="27">
        <f t="shared" ref="M4:M23" si="0">L4/K4*100</f>
        <v>46.030405405405403</v>
      </c>
      <c r="N4" s="33">
        <f>0.75*4.36</f>
        <v>3.2700000000000005</v>
      </c>
      <c r="O4" s="28">
        <f>0.35*2</f>
        <v>0.7</v>
      </c>
      <c r="P4" s="33">
        <f t="shared" ref="P4:P23" si="1">O4/N4*100</f>
        <v>21.40672782874617</v>
      </c>
      <c r="Q4" s="28">
        <v>0.23</v>
      </c>
      <c r="R4" s="28">
        <v>99.77</v>
      </c>
      <c r="S4" s="28">
        <v>0</v>
      </c>
      <c r="T4" s="28">
        <f>0.35*2</f>
        <v>0.7</v>
      </c>
      <c r="U4" s="33">
        <f>2.6*0.25</f>
        <v>0.65</v>
      </c>
      <c r="V4" s="33">
        <f t="shared" ref="V4:V23" si="2">U4/T4*100</f>
        <v>92.857142857142875</v>
      </c>
      <c r="W4" s="33">
        <v>0</v>
      </c>
      <c r="X4" s="33">
        <v>100</v>
      </c>
      <c r="Y4" s="33">
        <v>0</v>
      </c>
      <c r="Z4" s="38">
        <f t="shared" ref="Z4:Z23" si="3">U4/E4*100</f>
        <v>5.9523809523809526</v>
      </c>
    </row>
    <row r="5" spans="1:26" x14ac:dyDescent="0.4">
      <c r="A5" s="24" t="s">
        <v>84</v>
      </c>
      <c r="B5" s="30" t="s">
        <v>75</v>
      </c>
      <c r="C5" s="26">
        <v>0.20699999999999999</v>
      </c>
      <c r="D5" s="21">
        <v>35</v>
      </c>
      <c r="E5" s="27">
        <f>표2[[#This Row],[Titer (g/L)]]*표2[[#This Row],[Volume
(mL)]]</f>
        <v>19.075000000000003</v>
      </c>
      <c r="F5" s="27">
        <f>1.13*6.4</f>
        <v>7.2319999999999993</v>
      </c>
      <c r="G5" s="27">
        <f>F5/표2[[#This Row],[Load amounts
(mg)]]*100</f>
        <v>37.913499344691999</v>
      </c>
      <c r="H5" s="27">
        <v>29.78</v>
      </c>
      <c r="I5" s="27">
        <v>60.02</v>
      </c>
      <c r="J5" s="27">
        <v>10.199999999999999</v>
      </c>
      <c r="K5" s="27">
        <f>1.13*6.4</f>
        <v>7.2319999999999993</v>
      </c>
      <c r="L5" s="33">
        <f>0.6*6.77</f>
        <v>4.0619999999999994</v>
      </c>
      <c r="M5" s="27">
        <f t="shared" si="0"/>
        <v>56.167035398230084</v>
      </c>
      <c r="N5" s="33">
        <f>0.6*6.77</f>
        <v>4.0619999999999994</v>
      </c>
      <c r="O5" s="28">
        <f>0.39*2</f>
        <v>0.78</v>
      </c>
      <c r="P5" s="33">
        <f t="shared" si="1"/>
        <v>19.202363367799116</v>
      </c>
      <c r="Q5" s="28">
        <v>0.36</v>
      </c>
      <c r="R5" s="28">
        <v>99.64</v>
      </c>
      <c r="S5" s="28">
        <v>0</v>
      </c>
      <c r="T5" s="28">
        <f>0.39*2</f>
        <v>0.78</v>
      </c>
      <c r="U5" s="33">
        <f>2.3*0.2</f>
        <v>0.45999999999999996</v>
      </c>
      <c r="V5" s="33">
        <f t="shared" si="2"/>
        <v>58.974358974358964</v>
      </c>
      <c r="W5" s="33">
        <v>0</v>
      </c>
      <c r="X5" s="33">
        <v>100</v>
      </c>
      <c r="Y5" s="33">
        <v>0</v>
      </c>
      <c r="Z5" s="38">
        <f t="shared" si="3"/>
        <v>2.4115334207077321</v>
      </c>
    </row>
    <row r="6" spans="1:26" x14ac:dyDescent="0.4">
      <c r="A6" s="35" t="s">
        <v>73</v>
      </c>
      <c r="B6" s="30" t="s">
        <v>75</v>
      </c>
      <c r="C6" s="26">
        <v>0.20899999999999999</v>
      </c>
      <c r="D6" s="21">
        <v>35</v>
      </c>
      <c r="E6" s="27">
        <f>표2[[#This Row],[Titer (g/L)]]*표2[[#This Row],[Volume
(mL)]]</f>
        <v>16.380000000000003</v>
      </c>
      <c r="F6" s="27">
        <f>1.12*6.4</f>
        <v>7.168000000000001</v>
      </c>
      <c r="G6" s="27">
        <f>F6/표2[[#This Row],[Load amounts
(mg)]]*100</f>
        <v>43.760683760683762</v>
      </c>
      <c r="H6" s="27">
        <f>10.47+5.85+10.49</f>
        <v>26.810000000000002</v>
      </c>
      <c r="I6" s="27">
        <v>62.41</v>
      </c>
      <c r="J6" s="27">
        <v>10.78</v>
      </c>
      <c r="K6" s="27">
        <f>1.12*6.4</f>
        <v>7.168000000000001</v>
      </c>
      <c r="L6" s="33">
        <f>0.6*6.24</f>
        <v>3.7439999999999998</v>
      </c>
      <c r="M6" s="27">
        <f t="shared" si="0"/>
        <v>52.232142857142847</v>
      </c>
      <c r="N6" s="33">
        <f>0.6*6.24</f>
        <v>3.7439999999999998</v>
      </c>
      <c r="O6" s="28">
        <f>0.38*2</f>
        <v>0.76</v>
      </c>
      <c r="P6" s="33">
        <f t="shared" si="1"/>
        <v>20.299145299145302</v>
      </c>
      <c r="Q6" s="28">
        <v>0.28000000000000003</v>
      </c>
      <c r="R6" s="28">
        <v>99.72</v>
      </c>
      <c r="S6" s="28">
        <v>0</v>
      </c>
      <c r="T6" s="28">
        <f>0.38*2</f>
        <v>0.76</v>
      </c>
      <c r="U6" s="33">
        <f>2.7*0.25</f>
        <v>0.67500000000000004</v>
      </c>
      <c r="V6" s="33">
        <f t="shared" si="2"/>
        <v>88.81578947368422</v>
      </c>
      <c r="W6" s="33">
        <v>0</v>
      </c>
      <c r="X6" s="33">
        <v>100</v>
      </c>
      <c r="Y6" s="33">
        <v>0</v>
      </c>
      <c r="Z6" s="38">
        <f t="shared" si="3"/>
        <v>4.1208791208791204</v>
      </c>
    </row>
    <row r="7" spans="1:26" x14ac:dyDescent="0.4">
      <c r="A7" s="24" t="s">
        <v>90</v>
      </c>
      <c r="B7" s="30" t="s">
        <v>76</v>
      </c>
      <c r="C7" s="26">
        <v>0.124</v>
      </c>
      <c r="D7" s="21">
        <v>35</v>
      </c>
      <c r="E7" s="27">
        <f>표2[[#This Row],[Titer (g/L)]]*표2[[#This Row],[Volume
(mL)]]</f>
        <v>11.9</v>
      </c>
      <c r="F7" s="27">
        <f>0.72*6.4</f>
        <v>4.6079999999999997</v>
      </c>
      <c r="G7" s="27">
        <f>F7/표2[[#This Row],[Load amounts
(mg)]]*100</f>
        <v>38.722689075630242</v>
      </c>
      <c r="H7" s="27">
        <f>24.67+10.87</f>
        <v>35.54</v>
      </c>
      <c r="I7" s="27">
        <v>50.88</v>
      </c>
      <c r="J7" s="27">
        <v>13.59</v>
      </c>
      <c r="K7" s="27">
        <f>0.72*6.4</f>
        <v>4.6079999999999997</v>
      </c>
      <c r="L7" s="33">
        <f>0.6*3.95</f>
        <v>2.37</v>
      </c>
      <c r="M7" s="27">
        <f t="shared" si="0"/>
        <v>51.432291666666671</v>
      </c>
      <c r="N7" s="33">
        <f>0.6*3.95</f>
        <v>2.37</v>
      </c>
      <c r="O7" s="28">
        <f>0.18*2</f>
        <v>0.36</v>
      </c>
      <c r="P7" s="33">
        <f t="shared" si="1"/>
        <v>15.189873417721516</v>
      </c>
      <c r="Q7" s="28">
        <v>0</v>
      </c>
      <c r="R7" s="28">
        <v>100</v>
      </c>
      <c r="S7" s="28">
        <v>0</v>
      </c>
      <c r="T7" s="28">
        <f>0.18*2</f>
        <v>0.36</v>
      </c>
      <c r="U7" s="33">
        <f>1.5*0.25</f>
        <v>0.375</v>
      </c>
      <c r="V7" s="33">
        <f t="shared" si="2"/>
        <v>104.16666666666667</v>
      </c>
      <c r="W7" s="33">
        <v>0</v>
      </c>
      <c r="X7" s="33">
        <v>100</v>
      </c>
      <c r="Y7" s="33">
        <v>0</v>
      </c>
      <c r="Z7" s="38">
        <f t="shared" si="3"/>
        <v>3.1512605042016806</v>
      </c>
    </row>
    <row r="8" spans="1:26" x14ac:dyDescent="0.4">
      <c r="A8" s="24" t="s">
        <v>85</v>
      </c>
      <c r="B8" s="30" t="s">
        <v>77</v>
      </c>
      <c r="C8" s="26">
        <v>0.157</v>
      </c>
      <c r="D8" s="21">
        <v>35</v>
      </c>
      <c r="E8" s="27">
        <f>표2[[#This Row],[Titer (g/L)]]*표2[[#This Row],[Volume
(mL)]]</f>
        <v>10.674999999999999</v>
      </c>
      <c r="F8" s="27">
        <f>0.82*6.4</f>
        <v>5.2480000000000002</v>
      </c>
      <c r="G8" s="27">
        <f>F8/표2[[#This Row],[Load amounts
(mg)]]*100</f>
        <v>49.161592505854806</v>
      </c>
      <c r="H8" s="27">
        <v>38.71</v>
      </c>
      <c r="I8" s="27">
        <v>48.4</v>
      </c>
      <c r="J8" s="27">
        <v>12.89</v>
      </c>
      <c r="K8" s="27">
        <f>0.82*6.4</f>
        <v>5.2480000000000002</v>
      </c>
      <c r="L8" s="33">
        <f>0.6*4.51</f>
        <v>2.706</v>
      </c>
      <c r="M8" s="27">
        <f t="shared" si="0"/>
        <v>51.5625</v>
      </c>
      <c r="N8" s="33">
        <f>0.6*4.51</f>
        <v>2.706</v>
      </c>
      <c r="O8" s="28">
        <f>0.21*2</f>
        <v>0.42</v>
      </c>
      <c r="P8" s="33">
        <f t="shared" si="1"/>
        <v>15.521064301552107</v>
      </c>
      <c r="Q8" s="28">
        <v>0</v>
      </c>
      <c r="R8" s="28">
        <v>100</v>
      </c>
      <c r="S8" s="28">
        <v>0</v>
      </c>
      <c r="T8" s="28">
        <f>0.21*2</f>
        <v>0.42</v>
      </c>
      <c r="U8" s="33">
        <f>1.1*0.25</f>
        <v>0.27500000000000002</v>
      </c>
      <c r="V8" s="33">
        <f t="shared" si="2"/>
        <v>65.476190476190482</v>
      </c>
      <c r="W8" s="33">
        <v>0</v>
      </c>
      <c r="X8" s="33">
        <v>100</v>
      </c>
      <c r="Y8" s="33">
        <v>0</v>
      </c>
      <c r="Z8" s="38">
        <f t="shared" si="3"/>
        <v>2.5761124121779866</v>
      </c>
    </row>
    <row r="9" spans="1:26" x14ac:dyDescent="0.4">
      <c r="A9" s="24" t="s">
        <v>91</v>
      </c>
      <c r="B9" s="30" t="s">
        <v>77</v>
      </c>
      <c r="C9" s="26">
        <v>0.191</v>
      </c>
      <c r="D9" s="21">
        <v>35</v>
      </c>
      <c r="E9" s="27">
        <f>표2[[#This Row],[Titer (g/L)]]*표2[[#This Row],[Volume
(mL)]]</f>
        <v>15.015000000000001</v>
      </c>
      <c r="F9" s="27">
        <f>0.89*6.4</f>
        <v>5.6960000000000006</v>
      </c>
      <c r="G9" s="27">
        <f>F9/표2[[#This Row],[Load amounts
(mg)]]*100</f>
        <v>37.935397935397937</v>
      </c>
      <c r="H9" s="27">
        <f>23.08+12.25</f>
        <v>35.33</v>
      </c>
      <c r="I9" s="27">
        <v>53.9</v>
      </c>
      <c r="J9" s="27">
        <f>2.86+7.91</f>
        <v>10.77</v>
      </c>
      <c r="K9" s="27">
        <f>0.89*6.4</f>
        <v>5.6960000000000006</v>
      </c>
      <c r="L9" s="33">
        <f>0.6*5.48</f>
        <v>3.2880000000000003</v>
      </c>
      <c r="M9" s="27">
        <f t="shared" si="0"/>
        <v>57.72471910112359</v>
      </c>
      <c r="N9" s="33">
        <f>0.6*5.48</f>
        <v>3.2880000000000003</v>
      </c>
      <c r="O9" s="28">
        <f>0.28*2</f>
        <v>0.56000000000000005</v>
      </c>
      <c r="P9" s="33">
        <f t="shared" si="1"/>
        <v>17.031630170316305</v>
      </c>
      <c r="Q9" s="28">
        <v>0</v>
      </c>
      <c r="R9" s="28">
        <v>100</v>
      </c>
      <c r="S9" s="28">
        <v>0</v>
      </c>
      <c r="T9" s="28">
        <f>0.28*2</f>
        <v>0.56000000000000005</v>
      </c>
      <c r="U9" s="33">
        <f>1.9*0.25</f>
        <v>0.47499999999999998</v>
      </c>
      <c r="V9" s="33">
        <f t="shared" si="2"/>
        <v>84.821428571428555</v>
      </c>
      <c r="W9" s="33">
        <v>0</v>
      </c>
      <c r="X9" s="33">
        <v>100</v>
      </c>
      <c r="Y9" s="33">
        <v>0</v>
      </c>
      <c r="Z9" s="38">
        <f t="shared" si="3"/>
        <v>3.1635031635031634</v>
      </c>
    </row>
    <row r="10" spans="1:26" x14ac:dyDescent="0.4">
      <c r="A10" s="24" t="s">
        <v>86</v>
      </c>
      <c r="B10" s="30" t="s">
        <v>78</v>
      </c>
      <c r="C10" s="26">
        <v>0.27600000000000002</v>
      </c>
      <c r="D10" s="21">
        <v>35</v>
      </c>
      <c r="E10" s="27">
        <f>표2[[#This Row],[Titer (g/L)]]*표2[[#This Row],[Volume
(mL)]]</f>
        <v>18.445</v>
      </c>
      <c r="F10" s="27">
        <f>1.25*6.4</f>
        <v>8</v>
      </c>
      <c r="G10" s="27">
        <f>F10/표2[[#This Row],[Load amounts
(mg)]]*100</f>
        <v>43.372187584711305</v>
      </c>
      <c r="H10" s="27">
        <f>26.85+11.21</f>
        <v>38.06</v>
      </c>
      <c r="I10" s="27">
        <v>51.79</v>
      </c>
      <c r="J10" s="27">
        <f>2.72+7.43</f>
        <v>10.15</v>
      </c>
      <c r="K10" s="27">
        <f>1.25*6.4</f>
        <v>8</v>
      </c>
      <c r="L10" s="33">
        <f>0.8*6.49</f>
        <v>5.1920000000000002</v>
      </c>
      <c r="M10" s="27">
        <f t="shared" si="0"/>
        <v>64.900000000000006</v>
      </c>
      <c r="N10" s="33">
        <f>0.8*6.49</f>
        <v>5.1920000000000002</v>
      </c>
      <c r="O10" s="28">
        <f>0.53*2</f>
        <v>1.06</v>
      </c>
      <c r="P10" s="33">
        <f t="shared" si="1"/>
        <v>20.416024653312789</v>
      </c>
      <c r="Q10" s="28">
        <v>0.9</v>
      </c>
      <c r="R10" s="28">
        <v>99.1</v>
      </c>
      <c r="S10" s="28">
        <v>0</v>
      </c>
      <c r="T10" s="28">
        <f>0.53*2</f>
        <v>1.06</v>
      </c>
      <c r="U10" s="33">
        <f>4.08*0.25</f>
        <v>1.02</v>
      </c>
      <c r="V10" s="33">
        <f t="shared" si="2"/>
        <v>96.226415094339629</v>
      </c>
      <c r="W10" s="33">
        <v>0</v>
      </c>
      <c r="X10" s="33">
        <v>100</v>
      </c>
      <c r="Y10" s="33">
        <v>0</v>
      </c>
      <c r="Z10" s="38">
        <f t="shared" si="3"/>
        <v>5.5299539170506913</v>
      </c>
    </row>
    <row r="11" spans="1:26" x14ac:dyDescent="0.4">
      <c r="A11" s="24" t="s">
        <v>92</v>
      </c>
      <c r="B11" s="30" t="s">
        <v>78</v>
      </c>
      <c r="C11" s="26">
        <v>0.28699999999999998</v>
      </c>
      <c r="D11" s="21">
        <v>35</v>
      </c>
      <c r="E11" s="27">
        <f>표2[[#This Row],[Titer (g/L)]]*표2[[#This Row],[Volume
(mL)]]</f>
        <v>22.645</v>
      </c>
      <c r="F11" s="27">
        <f>1.21*6.4</f>
        <v>7.7439999999999998</v>
      </c>
      <c r="G11" s="27">
        <f>F11/표2[[#This Row],[Load amounts
(mg)]]*100</f>
        <v>34.19739456833738</v>
      </c>
      <c r="H11" s="27">
        <v>33.5</v>
      </c>
      <c r="I11" s="27">
        <v>58.67</v>
      </c>
      <c r="J11" s="27">
        <v>7.83</v>
      </c>
      <c r="K11" s="27">
        <f>1.21*6.4</f>
        <v>7.7439999999999998</v>
      </c>
      <c r="L11" s="33">
        <f>0.6*9.15</f>
        <v>5.49</v>
      </c>
      <c r="M11" s="27">
        <f t="shared" si="0"/>
        <v>70.893595041322328</v>
      </c>
      <c r="N11" s="33">
        <f>0.6*9.15</f>
        <v>5.49</v>
      </c>
      <c r="O11" s="28">
        <f>0.41*2</f>
        <v>0.82</v>
      </c>
      <c r="P11" s="33">
        <f t="shared" si="1"/>
        <v>14.936247723132967</v>
      </c>
      <c r="Q11" s="28">
        <v>0</v>
      </c>
      <c r="R11" s="28">
        <v>100</v>
      </c>
      <c r="S11" s="28">
        <v>0</v>
      </c>
      <c r="T11" s="28">
        <f>0.41*2</f>
        <v>0.82</v>
      </c>
      <c r="U11" s="33">
        <f>4.67*0.2</f>
        <v>0.93400000000000005</v>
      </c>
      <c r="V11" s="33">
        <f t="shared" si="2"/>
        <v>113.90243902439026</v>
      </c>
      <c r="W11" s="33">
        <v>0</v>
      </c>
      <c r="X11" s="33">
        <v>100</v>
      </c>
      <c r="Y11" s="33">
        <v>0</v>
      </c>
      <c r="Z11" s="38">
        <f t="shared" si="3"/>
        <v>4.124530801501435</v>
      </c>
    </row>
    <row r="12" spans="1:26" x14ac:dyDescent="0.4">
      <c r="A12" s="24" t="s">
        <v>93</v>
      </c>
      <c r="B12" s="30" t="s">
        <v>67</v>
      </c>
      <c r="C12" s="26">
        <v>0.28100000000000003</v>
      </c>
      <c r="D12" s="21">
        <v>35</v>
      </c>
      <c r="E12" s="27">
        <f>표2[[#This Row],[Titer (g/L)]]*표2[[#This Row],[Volume
(mL)]]</f>
        <v>21.07</v>
      </c>
      <c r="F12" s="27">
        <f>1.16*6.4</f>
        <v>7.4239999999999995</v>
      </c>
      <c r="G12" s="27">
        <f>F12/표2[[#This Row],[Load amounts
(mg)]]*100</f>
        <v>35.234931181775032</v>
      </c>
      <c r="H12" s="27">
        <v>33.340000000000003</v>
      </c>
      <c r="I12" s="27">
        <v>55.19</v>
      </c>
      <c r="J12" s="27">
        <v>11.47</v>
      </c>
      <c r="K12" s="27">
        <f>1.16*6.4</f>
        <v>7.4239999999999995</v>
      </c>
      <c r="L12" s="33">
        <f>0.6*8.91</f>
        <v>5.3460000000000001</v>
      </c>
      <c r="M12" s="27">
        <f t="shared" si="0"/>
        <v>72.009698275862078</v>
      </c>
      <c r="N12" s="33">
        <f>0.6*8.91</f>
        <v>5.3460000000000001</v>
      </c>
      <c r="O12" s="28">
        <f>0.48*2</f>
        <v>0.96</v>
      </c>
      <c r="P12" s="33">
        <f t="shared" si="1"/>
        <v>17.957351290684624</v>
      </c>
      <c r="Q12" s="28">
        <v>5.34</v>
      </c>
      <c r="R12" s="28">
        <v>94.66</v>
      </c>
      <c r="S12" s="28">
        <v>0</v>
      </c>
      <c r="T12" s="28">
        <f>0.48*2</f>
        <v>0.96</v>
      </c>
      <c r="U12" s="33">
        <f>2.1*0.45</f>
        <v>0.94500000000000006</v>
      </c>
      <c r="V12" s="33">
        <f t="shared" si="2"/>
        <v>98.437500000000014</v>
      </c>
      <c r="W12" s="33">
        <v>1.0900000000000001</v>
      </c>
      <c r="X12" s="33">
        <v>98.91</v>
      </c>
      <c r="Y12" s="33">
        <v>0</v>
      </c>
      <c r="Z12" s="38">
        <f t="shared" si="3"/>
        <v>4.485049833887043</v>
      </c>
    </row>
    <row r="13" spans="1:26" x14ac:dyDescent="0.4">
      <c r="A13" s="8" t="s">
        <v>62</v>
      </c>
      <c r="B13" s="34" t="s">
        <v>67</v>
      </c>
      <c r="C13" s="31">
        <v>0.20300000000000001</v>
      </c>
      <c r="D13" s="21">
        <v>35</v>
      </c>
      <c r="E13" s="27">
        <f>표2[[#This Row],[Titer (g/L)]]*표2[[#This Row],[Volume
(mL)]]</f>
        <v>23.555</v>
      </c>
      <c r="F13" s="32">
        <v>5.12</v>
      </c>
      <c r="G13" s="27">
        <f>F13/표2[[#This Row],[Load amounts
(mg)]]*100</f>
        <v>21.736361706644026</v>
      </c>
      <c r="H13" s="32">
        <v>28.66</v>
      </c>
      <c r="I13" s="32">
        <v>61.7</v>
      </c>
      <c r="J13" s="32">
        <v>9.6</v>
      </c>
      <c r="K13" s="32">
        <v>5.12</v>
      </c>
      <c r="L13" s="33">
        <f>0.7*3.25</f>
        <v>2.2749999999999999</v>
      </c>
      <c r="M13" s="27">
        <f t="shared" si="0"/>
        <v>44.43359375</v>
      </c>
      <c r="N13" s="33">
        <f>0.7*3.25</f>
        <v>2.2749999999999999</v>
      </c>
      <c r="O13" s="28">
        <f>0.34*2</f>
        <v>0.68</v>
      </c>
      <c r="P13" s="33">
        <f t="shared" si="1"/>
        <v>29.890109890109894</v>
      </c>
      <c r="Q13" s="28">
        <v>5.34</v>
      </c>
      <c r="R13" s="28">
        <v>94.66</v>
      </c>
      <c r="S13" s="28">
        <v>0</v>
      </c>
      <c r="T13" s="28">
        <f>0.34*2</f>
        <v>0.68</v>
      </c>
      <c r="U13" s="33">
        <f>1.69*0.45</f>
        <v>0.76049999999999995</v>
      </c>
      <c r="V13" s="33">
        <f t="shared" si="2"/>
        <v>111.83823529411762</v>
      </c>
      <c r="W13" s="33">
        <v>2.67</v>
      </c>
      <c r="X13" s="33">
        <v>97.33</v>
      </c>
      <c r="Y13" s="33">
        <v>0</v>
      </c>
      <c r="Z13" s="38">
        <f t="shared" si="3"/>
        <v>3.2286138824028865</v>
      </c>
    </row>
    <row r="14" spans="1:26" x14ac:dyDescent="0.4">
      <c r="A14" s="24" t="s">
        <v>87</v>
      </c>
      <c r="B14" s="30" t="s">
        <v>79</v>
      </c>
      <c r="C14" s="26">
        <v>0.308</v>
      </c>
      <c r="D14" s="21">
        <v>35</v>
      </c>
      <c r="E14" s="27">
        <f>표2[[#This Row],[Titer (g/L)]]*표2[[#This Row],[Volume
(mL)]]</f>
        <v>26.32</v>
      </c>
      <c r="F14" s="27">
        <f>1.36*6.4</f>
        <v>8.7040000000000006</v>
      </c>
      <c r="G14" s="27">
        <f>F14/표2[[#This Row],[Load amounts
(mg)]]*100</f>
        <v>33.069908814589667</v>
      </c>
      <c r="H14" s="27">
        <f>24.24+11.03</f>
        <v>35.269999999999996</v>
      </c>
      <c r="I14" s="27">
        <v>57.33</v>
      </c>
      <c r="J14" s="27">
        <v>7.4</v>
      </c>
      <c r="K14" s="27">
        <f>1.36*6.4</f>
        <v>8.7040000000000006</v>
      </c>
      <c r="L14" s="33">
        <f>0.8*7.33</f>
        <v>5.8640000000000008</v>
      </c>
      <c r="M14" s="27">
        <f t="shared" si="0"/>
        <v>67.371323529411768</v>
      </c>
      <c r="N14" s="33">
        <f>0.8*7.33</f>
        <v>5.8640000000000008</v>
      </c>
      <c r="O14" s="28">
        <f>0.48*2</f>
        <v>0.96</v>
      </c>
      <c r="P14" s="33">
        <f t="shared" si="1"/>
        <v>16.371077762619372</v>
      </c>
      <c r="Q14" s="28">
        <v>0</v>
      </c>
      <c r="R14" s="28">
        <v>91.08</v>
      </c>
      <c r="S14" s="28">
        <v>8.92</v>
      </c>
      <c r="T14" s="28">
        <f>0.48*2</f>
        <v>0.96</v>
      </c>
      <c r="U14" s="33">
        <f>4.15*0.25</f>
        <v>1.0375000000000001</v>
      </c>
      <c r="V14" s="33">
        <f t="shared" si="2"/>
        <v>108.07291666666667</v>
      </c>
      <c r="W14" s="33">
        <v>0</v>
      </c>
      <c r="X14" s="33">
        <v>100</v>
      </c>
      <c r="Y14" s="33">
        <v>0</v>
      </c>
      <c r="Z14" s="38">
        <f t="shared" si="3"/>
        <v>3.9418693009118542</v>
      </c>
    </row>
    <row r="15" spans="1:26" x14ac:dyDescent="0.4">
      <c r="A15" s="8" t="s">
        <v>64</v>
      </c>
      <c r="B15" s="34" t="s">
        <v>68</v>
      </c>
      <c r="C15" s="31">
        <v>0.219</v>
      </c>
      <c r="D15" s="21">
        <v>35</v>
      </c>
      <c r="E15" s="27">
        <f>표2[[#This Row],[Titer (g/L)]]*표2[[#This Row],[Volume
(mL)]]</f>
        <v>11.06</v>
      </c>
      <c r="F15" s="32">
        <v>5.63</v>
      </c>
      <c r="G15" s="27">
        <f>F15/표2[[#This Row],[Load amounts
(mg)]]*100</f>
        <v>50.90415913200723</v>
      </c>
      <c r="H15" s="32">
        <v>30.93</v>
      </c>
      <c r="I15" s="32">
        <v>58.7</v>
      </c>
      <c r="J15" s="32">
        <v>10.35</v>
      </c>
      <c r="K15" s="32">
        <v>5.63</v>
      </c>
      <c r="L15" s="33">
        <f>0.8*4.13</f>
        <v>3.3040000000000003</v>
      </c>
      <c r="M15" s="27">
        <f t="shared" si="0"/>
        <v>58.685612788632334</v>
      </c>
      <c r="N15" s="33">
        <f>0.8*4.13</f>
        <v>3.3040000000000003</v>
      </c>
      <c r="O15" s="28">
        <f>0.62*2</f>
        <v>1.24</v>
      </c>
      <c r="P15" s="33">
        <f t="shared" si="1"/>
        <v>37.530266343825666</v>
      </c>
      <c r="Q15" s="28">
        <v>10.210000000000001</v>
      </c>
      <c r="R15" s="28">
        <v>89.79</v>
      </c>
      <c r="S15" s="28">
        <v>0</v>
      </c>
      <c r="T15" s="28">
        <f>0.62*2</f>
        <v>1.24</v>
      </c>
      <c r="U15" s="33">
        <f>3.17*0.25</f>
        <v>0.79249999999999998</v>
      </c>
      <c r="V15" s="33">
        <f t="shared" si="2"/>
        <v>63.911290322580648</v>
      </c>
      <c r="W15" s="33">
        <v>10.69</v>
      </c>
      <c r="X15" s="33">
        <v>89.31</v>
      </c>
      <c r="Y15" s="33">
        <v>0</v>
      </c>
      <c r="Z15" s="38">
        <f t="shared" si="3"/>
        <v>7.1654611211573238</v>
      </c>
    </row>
    <row r="16" spans="1:26" x14ac:dyDescent="0.4">
      <c r="A16" s="29" t="s">
        <v>63</v>
      </c>
      <c r="B16" s="25" t="s">
        <v>69</v>
      </c>
      <c r="C16" s="26">
        <v>0.20599999999999999</v>
      </c>
      <c r="D16" s="21">
        <v>35</v>
      </c>
      <c r="E16" s="27">
        <f>표2[[#This Row],[Titer (g/L)]]*표2[[#This Row],[Volume
(mL)]]</f>
        <v>26.67</v>
      </c>
      <c r="F16" s="32">
        <v>5.31</v>
      </c>
      <c r="G16" s="27">
        <f>F16/표2[[#This Row],[Load amounts
(mg)]]*100</f>
        <v>19.910011248593921</v>
      </c>
      <c r="H16" s="32">
        <v>32.869999999999997</v>
      </c>
      <c r="I16" s="32">
        <v>67.099999999999994</v>
      </c>
      <c r="J16" s="32">
        <v>0</v>
      </c>
      <c r="K16" s="32">
        <v>5.31</v>
      </c>
      <c r="L16" s="33">
        <f>0.9*3.17</f>
        <v>2.8530000000000002</v>
      </c>
      <c r="M16" s="27">
        <f t="shared" si="0"/>
        <v>53.728813559322042</v>
      </c>
      <c r="N16" s="33">
        <f>0.9*3.17</f>
        <v>2.8530000000000002</v>
      </c>
      <c r="O16" s="28">
        <f>0.29*2</f>
        <v>0.57999999999999996</v>
      </c>
      <c r="P16" s="33">
        <f t="shared" si="1"/>
        <v>20.329477742726951</v>
      </c>
      <c r="Q16" s="28">
        <v>0</v>
      </c>
      <c r="R16" s="28">
        <v>100</v>
      </c>
      <c r="S16" s="28">
        <v>0</v>
      </c>
      <c r="T16" s="28">
        <f>0.29*2</f>
        <v>0.57999999999999996</v>
      </c>
      <c r="U16" s="33">
        <f>1.63*0.25</f>
        <v>0.40749999999999997</v>
      </c>
      <c r="V16" s="33">
        <f t="shared" si="2"/>
        <v>70.258620689655174</v>
      </c>
      <c r="W16" s="33">
        <v>0</v>
      </c>
      <c r="X16" s="33">
        <v>100</v>
      </c>
      <c r="Y16" s="33">
        <v>0</v>
      </c>
      <c r="Z16" s="38">
        <f t="shared" si="3"/>
        <v>1.5279340082489687</v>
      </c>
    </row>
    <row r="17" spans="1:26" x14ac:dyDescent="0.4">
      <c r="A17" s="29" t="s">
        <v>65</v>
      </c>
      <c r="B17" s="25" t="s">
        <v>70</v>
      </c>
      <c r="C17" s="26">
        <v>0.24099999999999999</v>
      </c>
      <c r="D17" s="21">
        <v>35</v>
      </c>
      <c r="E17" s="27">
        <f>표2[[#This Row],[Titer (g/L)]]*표2[[#This Row],[Volume
(mL)]]</f>
        <v>16.73</v>
      </c>
      <c r="F17" s="22">
        <v>5.44</v>
      </c>
      <c r="G17" s="27">
        <f>F17/표2[[#This Row],[Load amounts
(mg)]]*100</f>
        <v>32.516437537358037</v>
      </c>
      <c r="H17" s="22">
        <v>36.590000000000003</v>
      </c>
      <c r="I17" s="22">
        <v>63.4</v>
      </c>
      <c r="J17" s="22">
        <v>0</v>
      </c>
      <c r="K17" s="22">
        <v>5.44</v>
      </c>
      <c r="L17" s="23">
        <f>0.6*6.56</f>
        <v>3.9359999999999995</v>
      </c>
      <c r="M17" s="27">
        <f t="shared" si="0"/>
        <v>72.35294117647058</v>
      </c>
      <c r="N17" s="23">
        <f>0.6*6.56</f>
        <v>3.9359999999999995</v>
      </c>
      <c r="O17" s="28">
        <f>0.46*2</f>
        <v>0.92</v>
      </c>
      <c r="P17" s="33">
        <f t="shared" si="1"/>
        <v>23.373983739837403</v>
      </c>
      <c r="Q17" s="28">
        <v>0</v>
      </c>
      <c r="R17" s="28">
        <v>100</v>
      </c>
      <c r="S17" s="28">
        <v>0</v>
      </c>
      <c r="T17" s="28">
        <f>0.46*2</f>
        <v>0.92</v>
      </c>
      <c r="U17" s="23">
        <f>0.68*0.5</f>
        <v>0.34</v>
      </c>
      <c r="V17" s="33">
        <f t="shared" si="2"/>
        <v>36.956521739130437</v>
      </c>
      <c r="W17" s="23">
        <v>45.24</v>
      </c>
      <c r="X17" s="23">
        <v>54.76</v>
      </c>
      <c r="Y17" s="23">
        <v>0</v>
      </c>
      <c r="Z17" s="38">
        <f t="shared" si="3"/>
        <v>2.0322773460848773</v>
      </c>
    </row>
    <row r="18" spans="1:26" x14ac:dyDescent="0.4">
      <c r="A18" s="24" t="s">
        <v>88</v>
      </c>
      <c r="B18" s="30" t="s">
        <v>80</v>
      </c>
      <c r="C18" s="26">
        <v>0.23</v>
      </c>
      <c r="D18" s="21">
        <v>35</v>
      </c>
      <c r="E18" s="27">
        <f>표2[[#This Row],[Titer (g/L)]]*표2[[#This Row],[Volume
(mL)]]</f>
        <v>22.645</v>
      </c>
      <c r="F18" s="27">
        <f>1.11*6.4</f>
        <v>7.104000000000001</v>
      </c>
      <c r="G18" s="27">
        <f>F18/표2[[#This Row],[Load amounts
(mg)]]*100</f>
        <v>31.371163612276447</v>
      </c>
      <c r="H18" s="27">
        <v>35.78</v>
      </c>
      <c r="I18" s="27">
        <v>53.29</v>
      </c>
      <c r="J18" s="27">
        <v>10.93</v>
      </c>
      <c r="K18" s="27">
        <f>1.11*6.4</f>
        <v>7.104000000000001</v>
      </c>
      <c r="L18" s="33">
        <f>0.6*4.49</f>
        <v>2.694</v>
      </c>
      <c r="M18" s="27">
        <f t="shared" si="0"/>
        <v>37.922297297297291</v>
      </c>
      <c r="N18" s="33">
        <f>0.6*4.49</f>
        <v>2.694</v>
      </c>
      <c r="O18" s="28">
        <f>0.08*2</f>
        <v>0.16</v>
      </c>
      <c r="P18" s="33">
        <f t="shared" si="1"/>
        <v>5.9391239792130666</v>
      </c>
      <c r="Q18" s="28">
        <v>0</v>
      </c>
      <c r="R18" s="28">
        <v>100</v>
      </c>
      <c r="S18" s="28">
        <v>0</v>
      </c>
      <c r="T18" s="28">
        <f>0.08*2</f>
        <v>0.16</v>
      </c>
      <c r="U18" s="33">
        <f>3.06*0.3</f>
        <v>0.91799999999999993</v>
      </c>
      <c r="V18" s="33">
        <f t="shared" si="2"/>
        <v>573.75</v>
      </c>
      <c r="W18" s="33">
        <v>0</v>
      </c>
      <c r="X18" s="33">
        <v>100</v>
      </c>
      <c r="Y18" s="33">
        <v>0</v>
      </c>
      <c r="Z18" s="38">
        <f t="shared" si="3"/>
        <v>4.0538750275999114</v>
      </c>
    </row>
    <row r="19" spans="1:26" x14ac:dyDescent="0.4">
      <c r="A19" s="24" t="s">
        <v>89</v>
      </c>
      <c r="B19" s="30" t="s">
        <v>81</v>
      </c>
      <c r="C19" s="26">
        <v>0.316</v>
      </c>
      <c r="D19" s="21">
        <v>35</v>
      </c>
      <c r="E19" s="27">
        <f>표2[[#This Row],[Titer (g/L)]]*표2[[#This Row],[Volume
(mL)]]</f>
        <v>22.645</v>
      </c>
      <c r="F19" s="27">
        <f>1.45*6.4</f>
        <v>9.2799999999999994</v>
      </c>
      <c r="G19" s="27">
        <f>F19/표2[[#This Row],[Load amounts
(mg)]]*100</f>
        <v>40.980348862883638</v>
      </c>
      <c r="H19" s="27">
        <v>46.59</v>
      </c>
      <c r="I19" s="27">
        <v>53.41</v>
      </c>
      <c r="J19" s="27">
        <v>0</v>
      </c>
      <c r="K19" s="27">
        <f>1.45*6.4</f>
        <v>9.2799999999999994</v>
      </c>
      <c r="L19" s="33">
        <f>0.6*9.55</f>
        <v>5.73</v>
      </c>
      <c r="M19" s="27">
        <f t="shared" si="0"/>
        <v>61.74568965517242</v>
      </c>
      <c r="N19" s="33">
        <f>0.6*9.55</f>
        <v>5.73</v>
      </c>
      <c r="O19" s="28">
        <f>0.92*2</f>
        <v>1.84</v>
      </c>
      <c r="P19" s="33">
        <f t="shared" si="1"/>
        <v>32.111692844677137</v>
      </c>
      <c r="Q19" s="28">
        <v>0</v>
      </c>
      <c r="R19" s="28">
        <v>100</v>
      </c>
      <c r="S19" s="28">
        <v>0</v>
      </c>
      <c r="T19" s="28">
        <f>0.92*2</f>
        <v>1.84</v>
      </c>
      <c r="U19" s="33">
        <f>5.11*0.3</f>
        <v>1.5330000000000001</v>
      </c>
      <c r="V19" s="33">
        <f t="shared" si="2"/>
        <v>83.315217391304358</v>
      </c>
      <c r="W19" s="33">
        <v>0</v>
      </c>
      <c r="X19" s="33">
        <v>100</v>
      </c>
      <c r="Y19" s="33">
        <v>0</v>
      </c>
      <c r="Z19" s="38">
        <f t="shared" si="3"/>
        <v>6.7697063369397226</v>
      </c>
    </row>
    <row r="20" spans="1:26" x14ac:dyDescent="0.4">
      <c r="A20" s="29" t="s">
        <v>66</v>
      </c>
      <c r="B20" s="25" t="s">
        <v>71</v>
      </c>
      <c r="C20" s="26">
        <v>0.24299999999999999</v>
      </c>
      <c r="D20" s="21">
        <v>35</v>
      </c>
      <c r="E20" s="27">
        <f>표2[[#This Row],[Titer (g/L)]]*표2[[#This Row],[Volume
(mL)]]</f>
        <v>26.740000000000002</v>
      </c>
      <c r="F20" s="22">
        <v>5.12</v>
      </c>
      <c r="G20" s="27">
        <f>F20/표2[[#This Row],[Load amounts
(mg)]]*100</f>
        <v>19.147344801795064</v>
      </c>
      <c r="H20" s="22">
        <v>11.09</v>
      </c>
      <c r="I20" s="22">
        <v>88.9</v>
      </c>
      <c r="J20" s="22">
        <v>0</v>
      </c>
      <c r="K20" s="22">
        <v>5.12</v>
      </c>
      <c r="L20" s="23">
        <f>0.8*2.66</f>
        <v>2.1280000000000001</v>
      </c>
      <c r="M20" s="27">
        <f t="shared" si="0"/>
        <v>41.5625</v>
      </c>
      <c r="N20" s="23">
        <f>0.8*2.66</f>
        <v>2.1280000000000001</v>
      </c>
      <c r="O20" s="28">
        <f>0.36*2</f>
        <v>0.72</v>
      </c>
      <c r="P20" s="33">
        <f t="shared" si="1"/>
        <v>33.834586466165412</v>
      </c>
      <c r="Q20" s="28">
        <v>0</v>
      </c>
      <c r="R20" s="28">
        <v>100</v>
      </c>
      <c r="S20" s="28">
        <v>0</v>
      </c>
      <c r="T20" s="28">
        <f>0.36*2</f>
        <v>0.72</v>
      </c>
      <c r="U20" s="23">
        <f>0.23*0.25</f>
        <v>5.7500000000000002E-2</v>
      </c>
      <c r="V20" s="33">
        <f t="shared" si="2"/>
        <v>7.9861111111111116</v>
      </c>
      <c r="W20" s="33">
        <v>0</v>
      </c>
      <c r="X20" s="33">
        <v>100</v>
      </c>
      <c r="Y20" s="33">
        <v>0</v>
      </c>
      <c r="Z20" s="38">
        <f t="shared" si="3"/>
        <v>0.2150336574420344</v>
      </c>
    </row>
    <row r="21" spans="1:26" x14ac:dyDescent="0.4">
      <c r="A21" s="24" t="s">
        <v>94</v>
      </c>
      <c r="B21" s="30" t="s">
        <v>71</v>
      </c>
      <c r="C21" s="26">
        <v>0.214</v>
      </c>
      <c r="D21" s="21">
        <v>35</v>
      </c>
      <c r="E21" s="27">
        <f>표2[[#This Row],[Titer (g/L)]]*표2[[#This Row],[Volume
(mL)]]</f>
        <v>26.740000000000002</v>
      </c>
      <c r="F21" s="27">
        <f>0.8*6.4</f>
        <v>5.120000000000001</v>
      </c>
      <c r="G21" s="27">
        <f>F21/표2[[#This Row],[Load amounts
(mg)]]*100</f>
        <v>19.147344801795064</v>
      </c>
      <c r="H21" s="27">
        <v>45.05</v>
      </c>
      <c r="I21" s="27">
        <v>54.94</v>
      </c>
      <c r="J21" s="27">
        <v>0.01</v>
      </c>
      <c r="K21" s="27">
        <f>0.8*6.4</f>
        <v>5.120000000000001</v>
      </c>
      <c r="L21" s="33">
        <f>0.6*7.73</f>
        <v>4.6379999999999999</v>
      </c>
      <c r="M21" s="27">
        <f t="shared" si="0"/>
        <v>90.585937499999986</v>
      </c>
      <c r="N21" s="33">
        <f>0.6*7.73</f>
        <v>4.6379999999999999</v>
      </c>
      <c r="O21" s="28">
        <f>0.3*2</f>
        <v>0.6</v>
      </c>
      <c r="P21" s="33">
        <f t="shared" si="1"/>
        <v>12.936610608020699</v>
      </c>
      <c r="Q21" s="28">
        <v>5.48</v>
      </c>
      <c r="R21" s="28">
        <v>94.52</v>
      </c>
      <c r="S21" s="28">
        <v>0</v>
      </c>
      <c r="T21" s="28">
        <f>0.3*2</f>
        <v>0.6</v>
      </c>
      <c r="U21" s="33">
        <f>3.36*0.15</f>
        <v>0.504</v>
      </c>
      <c r="V21" s="33">
        <f t="shared" si="2"/>
        <v>84.000000000000014</v>
      </c>
      <c r="W21" s="33">
        <v>7.75</v>
      </c>
      <c r="X21" s="33">
        <v>92.25</v>
      </c>
      <c r="Y21" s="33">
        <v>0</v>
      </c>
      <c r="Z21" s="38">
        <f t="shared" si="3"/>
        <v>1.8848167539267016</v>
      </c>
    </row>
    <row r="22" spans="1:26" x14ac:dyDescent="0.4">
      <c r="A22" s="24" t="s">
        <v>95</v>
      </c>
      <c r="B22" s="30" t="s">
        <v>82</v>
      </c>
      <c r="C22" s="26">
        <v>0.156</v>
      </c>
      <c r="D22" s="21">
        <v>35</v>
      </c>
      <c r="E22" s="27">
        <f>표2[[#This Row],[Titer (g/L)]]*표2[[#This Row],[Volume
(mL)]]</f>
        <v>22.12</v>
      </c>
      <c r="F22" s="27">
        <f>1.05*6.4</f>
        <v>6.7200000000000006</v>
      </c>
      <c r="G22" s="27">
        <f>F22/표2[[#This Row],[Load amounts
(mg)]]*100</f>
        <v>30.37974683544304</v>
      </c>
      <c r="H22" s="27">
        <v>53.77</v>
      </c>
      <c r="I22" s="27">
        <v>46.23</v>
      </c>
      <c r="J22" s="27">
        <v>0</v>
      </c>
      <c r="K22" s="27">
        <f>1.05*6.4</f>
        <v>6.7200000000000006</v>
      </c>
      <c r="L22" s="33">
        <f>0.95*3.56</f>
        <v>3.3819999999999997</v>
      </c>
      <c r="M22" s="27">
        <f t="shared" si="0"/>
        <v>50.327380952380942</v>
      </c>
      <c r="N22" s="33">
        <f>0.95*3.56</f>
        <v>3.3819999999999997</v>
      </c>
      <c r="O22" s="28">
        <f>0.34*2</f>
        <v>0.68</v>
      </c>
      <c r="P22" s="33">
        <f t="shared" si="1"/>
        <v>20.106445890005915</v>
      </c>
      <c r="Q22" s="28">
        <v>2.59</v>
      </c>
      <c r="R22" s="28">
        <v>97.41</v>
      </c>
      <c r="S22" s="28">
        <v>0</v>
      </c>
      <c r="T22" s="28">
        <f>0.34*2</f>
        <v>0.68</v>
      </c>
      <c r="U22" s="33">
        <f>0.91*0.45</f>
        <v>0.40950000000000003</v>
      </c>
      <c r="V22" s="33">
        <f t="shared" si="2"/>
        <v>60.220588235294116</v>
      </c>
      <c r="W22" s="33">
        <v>0</v>
      </c>
      <c r="X22" s="33">
        <v>100</v>
      </c>
      <c r="Y22" s="33">
        <v>0</v>
      </c>
      <c r="Z22" s="38">
        <f t="shared" si="3"/>
        <v>1.8512658227848102</v>
      </c>
    </row>
    <row r="23" spans="1:26" x14ac:dyDescent="0.4">
      <c r="A23" s="8" t="s">
        <v>12</v>
      </c>
      <c r="B23" s="34" t="s">
        <v>16</v>
      </c>
      <c r="C23" s="31">
        <v>0.35</v>
      </c>
      <c r="D23" s="21">
        <v>35</v>
      </c>
      <c r="E23" s="27">
        <f>표2[[#This Row],[Titer (g/L)]]*표2[[#This Row],[Volume
(mL)]]</f>
        <v>11.095000000000001</v>
      </c>
      <c r="F23" s="32">
        <v>7.23</v>
      </c>
      <c r="G23" s="27">
        <f>F23/표2[[#This Row],[Load amounts
(mg)]]*100</f>
        <v>65.164488508337087</v>
      </c>
      <c r="H23" s="32">
        <v>25.92</v>
      </c>
      <c r="I23" s="32">
        <v>71.3</v>
      </c>
      <c r="J23" s="32">
        <v>2.78</v>
      </c>
      <c r="K23" s="32">
        <v>7.23</v>
      </c>
      <c r="L23" s="33">
        <f>4.32*1</f>
        <v>4.32</v>
      </c>
      <c r="M23" s="27">
        <f t="shared" si="0"/>
        <v>59.751037344398341</v>
      </c>
      <c r="N23" s="33">
        <f>4.32*1</f>
        <v>4.32</v>
      </c>
      <c r="O23" s="28">
        <f>0.57*2</f>
        <v>1.1399999999999999</v>
      </c>
      <c r="P23" s="33">
        <f t="shared" si="1"/>
        <v>26.388888888888886</v>
      </c>
      <c r="Q23" s="28">
        <v>1.6</v>
      </c>
      <c r="R23" s="28">
        <v>98.4</v>
      </c>
      <c r="S23" s="28">
        <v>0</v>
      </c>
      <c r="T23" s="28">
        <f>0.57*2</f>
        <v>1.1399999999999999</v>
      </c>
      <c r="U23" s="33">
        <f>4.1*0.25</f>
        <v>1.0249999999999999</v>
      </c>
      <c r="V23" s="33">
        <f t="shared" si="2"/>
        <v>89.912280701754383</v>
      </c>
      <c r="W23" s="33">
        <v>0.06</v>
      </c>
      <c r="X23" s="33">
        <v>99.94</v>
      </c>
      <c r="Y23" s="33">
        <v>0</v>
      </c>
      <c r="Z23" s="38">
        <f t="shared" si="3"/>
        <v>9.2383956737269024</v>
      </c>
    </row>
    <row r="25" spans="1:26" s="76" customFormat="1" ht="15.6" x14ac:dyDescent="0.4">
      <c r="A25" s="74">
        <v>210910</v>
      </c>
      <c r="B25" s="75"/>
      <c r="C25" s="92" t="s">
        <v>1</v>
      </c>
      <c r="D25" s="92"/>
      <c r="E25" s="93" t="s">
        <v>3</v>
      </c>
      <c r="F25" s="93"/>
      <c r="G25" s="93"/>
      <c r="H25" s="93"/>
      <c r="I25" s="93"/>
      <c r="J25" s="93"/>
      <c r="K25" s="94" t="s">
        <v>96</v>
      </c>
      <c r="L25" s="95"/>
      <c r="M25" s="96"/>
      <c r="N25" s="97" t="s">
        <v>2</v>
      </c>
      <c r="O25" s="97"/>
      <c r="P25" s="97"/>
      <c r="Q25" s="97"/>
      <c r="R25" s="97"/>
      <c r="S25" s="97"/>
      <c r="T25" s="98" t="s">
        <v>120</v>
      </c>
      <c r="U25" s="99"/>
      <c r="V25" s="99"/>
      <c r="W25" s="99"/>
      <c r="X25" s="99"/>
      <c r="Y25" s="99"/>
    </row>
    <row r="26" spans="1:26" s="76" customFormat="1" ht="46.8" x14ac:dyDescent="0.4">
      <c r="A26" s="77" t="s">
        <v>11</v>
      </c>
      <c r="B26" s="77" t="s">
        <v>10</v>
      </c>
      <c r="C26" s="78" t="s">
        <v>0</v>
      </c>
      <c r="D26" s="79" t="s">
        <v>48</v>
      </c>
      <c r="E26" s="80" t="s">
        <v>9</v>
      </c>
      <c r="F26" s="80" t="s">
        <v>8</v>
      </c>
      <c r="G26" s="80" t="s">
        <v>7</v>
      </c>
      <c r="H26" s="80" t="s">
        <v>4</v>
      </c>
      <c r="I26" s="80" t="s">
        <v>5</v>
      </c>
      <c r="J26" s="80" t="s">
        <v>6</v>
      </c>
      <c r="K26" s="80" t="s">
        <v>100</v>
      </c>
      <c r="L26" s="80" t="s">
        <v>101</v>
      </c>
      <c r="M26" s="80" t="s">
        <v>102</v>
      </c>
      <c r="N26" s="81" t="s">
        <v>97</v>
      </c>
      <c r="O26" s="81" t="s">
        <v>98</v>
      </c>
      <c r="P26" s="81" t="s">
        <v>99</v>
      </c>
      <c r="Q26" s="81" t="s">
        <v>103</v>
      </c>
      <c r="R26" s="81" t="s">
        <v>104</v>
      </c>
      <c r="S26" s="82" t="s">
        <v>105</v>
      </c>
      <c r="T26" s="81" t="s">
        <v>121</v>
      </c>
      <c r="U26" s="81" t="s">
        <v>122</v>
      </c>
      <c r="V26" s="81" t="s">
        <v>123</v>
      </c>
      <c r="W26" s="81" t="s">
        <v>124</v>
      </c>
      <c r="X26" s="81" t="s">
        <v>125</v>
      </c>
      <c r="Y26" s="81" t="s">
        <v>126</v>
      </c>
      <c r="Z26" s="81" t="s">
        <v>127</v>
      </c>
    </row>
    <row r="27" spans="1:26" s="76" customFormat="1" ht="15.6" x14ac:dyDescent="0.4">
      <c r="A27" s="50" t="s">
        <v>128</v>
      </c>
      <c r="B27" s="30" t="s">
        <v>129</v>
      </c>
      <c r="C27" s="49">
        <v>0.501</v>
      </c>
      <c r="D27" s="45">
        <v>32</v>
      </c>
      <c r="E27" s="46">
        <f>표2[[#This Row],[Volume
(mL)]]*표2[[#This Row],[Titer (g/L)]]</f>
        <v>15.925000000000001</v>
      </c>
      <c r="F27" s="46">
        <f>1.9*6</f>
        <v>11.399999999999999</v>
      </c>
      <c r="G27" s="46">
        <f>표2[[#This Row],[Eluate amounts
(mg)]]/표2[[#This Row],[Load amounts
(mg)]]*100</f>
        <v>51.039246467817904</v>
      </c>
      <c r="H27" s="46">
        <v>26.5</v>
      </c>
      <c r="I27" s="46">
        <v>71.239999999999995</v>
      </c>
      <c r="J27" s="46">
        <v>2.2599999999999998</v>
      </c>
      <c r="K27" s="46">
        <f>1.9*6</f>
        <v>11.399999999999999</v>
      </c>
      <c r="L27" s="47"/>
      <c r="M27" s="46"/>
      <c r="N27" s="47"/>
      <c r="O27" s="48"/>
      <c r="P27" s="47"/>
      <c r="Q27" s="48"/>
      <c r="R27" s="48"/>
      <c r="S27" s="48"/>
      <c r="T27" s="48"/>
      <c r="U27" s="47"/>
      <c r="V27" s="47"/>
      <c r="W27" s="47"/>
      <c r="X27" s="47"/>
      <c r="Y27" s="47"/>
      <c r="Z27" s="83"/>
    </row>
    <row r="28" spans="1:26" s="76" customFormat="1" ht="15.6" x14ac:dyDescent="0.4">
      <c r="A28" s="50" t="s">
        <v>130</v>
      </c>
      <c r="B28" s="72" t="s">
        <v>148</v>
      </c>
      <c r="C28" s="49">
        <v>0.221</v>
      </c>
      <c r="D28" s="45">
        <v>34</v>
      </c>
      <c r="E28" s="46">
        <f>표2[[#This Row],[Volume
(mL)]]*표2[[#This Row],[Titer (g/L)]]</f>
        <v>15.925000000000001</v>
      </c>
      <c r="F28" s="46">
        <f>1.51*6</f>
        <v>9.06</v>
      </c>
      <c r="G28" s="46">
        <f>표2[[#This Row],[Eluate amounts
(mg)]]/표2[[#This Row],[Load amounts
(mg)]]*100</f>
        <v>51.039246467817904</v>
      </c>
      <c r="H28" s="46">
        <v>25.19</v>
      </c>
      <c r="I28" s="46">
        <v>70.040000000000006</v>
      </c>
      <c r="J28" s="46">
        <v>4.7699999999999996</v>
      </c>
      <c r="K28" s="46">
        <f>1.51*6</f>
        <v>9.06</v>
      </c>
      <c r="L28" s="47"/>
      <c r="M28" s="46"/>
      <c r="N28" s="47"/>
      <c r="O28" s="48"/>
      <c r="P28" s="47"/>
      <c r="Q28" s="48"/>
      <c r="R28" s="48"/>
      <c r="S28" s="48"/>
      <c r="T28" s="48"/>
      <c r="U28" s="47"/>
      <c r="V28" s="47"/>
      <c r="W28" s="47"/>
      <c r="X28" s="47"/>
      <c r="Y28" s="47"/>
      <c r="Z28" s="83"/>
    </row>
    <row r="29" spans="1:26" s="76" customFormat="1" ht="15.6" x14ac:dyDescent="0.4">
      <c r="A29" s="50" t="s">
        <v>131</v>
      </c>
      <c r="B29" s="72" t="s">
        <v>149</v>
      </c>
      <c r="C29" s="49">
        <v>0.28299999999999997</v>
      </c>
      <c r="D29" s="45">
        <v>33</v>
      </c>
      <c r="E29" s="46">
        <f>표2[[#This Row],[Volume
(mL)]]*표2[[#This Row],[Titer (g/L)]]</f>
        <v>21.14</v>
      </c>
      <c r="F29" s="46">
        <f>1.52*6</f>
        <v>9.120000000000001</v>
      </c>
      <c r="G29" s="46">
        <f>표2[[#This Row],[Eluate amounts
(mg)]]/표2[[#This Row],[Load amounts
(mg)]]*100</f>
        <v>59.541154210028381</v>
      </c>
      <c r="H29" s="46">
        <v>25.47</v>
      </c>
      <c r="I29" s="46">
        <v>70.5</v>
      </c>
      <c r="J29" s="46">
        <v>4.03</v>
      </c>
      <c r="K29" s="46">
        <f>1.52*6</f>
        <v>9.120000000000001</v>
      </c>
      <c r="L29" s="47"/>
      <c r="M29" s="46"/>
      <c r="N29" s="47"/>
      <c r="O29" s="48"/>
      <c r="P29" s="47"/>
      <c r="Q29" s="48"/>
      <c r="R29" s="48"/>
      <c r="S29" s="48"/>
      <c r="T29" s="48"/>
      <c r="U29" s="47"/>
      <c r="V29" s="47"/>
      <c r="W29" s="47"/>
      <c r="X29" s="47"/>
      <c r="Y29" s="47"/>
      <c r="Z29" s="83"/>
    </row>
    <row r="30" spans="1:26" s="76" customFormat="1" ht="15.6" x14ac:dyDescent="0.4">
      <c r="A30" s="50" t="s">
        <v>132</v>
      </c>
      <c r="B30" s="72" t="s">
        <v>150</v>
      </c>
      <c r="C30" s="49">
        <v>9.5000000000000001E-2</v>
      </c>
      <c r="D30" s="45">
        <v>32</v>
      </c>
      <c r="E30" s="46">
        <f>표2[[#This Row],[Volume
(mL)]]*표2[[#This Row],[Titer (g/L)]]</f>
        <v>9.9049999999999994</v>
      </c>
      <c r="F30" s="46">
        <f>0.67*6</f>
        <v>4.0200000000000005</v>
      </c>
      <c r="G30" s="46">
        <f>표2[[#This Row],[Eluate amounts
(mg)]]/표2[[#This Row],[Load amounts
(mg)]]*100</f>
        <v>61.8879353861686</v>
      </c>
      <c r="H30" s="46">
        <v>33.340000000000003</v>
      </c>
      <c r="I30" s="46">
        <v>60.61</v>
      </c>
      <c r="J30" s="46">
        <v>6.05</v>
      </c>
      <c r="K30" s="46">
        <f>0.67*6</f>
        <v>4.0200000000000005</v>
      </c>
      <c r="L30" s="47"/>
      <c r="M30" s="46"/>
      <c r="N30" s="47"/>
      <c r="O30" s="48"/>
      <c r="P30" s="47"/>
      <c r="Q30" s="48"/>
      <c r="R30" s="48"/>
      <c r="S30" s="48"/>
      <c r="T30" s="48"/>
      <c r="U30" s="47"/>
      <c r="V30" s="47"/>
      <c r="W30" s="47"/>
      <c r="X30" s="47"/>
      <c r="Y30" s="47"/>
      <c r="Z30" s="83"/>
    </row>
    <row r="31" spans="1:26" s="76" customFormat="1" ht="15.6" x14ac:dyDescent="0.4">
      <c r="A31" s="50" t="s">
        <v>133</v>
      </c>
      <c r="B31" s="72" t="s">
        <v>151</v>
      </c>
      <c r="C31" s="49">
        <v>0.223</v>
      </c>
      <c r="D31" s="45">
        <v>30</v>
      </c>
      <c r="E31" s="46">
        <f>표2[[#This Row],[Volume
(mL)]]*표2[[#This Row],[Titer (g/L)]]</f>
        <v>19.075000000000003</v>
      </c>
      <c r="F31" s="46">
        <f>1.5*6</f>
        <v>9</v>
      </c>
      <c r="G31" s="46">
        <f>표2[[#This Row],[Eluate amounts
(mg)]]/표2[[#This Row],[Load amounts
(mg)]]*100</f>
        <v>51.423328964613354</v>
      </c>
      <c r="H31" s="46">
        <v>30.86</v>
      </c>
      <c r="I31" s="46">
        <v>69.14</v>
      </c>
      <c r="J31" s="46">
        <v>0</v>
      </c>
      <c r="K31" s="46">
        <f>1.5*6</f>
        <v>9</v>
      </c>
      <c r="L31" s="47"/>
      <c r="M31" s="46"/>
      <c r="N31" s="47"/>
      <c r="O31" s="48"/>
      <c r="P31" s="47"/>
      <c r="Q31" s="48"/>
      <c r="R31" s="48"/>
      <c r="S31" s="48"/>
      <c r="T31" s="48"/>
      <c r="U31" s="47"/>
      <c r="V31" s="47"/>
      <c r="W31" s="47"/>
      <c r="X31" s="47"/>
      <c r="Y31" s="47"/>
      <c r="Z31" s="83"/>
    </row>
    <row r="32" spans="1:26" s="76" customFormat="1" ht="15.6" x14ac:dyDescent="0.4">
      <c r="A32" s="50" t="s">
        <v>134</v>
      </c>
      <c r="B32" s="72" t="s">
        <v>152</v>
      </c>
      <c r="C32" s="49">
        <v>0.30399999999999999</v>
      </c>
      <c r="D32" s="45">
        <v>32</v>
      </c>
      <c r="E32" s="46">
        <f>표2[[#This Row],[Volume
(mL)]]*표2[[#This Row],[Titer (g/L)]]</f>
        <v>19.495000000000001</v>
      </c>
      <c r="F32" s="46">
        <f>1.43*6</f>
        <v>8.58</v>
      </c>
      <c r="G32" s="46">
        <f>표2[[#This Row],[Eluate amounts
(mg)]]/표2[[#This Row],[Load amounts
(mg)]]*100</f>
        <v>52.305719415234663</v>
      </c>
      <c r="H32" s="46">
        <v>30.04</v>
      </c>
      <c r="I32" s="46">
        <v>68.739999999999995</v>
      </c>
      <c r="J32" s="46">
        <v>1.22</v>
      </c>
      <c r="K32" s="46">
        <f>1.43*6</f>
        <v>8.58</v>
      </c>
      <c r="L32" s="47"/>
      <c r="M32" s="46"/>
      <c r="N32" s="47"/>
      <c r="O32" s="48"/>
      <c r="P32" s="47"/>
      <c r="Q32" s="48"/>
      <c r="R32" s="48"/>
      <c r="S32" s="48"/>
      <c r="T32" s="48"/>
      <c r="U32" s="47"/>
      <c r="V32" s="47"/>
      <c r="W32" s="47"/>
      <c r="X32" s="47"/>
      <c r="Y32" s="47"/>
      <c r="Z32" s="83"/>
    </row>
    <row r="33" spans="1:26" s="76" customFormat="1" ht="15.6" x14ac:dyDescent="0.4">
      <c r="A33" s="50" t="s">
        <v>135</v>
      </c>
      <c r="B33" s="72" t="s">
        <v>153</v>
      </c>
      <c r="C33" s="49">
        <v>0.30299999999999999</v>
      </c>
      <c r="D33" s="45">
        <v>32</v>
      </c>
      <c r="E33" s="46">
        <f>표2[[#This Row],[Volume
(mL)]]*표2[[#This Row],[Titer (g/L)]]</f>
        <v>19.774999999999999</v>
      </c>
      <c r="F33" s="46">
        <f>1.42*6</f>
        <v>8.52</v>
      </c>
      <c r="G33" s="46">
        <f>표2[[#This Row],[Eluate amounts
(mg)]]/표2[[#This Row],[Load amounts
(mg)]]*100</f>
        <v>40.40455120101138</v>
      </c>
      <c r="H33" s="46">
        <v>32.5</v>
      </c>
      <c r="I33" s="46">
        <v>65.55</v>
      </c>
      <c r="J33" s="46">
        <v>1.96</v>
      </c>
      <c r="K33" s="46">
        <f>1.42*6</f>
        <v>8.52</v>
      </c>
      <c r="L33" s="47"/>
      <c r="M33" s="46"/>
      <c r="N33" s="47"/>
      <c r="O33" s="48"/>
      <c r="P33" s="47"/>
      <c r="Q33" s="48"/>
      <c r="R33" s="48"/>
      <c r="S33" s="48"/>
      <c r="T33" s="48"/>
      <c r="U33" s="47"/>
      <c r="V33" s="47"/>
      <c r="W33" s="47"/>
      <c r="X33" s="47"/>
      <c r="Y33" s="47"/>
      <c r="Z33" s="83"/>
    </row>
    <row r="34" spans="1:26" s="76" customFormat="1" ht="15.6" x14ac:dyDescent="0.4">
      <c r="A34" s="50" t="s">
        <v>136</v>
      </c>
      <c r="B34" s="72" t="s">
        <v>154</v>
      </c>
      <c r="C34" s="49">
        <v>0.25900000000000001</v>
      </c>
      <c r="D34" s="45">
        <v>34</v>
      </c>
      <c r="E34" s="46">
        <f>표2[[#This Row],[Volume
(mL)]]*표2[[#This Row],[Titer (g/L)]]</f>
        <v>15.19</v>
      </c>
      <c r="F34" s="46">
        <f>1.14*6</f>
        <v>6.84</v>
      </c>
      <c r="G34" s="46">
        <f>표2[[#This Row],[Eluate amounts
(mg)]]/표2[[#This Row],[Load amounts
(mg)]]*100</f>
        <v>46.543778801843324</v>
      </c>
      <c r="H34" s="46">
        <v>38.880000000000003</v>
      </c>
      <c r="I34" s="46">
        <v>59.51</v>
      </c>
      <c r="J34" s="46">
        <v>1.61</v>
      </c>
      <c r="K34" s="46">
        <f>1.14*6</f>
        <v>6.84</v>
      </c>
      <c r="L34" s="47"/>
      <c r="M34" s="46"/>
      <c r="N34" s="47"/>
      <c r="O34" s="48"/>
      <c r="P34" s="47"/>
      <c r="Q34" s="48"/>
      <c r="R34" s="48"/>
      <c r="S34" s="48"/>
      <c r="T34" s="48"/>
      <c r="U34" s="47"/>
      <c r="V34" s="47"/>
      <c r="W34" s="47"/>
      <c r="X34" s="47"/>
      <c r="Y34" s="47"/>
      <c r="Z34" s="83"/>
    </row>
    <row r="35" spans="1:26" x14ac:dyDescent="0.4">
      <c r="A35" s="24"/>
      <c r="B35" s="30"/>
      <c r="C35" s="26"/>
      <c r="D35" s="21"/>
      <c r="E35" s="27"/>
      <c r="F35" s="27"/>
      <c r="G35" s="27"/>
      <c r="H35" s="27"/>
      <c r="I35" s="27"/>
      <c r="J35" s="27"/>
      <c r="K35" s="27"/>
      <c r="L35" s="33"/>
      <c r="M35" s="27"/>
      <c r="N35" s="33"/>
      <c r="O35" s="28"/>
      <c r="P35" s="33"/>
      <c r="Q35" s="28"/>
      <c r="R35" s="28"/>
      <c r="S35" s="28"/>
      <c r="T35" s="28"/>
      <c r="U35" s="33"/>
      <c r="V35" s="33"/>
      <c r="W35" s="33"/>
      <c r="X35" s="33"/>
      <c r="Y35" s="33"/>
      <c r="Z35" s="38"/>
    </row>
    <row r="36" spans="1:26" x14ac:dyDescent="0.4">
      <c r="A36" s="74">
        <v>210910</v>
      </c>
      <c r="B36" s="75"/>
      <c r="C36" s="92" t="s">
        <v>1</v>
      </c>
      <c r="D36" s="92"/>
      <c r="E36" s="93" t="s">
        <v>3</v>
      </c>
      <c r="F36" s="93"/>
      <c r="G36" s="93"/>
      <c r="H36" s="93"/>
      <c r="I36" s="93"/>
      <c r="J36" s="93"/>
      <c r="K36" s="94" t="s">
        <v>96</v>
      </c>
      <c r="L36" s="95"/>
      <c r="M36" s="96"/>
      <c r="N36" s="97" t="s">
        <v>2</v>
      </c>
      <c r="O36" s="97"/>
      <c r="P36" s="97"/>
      <c r="Q36" s="97"/>
      <c r="R36" s="97"/>
      <c r="S36" s="97"/>
      <c r="T36" s="98" t="s">
        <v>120</v>
      </c>
      <c r="U36" s="99"/>
      <c r="V36" s="99"/>
      <c r="W36" s="99"/>
      <c r="X36" s="99"/>
      <c r="Y36" s="99"/>
      <c r="Z36" s="76"/>
    </row>
    <row r="37" spans="1:26" ht="46.8" x14ac:dyDescent="0.4">
      <c r="A37" s="77" t="s">
        <v>11</v>
      </c>
      <c r="B37" s="77" t="s">
        <v>10</v>
      </c>
      <c r="C37" s="78" t="s">
        <v>0</v>
      </c>
      <c r="D37" s="79" t="s">
        <v>48</v>
      </c>
      <c r="E37" s="80" t="s">
        <v>9</v>
      </c>
      <c r="F37" s="80" t="s">
        <v>8</v>
      </c>
      <c r="G37" s="80" t="s">
        <v>7</v>
      </c>
      <c r="H37" s="80" t="s">
        <v>4</v>
      </c>
      <c r="I37" s="80" t="s">
        <v>5</v>
      </c>
      <c r="J37" s="80" t="s">
        <v>6</v>
      </c>
      <c r="K37" s="80" t="s">
        <v>100</v>
      </c>
      <c r="L37" s="80" t="s">
        <v>101</v>
      </c>
      <c r="M37" s="80" t="s">
        <v>102</v>
      </c>
      <c r="N37" s="81" t="s">
        <v>97</v>
      </c>
      <c r="O37" s="81" t="s">
        <v>98</v>
      </c>
      <c r="P37" s="81" t="s">
        <v>99</v>
      </c>
      <c r="Q37" s="81" t="s">
        <v>103</v>
      </c>
      <c r="R37" s="81" t="s">
        <v>104</v>
      </c>
      <c r="S37" s="82" t="s">
        <v>105</v>
      </c>
      <c r="T37" s="81" t="s">
        <v>121</v>
      </c>
      <c r="U37" s="81" t="s">
        <v>122</v>
      </c>
      <c r="V37" s="81" t="s">
        <v>123</v>
      </c>
      <c r="W37" s="81" t="s">
        <v>124</v>
      </c>
      <c r="X37" s="81" t="s">
        <v>125</v>
      </c>
      <c r="Y37" s="81" t="s">
        <v>126</v>
      </c>
      <c r="Z37" s="81" t="s">
        <v>127</v>
      </c>
    </row>
    <row r="38" spans="1:26" x14ac:dyDescent="0.4">
      <c r="A38" s="50" t="s">
        <v>137</v>
      </c>
      <c r="B38" s="30" t="s">
        <v>147</v>
      </c>
      <c r="C38" s="49">
        <v>0.161</v>
      </c>
      <c r="D38" s="45">
        <v>37</v>
      </c>
      <c r="E38" s="46">
        <f>표2[[#This Row],[Volume
(mL)]]*표2[[#This Row],[Titer (g/L)]]</f>
        <v>16.905000000000001</v>
      </c>
      <c r="F38" s="46">
        <f>0.81*6</f>
        <v>4.8600000000000003</v>
      </c>
      <c r="G38" s="46">
        <f>표2[[#This Row],[Eluate amounts
(mg)]]/표2[[#This Row],[Load amounts
(mg)]]*100</f>
        <v>49.097900029577055</v>
      </c>
      <c r="H38" s="46">
        <v>52.51</v>
      </c>
      <c r="I38" s="46">
        <v>41.53</v>
      </c>
      <c r="J38" s="46">
        <v>5.96</v>
      </c>
      <c r="K38" s="46">
        <f>0.81*6</f>
        <v>4.8600000000000003</v>
      </c>
      <c r="L38" s="33"/>
      <c r="M38" s="27"/>
      <c r="N38" s="33"/>
      <c r="O38" s="28"/>
      <c r="P38" s="33"/>
      <c r="Q38" s="28"/>
      <c r="R38" s="28"/>
      <c r="S38" s="28"/>
      <c r="T38" s="28"/>
      <c r="U38" s="33"/>
      <c r="V38" s="33"/>
      <c r="W38" s="33"/>
      <c r="X38" s="33"/>
      <c r="Y38" s="33"/>
      <c r="Z38" s="38"/>
    </row>
    <row r="39" spans="1:26" x14ac:dyDescent="0.4">
      <c r="A39" s="50" t="s">
        <v>138</v>
      </c>
      <c r="B39" s="30" t="s">
        <v>157</v>
      </c>
      <c r="C39" s="49">
        <v>0.219</v>
      </c>
      <c r="D39" s="45">
        <v>33</v>
      </c>
      <c r="E39" s="46">
        <f>표2[[#This Row],[Volume
(mL)]]*표2[[#This Row],[Titer (g/L)]]</f>
        <v>21.875</v>
      </c>
      <c r="F39" s="46">
        <f>1.12*6</f>
        <v>6.7200000000000006</v>
      </c>
      <c r="G39" s="46">
        <f>표2[[#This Row],[Eluate amounts
(mg)]]/표2[[#This Row],[Load amounts
(mg)]]*100</f>
        <v>44.937142857142859</v>
      </c>
      <c r="H39" s="46">
        <v>38.53</v>
      </c>
      <c r="I39" s="46">
        <v>61.47</v>
      </c>
      <c r="J39" s="46">
        <v>0</v>
      </c>
      <c r="K39" s="46">
        <f>1.12*6</f>
        <v>6.7200000000000006</v>
      </c>
      <c r="L39" s="33"/>
      <c r="M39" s="27"/>
      <c r="N39" s="33"/>
      <c r="O39" s="28"/>
      <c r="P39" s="33"/>
      <c r="Q39" s="28"/>
      <c r="R39" s="28"/>
      <c r="S39" s="28"/>
      <c r="T39" s="28"/>
      <c r="U39" s="33"/>
      <c r="V39" s="33"/>
      <c r="W39" s="33"/>
      <c r="X39" s="33"/>
      <c r="Y39" s="33"/>
      <c r="Z39" s="38"/>
    </row>
    <row r="40" spans="1:26" x14ac:dyDescent="0.4">
      <c r="A40" s="50" t="s">
        <v>139</v>
      </c>
      <c r="B40" s="30" t="s">
        <v>158</v>
      </c>
      <c r="C40" s="49">
        <v>0.19700000000000001</v>
      </c>
      <c r="D40" s="45">
        <v>23</v>
      </c>
      <c r="E40" s="46">
        <f>표2[[#This Row],[Volume
(mL)]]*표2[[#This Row],[Titer (g/L)]]</f>
        <v>8.26</v>
      </c>
      <c r="F40" s="46">
        <f>3.2*1.5</f>
        <v>4.8000000000000007</v>
      </c>
      <c r="G40" s="46">
        <f>표2[[#This Row],[Eluate amounts
(mg)]]/표2[[#This Row],[Load amounts
(mg)]]*100</f>
        <v>89.104116222760283</v>
      </c>
      <c r="H40" s="46">
        <v>47.85</v>
      </c>
      <c r="I40" s="46">
        <v>50.57</v>
      </c>
      <c r="J40" s="46">
        <v>1.58</v>
      </c>
      <c r="K40" s="46">
        <f>3.2*1.5</f>
        <v>4.8000000000000007</v>
      </c>
      <c r="L40" s="33"/>
      <c r="M40" s="27"/>
      <c r="N40" s="33"/>
      <c r="O40" s="28"/>
      <c r="P40" s="33"/>
      <c r="Q40" s="28"/>
      <c r="R40" s="28"/>
      <c r="S40" s="28"/>
      <c r="T40" s="28"/>
      <c r="U40" s="33"/>
      <c r="V40" s="33"/>
      <c r="W40" s="33"/>
      <c r="X40" s="33"/>
      <c r="Y40" s="33"/>
      <c r="Z40" s="38"/>
    </row>
    <row r="41" spans="1:26" x14ac:dyDescent="0.4">
      <c r="A41" s="50" t="s">
        <v>140</v>
      </c>
      <c r="B41" s="30" t="s">
        <v>159</v>
      </c>
      <c r="C41" s="49" t="s">
        <v>155</v>
      </c>
      <c r="D41" s="45" t="s">
        <v>155</v>
      </c>
      <c r="E41" s="46">
        <f>표2[[#This Row],[Volume
(mL)]]*표2[[#This Row],[Titer (g/L)]]</f>
        <v>8.4</v>
      </c>
      <c r="F41" s="46" t="s">
        <v>155</v>
      </c>
      <c r="G41" s="46">
        <f>표2[[#This Row],[Eluate amounts
(mg)]]/표2[[#This Row],[Load amounts
(mg)]]*100</f>
        <v>84.571428571428569</v>
      </c>
      <c r="H41" s="46" t="s">
        <v>155</v>
      </c>
      <c r="I41" s="46" t="s">
        <v>155</v>
      </c>
      <c r="J41" s="46" t="s">
        <v>155</v>
      </c>
      <c r="K41" s="46" t="s">
        <v>155</v>
      </c>
      <c r="L41" s="23"/>
      <c r="M41" s="27"/>
      <c r="N41" s="23"/>
      <c r="O41" s="28"/>
      <c r="P41" s="33"/>
      <c r="Q41" s="28"/>
      <c r="R41" s="28"/>
      <c r="S41" s="28"/>
      <c r="T41" s="28"/>
      <c r="U41" s="23"/>
      <c r="V41" s="33"/>
      <c r="W41" s="23"/>
      <c r="X41" s="23"/>
      <c r="Y41" s="23"/>
      <c r="Z41" s="38"/>
    </row>
    <row r="42" spans="1:26" x14ac:dyDescent="0.4">
      <c r="A42" s="50" t="s">
        <v>141</v>
      </c>
      <c r="B42" s="30" t="s">
        <v>160</v>
      </c>
      <c r="C42" s="49">
        <v>6.6000000000000003E-2</v>
      </c>
      <c r="D42" s="45">
        <v>27</v>
      </c>
      <c r="E42" s="46">
        <f>표2[[#This Row],[Volume
(mL)]]*표2[[#This Row],[Titer (g/L)]]</f>
        <v>7.2449999999999992</v>
      </c>
      <c r="F42" s="46" t="s">
        <v>156</v>
      </c>
      <c r="G42" s="46">
        <f>표2[[#This Row],[Eluate amounts
(mg)]]/표2[[#This Row],[Load amounts
(mg)]]*100</f>
        <v>99.820565907522436</v>
      </c>
      <c r="H42" s="46" t="s">
        <v>156</v>
      </c>
      <c r="I42" s="46" t="s">
        <v>156</v>
      </c>
      <c r="J42" s="46" t="s">
        <v>156</v>
      </c>
      <c r="K42" s="46" t="s">
        <v>156</v>
      </c>
      <c r="L42" s="33"/>
      <c r="M42" s="27"/>
      <c r="N42" s="33"/>
      <c r="O42" s="28"/>
      <c r="P42" s="33"/>
      <c r="Q42" s="28"/>
      <c r="R42" s="28"/>
      <c r="S42" s="28"/>
      <c r="T42" s="28"/>
      <c r="U42" s="33"/>
      <c r="V42" s="33"/>
      <c r="W42" s="33"/>
      <c r="X42" s="33"/>
      <c r="Y42" s="33"/>
      <c r="Z42" s="38"/>
    </row>
    <row r="43" spans="1:26" x14ac:dyDescent="0.4">
      <c r="A43" s="50" t="s">
        <v>142</v>
      </c>
      <c r="B43" s="30" t="s">
        <v>161</v>
      </c>
      <c r="C43" s="49">
        <v>5.5E-2</v>
      </c>
      <c r="D43" s="45">
        <v>33</v>
      </c>
      <c r="E43" s="46">
        <f>표2[[#This Row],[Volume
(mL)]]*표2[[#This Row],[Titer (g/L)]]</f>
        <v>7.3149999999999995</v>
      </c>
      <c r="F43" s="46" t="s">
        <v>156</v>
      </c>
      <c r="G43" s="46">
        <v>0</v>
      </c>
      <c r="H43" s="46" t="s">
        <v>156</v>
      </c>
      <c r="I43" s="46" t="s">
        <v>156</v>
      </c>
      <c r="J43" s="46" t="s">
        <v>156</v>
      </c>
      <c r="K43" s="46" t="s">
        <v>156</v>
      </c>
      <c r="L43" s="33"/>
      <c r="M43" s="27"/>
      <c r="N43" s="33"/>
      <c r="O43" s="28"/>
      <c r="P43" s="33"/>
      <c r="Q43" s="28"/>
      <c r="R43" s="28"/>
      <c r="S43" s="28"/>
      <c r="T43" s="28"/>
      <c r="U43" s="33"/>
      <c r="V43" s="33"/>
      <c r="W43" s="33"/>
      <c r="X43" s="33"/>
      <c r="Y43" s="33"/>
      <c r="Z43" s="38"/>
    </row>
    <row r="44" spans="1:26" x14ac:dyDescent="0.4">
      <c r="A44" s="50" t="s">
        <v>143</v>
      </c>
      <c r="B44" s="30" t="s">
        <v>162</v>
      </c>
      <c r="C44" s="49">
        <v>0.01</v>
      </c>
      <c r="D44" s="45">
        <v>32</v>
      </c>
      <c r="E44" s="46">
        <f>표2[[#This Row],[Volume
(mL)]]*표2[[#This Row],[Titer (g/L)]]</f>
        <v>4.34</v>
      </c>
      <c r="F44" s="46">
        <f>0.07*6</f>
        <v>0.42000000000000004</v>
      </c>
      <c r="G44" s="46">
        <f>표2[[#This Row],[Eluate amounts
(mg)]]/표2[[#This Row],[Load amounts
(mg)]]*100</f>
        <v>106.17511520737327</v>
      </c>
      <c r="H44" s="46" t="s">
        <v>156</v>
      </c>
      <c r="I44" s="46" t="s">
        <v>156</v>
      </c>
      <c r="J44" s="46" t="s">
        <v>156</v>
      </c>
      <c r="K44" s="46">
        <f>0.07*6</f>
        <v>0.42000000000000004</v>
      </c>
      <c r="L44" s="23"/>
      <c r="M44" s="27"/>
      <c r="N44" s="23"/>
      <c r="O44" s="28"/>
      <c r="P44" s="33"/>
      <c r="Q44" s="28"/>
      <c r="R44" s="28"/>
      <c r="S44" s="28"/>
      <c r="T44" s="28"/>
      <c r="U44" s="23"/>
      <c r="V44" s="33"/>
      <c r="W44" s="33"/>
      <c r="X44" s="33"/>
      <c r="Y44" s="33"/>
      <c r="Z44" s="38"/>
    </row>
    <row r="45" spans="1:26" x14ac:dyDescent="0.4">
      <c r="A45" s="50" t="s">
        <v>144</v>
      </c>
      <c r="B45" s="30" t="s">
        <v>163</v>
      </c>
      <c r="C45" s="49">
        <v>0</v>
      </c>
      <c r="D45" s="45">
        <v>33</v>
      </c>
      <c r="E45" s="46">
        <f>표2[[#This Row],[Volume
(mL)]]*표2[[#This Row],[Titer (g/L)]]</f>
        <v>5.4950000000000001</v>
      </c>
      <c r="F45" s="46">
        <v>0</v>
      </c>
      <c r="G45" s="46">
        <v>0</v>
      </c>
      <c r="H45" s="46" t="s">
        <v>156</v>
      </c>
      <c r="I45" s="46" t="s">
        <v>156</v>
      </c>
      <c r="J45" s="46" t="s">
        <v>156</v>
      </c>
      <c r="K45" s="46">
        <v>0</v>
      </c>
      <c r="L45" s="33"/>
      <c r="M45" s="27"/>
      <c r="N45" s="33"/>
      <c r="O45" s="28"/>
      <c r="P45" s="33"/>
      <c r="Q45" s="28"/>
      <c r="R45" s="28"/>
      <c r="S45" s="28"/>
      <c r="T45" s="28"/>
      <c r="U45" s="33"/>
      <c r="V45" s="33"/>
      <c r="W45" s="33"/>
      <c r="X45" s="33"/>
      <c r="Y45" s="33"/>
      <c r="Z45" s="38"/>
    </row>
    <row r="46" spans="1:26" x14ac:dyDescent="0.4">
      <c r="A46" s="50" t="s">
        <v>145</v>
      </c>
      <c r="B46" s="30" t="s">
        <v>164</v>
      </c>
      <c r="C46" s="49">
        <v>0</v>
      </c>
      <c r="D46" s="45">
        <v>31</v>
      </c>
      <c r="E46" s="46">
        <f>표2[[#This Row],[Volume
(mL)]]*표2[[#This Row],[Titer (g/L)]]</f>
        <v>6.6850000000000005</v>
      </c>
      <c r="F46" s="46">
        <v>0</v>
      </c>
      <c r="G46" s="46">
        <v>0</v>
      </c>
      <c r="H46" s="46" t="s">
        <v>156</v>
      </c>
      <c r="I46" s="46" t="s">
        <v>156</v>
      </c>
      <c r="J46" s="46" t="s">
        <v>156</v>
      </c>
      <c r="K46" s="46">
        <v>0</v>
      </c>
      <c r="L46" s="33"/>
      <c r="M46" s="27"/>
      <c r="N46" s="33"/>
      <c r="O46" s="28"/>
      <c r="P46" s="33"/>
      <c r="Q46" s="28"/>
      <c r="R46" s="28"/>
      <c r="S46" s="28"/>
      <c r="T46" s="28"/>
      <c r="U46" s="33"/>
      <c r="V46" s="33"/>
      <c r="W46" s="33"/>
      <c r="X46" s="33"/>
      <c r="Y46" s="33"/>
      <c r="Z46" s="38"/>
    </row>
    <row r="47" spans="1:26" x14ac:dyDescent="0.4">
      <c r="A47" s="50" t="s">
        <v>146</v>
      </c>
      <c r="B47" s="30" t="s">
        <v>165</v>
      </c>
      <c r="C47" s="49">
        <v>0.22600000000000001</v>
      </c>
      <c r="D47" s="45">
        <v>33</v>
      </c>
      <c r="E47" s="46">
        <f>표2[[#This Row],[Volume
(mL)]]*표2[[#This Row],[Titer (g/L)]]</f>
        <v>9.66</v>
      </c>
      <c r="F47" s="46">
        <f>1.42*6</f>
        <v>8.52</v>
      </c>
      <c r="G47" s="46">
        <f>표2[[#This Row],[Eluate amounts
(mg)]]/표2[[#This Row],[Load amounts
(mg)]]*100</f>
        <v>82.815734989648021</v>
      </c>
      <c r="H47" s="46">
        <v>47.22</v>
      </c>
      <c r="I47" s="46">
        <v>51.44</v>
      </c>
      <c r="J47" s="46">
        <v>1.34</v>
      </c>
      <c r="K47" s="46">
        <f>1.42*6</f>
        <v>8.52</v>
      </c>
      <c r="L47" s="33"/>
      <c r="M47" s="27"/>
      <c r="N47" s="33"/>
      <c r="O47" s="28"/>
      <c r="P47" s="33"/>
      <c r="Q47" s="28"/>
      <c r="R47" s="28"/>
      <c r="S47" s="28"/>
      <c r="T47" s="28"/>
      <c r="U47" s="33"/>
      <c r="V47" s="33"/>
      <c r="W47" s="33"/>
      <c r="X47" s="33"/>
      <c r="Y47" s="33"/>
      <c r="Z47" s="38"/>
    </row>
    <row r="49" spans="1:7" x14ac:dyDescent="0.4">
      <c r="A49" s="50" t="s">
        <v>137</v>
      </c>
      <c r="B49" s="30" t="s">
        <v>147</v>
      </c>
      <c r="C49" s="49">
        <v>0.161</v>
      </c>
      <c r="D49" s="46">
        <v>16.905000000000001</v>
      </c>
      <c r="E49" s="46">
        <f>0.81*6</f>
        <v>4.8600000000000003</v>
      </c>
      <c r="F49" s="46">
        <v>49.097900029577055</v>
      </c>
      <c r="G49" s="46">
        <v>41.53</v>
      </c>
    </row>
    <row r="50" spans="1:7" x14ac:dyDescent="0.4">
      <c r="A50" s="50" t="s">
        <v>138</v>
      </c>
      <c r="B50" s="30" t="s">
        <v>157</v>
      </c>
      <c r="C50" s="49">
        <v>0.219</v>
      </c>
      <c r="D50" s="46">
        <v>21.875</v>
      </c>
      <c r="E50" s="46">
        <f>1.12*6</f>
        <v>6.7200000000000006</v>
      </c>
      <c r="F50" s="46">
        <v>44.937142857142859</v>
      </c>
      <c r="G50" s="46">
        <v>61.47</v>
      </c>
    </row>
    <row r="51" spans="1:7" x14ac:dyDescent="0.4">
      <c r="A51" s="50" t="s">
        <v>139</v>
      </c>
      <c r="B51" s="30" t="s">
        <v>158</v>
      </c>
      <c r="C51" s="49">
        <v>0.19700000000000001</v>
      </c>
      <c r="D51" s="46">
        <v>8.26</v>
      </c>
      <c r="E51" s="46">
        <f>3.2*1.5</f>
        <v>4.8000000000000007</v>
      </c>
      <c r="F51" s="46">
        <v>89.104116222760283</v>
      </c>
      <c r="G51" s="46">
        <v>50.57</v>
      </c>
    </row>
    <row r="52" spans="1:7" x14ac:dyDescent="0.4">
      <c r="A52" s="50" t="s">
        <v>140</v>
      </c>
      <c r="B52" s="30" t="s">
        <v>159</v>
      </c>
      <c r="C52" s="49" t="s">
        <v>155</v>
      </c>
      <c r="D52" s="46">
        <v>8.4</v>
      </c>
      <c r="E52" s="46" t="s">
        <v>155</v>
      </c>
      <c r="F52" s="46">
        <v>84.571428571428569</v>
      </c>
      <c r="G52" s="46" t="s">
        <v>155</v>
      </c>
    </row>
    <row r="53" spans="1:7" x14ac:dyDescent="0.4">
      <c r="A53" s="50" t="s">
        <v>141</v>
      </c>
      <c r="B53" s="30" t="s">
        <v>160</v>
      </c>
      <c r="C53" s="49">
        <v>6.6000000000000003E-2</v>
      </c>
      <c r="D53" s="46">
        <v>7.2449999999999992</v>
      </c>
      <c r="E53" s="46" t="s">
        <v>156</v>
      </c>
      <c r="F53" s="46">
        <v>99.820565907522436</v>
      </c>
      <c r="G53" s="46" t="s">
        <v>156</v>
      </c>
    </row>
    <row r="54" spans="1:7" x14ac:dyDescent="0.4">
      <c r="A54" s="50" t="s">
        <v>142</v>
      </c>
      <c r="B54" s="30" t="s">
        <v>161</v>
      </c>
      <c r="C54" s="49">
        <v>5.5E-2</v>
      </c>
      <c r="D54" s="46">
        <v>7.3149999999999995</v>
      </c>
      <c r="E54" s="46" t="s">
        <v>156</v>
      </c>
      <c r="F54" s="46">
        <v>0</v>
      </c>
      <c r="G54" s="46" t="s">
        <v>156</v>
      </c>
    </row>
    <row r="55" spans="1:7" x14ac:dyDescent="0.4">
      <c r="A55" s="50" t="s">
        <v>143</v>
      </c>
      <c r="B55" s="30" t="s">
        <v>162</v>
      </c>
      <c r="C55" s="49">
        <v>0.01</v>
      </c>
      <c r="D55" s="46">
        <v>4.34</v>
      </c>
      <c r="E55" s="46">
        <f>0.07*6</f>
        <v>0.42000000000000004</v>
      </c>
      <c r="F55" s="46">
        <v>106.17511520737327</v>
      </c>
      <c r="G55" s="46" t="s">
        <v>156</v>
      </c>
    </row>
    <row r="56" spans="1:7" x14ac:dyDescent="0.4">
      <c r="A56" s="50" t="s">
        <v>144</v>
      </c>
      <c r="B56" s="30" t="s">
        <v>163</v>
      </c>
      <c r="C56" s="49">
        <v>0</v>
      </c>
      <c r="D56" s="46">
        <v>5.4950000000000001</v>
      </c>
      <c r="E56" s="46">
        <v>0</v>
      </c>
      <c r="F56" s="46">
        <v>0</v>
      </c>
      <c r="G56" s="46" t="s">
        <v>156</v>
      </c>
    </row>
    <row r="57" spans="1:7" x14ac:dyDescent="0.4">
      <c r="A57" s="50" t="s">
        <v>145</v>
      </c>
      <c r="B57" s="30" t="s">
        <v>164</v>
      </c>
      <c r="C57" s="49">
        <v>0</v>
      </c>
      <c r="D57" s="46">
        <v>6.6850000000000005</v>
      </c>
      <c r="E57" s="46">
        <v>0</v>
      </c>
      <c r="F57" s="46">
        <v>0</v>
      </c>
      <c r="G57" s="46" t="s">
        <v>156</v>
      </c>
    </row>
    <row r="58" spans="1:7" x14ac:dyDescent="0.4">
      <c r="A58" s="50" t="s">
        <v>146</v>
      </c>
      <c r="B58" s="30" t="s">
        <v>165</v>
      </c>
      <c r="C58" s="49">
        <v>0.22600000000000001</v>
      </c>
      <c r="D58" s="46">
        <v>9.66</v>
      </c>
      <c r="E58" s="46">
        <f>1.42*6</f>
        <v>8.52</v>
      </c>
      <c r="F58" s="46">
        <v>82.815734989648021</v>
      </c>
      <c r="G58" s="46">
        <v>51.44</v>
      </c>
    </row>
  </sheetData>
  <mergeCells count="15">
    <mergeCell ref="C36:D36"/>
    <mergeCell ref="E36:J36"/>
    <mergeCell ref="K36:M36"/>
    <mergeCell ref="N36:S36"/>
    <mergeCell ref="T36:Y36"/>
    <mergeCell ref="C25:D25"/>
    <mergeCell ref="E25:J25"/>
    <mergeCell ref="K25:M25"/>
    <mergeCell ref="N25:S25"/>
    <mergeCell ref="T25:Y25"/>
    <mergeCell ref="C1:D1"/>
    <mergeCell ref="E1:J1"/>
    <mergeCell ref="K1:M1"/>
    <mergeCell ref="N1:S1"/>
    <mergeCell ref="T1:Y1"/>
  </mergeCells>
  <phoneticPr fontId="1" type="noConversion"/>
  <conditionalFormatting sqref="X3:X23">
    <cfRule type="colorScale" priority="9">
      <colorScale>
        <cfvo type="min"/>
        <cfvo type="max"/>
        <color rgb="FFFCFCFF"/>
        <color rgb="FF63BE7B"/>
      </colorScale>
    </cfRule>
  </conditionalFormatting>
  <conditionalFormatting sqref="C3:C23">
    <cfRule type="colorScale" priority="8">
      <colorScale>
        <cfvo type="min"/>
        <cfvo type="max"/>
        <color rgb="FFFCFCFF"/>
        <color rgb="FFF8696B"/>
      </colorScale>
    </cfRule>
  </conditionalFormatting>
  <conditionalFormatting sqref="X27:X35 X38:X47">
    <cfRule type="colorScale" priority="7">
      <colorScale>
        <cfvo type="min"/>
        <cfvo type="max"/>
        <color rgb="FFFCFCFF"/>
        <color rgb="FF63BE7B"/>
      </colorScale>
    </cfRule>
  </conditionalFormatting>
  <conditionalFormatting sqref="C27:C35 C38:C47">
    <cfRule type="colorScale" priority="6">
      <colorScale>
        <cfvo type="min"/>
        <cfvo type="max"/>
        <color rgb="FFFCFCFF"/>
        <color rgb="FFF8696B"/>
      </colorScale>
    </cfRule>
  </conditionalFormatting>
  <conditionalFormatting sqref="I27:I34">
    <cfRule type="colorScale" priority="3">
      <colorScale>
        <cfvo type="min"/>
        <cfvo type="max"/>
        <color rgb="FFFCFCFF"/>
        <color rgb="FF63BE7B"/>
      </colorScale>
    </cfRule>
  </conditionalFormatting>
  <conditionalFormatting sqref="I38:I47">
    <cfRule type="colorScale" priority="4">
      <colorScale>
        <cfvo type="min"/>
        <cfvo type="max"/>
        <color rgb="FFFCFCFF"/>
        <color rgb="FF63BE7B"/>
      </colorScale>
    </cfRule>
  </conditionalFormatting>
  <conditionalFormatting sqref="C49:C58">
    <cfRule type="colorScale" priority="2">
      <colorScale>
        <cfvo type="min"/>
        <cfvo type="max"/>
        <color rgb="FFFCFCFF"/>
        <color rgb="FFF8696B"/>
      </colorScale>
    </cfRule>
  </conditionalFormatting>
  <conditionalFormatting sqref="G49:G5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5E55A-CD96-4ABF-A9E7-63462CA43938}">
  <dimension ref="A1:K19"/>
  <sheetViews>
    <sheetView tabSelected="1" workbookViewId="0">
      <selection activeCell="K19" sqref="A1:K19"/>
    </sheetView>
  </sheetViews>
  <sheetFormatPr defaultRowHeight="17.399999999999999" x14ac:dyDescent="0.4"/>
  <sheetData>
    <row r="1" spans="1:11" x14ac:dyDescent="0.4">
      <c r="A1" t="s">
        <v>187</v>
      </c>
      <c r="B1" t="s">
        <v>186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</row>
    <row r="2" spans="1:11" x14ac:dyDescent="0.4">
      <c r="A2" t="s">
        <v>167</v>
      </c>
      <c r="B2" t="s">
        <v>170</v>
      </c>
      <c r="C2" t="s">
        <v>16</v>
      </c>
      <c r="D2">
        <v>0.501</v>
      </c>
      <c r="E2">
        <v>32</v>
      </c>
      <c r="F2">
        <v>16.032</v>
      </c>
      <c r="G2">
        <v>11.399999999999999</v>
      </c>
      <c r="H2">
        <v>71.107784431137716</v>
      </c>
      <c r="I2">
        <v>26.5</v>
      </c>
      <c r="J2">
        <v>71.239999999999995</v>
      </c>
      <c r="K2">
        <v>2.2599999999999998</v>
      </c>
    </row>
    <row r="3" spans="1:11" x14ac:dyDescent="0.4">
      <c r="A3" t="s">
        <v>168</v>
      </c>
      <c r="B3" t="s">
        <v>170</v>
      </c>
      <c r="C3" t="s">
        <v>148</v>
      </c>
      <c r="D3">
        <v>0.221</v>
      </c>
      <c r="E3">
        <v>34</v>
      </c>
      <c r="F3">
        <v>7.5140000000000002</v>
      </c>
      <c r="G3">
        <v>9.06</v>
      </c>
      <c r="H3">
        <v>120.57492680330051</v>
      </c>
      <c r="I3">
        <v>25.19</v>
      </c>
      <c r="J3">
        <v>70.040000000000006</v>
      </c>
      <c r="K3">
        <v>4.7699999999999996</v>
      </c>
    </row>
    <row r="4" spans="1:11" x14ac:dyDescent="0.4">
      <c r="A4" t="s">
        <v>169</v>
      </c>
      <c r="B4" t="s">
        <v>170</v>
      </c>
      <c r="C4" t="s">
        <v>149</v>
      </c>
      <c r="D4">
        <v>0.28299999999999997</v>
      </c>
      <c r="E4">
        <v>33</v>
      </c>
      <c r="F4">
        <v>9.3389999999999986</v>
      </c>
      <c r="G4">
        <v>9.120000000000001</v>
      </c>
      <c r="H4">
        <v>97.654995181496972</v>
      </c>
      <c r="I4">
        <v>25.47</v>
      </c>
      <c r="J4">
        <v>70.5</v>
      </c>
      <c r="K4">
        <v>4.03</v>
      </c>
    </row>
    <row r="5" spans="1:11" x14ac:dyDescent="0.4">
      <c r="A5" t="s">
        <v>132</v>
      </c>
      <c r="B5" t="s">
        <v>170</v>
      </c>
      <c r="C5" t="s">
        <v>150</v>
      </c>
      <c r="D5">
        <v>9.5000000000000001E-2</v>
      </c>
      <c r="E5">
        <v>32</v>
      </c>
      <c r="F5">
        <v>3.04</v>
      </c>
      <c r="G5">
        <v>4.0200000000000005</v>
      </c>
      <c r="H5">
        <v>132.23684210526315</v>
      </c>
      <c r="I5">
        <v>33.340000000000003</v>
      </c>
      <c r="J5">
        <v>60.61</v>
      </c>
      <c r="K5">
        <v>6.05</v>
      </c>
    </row>
    <row r="6" spans="1:11" x14ac:dyDescent="0.4">
      <c r="A6" t="s">
        <v>133</v>
      </c>
      <c r="B6" t="s">
        <v>170</v>
      </c>
      <c r="C6" t="s">
        <v>151</v>
      </c>
      <c r="D6">
        <v>0.223</v>
      </c>
      <c r="E6">
        <v>30</v>
      </c>
      <c r="F6">
        <v>6.69</v>
      </c>
      <c r="G6">
        <v>9</v>
      </c>
      <c r="H6">
        <v>134.52914798206277</v>
      </c>
      <c r="I6">
        <v>30.86</v>
      </c>
      <c r="J6">
        <v>69.14</v>
      </c>
      <c r="K6">
        <v>0</v>
      </c>
    </row>
    <row r="7" spans="1:11" x14ac:dyDescent="0.4">
      <c r="A7" t="s">
        <v>134</v>
      </c>
      <c r="B7" t="s">
        <v>170</v>
      </c>
      <c r="C7" t="s">
        <v>152</v>
      </c>
      <c r="D7">
        <v>0.30399999999999999</v>
      </c>
      <c r="E7">
        <v>32</v>
      </c>
      <c r="F7">
        <v>9.7279999999999998</v>
      </c>
      <c r="G7">
        <v>8.58</v>
      </c>
      <c r="H7">
        <v>88.19901315789474</v>
      </c>
      <c r="I7">
        <v>30.04</v>
      </c>
      <c r="J7">
        <v>68.739999999999995</v>
      </c>
      <c r="K7">
        <v>1.22</v>
      </c>
    </row>
    <row r="8" spans="1:11" x14ac:dyDescent="0.4">
      <c r="A8" t="s">
        <v>135</v>
      </c>
      <c r="B8" t="s">
        <v>170</v>
      </c>
      <c r="C8" t="s">
        <v>153</v>
      </c>
      <c r="D8">
        <v>0.30299999999999999</v>
      </c>
      <c r="E8">
        <v>32</v>
      </c>
      <c r="F8">
        <v>9.6959999999999997</v>
      </c>
      <c r="G8">
        <v>8.52</v>
      </c>
      <c r="H8">
        <v>87.871287128712865</v>
      </c>
      <c r="I8">
        <v>32.5</v>
      </c>
      <c r="J8">
        <v>65.55</v>
      </c>
      <c r="K8">
        <v>1.96</v>
      </c>
    </row>
    <row r="9" spans="1:11" x14ac:dyDescent="0.4">
      <c r="A9" t="s">
        <v>136</v>
      </c>
      <c r="B9" t="s">
        <v>170</v>
      </c>
      <c r="C9" t="s">
        <v>154</v>
      </c>
      <c r="D9">
        <v>0.25900000000000001</v>
      </c>
      <c r="E9">
        <v>34</v>
      </c>
      <c r="F9">
        <v>8.8060000000000009</v>
      </c>
      <c r="G9">
        <v>6.84</v>
      </c>
      <c r="H9">
        <v>77.674312968430598</v>
      </c>
      <c r="I9">
        <v>38.880000000000003</v>
      </c>
      <c r="J9">
        <v>59.51</v>
      </c>
      <c r="K9">
        <v>1.61</v>
      </c>
    </row>
    <row r="10" spans="1:11" x14ac:dyDescent="0.4">
      <c r="A10" t="s">
        <v>171</v>
      </c>
      <c r="B10" t="s">
        <v>185</v>
      </c>
      <c r="C10" t="s">
        <v>172</v>
      </c>
      <c r="D10">
        <v>0.161</v>
      </c>
      <c r="E10">
        <v>37</v>
      </c>
      <c r="F10">
        <v>5.9569999999999999</v>
      </c>
      <c r="G10">
        <v>4.8600000000000003</v>
      </c>
      <c r="H10">
        <v>81.584690280342471</v>
      </c>
      <c r="I10">
        <v>52.51</v>
      </c>
      <c r="J10">
        <v>41.53</v>
      </c>
      <c r="K10">
        <v>5.96</v>
      </c>
    </row>
    <row r="11" spans="1:11" x14ac:dyDescent="0.4">
      <c r="A11" t="s">
        <v>173</v>
      </c>
      <c r="B11" t="s">
        <v>184</v>
      </c>
      <c r="C11" t="s">
        <v>174</v>
      </c>
      <c r="D11">
        <v>0.219</v>
      </c>
      <c r="E11">
        <v>33</v>
      </c>
      <c r="F11">
        <v>7.2270000000000003</v>
      </c>
      <c r="G11">
        <v>6.7200000000000006</v>
      </c>
      <c r="H11">
        <v>92.984640929846421</v>
      </c>
      <c r="I11">
        <v>38.53</v>
      </c>
      <c r="J11">
        <v>61.47</v>
      </c>
      <c r="K11">
        <v>0</v>
      </c>
    </row>
    <row r="12" spans="1:11" x14ac:dyDescent="0.4">
      <c r="A12" t="s">
        <v>175</v>
      </c>
      <c r="B12" t="s">
        <v>184</v>
      </c>
      <c r="C12" t="s">
        <v>176</v>
      </c>
      <c r="D12">
        <v>0.19700000000000001</v>
      </c>
      <c r="E12">
        <v>23</v>
      </c>
      <c r="F12">
        <v>4.5310000000000006</v>
      </c>
      <c r="G12">
        <v>4.8000000000000007</v>
      </c>
      <c r="H12">
        <v>105.93687927609798</v>
      </c>
      <c r="I12">
        <v>47.85</v>
      </c>
      <c r="J12">
        <v>50.57</v>
      </c>
      <c r="K12">
        <v>1.58</v>
      </c>
    </row>
    <row r="13" spans="1:11" ht="19.2" x14ac:dyDescent="0.4">
      <c r="A13" t="s">
        <v>140</v>
      </c>
      <c r="B13" t="s">
        <v>184</v>
      </c>
      <c r="C13" t="s">
        <v>177</v>
      </c>
      <c r="D13" s="100">
        <v>0.223</v>
      </c>
    </row>
    <row r="14" spans="1:11" x14ac:dyDescent="0.4">
      <c r="A14" t="s">
        <v>141</v>
      </c>
      <c r="B14" t="s">
        <v>184</v>
      </c>
      <c r="C14" t="s">
        <v>178</v>
      </c>
      <c r="D14">
        <v>6.6000000000000003E-2</v>
      </c>
      <c r="E14">
        <v>27</v>
      </c>
      <c r="F14">
        <v>1.782</v>
      </c>
    </row>
    <row r="15" spans="1:11" x14ac:dyDescent="0.4">
      <c r="A15" t="s">
        <v>142</v>
      </c>
      <c r="B15" t="s">
        <v>184</v>
      </c>
      <c r="C15" t="s">
        <v>179</v>
      </c>
      <c r="D15">
        <v>5.5E-2</v>
      </c>
      <c r="E15">
        <v>33</v>
      </c>
      <c r="F15">
        <v>1.8149999999999999</v>
      </c>
      <c r="H15">
        <v>0</v>
      </c>
    </row>
    <row r="16" spans="1:11" x14ac:dyDescent="0.4">
      <c r="A16" t="s">
        <v>143</v>
      </c>
      <c r="B16" t="s">
        <v>184</v>
      </c>
      <c r="C16" t="s">
        <v>180</v>
      </c>
      <c r="D16">
        <v>0.01</v>
      </c>
      <c r="E16">
        <v>32</v>
      </c>
      <c r="F16">
        <v>0.32</v>
      </c>
      <c r="G16">
        <v>0.42000000000000004</v>
      </c>
      <c r="H16">
        <v>131.25</v>
      </c>
    </row>
    <row r="17" spans="1:11" x14ac:dyDescent="0.4">
      <c r="A17" t="s">
        <v>144</v>
      </c>
      <c r="B17" t="s">
        <v>184</v>
      </c>
      <c r="C17" t="s">
        <v>181</v>
      </c>
      <c r="D17">
        <v>0</v>
      </c>
      <c r="E17">
        <v>33</v>
      </c>
      <c r="F17">
        <v>0</v>
      </c>
      <c r="G17">
        <v>0</v>
      </c>
      <c r="H17">
        <v>0</v>
      </c>
    </row>
    <row r="18" spans="1:11" x14ac:dyDescent="0.4">
      <c r="A18" t="s">
        <v>145</v>
      </c>
      <c r="B18" t="s">
        <v>184</v>
      </c>
      <c r="C18" t="s">
        <v>182</v>
      </c>
      <c r="D18">
        <v>0</v>
      </c>
      <c r="E18">
        <v>31</v>
      </c>
      <c r="F18">
        <v>0</v>
      </c>
      <c r="G18">
        <v>0</v>
      </c>
      <c r="H18">
        <v>0</v>
      </c>
    </row>
    <row r="19" spans="1:11" x14ac:dyDescent="0.4">
      <c r="A19" t="s">
        <v>146</v>
      </c>
      <c r="B19" t="s">
        <v>184</v>
      </c>
      <c r="C19" t="s">
        <v>183</v>
      </c>
      <c r="D19">
        <v>0.22600000000000001</v>
      </c>
      <c r="E19">
        <v>33</v>
      </c>
      <c r="F19">
        <v>7.4580000000000002</v>
      </c>
      <c r="G19">
        <v>8.52</v>
      </c>
      <c r="H19">
        <v>114.23974255832663</v>
      </c>
      <c r="I19">
        <v>47.22</v>
      </c>
      <c r="J19">
        <v>51.44</v>
      </c>
      <c r="K19">
        <v>1.34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PB10X</vt:lpstr>
      <vt:lpstr>PB20X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김나진</dc:creator>
  <cp:lastModifiedBy>Taeyoon</cp:lastModifiedBy>
  <dcterms:created xsi:type="dcterms:W3CDTF">2021-08-12T03:53:43Z</dcterms:created>
  <dcterms:modified xsi:type="dcterms:W3CDTF">2021-09-16T01:03:30Z</dcterms:modified>
  <cp:contentStatus/>
</cp:coreProperties>
</file>